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uildArea\work\cal_profit\"/>
    </mc:Choice>
  </mc:AlternateContent>
  <bookViews>
    <workbookView xWindow="0" yWindow="0" windowWidth="23040" windowHeight="9084" activeTab="2"/>
  </bookViews>
  <sheets>
    <sheet name="year2017" sheetId="1" r:id="rId1"/>
    <sheet name="year2018" sheetId="2" r:id="rId2"/>
    <sheet name="year2019" sheetId="3" r:id="rId3"/>
  </sheets>
  <definedNames>
    <definedName name="_xlnm._FilterDatabase" localSheetId="0" hidden="1">year2017!$A$1:$P$1</definedName>
    <definedName name="_xlnm._FilterDatabase" localSheetId="1" hidden="1">year2018!$A$1:$P$342</definedName>
    <definedName name="_xlnm._FilterDatabase" localSheetId="2" hidden="1">year2019!$A$1:$P$268</definedName>
  </definedNames>
  <calcPr calcId="171027"/>
</workbook>
</file>

<file path=xl/calcChain.xml><?xml version="1.0" encoding="utf-8"?>
<calcChain xmlns="http://schemas.openxmlformats.org/spreadsheetml/2006/main">
  <c r="P427" i="3" l="1"/>
  <c r="O427" i="3"/>
  <c r="N427" i="3"/>
  <c r="M427" i="3"/>
  <c r="L427" i="3"/>
  <c r="K427" i="3"/>
  <c r="J427" i="3"/>
  <c r="I427" i="3"/>
  <c r="H427" i="3"/>
  <c r="G427" i="3"/>
  <c r="F427" i="3"/>
  <c r="E427" i="3"/>
  <c r="D427" i="3"/>
  <c r="C427" i="3"/>
  <c r="B427" i="3"/>
  <c r="A427" i="3"/>
  <c r="P426" i="3"/>
  <c r="O426" i="3"/>
  <c r="N426" i="3"/>
  <c r="M426" i="3"/>
  <c r="L426" i="3"/>
  <c r="K426" i="3"/>
  <c r="J426" i="3"/>
  <c r="I426" i="3"/>
  <c r="H426" i="3"/>
  <c r="G426" i="3"/>
  <c r="F426" i="3"/>
  <c r="E426" i="3"/>
  <c r="D426" i="3"/>
  <c r="C426" i="3"/>
  <c r="B426" i="3"/>
  <c r="A426" i="3"/>
  <c r="P425" i="3"/>
  <c r="O425" i="3"/>
  <c r="N425" i="3"/>
  <c r="M425" i="3"/>
  <c r="L425" i="3"/>
  <c r="K425" i="3"/>
  <c r="J425" i="3"/>
  <c r="I425" i="3"/>
  <c r="H425" i="3"/>
  <c r="G425" i="3"/>
  <c r="F425" i="3"/>
  <c r="E425" i="3"/>
  <c r="D425" i="3"/>
  <c r="C425" i="3"/>
  <c r="B425" i="3"/>
  <c r="A425" i="3"/>
  <c r="P424" i="3"/>
  <c r="O424" i="3"/>
  <c r="N424" i="3"/>
  <c r="M424" i="3"/>
  <c r="L424" i="3"/>
  <c r="K424" i="3"/>
  <c r="J424" i="3"/>
  <c r="I424" i="3"/>
  <c r="H424" i="3"/>
  <c r="G424" i="3"/>
  <c r="F424" i="3"/>
  <c r="E424" i="3"/>
  <c r="D424" i="3"/>
  <c r="C424" i="3"/>
  <c r="B424" i="3"/>
  <c r="A424" i="3"/>
  <c r="P423" i="3"/>
  <c r="O423" i="3"/>
  <c r="N423" i="3"/>
  <c r="M423" i="3"/>
  <c r="L423" i="3"/>
  <c r="K423" i="3"/>
  <c r="J423" i="3"/>
  <c r="I423" i="3"/>
  <c r="H423" i="3"/>
  <c r="G423" i="3"/>
  <c r="F423" i="3"/>
  <c r="E423" i="3"/>
  <c r="D423" i="3"/>
  <c r="C423" i="3"/>
  <c r="B423" i="3"/>
  <c r="A423" i="3"/>
  <c r="P422" i="3"/>
  <c r="O422" i="3"/>
  <c r="N422" i="3"/>
  <c r="M422" i="3"/>
  <c r="L422" i="3"/>
  <c r="K422" i="3"/>
  <c r="J422" i="3"/>
  <c r="I422" i="3"/>
  <c r="H422" i="3"/>
  <c r="G422" i="3"/>
  <c r="F422" i="3"/>
  <c r="E422" i="3"/>
  <c r="D422" i="3"/>
  <c r="C422" i="3"/>
  <c r="B422" i="3"/>
  <c r="A422" i="3"/>
  <c r="P421" i="3"/>
  <c r="O421" i="3"/>
  <c r="N421" i="3"/>
  <c r="M421" i="3"/>
  <c r="L421" i="3"/>
  <c r="K421" i="3"/>
  <c r="J421" i="3"/>
  <c r="I421" i="3"/>
  <c r="H421" i="3"/>
  <c r="G421" i="3"/>
  <c r="F421" i="3"/>
  <c r="E421" i="3"/>
  <c r="D421" i="3"/>
  <c r="C421" i="3"/>
  <c r="B421" i="3"/>
  <c r="A421" i="3"/>
  <c r="P420" i="3"/>
  <c r="O420" i="3"/>
  <c r="N420" i="3"/>
  <c r="M420" i="3"/>
  <c r="L420" i="3"/>
  <c r="K420" i="3"/>
  <c r="J420" i="3"/>
  <c r="I420" i="3"/>
  <c r="H420" i="3"/>
  <c r="G420" i="3"/>
  <c r="F420" i="3"/>
  <c r="E420" i="3"/>
  <c r="D420" i="3"/>
  <c r="C420" i="3"/>
  <c r="B420" i="3"/>
  <c r="A420" i="3"/>
  <c r="P419" i="3"/>
  <c r="O419" i="3"/>
  <c r="N419" i="3"/>
  <c r="M419" i="3"/>
  <c r="L419" i="3"/>
  <c r="K419" i="3"/>
  <c r="J419" i="3"/>
  <c r="I419" i="3"/>
  <c r="H419" i="3"/>
  <c r="G419" i="3"/>
  <c r="F419" i="3"/>
  <c r="E419" i="3"/>
  <c r="D419" i="3"/>
  <c r="C419" i="3"/>
  <c r="B419" i="3"/>
  <c r="A419" i="3"/>
  <c r="P418" i="3"/>
  <c r="O418" i="3"/>
  <c r="N418" i="3"/>
  <c r="M418" i="3"/>
  <c r="L418" i="3"/>
  <c r="K418" i="3"/>
  <c r="J418" i="3"/>
  <c r="I418" i="3"/>
  <c r="H418" i="3"/>
  <c r="G418" i="3"/>
  <c r="F418" i="3"/>
  <c r="E418" i="3"/>
  <c r="D418" i="3"/>
  <c r="C418" i="3"/>
  <c r="B418" i="3"/>
  <c r="A418" i="3"/>
  <c r="P417" i="3"/>
  <c r="O417" i="3"/>
  <c r="N417" i="3"/>
  <c r="M417" i="3"/>
  <c r="L417" i="3"/>
  <c r="K417" i="3"/>
  <c r="J417" i="3"/>
  <c r="I417" i="3"/>
  <c r="H417" i="3"/>
  <c r="G417" i="3"/>
  <c r="F417" i="3"/>
  <c r="E417" i="3"/>
  <c r="D417" i="3"/>
  <c r="C417" i="3"/>
  <c r="B417" i="3"/>
  <c r="A417" i="3"/>
  <c r="P416" i="3"/>
  <c r="O416" i="3"/>
  <c r="N416" i="3"/>
  <c r="M416" i="3"/>
  <c r="L416" i="3"/>
  <c r="K416" i="3"/>
  <c r="J416" i="3"/>
  <c r="I416" i="3"/>
  <c r="H416" i="3"/>
  <c r="G416" i="3"/>
  <c r="F416" i="3"/>
  <c r="E416" i="3"/>
  <c r="D416" i="3"/>
  <c r="C416" i="3"/>
  <c r="B416" i="3"/>
  <c r="A416" i="3"/>
  <c r="P415" i="3"/>
  <c r="O415" i="3"/>
  <c r="N415" i="3"/>
  <c r="M415" i="3"/>
  <c r="L415" i="3"/>
  <c r="K415" i="3"/>
  <c r="J415" i="3"/>
  <c r="I415" i="3"/>
  <c r="H415" i="3"/>
  <c r="G415" i="3"/>
  <c r="F415" i="3"/>
  <c r="E415" i="3"/>
  <c r="D415" i="3"/>
  <c r="C415" i="3"/>
  <c r="B415" i="3"/>
  <c r="A415" i="3"/>
  <c r="P414" i="3"/>
  <c r="O414" i="3"/>
  <c r="N414" i="3"/>
  <c r="M414" i="3"/>
  <c r="L414" i="3"/>
  <c r="K414" i="3"/>
  <c r="J414" i="3"/>
  <c r="I414" i="3"/>
  <c r="H414" i="3"/>
  <c r="G414" i="3"/>
  <c r="F414" i="3"/>
  <c r="E414" i="3"/>
  <c r="D414" i="3"/>
  <c r="C414" i="3"/>
  <c r="B414" i="3"/>
  <c r="A414" i="3"/>
  <c r="P413" i="3"/>
  <c r="O413" i="3"/>
  <c r="N413" i="3"/>
  <c r="M413" i="3"/>
  <c r="L413" i="3"/>
  <c r="K413" i="3"/>
  <c r="J413" i="3"/>
  <c r="I413" i="3"/>
  <c r="H413" i="3"/>
  <c r="G413" i="3"/>
  <c r="F413" i="3"/>
  <c r="E413" i="3"/>
  <c r="D413" i="3"/>
  <c r="C413" i="3"/>
  <c r="B413" i="3"/>
  <c r="A413" i="3"/>
  <c r="P412" i="3"/>
  <c r="O412" i="3"/>
  <c r="N412" i="3"/>
  <c r="M412" i="3"/>
  <c r="L412" i="3"/>
  <c r="K412" i="3"/>
  <c r="J412" i="3"/>
  <c r="I412" i="3"/>
  <c r="H412" i="3"/>
  <c r="G412" i="3"/>
  <c r="F412" i="3"/>
  <c r="E412" i="3"/>
  <c r="D412" i="3"/>
  <c r="C412" i="3"/>
  <c r="B412" i="3"/>
  <c r="A412" i="3"/>
  <c r="P411" i="3"/>
  <c r="O411" i="3"/>
  <c r="N411" i="3"/>
  <c r="M411" i="3"/>
  <c r="L411" i="3"/>
  <c r="K411" i="3"/>
  <c r="J411" i="3"/>
  <c r="I411" i="3"/>
  <c r="H411" i="3"/>
  <c r="G411" i="3"/>
  <c r="F411" i="3"/>
  <c r="E411" i="3"/>
  <c r="D411" i="3"/>
  <c r="C411" i="3"/>
  <c r="B411" i="3"/>
  <c r="A411" i="3"/>
  <c r="P410" i="3"/>
  <c r="O410" i="3"/>
  <c r="N410" i="3"/>
  <c r="M410" i="3"/>
  <c r="L410" i="3"/>
  <c r="K410" i="3"/>
  <c r="J410" i="3"/>
  <c r="I410" i="3"/>
  <c r="H410" i="3"/>
  <c r="G410" i="3"/>
  <c r="F410" i="3"/>
  <c r="E410" i="3"/>
  <c r="D410" i="3"/>
  <c r="C410" i="3"/>
  <c r="B410" i="3"/>
  <c r="A410" i="3"/>
  <c r="P409" i="3" l="1"/>
  <c r="O409" i="3"/>
  <c r="N409" i="3"/>
  <c r="M409" i="3"/>
  <c r="L409" i="3"/>
  <c r="K409" i="3"/>
  <c r="J409" i="3"/>
  <c r="I409" i="3"/>
  <c r="H409" i="3"/>
  <c r="G409" i="3"/>
  <c r="F409" i="3"/>
  <c r="E409" i="3"/>
  <c r="D409" i="3"/>
  <c r="C409" i="3"/>
  <c r="B409" i="3"/>
  <c r="A409" i="3"/>
  <c r="P408" i="3"/>
  <c r="O408" i="3"/>
  <c r="N408" i="3"/>
  <c r="M408" i="3"/>
  <c r="L408" i="3"/>
  <c r="K408" i="3"/>
  <c r="J408" i="3"/>
  <c r="I408" i="3"/>
  <c r="H408" i="3"/>
  <c r="G408" i="3"/>
  <c r="F408" i="3"/>
  <c r="E408" i="3"/>
  <c r="D408" i="3"/>
  <c r="C408" i="3"/>
  <c r="B408" i="3"/>
  <c r="A408" i="3"/>
  <c r="P407" i="3"/>
  <c r="O407" i="3"/>
  <c r="N407" i="3"/>
  <c r="M407" i="3"/>
  <c r="L407" i="3"/>
  <c r="K407" i="3"/>
  <c r="J407" i="3"/>
  <c r="I407" i="3"/>
  <c r="H407" i="3"/>
  <c r="G407" i="3"/>
  <c r="F407" i="3"/>
  <c r="E407" i="3"/>
  <c r="D407" i="3"/>
  <c r="C407" i="3"/>
  <c r="B407" i="3"/>
  <c r="A407" i="3"/>
  <c r="P406" i="3"/>
  <c r="O406" i="3"/>
  <c r="N406" i="3"/>
  <c r="M406" i="3"/>
  <c r="L406" i="3"/>
  <c r="K406" i="3"/>
  <c r="J406" i="3"/>
  <c r="I406" i="3"/>
  <c r="H406" i="3"/>
  <c r="G406" i="3"/>
  <c r="F406" i="3"/>
  <c r="E406" i="3"/>
  <c r="D406" i="3"/>
  <c r="C406" i="3"/>
  <c r="B406" i="3"/>
  <c r="A406" i="3"/>
  <c r="P405" i="3"/>
  <c r="O405" i="3"/>
  <c r="N405" i="3"/>
  <c r="M405" i="3"/>
  <c r="L405" i="3"/>
  <c r="K405" i="3"/>
  <c r="J405" i="3"/>
  <c r="I405" i="3"/>
  <c r="H405" i="3"/>
  <c r="G405" i="3"/>
  <c r="F405" i="3"/>
  <c r="E405" i="3"/>
  <c r="D405" i="3"/>
  <c r="C405" i="3"/>
  <c r="B405" i="3"/>
  <c r="A405" i="3"/>
  <c r="P404" i="3"/>
  <c r="O404" i="3"/>
  <c r="N404" i="3"/>
  <c r="M404" i="3"/>
  <c r="L404" i="3"/>
  <c r="K404" i="3"/>
  <c r="J404" i="3"/>
  <c r="I404" i="3"/>
  <c r="H404" i="3"/>
  <c r="G404" i="3"/>
  <c r="F404" i="3"/>
  <c r="E404" i="3"/>
  <c r="D404" i="3"/>
  <c r="C404" i="3"/>
  <c r="B404" i="3"/>
  <c r="A404" i="3"/>
  <c r="P403" i="3"/>
  <c r="O403" i="3"/>
  <c r="N403" i="3"/>
  <c r="M403" i="3"/>
  <c r="L403" i="3"/>
  <c r="K403" i="3"/>
  <c r="J403" i="3"/>
  <c r="I403" i="3"/>
  <c r="H403" i="3"/>
  <c r="G403" i="3"/>
  <c r="F403" i="3"/>
  <c r="E403" i="3"/>
  <c r="D403" i="3"/>
  <c r="C403" i="3"/>
  <c r="B403" i="3"/>
  <c r="A403" i="3"/>
  <c r="P402" i="3"/>
  <c r="O402" i="3"/>
  <c r="N402" i="3"/>
  <c r="M402" i="3"/>
  <c r="L402" i="3"/>
  <c r="K402" i="3"/>
  <c r="J402" i="3"/>
  <c r="I402" i="3"/>
  <c r="H402" i="3"/>
  <c r="G402" i="3"/>
  <c r="F402" i="3"/>
  <c r="E402" i="3"/>
  <c r="D402" i="3"/>
  <c r="C402" i="3"/>
  <c r="B402" i="3"/>
  <c r="A402" i="3"/>
  <c r="P401" i="3"/>
  <c r="O401" i="3"/>
  <c r="N401" i="3"/>
  <c r="M401" i="3"/>
  <c r="L401" i="3"/>
  <c r="K401" i="3"/>
  <c r="J401" i="3"/>
  <c r="I401" i="3"/>
  <c r="H401" i="3"/>
  <c r="G401" i="3"/>
  <c r="F401" i="3"/>
  <c r="E401" i="3"/>
  <c r="D401" i="3"/>
  <c r="C401" i="3"/>
  <c r="B401" i="3"/>
  <c r="A401" i="3"/>
  <c r="P400" i="3"/>
  <c r="O400" i="3"/>
  <c r="N400" i="3"/>
  <c r="M400" i="3"/>
  <c r="L400" i="3"/>
  <c r="K400" i="3"/>
  <c r="J400" i="3"/>
  <c r="I400" i="3"/>
  <c r="H400" i="3"/>
  <c r="G400" i="3"/>
  <c r="F400" i="3"/>
  <c r="E400" i="3"/>
  <c r="D400" i="3"/>
  <c r="C400" i="3"/>
  <c r="B400" i="3"/>
  <c r="A400" i="3"/>
  <c r="P399" i="3"/>
  <c r="O399" i="3"/>
  <c r="N399" i="3"/>
  <c r="M399" i="3"/>
  <c r="L399" i="3"/>
  <c r="K399" i="3"/>
  <c r="J399" i="3"/>
  <c r="I399" i="3"/>
  <c r="H399" i="3"/>
  <c r="G399" i="3"/>
  <c r="F399" i="3"/>
  <c r="E399" i="3"/>
  <c r="D399" i="3"/>
  <c r="C399" i="3"/>
  <c r="B399" i="3"/>
  <c r="A399" i="3"/>
  <c r="P398" i="3"/>
  <c r="O398" i="3"/>
  <c r="N398" i="3"/>
  <c r="M398" i="3"/>
  <c r="L398" i="3"/>
  <c r="K398" i="3"/>
  <c r="J398" i="3"/>
  <c r="I398" i="3"/>
  <c r="H398" i="3"/>
  <c r="G398" i="3"/>
  <c r="F398" i="3"/>
  <c r="E398" i="3"/>
  <c r="D398" i="3"/>
  <c r="C398" i="3"/>
  <c r="B398" i="3"/>
  <c r="A398" i="3"/>
  <c r="P397" i="3"/>
  <c r="O397" i="3"/>
  <c r="N397" i="3"/>
  <c r="M397" i="3"/>
  <c r="L397" i="3"/>
  <c r="K397" i="3"/>
  <c r="J397" i="3"/>
  <c r="I397" i="3"/>
  <c r="H397" i="3"/>
  <c r="G397" i="3"/>
  <c r="F397" i="3"/>
  <c r="E397" i="3"/>
  <c r="D397" i="3"/>
  <c r="C397" i="3"/>
  <c r="B397" i="3"/>
  <c r="A397" i="3"/>
  <c r="P396" i="3"/>
  <c r="O396" i="3"/>
  <c r="N396" i="3"/>
  <c r="M396" i="3"/>
  <c r="L396" i="3"/>
  <c r="K396" i="3"/>
  <c r="J396" i="3"/>
  <c r="I396" i="3"/>
  <c r="H396" i="3"/>
  <c r="G396" i="3"/>
  <c r="F396" i="3"/>
  <c r="E396" i="3"/>
  <c r="D396" i="3"/>
  <c r="C396" i="3"/>
  <c r="B396" i="3"/>
  <c r="A396" i="3"/>
  <c r="P395" i="3"/>
  <c r="O395" i="3"/>
  <c r="N395" i="3"/>
  <c r="M395" i="3"/>
  <c r="L395" i="3"/>
  <c r="K395" i="3"/>
  <c r="J395" i="3"/>
  <c r="I395" i="3"/>
  <c r="H395" i="3"/>
  <c r="G395" i="3"/>
  <c r="F395" i="3"/>
  <c r="E395" i="3"/>
  <c r="D395" i="3"/>
  <c r="C395" i="3"/>
  <c r="B395" i="3"/>
  <c r="A395" i="3"/>
  <c r="P394" i="3"/>
  <c r="O394" i="3"/>
  <c r="N394" i="3"/>
  <c r="M394" i="3"/>
  <c r="L394" i="3"/>
  <c r="K394" i="3"/>
  <c r="J394" i="3"/>
  <c r="I394" i="3"/>
  <c r="H394" i="3"/>
  <c r="G394" i="3"/>
  <c r="F394" i="3"/>
  <c r="E394" i="3"/>
  <c r="D394" i="3"/>
  <c r="C394" i="3"/>
  <c r="B394" i="3"/>
  <c r="A394" i="3"/>
  <c r="P393" i="3"/>
  <c r="O393" i="3"/>
  <c r="N393" i="3"/>
  <c r="M393" i="3"/>
  <c r="L393" i="3"/>
  <c r="K393" i="3"/>
  <c r="J393" i="3"/>
  <c r="I393" i="3"/>
  <c r="H393" i="3"/>
  <c r="G393" i="3"/>
  <c r="F393" i="3"/>
  <c r="E393" i="3"/>
  <c r="D393" i="3"/>
  <c r="C393" i="3"/>
  <c r="B393" i="3"/>
  <c r="A393" i="3"/>
  <c r="P392" i="3"/>
  <c r="O392" i="3"/>
  <c r="N392" i="3"/>
  <c r="M392" i="3"/>
  <c r="L392" i="3"/>
  <c r="K392" i="3"/>
  <c r="J392" i="3"/>
  <c r="I392" i="3"/>
  <c r="H392" i="3"/>
  <c r="G392" i="3"/>
  <c r="F392" i="3"/>
  <c r="E392" i="3"/>
  <c r="D392" i="3"/>
  <c r="C392" i="3"/>
  <c r="B392" i="3"/>
  <c r="A392" i="3"/>
  <c r="P391" i="3"/>
  <c r="O391" i="3"/>
  <c r="N391" i="3"/>
  <c r="M391" i="3"/>
  <c r="L391" i="3"/>
  <c r="K391" i="3"/>
  <c r="J391" i="3"/>
  <c r="I391" i="3"/>
  <c r="H391" i="3"/>
  <c r="G391" i="3"/>
  <c r="F391" i="3"/>
  <c r="E391" i="3"/>
  <c r="D391" i="3"/>
  <c r="C391" i="3"/>
  <c r="B391" i="3"/>
  <c r="A391" i="3"/>
  <c r="P390" i="3"/>
  <c r="O390" i="3"/>
  <c r="N390" i="3"/>
  <c r="M390" i="3"/>
  <c r="L390" i="3"/>
  <c r="K390" i="3"/>
  <c r="J390" i="3"/>
  <c r="I390" i="3"/>
  <c r="H390" i="3"/>
  <c r="G390" i="3"/>
  <c r="F390" i="3"/>
  <c r="E390" i="3"/>
  <c r="D390" i="3"/>
  <c r="C390" i="3"/>
  <c r="B390" i="3"/>
  <c r="A390" i="3"/>
  <c r="P389" i="3"/>
  <c r="O389" i="3"/>
  <c r="N389" i="3"/>
  <c r="M389" i="3"/>
  <c r="L389" i="3"/>
  <c r="K389" i="3"/>
  <c r="J389" i="3"/>
  <c r="I389" i="3"/>
  <c r="H389" i="3"/>
  <c r="G389" i="3"/>
  <c r="F389" i="3"/>
  <c r="E389" i="3"/>
  <c r="D389" i="3"/>
  <c r="C389" i="3"/>
  <c r="B389" i="3"/>
  <c r="A389" i="3"/>
  <c r="P388" i="3"/>
  <c r="O388" i="3"/>
  <c r="N388" i="3"/>
  <c r="M388" i="3"/>
  <c r="L388" i="3"/>
  <c r="K388" i="3"/>
  <c r="J388" i="3"/>
  <c r="I388" i="3"/>
  <c r="H388" i="3"/>
  <c r="G388" i="3"/>
  <c r="F388" i="3"/>
  <c r="E388" i="3"/>
  <c r="D388" i="3"/>
  <c r="C388" i="3"/>
  <c r="B388" i="3"/>
  <c r="A388" i="3"/>
  <c r="P387" i="3"/>
  <c r="O387" i="3"/>
  <c r="N387" i="3"/>
  <c r="M387" i="3"/>
  <c r="L387" i="3"/>
  <c r="K387" i="3"/>
  <c r="J387" i="3"/>
  <c r="I387" i="3"/>
  <c r="H387" i="3"/>
  <c r="G387" i="3"/>
  <c r="F387" i="3"/>
  <c r="E387" i="3"/>
  <c r="D387" i="3"/>
  <c r="C387" i="3"/>
  <c r="B387" i="3"/>
  <c r="A387" i="3"/>
  <c r="P386" i="3"/>
  <c r="O386" i="3"/>
  <c r="N386" i="3"/>
  <c r="M386" i="3"/>
  <c r="L386" i="3"/>
  <c r="K386" i="3"/>
  <c r="J386" i="3"/>
  <c r="I386" i="3"/>
  <c r="H386" i="3"/>
  <c r="G386" i="3"/>
  <c r="F386" i="3"/>
  <c r="E386" i="3"/>
  <c r="D386" i="3"/>
  <c r="C386" i="3"/>
  <c r="B386" i="3"/>
  <c r="A386" i="3"/>
  <c r="P385" i="3"/>
  <c r="O385" i="3"/>
  <c r="N385" i="3"/>
  <c r="M385" i="3"/>
  <c r="L385" i="3"/>
  <c r="K385" i="3"/>
  <c r="J385" i="3"/>
  <c r="I385" i="3"/>
  <c r="H385" i="3"/>
  <c r="G385" i="3"/>
  <c r="F385" i="3"/>
  <c r="E385" i="3"/>
  <c r="D385" i="3"/>
  <c r="C385" i="3"/>
  <c r="B385" i="3"/>
  <c r="A385" i="3"/>
  <c r="P384" i="3"/>
  <c r="O384" i="3"/>
  <c r="N384" i="3"/>
  <c r="M384" i="3"/>
  <c r="L384" i="3"/>
  <c r="K384" i="3"/>
  <c r="J384" i="3"/>
  <c r="I384" i="3"/>
  <c r="H384" i="3"/>
  <c r="G384" i="3"/>
  <c r="F384" i="3"/>
  <c r="E384" i="3"/>
  <c r="D384" i="3"/>
  <c r="C384" i="3"/>
  <c r="B384" i="3"/>
  <c r="A384" i="3"/>
  <c r="P383" i="3"/>
  <c r="O383" i="3"/>
  <c r="N383" i="3"/>
  <c r="M383" i="3"/>
  <c r="L383" i="3"/>
  <c r="K383" i="3"/>
  <c r="J383" i="3"/>
  <c r="I383" i="3"/>
  <c r="H383" i="3"/>
  <c r="G383" i="3"/>
  <c r="F383" i="3"/>
  <c r="E383" i="3"/>
  <c r="D383" i="3"/>
  <c r="C383" i="3"/>
  <c r="B383" i="3"/>
  <c r="A383" i="3"/>
  <c r="P382" i="3"/>
  <c r="O382" i="3"/>
  <c r="N382" i="3"/>
  <c r="M382" i="3"/>
  <c r="L382" i="3"/>
  <c r="K382" i="3"/>
  <c r="J382" i="3"/>
  <c r="I382" i="3"/>
  <c r="H382" i="3"/>
  <c r="G382" i="3"/>
  <c r="F382" i="3"/>
  <c r="E382" i="3"/>
  <c r="D382" i="3"/>
  <c r="C382" i="3"/>
  <c r="B382" i="3"/>
  <c r="A382" i="3"/>
  <c r="P381" i="3"/>
  <c r="O381" i="3"/>
  <c r="N381" i="3"/>
  <c r="M381" i="3"/>
  <c r="L381" i="3"/>
  <c r="K381" i="3"/>
  <c r="J381" i="3"/>
  <c r="I381" i="3"/>
  <c r="H381" i="3"/>
  <c r="G381" i="3"/>
  <c r="F381" i="3"/>
  <c r="E381" i="3"/>
  <c r="D381" i="3"/>
  <c r="C381" i="3"/>
  <c r="B381" i="3"/>
  <c r="A381" i="3"/>
  <c r="P380" i="3"/>
  <c r="O380" i="3"/>
  <c r="N380" i="3"/>
  <c r="M380" i="3"/>
  <c r="L380" i="3"/>
  <c r="K380" i="3"/>
  <c r="J380" i="3"/>
  <c r="I380" i="3"/>
  <c r="H380" i="3"/>
  <c r="G380" i="3"/>
  <c r="F380" i="3"/>
  <c r="E380" i="3"/>
  <c r="D380" i="3"/>
  <c r="C380" i="3"/>
  <c r="B380" i="3"/>
  <c r="A380" i="3"/>
  <c r="P379" i="3"/>
  <c r="O379" i="3"/>
  <c r="N379" i="3"/>
  <c r="M379" i="3"/>
  <c r="L379" i="3"/>
  <c r="K379" i="3"/>
  <c r="J379" i="3"/>
  <c r="I379" i="3"/>
  <c r="H379" i="3"/>
  <c r="G379" i="3"/>
  <c r="F379" i="3"/>
  <c r="E379" i="3"/>
  <c r="D379" i="3"/>
  <c r="C379" i="3"/>
  <c r="B379" i="3"/>
  <c r="A379" i="3"/>
  <c r="P378" i="3"/>
  <c r="O378" i="3"/>
  <c r="N378" i="3"/>
  <c r="M378" i="3"/>
  <c r="L378" i="3"/>
  <c r="K378" i="3"/>
  <c r="J378" i="3"/>
  <c r="I378" i="3"/>
  <c r="H378" i="3"/>
  <c r="G378" i="3"/>
  <c r="F378" i="3"/>
  <c r="E378" i="3"/>
  <c r="D378" i="3"/>
  <c r="C378" i="3"/>
  <c r="B378" i="3"/>
  <c r="A378" i="3"/>
  <c r="P377" i="3"/>
  <c r="O377" i="3"/>
  <c r="N377" i="3"/>
  <c r="M377" i="3"/>
  <c r="L377" i="3"/>
  <c r="K377" i="3"/>
  <c r="J377" i="3"/>
  <c r="I377" i="3"/>
  <c r="H377" i="3"/>
  <c r="G377" i="3"/>
  <c r="F377" i="3"/>
  <c r="E377" i="3"/>
  <c r="D377" i="3"/>
  <c r="C377" i="3"/>
  <c r="B377" i="3"/>
  <c r="A377" i="3"/>
  <c r="P376" i="3"/>
  <c r="O376" i="3"/>
  <c r="N376" i="3"/>
  <c r="M376" i="3"/>
  <c r="L376" i="3"/>
  <c r="K376" i="3"/>
  <c r="J376" i="3"/>
  <c r="I376" i="3"/>
  <c r="H376" i="3"/>
  <c r="G376" i="3"/>
  <c r="F376" i="3"/>
  <c r="E376" i="3"/>
  <c r="D376" i="3"/>
  <c r="C376" i="3"/>
  <c r="B376" i="3"/>
  <c r="A376" i="3"/>
  <c r="P375" i="3"/>
  <c r="O375" i="3"/>
  <c r="N375" i="3"/>
  <c r="M375" i="3"/>
  <c r="L375" i="3"/>
  <c r="K375" i="3"/>
  <c r="J375" i="3"/>
  <c r="I375" i="3"/>
  <c r="H375" i="3"/>
  <c r="G375" i="3"/>
  <c r="F375" i="3"/>
  <c r="E375" i="3"/>
  <c r="D375" i="3"/>
  <c r="C375" i="3"/>
  <c r="B375" i="3"/>
  <c r="A375" i="3"/>
  <c r="P374" i="3"/>
  <c r="O374" i="3"/>
  <c r="N374" i="3"/>
  <c r="M374" i="3"/>
  <c r="L374" i="3"/>
  <c r="K374" i="3"/>
  <c r="J374" i="3"/>
  <c r="I374" i="3"/>
  <c r="H374" i="3"/>
  <c r="G374" i="3"/>
  <c r="F374" i="3"/>
  <c r="E374" i="3"/>
  <c r="D374" i="3"/>
  <c r="C374" i="3"/>
  <c r="B374" i="3"/>
  <c r="A374" i="3"/>
  <c r="P373" i="3"/>
  <c r="O373" i="3"/>
  <c r="N373" i="3"/>
  <c r="M373" i="3"/>
  <c r="L373" i="3"/>
  <c r="K373" i="3"/>
  <c r="J373" i="3"/>
  <c r="I373" i="3"/>
  <c r="H373" i="3"/>
  <c r="G373" i="3"/>
  <c r="F373" i="3"/>
  <c r="E373" i="3"/>
  <c r="D373" i="3"/>
  <c r="C373" i="3"/>
  <c r="B373" i="3"/>
  <c r="A373" i="3"/>
  <c r="P372" i="3"/>
  <c r="O372" i="3"/>
  <c r="N372" i="3"/>
  <c r="M372" i="3"/>
  <c r="L372" i="3"/>
  <c r="K372" i="3"/>
  <c r="J372" i="3"/>
  <c r="I372" i="3"/>
  <c r="H372" i="3"/>
  <c r="G372" i="3"/>
  <c r="F372" i="3"/>
  <c r="E372" i="3"/>
  <c r="D372" i="3"/>
  <c r="C372" i="3"/>
  <c r="B372" i="3"/>
  <c r="A372" i="3"/>
  <c r="P371" i="3"/>
  <c r="O371" i="3"/>
  <c r="N371" i="3"/>
  <c r="M371" i="3"/>
  <c r="L371" i="3"/>
  <c r="K371" i="3"/>
  <c r="J371" i="3"/>
  <c r="I371" i="3"/>
  <c r="H371" i="3"/>
  <c r="G371" i="3"/>
  <c r="F371" i="3"/>
  <c r="E371" i="3"/>
  <c r="D371" i="3"/>
  <c r="C371" i="3"/>
  <c r="B371" i="3"/>
  <c r="A371" i="3"/>
  <c r="P370" i="3"/>
  <c r="O370" i="3"/>
  <c r="N370" i="3"/>
  <c r="M370" i="3"/>
  <c r="L370" i="3"/>
  <c r="K370" i="3"/>
  <c r="J370" i="3"/>
  <c r="I370" i="3"/>
  <c r="H370" i="3"/>
  <c r="G370" i="3"/>
  <c r="F370" i="3"/>
  <c r="E370" i="3"/>
  <c r="D370" i="3"/>
  <c r="C370" i="3"/>
  <c r="B370" i="3"/>
  <c r="A370" i="3"/>
  <c r="P369" i="3"/>
  <c r="O369" i="3"/>
  <c r="N369" i="3"/>
  <c r="M369" i="3"/>
  <c r="L369" i="3"/>
  <c r="K369" i="3"/>
  <c r="J369" i="3"/>
  <c r="I369" i="3"/>
  <c r="H369" i="3"/>
  <c r="G369" i="3"/>
  <c r="F369" i="3"/>
  <c r="E369" i="3"/>
  <c r="D369" i="3"/>
  <c r="C369" i="3"/>
  <c r="B369" i="3"/>
  <c r="A369" i="3"/>
  <c r="P368" i="3"/>
  <c r="O368" i="3"/>
  <c r="N368" i="3"/>
  <c r="M368" i="3"/>
  <c r="L368" i="3"/>
  <c r="K368" i="3"/>
  <c r="J368" i="3"/>
  <c r="I368" i="3"/>
  <c r="H368" i="3"/>
  <c r="G368" i="3"/>
  <c r="F368" i="3"/>
  <c r="E368" i="3"/>
  <c r="D368" i="3"/>
  <c r="C368" i="3"/>
  <c r="B368" i="3"/>
  <c r="A368" i="3"/>
  <c r="P367" i="3"/>
  <c r="O367" i="3"/>
  <c r="N367" i="3"/>
  <c r="M367" i="3"/>
  <c r="L367" i="3"/>
  <c r="K367" i="3"/>
  <c r="J367" i="3"/>
  <c r="I367" i="3"/>
  <c r="H367" i="3"/>
  <c r="G367" i="3"/>
  <c r="F367" i="3"/>
  <c r="E367" i="3"/>
  <c r="D367" i="3"/>
  <c r="C367" i="3"/>
  <c r="B367" i="3"/>
  <c r="A367" i="3"/>
  <c r="P366" i="3"/>
  <c r="O366" i="3"/>
  <c r="N366" i="3"/>
  <c r="M366" i="3"/>
  <c r="L366" i="3"/>
  <c r="K366" i="3"/>
  <c r="J366" i="3"/>
  <c r="I366" i="3"/>
  <c r="H366" i="3"/>
  <c r="G366" i="3"/>
  <c r="F366" i="3"/>
  <c r="E366" i="3"/>
  <c r="D366" i="3"/>
  <c r="C366" i="3"/>
  <c r="B366" i="3"/>
  <c r="A366" i="3"/>
  <c r="P365" i="3"/>
  <c r="O365" i="3"/>
  <c r="N365" i="3"/>
  <c r="M365" i="3"/>
  <c r="L365" i="3"/>
  <c r="K365" i="3"/>
  <c r="J365" i="3"/>
  <c r="I365" i="3"/>
  <c r="H365" i="3"/>
  <c r="G365" i="3"/>
  <c r="F365" i="3"/>
  <c r="E365" i="3"/>
  <c r="D365" i="3"/>
  <c r="C365" i="3"/>
  <c r="B365" i="3"/>
  <c r="A365" i="3"/>
  <c r="P364" i="3"/>
  <c r="O364" i="3"/>
  <c r="N364" i="3"/>
  <c r="M364" i="3"/>
  <c r="L364" i="3"/>
  <c r="K364" i="3"/>
  <c r="J364" i="3"/>
  <c r="I364" i="3"/>
  <c r="H364" i="3"/>
  <c r="G364" i="3"/>
  <c r="F364" i="3"/>
  <c r="E364" i="3"/>
  <c r="D364" i="3"/>
  <c r="C364" i="3"/>
  <c r="B364" i="3"/>
  <c r="A364" i="3"/>
  <c r="P363" i="3"/>
  <c r="O363" i="3"/>
  <c r="N363" i="3"/>
  <c r="M363" i="3"/>
  <c r="L363" i="3"/>
  <c r="K363" i="3"/>
  <c r="J363" i="3"/>
  <c r="I363" i="3"/>
  <c r="H363" i="3"/>
  <c r="G363" i="3"/>
  <c r="F363" i="3"/>
  <c r="E363" i="3"/>
  <c r="D363" i="3"/>
  <c r="C363" i="3"/>
  <c r="B363" i="3"/>
  <c r="A363" i="3"/>
  <c r="P362" i="3"/>
  <c r="O362" i="3"/>
  <c r="N362" i="3"/>
  <c r="M362" i="3"/>
  <c r="L362" i="3"/>
  <c r="K362" i="3"/>
  <c r="J362" i="3"/>
  <c r="I362" i="3"/>
  <c r="H362" i="3"/>
  <c r="G362" i="3"/>
  <c r="F362" i="3"/>
  <c r="E362" i="3"/>
  <c r="D362" i="3"/>
  <c r="C362" i="3"/>
  <c r="B362" i="3"/>
  <c r="A362" i="3"/>
  <c r="P361" i="3"/>
  <c r="O361" i="3"/>
  <c r="N361" i="3"/>
  <c r="M361" i="3"/>
  <c r="L361" i="3"/>
  <c r="K361" i="3"/>
  <c r="J361" i="3"/>
  <c r="I361" i="3"/>
  <c r="H361" i="3"/>
  <c r="G361" i="3"/>
  <c r="F361" i="3"/>
  <c r="E361" i="3"/>
  <c r="D361" i="3"/>
  <c r="C361" i="3"/>
  <c r="B361" i="3"/>
  <c r="A361" i="3"/>
  <c r="P360" i="3"/>
  <c r="O360" i="3"/>
  <c r="N360" i="3"/>
  <c r="M360" i="3"/>
  <c r="L360" i="3"/>
  <c r="K360" i="3"/>
  <c r="J360" i="3"/>
  <c r="I360" i="3"/>
  <c r="H360" i="3"/>
  <c r="G360" i="3"/>
  <c r="F360" i="3"/>
  <c r="E360" i="3"/>
  <c r="D360" i="3"/>
  <c r="C360" i="3"/>
  <c r="B360" i="3"/>
  <c r="A360" i="3"/>
  <c r="P359" i="3"/>
  <c r="O359" i="3"/>
  <c r="N359" i="3"/>
  <c r="M359" i="3"/>
  <c r="L359" i="3"/>
  <c r="K359" i="3"/>
  <c r="J359" i="3"/>
  <c r="I359" i="3"/>
  <c r="H359" i="3"/>
  <c r="G359" i="3"/>
  <c r="F359" i="3"/>
  <c r="E359" i="3"/>
  <c r="D359" i="3"/>
  <c r="C359" i="3"/>
  <c r="B359" i="3"/>
  <c r="A359" i="3"/>
  <c r="P358" i="3"/>
  <c r="O358" i="3"/>
  <c r="N358" i="3"/>
  <c r="M358" i="3"/>
  <c r="L358" i="3"/>
  <c r="K358" i="3"/>
  <c r="J358" i="3"/>
  <c r="I358" i="3"/>
  <c r="H358" i="3"/>
  <c r="G358" i="3"/>
  <c r="F358" i="3"/>
  <c r="E358" i="3"/>
  <c r="D358" i="3"/>
  <c r="C358" i="3"/>
  <c r="B358" i="3"/>
  <c r="A358" i="3"/>
  <c r="P357" i="3"/>
  <c r="O357" i="3"/>
  <c r="N357" i="3"/>
  <c r="M357" i="3"/>
  <c r="L357" i="3"/>
  <c r="K357" i="3"/>
  <c r="J357" i="3"/>
  <c r="I357" i="3"/>
  <c r="H357" i="3"/>
  <c r="G357" i="3"/>
  <c r="F357" i="3"/>
  <c r="E357" i="3"/>
  <c r="D357" i="3"/>
  <c r="C357" i="3"/>
  <c r="B357" i="3"/>
  <c r="A357" i="3"/>
  <c r="P356" i="3"/>
  <c r="O356" i="3"/>
  <c r="N356" i="3"/>
  <c r="M356" i="3"/>
  <c r="L356" i="3"/>
  <c r="K356" i="3"/>
  <c r="J356" i="3"/>
  <c r="I356" i="3"/>
  <c r="H356" i="3"/>
  <c r="G356" i="3"/>
  <c r="F356" i="3"/>
  <c r="E356" i="3"/>
  <c r="D356" i="3"/>
  <c r="C356" i="3"/>
  <c r="B356" i="3"/>
  <c r="A356" i="3"/>
  <c r="P355" i="3"/>
  <c r="O355" i="3"/>
  <c r="N355" i="3"/>
  <c r="M355" i="3"/>
  <c r="L355" i="3"/>
  <c r="K355" i="3"/>
  <c r="J355" i="3"/>
  <c r="I355" i="3"/>
  <c r="H355" i="3"/>
  <c r="G355" i="3"/>
  <c r="F355" i="3"/>
  <c r="E355" i="3"/>
  <c r="D355" i="3"/>
  <c r="C355" i="3"/>
  <c r="B355" i="3"/>
  <c r="A355" i="3"/>
  <c r="P354" i="3"/>
  <c r="O354" i="3"/>
  <c r="N354" i="3"/>
  <c r="M354" i="3"/>
  <c r="L354" i="3"/>
  <c r="K354" i="3"/>
  <c r="J354" i="3"/>
  <c r="I354" i="3"/>
  <c r="H354" i="3"/>
  <c r="G354" i="3"/>
  <c r="F354" i="3"/>
  <c r="E354" i="3"/>
  <c r="D354" i="3"/>
  <c r="C354" i="3"/>
  <c r="B354" i="3"/>
  <c r="A354" i="3"/>
  <c r="P353" i="3"/>
  <c r="O353" i="3"/>
  <c r="N353" i="3"/>
  <c r="M353" i="3"/>
  <c r="L353" i="3"/>
  <c r="K353" i="3"/>
  <c r="J353" i="3"/>
  <c r="I353" i="3"/>
  <c r="H353" i="3"/>
  <c r="G353" i="3"/>
  <c r="F353" i="3"/>
  <c r="E353" i="3"/>
  <c r="D353" i="3"/>
  <c r="C353" i="3"/>
  <c r="B353" i="3"/>
  <c r="A353" i="3"/>
  <c r="P352" i="3"/>
  <c r="O352" i="3"/>
  <c r="N352" i="3"/>
  <c r="M352" i="3"/>
  <c r="L352" i="3"/>
  <c r="K352" i="3"/>
  <c r="J352" i="3"/>
  <c r="I352" i="3"/>
  <c r="H352" i="3"/>
  <c r="G352" i="3"/>
  <c r="F352" i="3"/>
  <c r="E352" i="3"/>
  <c r="D352" i="3"/>
  <c r="C352" i="3"/>
  <c r="B352" i="3"/>
  <c r="A352" i="3"/>
  <c r="P351" i="3"/>
  <c r="O351" i="3"/>
  <c r="N351" i="3"/>
  <c r="M351" i="3"/>
  <c r="L351" i="3"/>
  <c r="K351" i="3"/>
  <c r="J351" i="3"/>
  <c r="I351" i="3"/>
  <c r="H351" i="3"/>
  <c r="G351" i="3"/>
  <c r="F351" i="3"/>
  <c r="E351" i="3"/>
  <c r="D351" i="3"/>
  <c r="C351" i="3"/>
  <c r="B351" i="3"/>
  <c r="A351" i="3"/>
  <c r="P350" i="3"/>
  <c r="O350" i="3"/>
  <c r="N350" i="3"/>
  <c r="M350" i="3"/>
  <c r="L350" i="3"/>
  <c r="K350" i="3"/>
  <c r="J350" i="3"/>
  <c r="I350" i="3"/>
  <c r="H350" i="3"/>
  <c r="G350" i="3"/>
  <c r="F350" i="3"/>
  <c r="E350" i="3"/>
  <c r="D350" i="3"/>
  <c r="C350" i="3"/>
  <c r="B350" i="3"/>
  <c r="A350" i="3"/>
  <c r="P349" i="3"/>
  <c r="O349" i="3"/>
  <c r="N349" i="3"/>
  <c r="M349" i="3"/>
  <c r="L349" i="3"/>
  <c r="K349" i="3"/>
  <c r="J349" i="3"/>
  <c r="I349" i="3"/>
  <c r="H349" i="3"/>
  <c r="G349" i="3"/>
  <c r="F349" i="3"/>
  <c r="E349" i="3"/>
  <c r="D349" i="3"/>
  <c r="C349" i="3"/>
  <c r="B349" i="3"/>
  <c r="A349" i="3"/>
  <c r="P348" i="3"/>
  <c r="O348" i="3"/>
  <c r="N348" i="3"/>
  <c r="M348" i="3"/>
  <c r="L348" i="3"/>
  <c r="K348" i="3"/>
  <c r="J348" i="3"/>
  <c r="I348" i="3"/>
  <c r="H348" i="3"/>
  <c r="G348" i="3"/>
  <c r="F348" i="3"/>
  <c r="E348" i="3"/>
  <c r="D348" i="3"/>
  <c r="C348" i="3"/>
  <c r="B348" i="3"/>
  <c r="A348" i="3"/>
  <c r="P347" i="3"/>
  <c r="O347" i="3"/>
  <c r="N347" i="3"/>
  <c r="M347" i="3"/>
  <c r="L347" i="3"/>
  <c r="K347" i="3"/>
  <c r="J347" i="3"/>
  <c r="I347" i="3"/>
  <c r="H347" i="3"/>
  <c r="G347" i="3"/>
  <c r="F347" i="3"/>
  <c r="E347" i="3"/>
  <c r="D347" i="3"/>
  <c r="C347" i="3"/>
  <c r="B347" i="3"/>
  <c r="A347" i="3"/>
  <c r="P346" i="3"/>
  <c r="O346" i="3"/>
  <c r="N346" i="3"/>
  <c r="M346" i="3"/>
  <c r="L346" i="3"/>
  <c r="K346" i="3"/>
  <c r="J346" i="3"/>
  <c r="I346" i="3"/>
  <c r="H346" i="3"/>
  <c r="G346" i="3"/>
  <c r="F346" i="3"/>
  <c r="E346" i="3"/>
  <c r="D346" i="3"/>
  <c r="C346" i="3"/>
  <c r="B346" i="3"/>
  <c r="A346" i="3"/>
  <c r="P345" i="3"/>
  <c r="O345" i="3"/>
  <c r="N345" i="3"/>
  <c r="M345" i="3"/>
  <c r="L345" i="3"/>
  <c r="K345" i="3"/>
  <c r="J345" i="3"/>
  <c r="I345" i="3"/>
  <c r="H345" i="3"/>
  <c r="G345" i="3"/>
  <c r="F345" i="3"/>
  <c r="E345" i="3"/>
  <c r="D345" i="3"/>
  <c r="C345" i="3"/>
  <c r="B345" i="3"/>
  <c r="A345" i="3"/>
  <c r="P344" i="3"/>
  <c r="O344" i="3"/>
  <c r="N344" i="3"/>
  <c r="M344" i="3"/>
  <c r="L344" i="3"/>
  <c r="K344" i="3"/>
  <c r="J344" i="3"/>
  <c r="I344" i="3"/>
  <c r="H344" i="3"/>
  <c r="G344" i="3"/>
  <c r="F344" i="3"/>
  <c r="E344" i="3"/>
  <c r="D344" i="3"/>
  <c r="C344" i="3"/>
  <c r="B344" i="3"/>
  <c r="A344" i="3"/>
  <c r="P343" i="3"/>
  <c r="O343" i="3"/>
  <c r="N343" i="3"/>
  <c r="M343" i="3"/>
  <c r="L343" i="3"/>
  <c r="K343" i="3"/>
  <c r="J343" i="3"/>
  <c r="I343" i="3"/>
  <c r="H343" i="3"/>
  <c r="G343" i="3"/>
  <c r="F343" i="3"/>
  <c r="E343" i="3"/>
  <c r="D343" i="3"/>
  <c r="C343" i="3"/>
  <c r="B343" i="3"/>
  <c r="A343" i="3"/>
  <c r="P342" i="3"/>
  <c r="O342" i="3"/>
  <c r="N342" i="3"/>
  <c r="M342" i="3"/>
  <c r="L342" i="3"/>
  <c r="K342" i="3"/>
  <c r="J342" i="3"/>
  <c r="I342" i="3"/>
  <c r="H342" i="3"/>
  <c r="G342" i="3"/>
  <c r="F342" i="3"/>
  <c r="E342" i="3"/>
  <c r="D342" i="3"/>
  <c r="C342" i="3"/>
  <c r="B342" i="3"/>
  <c r="A342" i="3"/>
  <c r="P341" i="3" l="1"/>
  <c r="O341" i="3"/>
  <c r="N341" i="3"/>
  <c r="M341" i="3"/>
  <c r="L341" i="3"/>
  <c r="K341" i="3"/>
  <c r="J341" i="3"/>
  <c r="I341" i="3"/>
  <c r="H341" i="3"/>
  <c r="G341" i="3"/>
  <c r="F341" i="3"/>
  <c r="E341" i="3"/>
  <c r="D341" i="3"/>
  <c r="C341" i="3"/>
  <c r="B341" i="3"/>
  <c r="A341" i="3"/>
  <c r="P340" i="3"/>
  <c r="O340" i="3"/>
  <c r="N340" i="3"/>
  <c r="M340" i="3"/>
  <c r="L340" i="3"/>
  <c r="K340" i="3"/>
  <c r="J340" i="3"/>
  <c r="I340" i="3"/>
  <c r="H340" i="3"/>
  <c r="G340" i="3"/>
  <c r="F340" i="3"/>
  <c r="E340" i="3"/>
  <c r="D340" i="3"/>
  <c r="C340" i="3"/>
  <c r="B340" i="3"/>
  <c r="A340" i="3"/>
  <c r="P339" i="3"/>
  <c r="O339" i="3"/>
  <c r="N339" i="3"/>
  <c r="M339" i="3"/>
  <c r="L339" i="3"/>
  <c r="K339" i="3"/>
  <c r="J339" i="3"/>
  <c r="I339" i="3"/>
  <c r="H339" i="3"/>
  <c r="G339" i="3"/>
  <c r="F339" i="3"/>
  <c r="E339" i="3"/>
  <c r="D339" i="3"/>
  <c r="C339" i="3"/>
  <c r="B339" i="3"/>
  <c r="A339" i="3"/>
  <c r="P338" i="3"/>
  <c r="O338" i="3"/>
  <c r="N338" i="3"/>
  <c r="M338" i="3"/>
  <c r="L338" i="3"/>
  <c r="K338" i="3"/>
  <c r="J338" i="3"/>
  <c r="I338" i="3"/>
  <c r="H338" i="3"/>
  <c r="G338" i="3"/>
  <c r="F338" i="3"/>
  <c r="E338" i="3"/>
  <c r="D338" i="3"/>
  <c r="C338" i="3"/>
  <c r="B338" i="3"/>
  <c r="A338" i="3"/>
  <c r="P337" i="3"/>
  <c r="O337" i="3"/>
  <c r="N337" i="3"/>
  <c r="M337" i="3"/>
  <c r="L337" i="3"/>
  <c r="K337" i="3"/>
  <c r="J337" i="3"/>
  <c r="I337" i="3"/>
  <c r="H337" i="3"/>
  <c r="G337" i="3"/>
  <c r="F337" i="3"/>
  <c r="E337" i="3"/>
  <c r="D337" i="3"/>
  <c r="C337" i="3"/>
  <c r="B337" i="3"/>
  <c r="A337" i="3"/>
  <c r="P336" i="3"/>
  <c r="O336" i="3"/>
  <c r="N336" i="3"/>
  <c r="M336" i="3"/>
  <c r="L336" i="3"/>
  <c r="K336" i="3"/>
  <c r="J336" i="3"/>
  <c r="I336" i="3"/>
  <c r="H336" i="3"/>
  <c r="G336" i="3"/>
  <c r="F336" i="3"/>
  <c r="E336" i="3"/>
  <c r="D336" i="3"/>
  <c r="C336" i="3"/>
  <c r="B336" i="3"/>
  <c r="A336" i="3"/>
  <c r="P335" i="3"/>
  <c r="O335" i="3"/>
  <c r="N335" i="3"/>
  <c r="M335" i="3"/>
  <c r="L335" i="3"/>
  <c r="K335" i="3"/>
  <c r="J335" i="3"/>
  <c r="I335" i="3"/>
  <c r="H335" i="3"/>
  <c r="G335" i="3"/>
  <c r="F335" i="3"/>
  <c r="E335" i="3"/>
  <c r="D335" i="3"/>
  <c r="C335" i="3"/>
  <c r="B335" i="3"/>
  <c r="A335" i="3"/>
  <c r="P334" i="3"/>
  <c r="O334" i="3"/>
  <c r="N334" i="3"/>
  <c r="M334" i="3"/>
  <c r="L334" i="3"/>
  <c r="K334" i="3"/>
  <c r="J334" i="3"/>
  <c r="I334" i="3"/>
  <c r="H334" i="3"/>
  <c r="G334" i="3"/>
  <c r="F334" i="3"/>
  <c r="E334" i="3"/>
  <c r="D334" i="3"/>
  <c r="C334" i="3"/>
  <c r="B334" i="3"/>
  <c r="A334" i="3"/>
  <c r="P333" i="3"/>
  <c r="O333" i="3"/>
  <c r="N333" i="3"/>
  <c r="M333" i="3"/>
  <c r="L333" i="3"/>
  <c r="K333" i="3"/>
  <c r="J333" i="3"/>
  <c r="I333" i="3"/>
  <c r="H333" i="3"/>
  <c r="G333" i="3"/>
  <c r="F333" i="3"/>
  <c r="E333" i="3"/>
  <c r="D333" i="3"/>
  <c r="C333" i="3"/>
  <c r="B333" i="3"/>
  <c r="A333" i="3"/>
  <c r="P332" i="3"/>
  <c r="O332" i="3"/>
  <c r="N332" i="3"/>
  <c r="M332" i="3"/>
  <c r="L332" i="3"/>
  <c r="K332" i="3"/>
  <c r="J332" i="3"/>
  <c r="I332" i="3"/>
  <c r="H332" i="3"/>
  <c r="G332" i="3"/>
  <c r="F332" i="3"/>
  <c r="E332" i="3"/>
  <c r="D332" i="3"/>
  <c r="C332" i="3"/>
  <c r="B332" i="3"/>
  <c r="A332" i="3"/>
  <c r="P331" i="3"/>
  <c r="O331" i="3"/>
  <c r="N331" i="3"/>
  <c r="M331" i="3"/>
  <c r="L331" i="3"/>
  <c r="K331" i="3"/>
  <c r="J331" i="3"/>
  <c r="I331" i="3"/>
  <c r="H331" i="3"/>
  <c r="G331" i="3"/>
  <c r="F331" i="3"/>
  <c r="E331" i="3"/>
  <c r="D331" i="3"/>
  <c r="C331" i="3"/>
  <c r="B331" i="3"/>
  <c r="A331" i="3"/>
  <c r="P330" i="3"/>
  <c r="O330" i="3"/>
  <c r="N330" i="3"/>
  <c r="M330" i="3"/>
  <c r="L330" i="3"/>
  <c r="K330" i="3"/>
  <c r="J330" i="3"/>
  <c r="I330" i="3"/>
  <c r="H330" i="3"/>
  <c r="G330" i="3"/>
  <c r="F330" i="3"/>
  <c r="E330" i="3"/>
  <c r="D330" i="3"/>
  <c r="C330" i="3"/>
  <c r="B330" i="3"/>
  <c r="A330" i="3"/>
  <c r="P329" i="3"/>
  <c r="O329" i="3"/>
  <c r="N329" i="3"/>
  <c r="M329" i="3"/>
  <c r="L329" i="3"/>
  <c r="K329" i="3"/>
  <c r="J329" i="3"/>
  <c r="I329" i="3"/>
  <c r="H329" i="3"/>
  <c r="G329" i="3"/>
  <c r="F329" i="3"/>
  <c r="E329" i="3"/>
  <c r="D329" i="3"/>
  <c r="C329" i="3"/>
  <c r="B329" i="3"/>
  <c r="A329" i="3"/>
  <c r="P328" i="3"/>
  <c r="O328" i="3"/>
  <c r="N328" i="3"/>
  <c r="M328" i="3"/>
  <c r="L328" i="3"/>
  <c r="K328" i="3"/>
  <c r="J328" i="3"/>
  <c r="I328" i="3"/>
  <c r="H328" i="3"/>
  <c r="G328" i="3"/>
  <c r="F328" i="3"/>
  <c r="E328" i="3"/>
  <c r="D328" i="3"/>
  <c r="C328" i="3"/>
  <c r="B328" i="3"/>
  <c r="A328" i="3"/>
  <c r="P327" i="3"/>
  <c r="O327" i="3"/>
  <c r="N327" i="3"/>
  <c r="M327" i="3"/>
  <c r="L327" i="3"/>
  <c r="K327" i="3"/>
  <c r="J327" i="3"/>
  <c r="I327" i="3"/>
  <c r="H327" i="3"/>
  <c r="G327" i="3"/>
  <c r="F327" i="3"/>
  <c r="E327" i="3"/>
  <c r="D327" i="3"/>
  <c r="C327" i="3"/>
  <c r="B327" i="3"/>
  <c r="A327" i="3"/>
  <c r="P326" i="3"/>
  <c r="O326" i="3"/>
  <c r="N326" i="3"/>
  <c r="M326" i="3"/>
  <c r="L326" i="3"/>
  <c r="K326" i="3"/>
  <c r="J326" i="3"/>
  <c r="I326" i="3"/>
  <c r="H326" i="3"/>
  <c r="G326" i="3"/>
  <c r="F326" i="3"/>
  <c r="E326" i="3"/>
  <c r="D326" i="3"/>
  <c r="C326" i="3"/>
  <c r="B326" i="3"/>
  <c r="A326" i="3"/>
  <c r="P325" i="3"/>
  <c r="O325" i="3"/>
  <c r="N325" i="3"/>
  <c r="M325" i="3"/>
  <c r="L325" i="3"/>
  <c r="K325" i="3"/>
  <c r="J325" i="3"/>
  <c r="I325" i="3"/>
  <c r="H325" i="3"/>
  <c r="G325" i="3"/>
  <c r="F325" i="3"/>
  <c r="E325" i="3"/>
  <c r="D325" i="3"/>
  <c r="C325" i="3"/>
  <c r="B325" i="3"/>
  <c r="A325" i="3"/>
  <c r="P324" i="3"/>
  <c r="O324" i="3"/>
  <c r="N324" i="3"/>
  <c r="M324" i="3"/>
  <c r="L324" i="3"/>
  <c r="K324" i="3"/>
  <c r="J324" i="3"/>
  <c r="I324" i="3"/>
  <c r="H324" i="3"/>
  <c r="G324" i="3"/>
  <c r="F324" i="3"/>
  <c r="E324" i="3"/>
  <c r="D324" i="3"/>
  <c r="C324" i="3"/>
  <c r="B324" i="3"/>
  <c r="A324" i="3"/>
  <c r="P323" i="3"/>
  <c r="O323" i="3"/>
  <c r="N323" i="3"/>
  <c r="M323" i="3"/>
  <c r="L323" i="3"/>
  <c r="K323" i="3"/>
  <c r="J323" i="3"/>
  <c r="I323" i="3"/>
  <c r="H323" i="3"/>
  <c r="G323" i="3"/>
  <c r="F323" i="3"/>
  <c r="E323" i="3"/>
  <c r="D323" i="3"/>
  <c r="C323" i="3"/>
  <c r="B323" i="3"/>
  <c r="A323" i="3"/>
  <c r="P322" i="3"/>
  <c r="O322" i="3"/>
  <c r="N322" i="3"/>
  <c r="M322" i="3"/>
  <c r="L322" i="3"/>
  <c r="K322" i="3"/>
  <c r="J322" i="3"/>
  <c r="I322" i="3"/>
  <c r="H322" i="3"/>
  <c r="G322" i="3"/>
  <c r="F322" i="3"/>
  <c r="E322" i="3"/>
  <c r="D322" i="3"/>
  <c r="C322" i="3"/>
  <c r="B322" i="3"/>
  <c r="A322" i="3"/>
  <c r="P321" i="3"/>
  <c r="O321" i="3"/>
  <c r="N321" i="3"/>
  <c r="M321" i="3"/>
  <c r="L321" i="3"/>
  <c r="K321" i="3"/>
  <c r="J321" i="3"/>
  <c r="I321" i="3"/>
  <c r="H321" i="3"/>
  <c r="G321" i="3"/>
  <c r="F321" i="3"/>
  <c r="E321" i="3"/>
  <c r="D321" i="3"/>
  <c r="C321" i="3"/>
  <c r="B321" i="3"/>
  <c r="A321" i="3"/>
  <c r="P320" i="3"/>
  <c r="O320" i="3"/>
  <c r="N320" i="3"/>
  <c r="M320" i="3"/>
  <c r="L320" i="3"/>
  <c r="K320" i="3"/>
  <c r="J320" i="3"/>
  <c r="I320" i="3"/>
  <c r="H320" i="3"/>
  <c r="G320" i="3"/>
  <c r="F320" i="3"/>
  <c r="E320" i="3"/>
  <c r="D320" i="3"/>
  <c r="C320" i="3"/>
  <c r="B320" i="3"/>
  <c r="A320" i="3"/>
  <c r="P319" i="3"/>
  <c r="O319" i="3"/>
  <c r="N319" i="3"/>
  <c r="M319" i="3"/>
  <c r="L319" i="3"/>
  <c r="K319" i="3"/>
  <c r="J319" i="3"/>
  <c r="I319" i="3"/>
  <c r="H319" i="3"/>
  <c r="G319" i="3"/>
  <c r="F319" i="3"/>
  <c r="E319" i="3"/>
  <c r="D319" i="3"/>
  <c r="C319" i="3"/>
  <c r="B319" i="3"/>
  <c r="A319" i="3"/>
  <c r="P318" i="3"/>
  <c r="O318" i="3"/>
  <c r="N318" i="3"/>
  <c r="M318" i="3"/>
  <c r="L318" i="3"/>
  <c r="K318" i="3"/>
  <c r="J318" i="3"/>
  <c r="I318" i="3"/>
  <c r="H318" i="3"/>
  <c r="G318" i="3"/>
  <c r="F318" i="3"/>
  <c r="E318" i="3"/>
  <c r="D318" i="3"/>
  <c r="C318" i="3"/>
  <c r="B318" i="3"/>
  <c r="A318" i="3"/>
  <c r="P317" i="3"/>
  <c r="O317" i="3"/>
  <c r="N317" i="3"/>
  <c r="M317" i="3"/>
  <c r="L317" i="3"/>
  <c r="K317" i="3"/>
  <c r="J317" i="3"/>
  <c r="I317" i="3"/>
  <c r="H317" i="3"/>
  <c r="G317" i="3"/>
  <c r="F317" i="3"/>
  <c r="E317" i="3"/>
  <c r="D317" i="3"/>
  <c r="C317" i="3"/>
  <c r="B317" i="3"/>
  <c r="A317" i="3"/>
  <c r="P316" i="3"/>
  <c r="O316" i="3"/>
  <c r="N316" i="3"/>
  <c r="M316" i="3"/>
  <c r="L316" i="3"/>
  <c r="K316" i="3"/>
  <c r="J316" i="3"/>
  <c r="I316" i="3"/>
  <c r="H316" i="3"/>
  <c r="G316" i="3"/>
  <c r="F316" i="3"/>
  <c r="E316" i="3"/>
  <c r="D316" i="3"/>
  <c r="C316" i="3"/>
  <c r="B316" i="3"/>
  <c r="A316" i="3"/>
  <c r="P315" i="3"/>
  <c r="O315" i="3"/>
  <c r="N315" i="3"/>
  <c r="M315" i="3"/>
  <c r="L315" i="3"/>
  <c r="K315" i="3"/>
  <c r="J315" i="3"/>
  <c r="I315" i="3"/>
  <c r="H315" i="3"/>
  <c r="G315" i="3"/>
  <c r="F315" i="3"/>
  <c r="E315" i="3"/>
  <c r="D315" i="3"/>
  <c r="C315" i="3"/>
  <c r="B315" i="3"/>
  <c r="A315" i="3"/>
  <c r="P314" i="3"/>
  <c r="O314" i="3"/>
  <c r="N314" i="3"/>
  <c r="M314" i="3"/>
  <c r="L314" i="3"/>
  <c r="K314" i="3"/>
  <c r="J314" i="3"/>
  <c r="I314" i="3"/>
  <c r="H314" i="3"/>
  <c r="G314" i="3"/>
  <c r="F314" i="3"/>
  <c r="E314" i="3"/>
  <c r="D314" i="3"/>
  <c r="C314" i="3"/>
  <c r="B314" i="3"/>
  <c r="A314" i="3"/>
  <c r="P313" i="3"/>
  <c r="O313" i="3"/>
  <c r="N313" i="3"/>
  <c r="M313" i="3"/>
  <c r="L313" i="3"/>
  <c r="K313" i="3"/>
  <c r="J313" i="3"/>
  <c r="I313" i="3"/>
  <c r="H313" i="3"/>
  <c r="G313" i="3"/>
  <c r="F313" i="3"/>
  <c r="E313" i="3"/>
  <c r="D313" i="3"/>
  <c r="C313" i="3"/>
  <c r="B313" i="3"/>
  <c r="A313" i="3"/>
  <c r="P312" i="3"/>
  <c r="O312" i="3"/>
  <c r="N312" i="3"/>
  <c r="M312" i="3"/>
  <c r="L312" i="3"/>
  <c r="K312" i="3"/>
  <c r="J312" i="3"/>
  <c r="I312" i="3"/>
  <c r="H312" i="3"/>
  <c r="G312" i="3"/>
  <c r="F312" i="3"/>
  <c r="E312" i="3"/>
  <c r="D312" i="3"/>
  <c r="C312" i="3"/>
  <c r="B312" i="3"/>
  <c r="A312" i="3"/>
  <c r="P311" i="3"/>
  <c r="O311" i="3"/>
  <c r="N311" i="3"/>
  <c r="M311" i="3"/>
  <c r="L311" i="3"/>
  <c r="K311" i="3"/>
  <c r="J311" i="3"/>
  <c r="I311" i="3"/>
  <c r="H311" i="3"/>
  <c r="G311" i="3"/>
  <c r="F311" i="3"/>
  <c r="E311" i="3"/>
  <c r="D311" i="3"/>
  <c r="C311" i="3"/>
  <c r="B311" i="3"/>
  <c r="A311" i="3"/>
  <c r="P310" i="3"/>
  <c r="O310" i="3"/>
  <c r="N310" i="3"/>
  <c r="M310" i="3"/>
  <c r="L310" i="3"/>
  <c r="K310" i="3"/>
  <c r="J310" i="3"/>
  <c r="I310" i="3"/>
  <c r="H310" i="3"/>
  <c r="G310" i="3"/>
  <c r="F310" i="3"/>
  <c r="E310" i="3"/>
  <c r="D310" i="3"/>
  <c r="C310" i="3"/>
  <c r="B310" i="3"/>
  <c r="A310" i="3"/>
  <c r="P309" i="3"/>
  <c r="O309" i="3"/>
  <c r="N309" i="3"/>
  <c r="M309" i="3"/>
  <c r="L309" i="3"/>
  <c r="K309" i="3"/>
  <c r="J309" i="3"/>
  <c r="I309" i="3"/>
  <c r="H309" i="3"/>
  <c r="G309" i="3"/>
  <c r="F309" i="3"/>
  <c r="E309" i="3"/>
  <c r="D309" i="3"/>
  <c r="C309" i="3"/>
  <c r="B309" i="3"/>
  <c r="A309" i="3"/>
  <c r="P308" i="3"/>
  <c r="O308" i="3"/>
  <c r="N308" i="3"/>
  <c r="M308" i="3"/>
  <c r="L308" i="3"/>
  <c r="K308" i="3"/>
  <c r="J308" i="3"/>
  <c r="I308" i="3"/>
  <c r="H308" i="3"/>
  <c r="G308" i="3"/>
  <c r="F308" i="3"/>
  <c r="E308" i="3"/>
  <c r="D308" i="3"/>
  <c r="C308" i="3"/>
  <c r="B308" i="3"/>
  <c r="A308" i="3"/>
  <c r="P307" i="3"/>
  <c r="O307" i="3"/>
  <c r="N307" i="3"/>
  <c r="M307" i="3"/>
  <c r="L307" i="3"/>
  <c r="K307" i="3"/>
  <c r="J307" i="3"/>
  <c r="I307" i="3"/>
  <c r="H307" i="3"/>
  <c r="G307" i="3"/>
  <c r="F307" i="3"/>
  <c r="E307" i="3"/>
  <c r="D307" i="3"/>
  <c r="C307" i="3"/>
  <c r="B307" i="3"/>
  <c r="A307" i="3"/>
  <c r="P306" i="3"/>
  <c r="O306" i="3"/>
  <c r="N306" i="3"/>
  <c r="M306" i="3"/>
  <c r="L306" i="3"/>
  <c r="K306" i="3"/>
  <c r="J306" i="3"/>
  <c r="I306" i="3"/>
  <c r="H306" i="3"/>
  <c r="G306" i="3"/>
  <c r="F306" i="3"/>
  <c r="E306" i="3"/>
  <c r="D306" i="3"/>
  <c r="C306" i="3"/>
  <c r="B306" i="3"/>
  <c r="A306" i="3"/>
  <c r="P305" i="3"/>
  <c r="O305" i="3"/>
  <c r="N305" i="3"/>
  <c r="M305" i="3"/>
  <c r="L305" i="3"/>
  <c r="K305" i="3"/>
  <c r="J305" i="3"/>
  <c r="I305" i="3"/>
  <c r="H305" i="3"/>
  <c r="G305" i="3"/>
  <c r="F305" i="3"/>
  <c r="E305" i="3"/>
  <c r="D305" i="3"/>
  <c r="C305" i="3"/>
  <c r="B305" i="3"/>
  <c r="A305" i="3"/>
  <c r="P304" i="3"/>
  <c r="O304" i="3"/>
  <c r="N304" i="3"/>
  <c r="M304" i="3"/>
  <c r="L304" i="3"/>
  <c r="K304" i="3"/>
  <c r="J304" i="3"/>
  <c r="I304" i="3"/>
  <c r="H304" i="3"/>
  <c r="G304" i="3"/>
  <c r="F304" i="3"/>
  <c r="E304" i="3"/>
  <c r="D304" i="3"/>
  <c r="C304" i="3"/>
  <c r="B304" i="3"/>
  <c r="A304" i="3"/>
  <c r="P303" i="3"/>
  <c r="O303" i="3"/>
  <c r="N303" i="3"/>
  <c r="M303" i="3"/>
  <c r="L303" i="3"/>
  <c r="K303" i="3"/>
  <c r="J303" i="3"/>
  <c r="I303" i="3"/>
  <c r="H303" i="3"/>
  <c r="G303" i="3"/>
  <c r="F303" i="3"/>
  <c r="E303" i="3"/>
  <c r="D303" i="3"/>
  <c r="C303" i="3"/>
  <c r="B303" i="3"/>
  <c r="A303" i="3"/>
  <c r="P302" i="3"/>
  <c r="O302" i="3"/>
  <c r="N302" i="3"/>
  <c r="M302" i="3"/>
  <c r="L302" i="3"/>
  <c r="K302" i="3"/>
  <c r="J302" i="3"/>
  <c r="I302" i="3"/>
  <c r="H302" i="3"/>
  <c r="G302" i="3"/>
  <c r="F302" i="3"/>
  <c r="E302" i="3"/>
  <c r="D302" i="3"/>
  <c r="C302" i="3"/>
  <c r="B302" i="3"/>
  <c r="A302" i="3"/>
  <c r="P301" i="3"/>
  <c r="O301" i="3"/>
  <c r="N301" i="3"/>
  <c r="M301" i="3"/>
  <c r="L301" i="3"/>
  <c r="K301" i="3"/>
  <c r="J301" i="3"/>
  <c r="I301" i="3"/>
  <c r="H301" i="3"/>
  <c r="G301" i="3"/>
  <c r="F301" i="3"/>
  <c r="E301" i="3"/>
  <c r="D301" i="3"/>
  <c r="C301" i="3"/>
  <c r="B301" i="3"/>
  <c r="A301" i="3"/>
  <c r="P300" i="3"/>
  <c r="O300" i="3"/>
  <c r="N300" i="3"/>
  <c r="M300" i="3"/>
  <c r="L300" i="3"/>
  <c r="K300" i="3"/>
  <c r="J300" i="3"/>
  <c r="I300" i="3"/>
  <c r="H300" i="3"/>
  <c r="G300" i="3"/>
  <c r="F300" i="3"/>
  <c r="E300" i="3"/>
  <c r="D300" i="3"/>
  <c r="C300" i="3"/>
  <c r="B300" i="3"/>
  <c r="A300" i="3"/>
  <c r="P299" i="3"/>
  <c r="O299" i="3"/>
  <c r="N299" i="3"/>
  <c r="M299" i="3"/>
  <c r="L299" i="3"/>
  <c r="K299" i="3"/>
  <c r="J299" i="3"/>
  <c r="I299" i="3"/>
  <c r="H299" i="3"/>
  <c r="G299" i="3"/>
  <c r="F299" i="3"/>
  <c r="E299" i="3"/>
  <c r="D299" i="3"/>
  <c r="C299" i="3"/>
  <c r="B299" i="3"/>
  <c r="A299" i="3"/>
  <c r="P298" i="3"/>
  <c r="O298" i="3"/>
  <c r="N298" i="3"/>
  <c r="M298" i="3"/>
  <c r="L298" i="3"/>
  <c r="K298" i="3"/>
  <c r="J298" i="3"/>
  <c r="I298" i="3"/>
  <c r="H298" i="3"/>
  <c r="G298" i="3"/>
  <c r="F298" i="3"/>
  <c r="E298" i="3"/>
  <c r="D298" i="3"/>
  <c r="C298" i="3"/>
  <c r="B298" i="3"/>
  <c r="A298" i="3"/>
  <c r="P297" i="3"/>
  <c r="O297" i="3"/>
  <c r="N297" i="3"/>
  <c r="M297" i="3"/>
  <c r="L297" i="3"/>
  <c r="K297" i="3"/>
  <c r="J297" i="3"/>
  <c r="I297" i="3"/>
  <c r="H297" i="3"/>
  <c r="G297" i="3"/>
  <c r="F297" i="3"/>
  <c r="E297" i="3"/>
  <c r="D297" i="3"/>
  <c r="C297" i="3"/>
  <c r="B297" i="3"/>
  <c r="A297" i="3"/>
  <c r="P296" i="3"/>
  <c r="O296" i="3"/>
  <c r="N296" i="3"/>
  <c r="M296" i="3"/>
  <c r="L296" i="3"/>
  <c r="K296" i="3"/>
  <c r="J296" i="3"/>
  <c r="I296" i="3"/>
  <c r="H296" i="3"/>
  <c r="G296" i="3"/>
  <c r="F296" i="3"/>
  <c r="E296" i="3"/>
  <c r="D296" i="3"/>
  <c r="C296" i="3"/>
  <c r="B296" i="3"/>
  <c r="A296" i="3"/>
  <c r="P295" i="3"/>
  <c r="O295" i="3"/>
  <c r="N295" i="3"/>
  <c r="M295" i="3"/>
  <c r="L295" i="3"/>
  <c r="K295" i="3"/>
  <c r="J295" i="3"/>
  <c r="I295" i="3"/>
  <c r="H295" i="3"/>
  <c r="G295" i="3"/>
  <c r="F295" i="3"/>
  <c r="E295" i="3"/>
  <c r="D295" i="3"/>
  <c r="C295" i="3"/>
  <c r="B295" i="3"/>
  <c r="A295" i="3"/>
  <c r="P294" i="3"/>
  <c r="O294" i="3"/>
  <c r="N294" i="3"/>
  <c r="M294" i="3"/>
  <c r="L294" i="3"/>
  <c r="K294" i="3"/>
  <c r="J294" i="3"/>
  <c r="I294" i="3"/>
  <c r="H294" i="3"/>
  <c r="G294" i="3"/>
  <c r="F294" i="3"/>
  <c r="E294" i="3"/>
  <c r="D294" i="3"/>
  <c r="C294" i="3"/>
  <c r="B294" i="3"/>
  <c r="A294" i="3"/>
  <c r="P293" i="3"/>
  <c r="O293" i="3"/>
  <c r="N293" i="3"/>
  <c r="M293" i="3"/>
  <c r="L293" i="3"/>
  <c r="K293" i="3"/>
  <c r="J293" i="3"/>
  <c r="I293" i="3"/>
  <c r="H293" i="3"/>
  <c r="G293" i="3"/>
  <c r="F293" i="3"/>
  <c r="E293" i="3"/>
  <c r="D293" i="3"/>
  <c r="C293" i="3"/>
  <c r="B293" i="3"/>
  <c r="A293" i="3"/>
  <c r="P292" i="3"/>
  <c r="O292" i="3"/>
  <c r="N292" i="3"/>
  <c r="M292" i="3"/>
  <c r="L292" i="3"/>
  <c r="K292" i="3"/>
  <c r="J292" i="3"/>
  <c r="I292" i="3"/>
  <c r="H292" i="3"/>
  <c r="G292" i="3"/>
  <c r="F292" i="3"/>
  <c r="E292" i="3"/>
  <c r="D292" i="3"/>
  <c r="C292" i="3"/>
  <c r="B292" i="3"/>
  <c r="A292" i="3"/>
  <c r="P291" i="3"/>
  <c r="O291" i="3"/>
  <c r="N291" i="3"/>
  <c r="M291" i="3"/>
  <c r="L291" i="3"/>
  <c r="K291" i="3"/>
  <c r="J291" i="3"/>
  <c r="I291" i="3"/>
  <c r="H291" i="3"/>
  <c r="G291" i="3"/>
  <c r="F291" i="3"/>
  <c r="E291" i="3"/>
  <c r="D291" i="3"/>
  <c r="C291" i="3"/>
  <c r="B291" i="3"/>
  <c r="A291" i="3"/>
  <c r="P290" i="3"/>
  <c r="O290" i="3"/>
  <c r="N290" i="3"/>
  <c r="M290" i="3"/>
  <c r="L290" i="3"/>
  <c r="K290" i="3"/>
  <c r="J290" i="3"/>
  <c r="I290" i="3"/>
  <c r="H290" i="3"/>
  <c r="G290" i="3"/>
  <c r="F290" i="3"/>
  <c r="E290" i="3"/>
  <c r="D290" i="3"/>
  <c r="C290" i="3"/>
  <c r="B290" i="3"/>
  <c r="A290" i="3"/>
  <c r="P289" i="3"/>
  <c r="O289" i="3"/>
  <c r="N289" i="3"/>
  <c r="M289" i="3"/>
  <c r="L289" i="3"/>
  <c r="K289" i="3"/>
  <c r="J289" i="3"/>
  <c r="I289" i="3"/>
  <c r="H289" i="3"/>
  <c r="G289" i="3"/>
  <c r="F289" i="3"/>
  <c r="E289" i="3"/>
  <c r="D289" i="3"/>
  <c r="C289" i="3"/>
  <c r="B289" i="3"/>
  <c r="A289" i="3"/>
  <c r="P288" i="3"/>
  <c r="O288" i="3"/>
  <c r="N288" i="3"/>
  <c r="M288" i="3"/>
  <c r="L288" i="3"/>
  <c r="K288" i="3"/>
  <c r="J288" i="3"/>
  <c r="I288" i="3"/>
  <c r="H288" i="3"/>
  <c r="G288" i="3"/>
  <c r="F288" i="3"/>
  <c r="E288" i="3"/>
  <c r="D288" i="3"/>
  <c r="C288" i="3"/>
  <c r="B288" i="3"/>
  <c r="A288" i="3"/>
  <c r="P287" i="3"/>
  <c r="O287" i="3"/>
  <c r="N287" i="3"/>
  <c r="M287" i="3"/>
  <c r="L287" i="3"/>
  <c r="K287" i="3"/>
  <c r="J287" i="3"/>
  <c r="I287" i="3"/>
  <c r="H287" i="3"/>
  <c r="G287" i="3"/>
  <c r="F287" i="3"/>
  <c r="E287" i="3"/>
  <c r="D287" i="3"/>
  <c r="C287" i="3"/>
  <c r="B287" i="3"/>
  <c r="A287" i="3"/>
  <c r="P286" i="3"/>
  <c r="O286" i="3"/>
  <c r="N286" i="3"/>
  <c r="M286" i="3"/>
  <c r="L286" i="3"/>
  <c r="K286" i="3"/>
  <c r="J286" i="3"/>
  <c r="I286" i="3"/>
  <c r="H286" i="3"/>
  <c r="G286" i="3"/>
  <c r="F286" i="3"/>
  <c r="E286" i="3"/>
  <c r="D286" i="3"/>
  <c r="C286" i="3"/>
  <c r="B286" i="3"/>
  <c r="A286" i="3"/>
  <c r="P285" i="3"/>
  <c r="O285" i="3"/>
  <c r="N285" i="3"/>
  <c r="M285" i="3"/>
  <c r="L285" i="3"/>
  <c r="K285" i="3"/>
  <c r="J285" i="3"/>
  <c r="I285" i="3"/>
  <c r="H285" i="3"/>
  <c r="G285" i="3"/>
  <c r="F285" i="3"/>
  <c r="E285" i="3"/>
  <c r="D285" i="3"/>
  <c r="C285" i="3"/>
  <c r="B285" i="3"/>
  <c r="A285" i="3"/>
  <c r="P284" i="3"/>
  <c r="O284" i="3"/>
  <c r="N284" i="3"/>
  <c r="M284" i="3"/>
  <c r="L284" i="3"/>
  <c r="K284" i="3"/>
  <c r="J284" i="3"/>
  <c r="I284" i="3"/>
  <c r="H284" i="3"/>
  <c r="G284" i="3"/>
  <c r="F284" i="3"/>
  <c r="E284" i="3"/>
  <c r="D284" i="3"/>
  <c r="C284" i="3"/>
  <c r="B284" i="3"/>
  <c r="A284" i="3"/>
  <c r="P283" i="3"/>
  <c r="O283" i="3"/>
  <c r="N283" i="3"/>
  <c r="M283" i="3"/>
  <c r="L283" i="3"/>
  <c r="K283" i="3"/>
  <c r="J283" i="3"/>
  <c r="I283" i="3"/>
  <c r="H283" i="3"/>
  <c r="G283" i="3"/>
  <c r="F283" i="3"/>
  <c r="E283" i="3"/>
  <c r="D283" i="3"/>
  <c r="C283" i="3"/>
  <c r="B283" i="3"/>
  <c r="A283" i="3"/>
  <c r="P282" i="3"/>
  <c r="O282" i="3"/>
  <c r="N282" i="3"/>
  <c r="M282" i="3"/>
  <c r="L282" i="3"/>
  <c r="K282" i="3"/>
  <c r="J282" i="3"/>
  <c r="I282" i="3"/>
  <c r="H282" i="3"/>
  <c r="G282" i="3"/>
  <c r="F282" i="3"/>
  <c r="E282" i="3"/>
  <c r="D282" i="3"/>
  <c r="C282" i="3"/>
  <c r="B282" i="3"/>
  <c r="A282" i="3"/>
  <c r="P281" i="3"/>
  <c r="O281" i="3"/>
  <c r="N281" i="3"/>
  <c r="M281" i="3"/>
  <c r="L281" i="3"/>
  <c r="K281" i="3"/>
  <c r="J281" i="3"/>
  <c r="I281" i="3"/>
  <c r="H281" i="3"/>
  <c r="G281" i="3"/>
  <c r="F281" i="3"/>
  <c r="E281" i="3"/>
  <c r="D281" i="3"/>
  <c r="C281" i="3"/>
  <c r="B281" i="3"/>
  <c r="A281" i="3"/>
  <c r="P280" i="3"/>
  <c r="O280" i="3"/>
  <c r="N280" i="3"/>
  <c r="M280" i="3"/>
  <c r="L280" i="3"/>
  <c r="K280" i="3"/>
  <c r="J280" i="3"/>
  <c r="I280" i="3"/>
  <c r="H280" i="3"/>
  <c r="G280" i="3"/>
  <c r="F280" i="3"/>
  <c r="E280" i="3"/>
  <c r="D280" i="3"/>
  <c r="C280" i="3"/>
  <c r="B280" i="3"/>
  <c r="A280" i="3"/>
  <c r="P279" i="3"/>
  <c r="O279" i="3"/>
  <c r="N279" i="3"/>
  <c r="M279" i="3"/>
  <c r="L279" i="3"/>
  <c r="K279" i="3"/>
  <c r="J279" i="3"/>
  <c r="I279" i="3"/>
  <c r="H279" i="3"/>
  <c r="G279" i="3"/>
  <c r="F279" i="3"/>
  <c r="E279" i="3"/>
  <c r="D279" i="3"/>
  <c r="C279" i="3"/>
  <c r="B279" i="3"/>
  <c r="A279" i="3"/>
  <c r="P278" i="3"/>
  <c r="O278" i="3"/>
  <c r="N278" i="3"/>
  <c r="M278" i="3"/>
  <c r="L278" i="3"/>
  <c r="K278" i="3"/>
  <c r="J278" i="3"/>
  <c r="I278" i="3"/>
  <c r="H278" i="3"/>
  <c r="G278" i="3"/>
  <c r="F278" i="3"/>
  <c r="E278" i="3"/>
  <c r="D278" i="3"/>
  <c r="C278" i="3"/>
  <c r="B278" i="3"/>
  <c r="A278" i="3"/>
  <c r="P277" i="3"/>
  <c r="O277" i="3"/>
  <c r="N277" i="3"/>
  <c r="M277" i="3"/>
  <c r="L277" i="3"/>
  <c r="K277" i="3"/>
  <c r="J277" i="3"/>
  <c r="I277" i="3"/>
  <c r="H277" i="3"/>
  <c r="G277" i="3"/>
  <c r="F277" i="3"/>
  <c r="E277" i="3"/>
  <c r="D277" i="3"/>
  <c r="C277" i="3"/>
  <c r="B277" i="3"/>
  <c r="A277" i="3"/>
  <c r="P276" i="3"/>
  <c r="O276" i="3"/>
  <c r="N276" i="3"/>
  <c r="M276" i="3"/>
  <c r="L276" i="3"/>
  <c r="K276" i="3"/>
  <c r="J276" i="3"/>
  <c r="I276" i="3"/>
  <c r="H276" i="3"/>
  <c r="G276" i="3"/>
  <c r="F276" i="3"/>
  <c r="E276" i="3"/>
  <c r="D276" i="3"/>
  <c r="C276" i="3"/>
  <c r="B276" i="3"/>
  <c r="A276" i="3"/>
  <c r="P275" i="3"/>
  <c r="O275" i="3"/>
  <c r="N275" i="3"/>
  <c r="M275" i="3"/>
  <c r="L275" i="3"/>
  <c r="K275" i="3"/>
  <c r="J275" i="3"/>
  <c r="I275" i="3"/>
  <c r="H275" i="3"/>
  <c r="G275" i="3"/>
  <c r="F275" i="3"/>
  <c r="E275" i="3"/>
  <c r="D275" i="3"/>
  <c r="C275" i="3"/>
  <c r="B275" i="3"/>
  <c r="A275" i="3"/>
  <c r="P274" i="3"/>
  <c r="O274" i="3"/>
  <c r="N274" i="3"/>
  <c r="M274" i="3"/>
  <c r="L274" i="3"/>
  <c r="K274" i="3"/>
  <c r="J274" i="3"/>
  <c r="I274" i="3"/>
  <c r="H274" i="3"/>
  <c r="G274" i="3"/>
  <c r="F274" i="3"/>
  <c r="E274" i="3"/>
  <c r="D274" i="3"/>
  <c r="C274" i="3"/>
  <c r="B274" i="3"/>
  <c r="A274" i="3"/>
  <c r="P273" i="3"/>
  <c r="O273" i="3"/>
  <c r="N273" i="3"/>
  <c r="M273" i="3"/>
  <c r="L273" i="3"/>
  <c r="K273" i="3"/>
  <c r="J273" i="3"/>
  <c r="I273" i="3"/>
  <c r="H273" i="3"/>
  <c r="G273" i="3"/>
  <c r="F273" i="3"/>
  <c r="E273" i="3"/>
  <c r="D273" i="3"/>
  <c r="C273" i="3"/>
  <c r="B273" i="3"/>
  <c r="A273" i="3"/>
  <c r="P272" i="3"/>
  <c r="O272" i="3"/>
  <c r="N272" i="3"/>
  <c r="M272" i="3"/>
  <c r="L272" i="3"/>
  <c r="K272" i="3"/>
  <c r="J272" i="3"/>
  <c r="I272" i="3"/>
  <c r="H272" i="3"/>
  <c r="G272" i="3"/>
  <c r="F272" i="3"/>
  <c r="E272" i="3"/>
  <c r="D272" i="3"/>
  <c r="C272" i="3"/>
  <c r="B272" i="3"/>
  <c r="A272" i="3"/>
  <c r="P271" i="3"/>
  <c r="O271" i="3"/>
  <c r="N271" i="3"/>
  <c r="M271" i="3"/>
  <c r="L271" i="3"/>
  <c r="K271" i="3"/>
  <c r="J271" i="3"/>
  <c r="I271" i="3"/>
  <c r="H271" i="3"/>
  <c r="G271" i="3"/>
  <c r="F271" i="3"/>
  <c r="E271" i="3"/>
  <c r="D271" i="3"/>
  <c r="C271" i="3"/>
  <c r="B271" i="3"/>
  <c r="A271" i="3"/>
  <c r="P270" i="3"/>
  <c r="O270" i="3"/>
  <c r="N270" i="3"/>
  <c r="M270" i="3"/>
  <c r="L270" i="3"/>
  <c r="K270" i="3"/>
  <c r="J270" i="3"/>
  <c r="I270" i="3"/>
  <c r="H270" i="3"/>
  <c r="G270" i="3"/>
  <c r="F270" i="3"/>
  <c r="E270" i="3"/>
  <c r="D270" i="3"/>
  <c r="C270" i="3"/>
  <c r="B270" i="3"/>
  <c r="A270" i="3"/>
  <c r="P269" i="3"/>
  <c r="O269" i="3"/>
  <c r="N269" i="3"/>
  <c r="M269" i="3"/>
  <c r="L269" i="3"/>
  <c r="K269" i="3"/>
  <c r="J269" i="3"/>
  <c r="I269" i="3"/>
  <c r="H269" i="3"/>
  <c r="G269" i="3"/>
  <c r="F269" i="3"/>
  <c r="E269" i="3"/>
  <c r="D269" i="3"/>
  <c r="C269" i="3"/>
  <c r="B269" i="3"/>
  <c r="A269" i="3"/>
  <c r="B254" i="3" l="1"/>
  <c r="J254" i="3"/>
  <c r="J244" i="3" s="1"/>
  <c r="J268" i="3"/>
  <c r="P268" i="3"/>
  <c r="O268" i="3"/>
  <c r="N268" i="3"/>
  <c r="M268" i="3"/>
  <c r="L268" i="3"/>
  <c r="K268" i="3"/>
  <c r="I268" i="3"/>
  <c r="H268" i="3"/>
  <c r="G268" i="3"/>
  <c r="F268" i="3"/>
  <c r="E268" i="3"/>
  <c r="D268" i="3"/>
  <c r="C268" i="3"/>
  <c r="B268" i="3"/>
  <c r="A268" i="3"/>
  <c r="P267" i="3"/>
  <c r="O267" i="3"/>
  <c r="N267" i="3"/>
  <c r="M267" i="3"/>
  <c r="L267" i="3"/>
  <c r="K267" i="3"/>
  <c r="J267" i="3"/>
  <c r="I267" i="3"/>
  <c r="H267" i="3"/>
  <c r="G267" i="3"/>
  <c r="F267" i="3"/>
  <c r="E267" i="3"/>
  <c r="D267" i="3"/>
  <c r="C267" i="3"/>
  <c r="B267" i="3"/>
  <c r="A267" i="3"/>
  <c r="P266" i="3"/>
  <c r="O266" i="3"/>
  <c r="N266" i="3"/>
  <c r="M266" i="3"/>
  <c r="L266" i="3"/>
  <c r="K266" i="3"/>
  <c r="J266" i="3"/>
  <c r="I266" i="3"/>
  <c r="H266" i="3"/>
  <c r="G266" i="3"/>
  <c r="F266" i="3"/>
  <c r="E266" i="3"/>
  <c r="D266" i="3"/>
  <c r="C266" i="3"/>
  <c r="B266" i="3"/>
  <c r="A266" i="3"/>
  <c r="P265" i="3"/>
  <c r="O265" i="3"/>
  <c r="N265" i="3"/>
  <c r="M265" i="3"/>
  <c r="L265" i="3"/>
  <c r="K265" i="3"/>
  <c r="J265" i="3"/>
  <c r="I265" i="3"/>
  <c r="H265" i="3"/>
  <c r="G265" i="3"/>
  <c r="F265" i="3"/>
  <c r="E265" i="3"/>
  <c r="D265" i="3"/>
  <c r="C265" i="3"/>
  <c r="B265" i="3"/>
  <c r="A265" i="3"/>
  <c r="P264" i="3"/>
  <c r="O264" i="3"/>
  <c r="N264" i="3"/>
  <c r="M264" i="3"/>
  <c r="L264" i="3"/>
  <c r="K264" i="3"/>
  <c r="J264" i="3"/>
  <c r="I264" i="3"/>
  <c r="H264" i="3"/>
  <c r="G264" i="3"/>
  <c r="F264" i="3"/>
  <c r="E264" i="3"/>
  <c r="D264" i="3"/>
  <c r="C264" i="3"/>
  <c r="B264" i="3"/>
  <c r="A264" i="3"/>
  <c r="P263" i="3"/>
  <c r="O263" i="3"/>
  <c r="N263" i="3"/>
  <c r="M263" i="3"/>
  <c r="L263" i="3"/>
  <c r="K263" i="3"/>
  <c r="J263" i="3"/>
  <c r="I263" i="3"/>
  <c r="H263" i="3"/>
  <c r="G263" i="3"/>
  <c r="F263" i="3"/>
  <c r="E263" i="3"/>
  <c r="D263" i="3"/>
  <c r="C263" i="3"/>
  <c r="B263" i="3"/>
  <c r="A263" i="3"/>
  <c r="P262" i="3"/>
  <c r="O262" i="3"/>
  <c r="N262" i="3"/>
  <c r="M262" i="3"/>
  <c r="L262" i="3"/>
  <c r="K262" i="3"/>
  <c r="J262" i="3"/>
  <c r="I262" i="3"/>
  <c r="H262" i="3"/>
  <c r="G262" i="3"/>
  <c r="F262" i="3"/>
  <c r="E262" i="3"/>
  <c r="D262" i="3"/>
  <c r="C262" i="3"/>
  <c r="B262" i="3"/>
  <c r="A262" i="3"/>
  <c r="P261" i="3"/>
  <c r="O261" i="3"/>
  <c r="N261" i="3"/>
  <c r="M261" i="3"/>
  <c r="L261" i="3"/>
  <c r="K261" i="3"/>
  <c r="J261" i="3"/>
  <c r="I261" i="3"/>
  <c r="H261" i="3"/>
  <c r="G261" i="3"/>
  <c r="F261" i="3"/>
  <c r="E261" i="3"/>
  <c r="D261" i="3"/>
  <c r="C261" i="3"/>
  <c r="B261" i="3"/>
  <c r="A261" i="3"/>
  <c r="P260" i="3"/>
  <c r="O260" i="3"/>
  <c r="N260" i="3"/>
  <c r="M260" i="3"/>
  <c r="L260" i="3"/>
  <c r="K260" i="3"/>
  <c r="J260" i="3"/>
  <c r="I260" i="3"/>
  <c r="H260" i="3"/>
  <c r="G260" i="3"/>
  <c r="F260" i="3"/>
  <c r="E260" i="3"/>
  <c r="D260" i="3"/>
  <c r="C260" i="3"/>
  <c r="B260" i="3"/>
  <c r="A260" i="3"/>
  <c r="P259" i="3"/>
  <c r="O259" i="3"/>
  <c r="N259" i="3"/>
  <c r="M259" i="3"/>
  <c r="L259" i="3"/>
  <c r="K259" i="3"/>
  <c r="J259" i="3"/>
  <c r="I259" i="3"/>
  <c r="H259" i="3"/>
  <c r="G259" i="3"/>
  <c r="F259" i="3"/>
  <c r="E259" i="3"/>
  <c r="D259" i="3"/>
  <c r="C259" i="3"/>
  <c r="B259" i="3"/>
  <c r="A259" i="3"/>
  <c r="P258" i="3"/>
  <c r="O258" i="3"/>
  <c r="N258" i="3"/>
  <c r="M258" i="3"/>
  <c r="L258" i="3"/>
  <c r="K258" i="3"/>
  <c r="J258" i="3"/>
  <c r="I258" i="3"/>
  <c r="H258" i="3"/>
  <c r="G258" i="3"/>
  <c r="F258" i="3"/>
  <c r="E258" i="3"/>
  <c r="D258" i="3"/>
  <c r="C258" i="3"/>
  <c r="B258" i="3"/>
  <c r="A258" i="3"/>
  <c r="P257" i="3"/>
  <c r="O257" i="3"/>
  <c r="N257" i="3"/>
  <c r="M257" i="3"/>
  <c r="L257" i="3"/>
  <c r="K257" i="3"/>
  <c r="J257" i="3"/>
  <c r="I257" i="3"/>
  <c r="H257" i="3"/>
  <c r="G257" i="3"/>
  <c r="F257" i="3"/>
  <c r="E257" i="3"/>
  <c r="D257" i="3"/>
  <c r="C257" i="3"/>
  <c r="B257" i="3"/>
  <c r="A257" i="3"/>
  <c r="P256" i="3"/>
  <c r="O256" i="3"/>
  <c r="N256" i="3"/>
  <c r="M256" i="3"/>
  <c r="L256" i="3"/>
  <c r="K256" i="3"/>
  <c r="J256" i="3"/>
  <c r="I256" i="3"/>
  <c r="H256" i="3"/>
  <c r="G256" i="3"/>
  <c r="F256" i="3"/>
  <c r="E256" i="3"/>
  <c r="D256" i="3"/>
  <c r="C256" i="3"/>
  <c r="B256" i="3"/>
  <c r="A256" i="3"/>
  <c r="P255" i="3"/>
  <c r="O255" i="3"/>
  <c r="N255" i="3"/>
  <c r="M255" i="3"/>
  <c r="L255" i="3"/>
  <c r="K255" i="3"/>
  <c r="J255" i="3"/>
  <c r="I255" i="3"/>
  <c r="H255" i="3"/>
  <c r="G255" i="3"/>
  <c r="F255" i="3"/>
  <c r="E255" i="3"/>
  <c r="D255" i="3"/>
  <c r="C255" i="3"/>
  <c r="B255" i="3"/>
  <c r="A255" i="3"/>
  <c r="P254" i="3"/>
  <c r="O254" i="3"/>
  <c r="N254" i="3"/>
  <c r="M254" i="3"/>
  <c r="L254" i="3"/>
  <c r="K254" i="3"/>
  <c r="I254" i="3"/>
  <c r="H254" i="3"/>
  <c r="G254" i="3"/>
  <c r="F254" i="3"/>
  <c r="E254" i="3"/>
  <c r="D254" i="3"/>
  <c r="C254" i="3"/>
  <c r="A254" i="3"/>
  <c r="P253" i="3"/>
  <c r="O253" i="3"/>
  <c r="N253" i="3"/>
  <c r="M253" i="3"/>
  <c r="L253" i="3"/>
  <c r="K253" i="3"/>
  <c r="J253" i="3"/>
  <c r="I253" i="3"/>
  <c r="H253" i="3"/>
  <c r="G253" i="3"/>
  <c r="F253" i="3"/>
  <c r="E253" i="3"/>
  <c r="D253" i="3"/>
  <c r="C253" i="3"/>
  <c r="B253" i="3"/>
  <c r="A253" i="3"/>
  <c r="P252" i="3"/>
  <c r="O252" i="3"/>
  <c r="N252" i="3"/>
  <c r="M252" i="3"/>
  <c r="L252" i="3"/>
  <c r="K252" i="3"/>
  <c r="J252" i="3"/>
  <c r="I252" i="3"/>
  <c r="H252" i="3"/>
  <c r="G252" i="3"/>
  <c r="F252" i="3"/>
  <c r="E252" i="3"/>
  <c r="D252" i="3"/>
  <c r="C252" i="3"/>
  <c r="B252" i="3"/>
  <c r="A252" i="3"/>
  <c r="P251" i="3"/>
  <c r="O251" i="3"/>
  <c r="N251" i="3"/>
  <c r="M251" i="3"/>
  <c r="L251" i="3"/>
  <c r="K251" i="3"/>
  <c r="J251" i="3"/>
  <c r="I251" i="3"/>
  <c r="H251" i="3"/>
  <c r="G251" i="3"/>
  <c r="F251" i="3"/>
  <c r="E251" i="3"/>
  <c r="D251" i="3"/>
  <c r="C251" i="3"/>
  <c r="B251" i="3"/>
  <c r="A251" i="3"/>
  <c r="P250" i="3"/>
  <c r="O250" i="3"/>
  <c r="N250" i="3"/>
  <c r="M250" i="3"/>
  <c r="L250" i="3"/>
  <c r="K250" i="3"/>
  <c r="J250" i="3"/>
  <c r="I250" i="3"/>
  <c r="H250" i="3"/>
  <c r="G250" i="3"/>
  <c r="F250" i="3"/>
  <c r="E250" i="3"/>
  <c r="D250" i="3"/>
  <c r="C250" i="3"/>
  <c r="B250" i="3"/>
  <c r="A250" i="3"/>
  <c r="P249" i="3"/>
  <c r="O249" i="3"/>
  <c r="N249" i="3"/>
  <c r="M249" i="3"/>
  <c r="L249" i="3"/>
  <c r="K249" i="3"/>
  <c r="J249" i="3"/>
  <c r="I249" i="3"/>
  <c r="H249" i="3"/>
  <c r="G249" i="3"/>
  <c r="F249" i="3"/>
  <c r="E249" i="3"/>
  <c r="D249" i="3"/>
  <c r="C249" i="3"/>
  <c r="B249" i="3"/>
  <c r="A249" i="3"/>
  <c r="P248" i="3"/>
  <c r="O248" i="3"/>
  <c r="N248" i="3"/>
  <c r="M248" i="3"/>
  <c r="L248" i="3"/>
  <c r="K248" i="3"/>
  <c r="J248" i="3"/>
  <c r="I248" i="3"/>
  <c r="H248" i="3"/>
  <c r="G248" i="3"/>
  <c r="F248" i="3"/>
  <c r="E248" i="3"/>
  <c r="D248" i="3"/>
  <c r="C248" i="3"/>
  <c r="B248" i="3"/>
  <c r="A248" i="3"/>
  <c r="P247" i="3"/>
  <c r="O247" i="3"/>
  <c r="N247" i="3"/>
  <c r="M247" i="3"/>
  <c r="L247" i="3"/>
  <c r="K247" i="3"/>
  <c r="J247" i="3"/>
  <c r="I247" i="3"/>
  <c r="H247" i="3"/>
  <c r="G247" i="3"/>
  <c r="F247" i="3"/>
  <c r="E247" i="3"/>
  <c r="D247" i="3"/>
  <c r="C247" i="3"/>
  <c r="B247" i="3"/>
  <c r="A247" i="3"/>
  <c r="P246" i="3"/>
  <c r="O246" i="3"/>
  <c r="N246" i="3"/>
  <c r="M246" i="3"/>
  <c r="L246" i="3"/>
  <c r="K246" i="3"/>
  <c r="J246" i="3"/>
  <c r="I246" i="3"/>
  <c r="H246" i="3"/>
  <c r="G246" i="3"/>
  <c r="F246" i="3"/>
  <c r="E246" i="3"/>
  <c r="D246" i="3"/>
  <c r="C246" i="3"/>
  <c r="B246" i="3"/>
  <c r="A246" i="3"/>
  <c r="P245" i="3"/>
  <c r="O245" i="3"/>
  <c r="N245" i="3"/>
  <c r="M245" i="3"/>
  <c r="L245" i="3"/>
  <c r="K245" i="3"/>
  <c r="J245" i="3"/>
  <c r="I245" i="3"/>
  <c r="H245" i="3"/>
  <c r="G245" i="3"/>
  <c r="F245" i="3"/>
  <c r="E245" i="3"/>
  <c r="D245" i="3"/>
  <c r="C245" i="3"/>
  <c r="B245" i="3"/>
  <c r="A245" i="3"/>
  <c r="P244" i="3"/>
  <c r="O244" i="3"/>
  <c r="N244" i="3"/>
  <c r="M244" i="3"/>
  <c r="L244" i="3"/>
  <c r="K244" i="3"/>
  <c r="I244" i="3"/>
  <c r="H244" i="3"/>
  <c r="G244" i="3"/>
  <c r="F244" i="3"/>
  <c r="E244" i="3"/>
  <c r="D244" i="3"/>
  <c r="C244" i="3"/>
  <c r="B244" i="3"/>
  <c r="A244" i="3"/>
  <c r="P243" i="3"/>
  <c r="O243" i="3"/>
  <c r="N243" i="3"/>
  <c r="M243" i="3"/>
  <c r="L243" i="3"/>
  <c r="K243" i="3"/>
  <c r="J243" i="3"/>
  <c r="I243" i="3"/>
  <c r="H243" i="3"/>
  <c r="G243" i="3"/>
  <c r="F243" i="3"/>
  <c r="E243" i="3"/>
  <c r="D243" i="3"/>
  <c r="C243" i="3"/>
  <c r="B243" i="3"/>
  <c r="A243" i="3"/>
  <c r="P242" i="3"/>
  <c r="O242" i="3"/>
  <c r="N242" i="3"/>
  <c r="M242" i="3"/>
  <c r="L242" i="3"/>
  <c r="K242" i="3"/>
  <c r="J242" i="3"/>
  <c r="I242" i="3"/>
  <c r="H242" i="3"/>
  <c r="G242" i="3"/>
  <c r="F242" i="3"/>
  <c r="E242" i="3"/>
  <c r="D242" i="3"/>
  <c r="C242" i="3"/>
  <c r="B242" i="3"/>
  <c r="A242" i="3"/>
  <c r="P241" i="3"/>
  <c r="O241" i="3"/>
  <c r="N241" i="3"/>
  <c r="M241" i="3"/>
  <c r="L241" i="3"/>
  <c r="K241" i="3"/>
  <c r="J241" i="3"/>
  <c r="I241" i="3"/>
  <c r="H241" i="3"/>
  <c r="G241" i="3"/>
  <c r="F241" i="3"/>
  <c r="E241" i="3"/>
  <c r="D241" i="3"/>
  <c r="C241" i="3"/>
  <c r="B241" i="3"/>
  <c r="A241" i="3"/>
  <c r="P240" i="3"/>
  <c r="O240" i="3"/>
  <c r="N240" i="3"/>
  <c r="M240" i="3"/>
  <c r="L240" i="3"/>
  <c r="K240" i="3"/>
  <c r="J240" i="3"/>
  <c r="I240" i="3"/>
  <c r="H240" i="3"/>
  <c r="G240" i="3"/>
  <c r="F240" i="3"/>
  <c r="E240" i="3"/>
  <c r="D240" i="3"/>
  <c r="C240" i="3"/>
  <c r="B240" i="3"/>
  <c r="A240" i="3"/>
  <c r="P239" i="3"/>
  <c r="O239" i="3"/>
  <c r="N239" i="3"/>
  <c r="M239" i="3"/>
  <c r="L239" i="3"/>
  <c r="K239" i="3"/>
  <c r="J239" i="3"/>
  <c r="I239" i="3"/>
  <c r="H239" i="3"/>
  <c r="G239" i="3"/>
  <c r="F239" i="3"/>
  <c r="E239" i="3"/>
  <c r="D239" i="3"/>
  <c r="C239" i="3"/>
  <c r="B239" i="3"/>
  <c r="A239" i="3"/>
  <c r="P238" i="3"/>
  <c r="O238" i="3"/>
  <c r="N238" i="3"/>
  <c r="M238" i="3"/>
  <c r="L238" i="3"/>
  <c r="K238" i="3"/>
  <c r="J238" i="3"/>
  <c r="I238" i="3"/>
  <c r="H238" i="3"/>
  <c r="G238" i="3"/>
  <c r="F238" i="3"/>
  <c r="E238" i="3"/>
  <c r="D238" i="3"/>
  <c r="C238" i="3"/>
  <c r="B238" i="3"/>
  <c r="A238" i="3"/>
  <c r="P237" i="3"/>
  <c r="O237" i="3"/>
  <c r="N237" i="3"/>
  <c r="M237" i="3"/>
  <c r="L237" i="3"/>
  <c r="K237" i="3"/>
  <c r="J237" i="3"/>
  <c r="I237" i="3"/>
  <c r="H237" i="3"/>
  <c r="G237" i="3"/>
  <c r="F237" i="3"/>
  <c r="E237" i="3"/>
  <c r="D237" i="3"/>
  <c r="C237" i="3"/>
  <c r="B237" i="3"/>
  <c r="A237" i="3"/>
  <c r="P236" i="3"/>
  <c r="O236" i="3"/>
  <c r="N236" i="3"/>
  <c r="M236" i="3"/>
  <c r="L236" i="3"/>
  <c r="K236" i="3"/>
  <c r="J236" i="3"/>
  <c r="I236" i="3"/>
  <c r="H236" i="3"/>
  <c r="G236" i="3"/>
  <c r="F236" i="3"/>
  <c r="E236" i="3"/>
  <c r="D236" i="3"/>
  <c r="C236" i="3"/>
  <c r="B236" i="3"/>
  <c r="A236" i="3"/>
  <c r="P235" i="3"/>
  <c r="O235" i="3"/>
  <c r="N235" i="3"/>
  <c r="M235" i="3"/>
  <c r="L235" i="3"/>
  <c r="K235" i="3"/>
  <c r="J235" i="3"/>
  <c r="I235" i="3"/>
  <c r="H235" i="3"/>
  <c r="G235" i="3"/>
  <c r="F235" i="3"/>
  <c r="E235" i="3"/>
  <c r="D235" i="3"/>
  <c r="C235" i="3"/>
  <c r="B235" i="3"/>
  <c r="A235" i="3"/>
  <c r="P234" i="3"/>
  <c r="O234" i="3"/>
  <c r="N234" i="3"/>
  <c r="M234" i="3"/>
  <c r="L234" i="3"/>
  <c r="K234" i="3"/>
  <c r="J234" i="3"/>
  <c r="I234" i="3"/>
  <c r="H234" i="3"/>
  <c r="G234" i="3"/>
  <c r="F234" i="3"/>
  <c r="E234" i="3"/>
  <c r="D234" i="3"/>
  <c r="C234" i="3"/>
  <c r="B234" i="3"/>
  <c r="A234" i="3"/>
  <c r="P233" i="3"/>
  <c r="O233" i="3"/>
  <c r="N233" i="3"/>
  <c r="M233" i="3"/>
  <c r="L233" i="3"/>
  <c r="K233" i="3"/>
  <c r="J233" i="3"/>
  <c r="I233" i="3"/>
  <c r="H233" i="3"/>
  <c r="G233" i="3"/>
  <c r="F233" i="3"/>
  <c r="E233" i="3"/>
  <c r="D233" i="3"/>
  <c r="C233" i="3"/>
  <c r="B233" i="3"/>
  <c r="A233" i="3"/>
  <c r="P232" i="3"/>
  <c r="O232" i="3"/>
  <c r="N232" i="3"/>
  <c r="M232" i="3"/>
  <c r="L232" i="3"/>
  <c r="K232" i="3"/>
  <c r="J232" i="3"/>
  <c r="I232" i="3"/>
  <c r="H232" i="3"/>
  <c r="G232" i="3"/>
  <c r="F232" i="3"/>
  <c r="E232" i="3"/>
  <c r="D232" i="3"/>
  <c r="C232" i="3"/>
  <c r="B232" i="3"/>
  <c r="A232" i="3"/>
  <c r="P231" i="3"/>
  <c r="O231" i="3"/>
  <c r="N231" i="3"/>
  <c r="M231" i="3"/>
  <c r="L231" i="3"/>
  <c r="K231" i="3"/>
  <c r="J231" i="3"/>
  <c r="I231" i="3"/>
  <c r="H231" i="3"/>
  <c r="G231" i="3"/>
  <c r="F231" i="3"/>
  <c r="E231" i="3"/>
  <c r="D231" i="3"/>
  <c r="C231" i="3"/>
  <c r="B231" i="3"/>
  <c r="A231" i="3"/>
  <c r="P230" i="3"/>
  <c r="O230" i="3"/>
  <c r="N230" i="3"/>
  <c r="M230" i="3"/>
  <c r="L230" i="3"/>
  <c r="K230" i="3"/>
  <c r="J230" i="3"/>
  <c r="I230" i="3"/>
  <c r="H230" i="3"/>
  <c r="G230" i="3"/>
  <c r="F230" i="3"/>
  <c r="E230" i="3"/>
  <c r="D230" i="3"/>
  <c r="C230" i="3"/>
  <c r="B230" i="3"/>
  <c r="A230" i="3"/>
  <c r="P229" i="3"/>
  <c r="O229" i="3"/>
  <c r="N229" i="3"/>
  <c r="M229" i="3"/>
  <c r="L229" i="3"/>
  <c r="K229" i="3"/>
  <c r="J229" i="3"/>
  <c r="I229" i="3"/>
  <c r="H229" i="3"/>
  <c r="G229" i="3"/>
  <c r="F229" i="3"/>
  <c r="E229" i="3"/>
  <c r="D229" i="3"/>
  <c r="C229" i="3"/>
  <c r="B229" i="3"/>
  <c r="A229" i="3"/>
  <c r="P228" i="3"/>
  <c r="O228" i="3"/>
  <c r="N228" i="3"/>
  <c r="M228" i="3"/>
  <c r="L228" i="3"/>
  <c r="K228" i="3"/>
  <c r="J228" i="3"/>
  <c r="I228" i="3"/>
  <c r="H228" i="3"/>
  <c r="G228" i="3"/>
  <c r="F228" i="3"/>
  <c r="E228" i="3"/>
  <c r="D228" i="3"/>
  <c r="C228" i="3"/>
  <c r="B228" i="3"/>
  <c r="A228" i="3"/>
  <c r="P227" i="3"/>
  <c r="O227" i="3"/>
  <c r="N227" i="3"/>
  <c r="M227" i="3"/>
  <c r="L227" i="3"/>
  <c r="K227" i="3"/>
  <c r="J227" i="3"/>
  <c r="I227" i="3"/>
  <c r="H227" i="3"/>
  <c r="G227" i="3"/>
  <c r="F227" i="3"/>
  <c r="E227" i="3"/>
  <c r="D227" i="3"/>
  <c r="C227" i="3"/>
  <c r="B227" i="3"/>
  <c r="A227" i="3"/>
  <c r="P226" i="3"/>
  <c r="O226" i="3"/>
  <c r="N226" i="3"/>
  <c r="M226" i="3"/>
  <c r="L226" i="3"/>
  <c r="K226" i="3"/>
  <c r="J226" i="3"/>
  <c r="I226" i="3"/>
  <c r="H226" i="3"/>
  <c r="G226" i="3"/>
  <c r="F226" i="3"/>
  <c r="E226" i="3"/>
  <c r="D226" i="3"/>
  <c r="C226" i="3"/>
  <c r="B226" i="3"/>
  <c r="A226" i="3"/>
  <c r="P225" i="3"/>
  <c r="O225" i="3"/>
  <c r="N225" i="3"/>
  <c r="M225" i="3"/>
  <c r="L225" i="3"/>
  <c r="K225" i="3"/>
  <c r="J225" i="3"/>
  <c r="I225" i="3"/>
  <c r="H225" i="3"/>
  <c r="G225" i="3"/>
  <c r="F225" i="3"/>
  <c r="E225" i="3"/>
  <c r="D225" i="3"/>
  <c r="C225" i="3"/>
  <c r="B225" i="3"/>
  <c r="A225" i="3"/>
  <c r="P224" i="3"/>
  <c r="O224" i="3"/>
  <c r="N224" i="3"/>
  <c r="M224" i="3"/>
  <c r="L224" i="3"/>
  <c r="K224" i="3"/>
  <c r="J224" i="3"/>
  <c r="I224" i="3"/>
  <c r="H224" i="3"/>
  <c r="G224" i="3"/>
  <c r="F224" i="3"/>
  <c r="E224" i="3"/>
  <c r="D224" i="3"/>
  <c r="C224" i="3"/>
  <c r="B224" i="3"/>
  <c r="A224" i="3"/>
  <c r="P223" i="3"/>
  <c r="O223" i="3"/>
  <c r="N223" i="3"/>
  <c r="M223" i="3"/>
  <c r="L223" i="3"/>
  <c r="K223" i="3"/>
  <c r="J223" i="3"/>
  <c r="I223" i="3"/>
  <c r="H223" i="3"/>
  <c r="G223" i="3"/>
  <c r="F223" i="3"/>
  <c r="E223" i="3"/>
  <c r="D223" i="3"/>
  <c r="C223" i="3"/>
  <c r="B223" i="3"/>
  <c r="A223" i="3"/>
  <c r="P222" i="3"/>
  <c r="O222" i="3"/>
  <c r="N222" i="3"/>
  <c r="M222" i="3"/>
  <c r="L222" i="3"/>
  <c r="K222" i="3"/>
  <c r="J222" i="3"/>
  <c r="I222" i="3"/>
  <c r="H222" i="3"/>
  <c r="G222" i="3"/>
  <c r="F222" i="3"/>
  <c r="E222" i="3"/>
  <c r="D222" i="3"/>
  <c r="C222" i="3"/>
  <c r="B222" i="3"/>
  <c r="A222" i="3"/>
  <c r="P221" i="3"/>
  <c r="O221" i="3"/>
  <c r="N221" i="3"/>
  <c r="M221" i="3"/>
  <c r="L221" i="3"/>
  <c r="K221" i="3"/>
  <c r="J221" i="3"/>
  <c r="I221" i="3"/>
  <c r="H221" i="3"/>
  <c r="G221" i="3"/>
  <c r="F221" i="3"/>
  <c r="E221" i="3"/>
  <c r="D221" i="3"/>
  <c r="C221" i="3"/>
  <c r="B221" i="3"/>
  <c r="A221" i="3"/>
  <c r="P220" i="3"/>
  <c r="O220" i="3"/>
  <c r="N220" i="3"/>
  <c r="M220" i="3"/>
  <c r="L220" i="3"/>
  <c r="K220" i="3"/>
  <c r="J220" i="3"/>
  <c r="I220" i="3"/>
  <c r="H220" i="3"/>
  <c r="G220" i="3"/>
  <c r="F220" i="3"/>
  <c r="E220" i="3"/>
  <c r="D220" i="3"/>
  <c r="C220" i="3"/>
  <c r="B220" i="3"/>
  <c r="A220" i="3"/>
  <c r="P219" i="3"/>
  <c r="O219" i="3"/>
  <c r="N219" i="3"/>
  <c r="M219" i="3"/>
  <c r="L219" i="3"/>
  <c r="K219" i="3"/>
  <c r="J219" i="3"/>
  <c r="I219" i="3"/>
  <c r="H219" i="3"/>
  <c r="G219" i="3"/>
  <c r="F219" i="3"/>
  <c r="E219" i="3"/>
  <c r="D219" i="3"/>
  <c r="C219" i="3"/>
  <c r="B219" i="3"/>
  <c r="A219" i="3"/>
  <c r="P218" i="3"/>
  <c r="O218" i="3"/>
  <c r="N218" i="3"/>
  <c r="M218" i="3"/>
  <c r="L218" i="3"/>
  <c r="K218" i="3"/>
  <c r="J218" i="3"/>
  <c r="I218" i="3"/>
  <c r="H218" i="3"/>
  <c r="G218" i="3"/>
  <c r="F218" i="3"/>
  <c r="E218" i="3"/>
  <c r="D218" i="3"/>
  <c r="C218" i="3"/>
  <c r="B218" i="3"/>
  <c r="A218" i="3"/>
  <c r="P217" i="3"/>
  <c r="O217" i="3"/>
  <c r="N217" i="3"/>
  <c r="M217" i="3"/>
  <c r="L217" i="3"/>
  <c r="K217" i="3"/>
  <c r="J217" i="3"/>
  <c r="I217" i="3"/>
  <c r="H217" i="3"/>
  <c r="G217" i="3"/>
  <c r="F217" i="3"/>
  <c r="E217" i="3"/>
  <c r="D217" i="3"/>
  <c r="C217" i="3"/>
  <c r="B217" i="3"/>
  <c r="A217" i="3"/>
  <c r="P216" i="3"/>
  <c r="O216" i="3"/>
  <c r="N216" i="3"/>
  <c r="M216" i="3"/>
  <c r="L216" i="3"/>
  <c r="K216" i="3"/>
  <c r="J216" i="3"/>
  <c r="I216" i="3"/>
  <c r="H216" i="3"/>
  <c r="G216" i="3"/>
  <c r="F216" i="3"/>
  <c r="E216" i="3"/>
  <c r="D216" i="3"/>
  <c r="C216" i="3"/>
  <c r="B216" i="3"/>
  <c r="A216" i="3"/>
  <c r="P215" i="3"/>
  <c r="O215" i="3"/>
  <c r="N215" i="3"/>
  <c r="M215" i="3"/>
  <c r="L215" i="3"/>
  <c r="K215" i="3"/>
  <c r="J215" i="3"/>
  <c r="I215" i="3"/>
  <c r="H215" i="3"/>
  <c r="G215" i="3"/>
  <c r="F215" i="3"/>
  <c r="E215" i="3"/>
  <c r="D215" i="3"/>
  <c r="C215" i="3"/>
  <c r="B215" i="3"/>
  <c r="A215" i="3"/>
  <c r="P214" i="3"/>
  <c r="O214" i="3"/>
  <c r="N214" i="3"/>
  <c r="M214" i="3"/>
  <c r="L214" i="3"/>
  <c r="K214" i="3"/>
  <c r="J214" i="3"/>
  <c r="I214" i="3"/>
  <c r="H214" i="3"/>
  <c r="G214" i="3"/>
  <c r="F214" i="3"/>
  <c r="E214" i="3"/>
  <c r="D214" i="3"/>
  <c r="C214" i="3"/>
  <c r="B214" i="3"/>
  <c r="A214" i="3"/>
  <c r="P213" i="3"/>
  <c r="O213" i="3"/>
  <c r="N213" i="3"/>
  <c r="M213" i="3"/>
  <c r="L213" i="3"/>
  <c r="K213" i="3"/>
  <c r="J213" i="3"/>
  <c r="I213" i="3"/>
  <c r="H213" i="3"/>
  <c r="G213" i="3"/>
  <c r="F213" i="3"/>
  <c r="E213" i="3"/>
  <c r="D213" i="3"/>
  <c r="C213" i="3"/>
  <c r="B213" i="3"/>
  <c r="A213" i="3"/>
  <c r="P212" i="3"/>
  <c r="O212" i="3"/>
  <c r="N212" i="3"/>
  <c r="M212" i="3"/>
  <c r="L212" i="3"/>
  <c r="K212" i="3"/>
  <c r="J212" i="3"/>
  <c r="I212" i="3"/>
  <c r="H212" i="3"/>
  <c r="G212" i="3"/>
  <c r="F212" i="3"/>
  <c r="E212" i="3"/>
  <c r="D212" i="3"/>
  <c r="C212" i="3"/>
  <c r="B212" i="3"/>
  <c r="A212" i="3"/>
  <c r="P211" i="3"/>
  <c r="O211" i="3"/>
  <c r="N211" i="3"/>
  <c r="M211" i="3"/>
  <c r="L211" i="3"/>
  <c r="K211" i="3"/>
  <c r="J211" i="3"/>
  <c r="I211" i="3"/>
  <c r="H211" i="3"/>
  <c r="G211" i="3"/>
  <c r="F211" i="3"/>
  <c r="E211" i="3"/>
  <c r="D211" i="3"/>
  <c r="C211" i="3"/>
  <c r="B211" i="3"/>
  <c r="A211" i="3"/>
  <c r="P210" i="3"/>
  <c r="O210" i="3"/>
  <c r="N210" i="3"/>
  <c r="M210" i="3"/>
  <c r="L210" i="3"/>
  <c r="K210" i="3"/>
  <c r="J210" i="3"/>
  <c r="I210" i="3"/>
  <c r="H210" i="3"/>
  <c r="G210" i="3"/>
  <c r="F210" i="3"/>
  <c r="E210" i="3"/>
  <c r="D210" i="3"/>
  <c r="C210" i="3"/>
  <c r="B210" i="3"/>
  <c r="A210" i="3"/>
  <c r="P209" i="3"/>
  <c r="O209" i="3"/>
  <c r="N209" i="3"/>
  <c r="M209" i="3"/>
  <c r="L209" i="3"/>
  <c r="K209" i="3"/>
  <c r="J209" i="3"/>
  <c r="I209" i="3"/>
  <c r="H209" i="3"/>
  <c r="G209" i="3"/>
  <c r="F209" i="3"/>
  <c r="E209" i="3"/>
  <c r="D209" i="3"/>
  <c r="C209" i="3"/>
  <c r="B209" i="3"/>
  <c r="A209" i="3"/>
  <c r="P208" i="3"/>
  <c r="O208" i="3"/>
  <c r="N208" i="3"/>
  <c r="M208" i="3"/>
  <c r="L208" i="3"/>
  <c r="K208" i="3"/>
  <c r="J208" i="3"/>
  <c r="I208" i="3"/>
  <c r="H208" i="3"/>
  <c r="G208" i="3"/>
  <c r="F208" i="3"/>
  <c r="E208" i="3"/>
  <c r="D208" i="3"/>
  <c r="C208" i="3"/>
  <c r="B208" i="3"/>
  <c r="A208" i="3"/>
  <c r="P207" i="3"/>
  <c r="O207" i="3"/>
  <c r="N207" i="3"/>
  <c r="M207" i="3"/>
  <c r="L207" i="3"/>
  <c r="K207" i="3"/>
  <c r="J207" i="3"/>
  <c r="I207" i="3"/>
  <c r="H207" i="3"/>
  <c r="G207" i="3"/>
  <c r="F207" i="3"/>
  <c r="E207" i="3"/>
  <c r="D207" i="3"/>
  <c r="C207" i="3"/>
  <c r="B207" i="3"/>
  <c r="A207" i="3"/>
  <c r="P206" i="3"/>
  <c r="O206" i="3"/>
  <c r="N206" i="3"/>
  <c r="M206" i="3"/>
  <c r="L206" i="3"/>
  <c r="K206" i="3"/>
  <c r="J206" i="3"/>
  <c r="I206" i="3"/>
  <c r="H206" i="3"/>
  <c r="G206" i="3"/>
  <c r="F206" i="3"/>
  <c r="E206" i="3"/>
  <c r="D206" i="3"/>
  <c r="C206" i="3"/>
  <c r="B206" i="3"/>
  <c r="A206" i="3"/>
  <c r="P205" i="3"/>
  <c r="O205" i="3"/>
  <c r="N205" i="3"/>
  <c r="M205" i="3"/>
  <c r="L205" i="3"/>
  <c r="K205" i="3"/>
  <c r="J205" i="3"/>
  <c r="I205" i="3"/>
  <c r="H205" i="3"/>
  <c r="G205" i="3"/>
  <c r="F205" i="3"/>
  <c r="E205" i="3"/>
  <c r="D205" i="3"/>
  <c r="C205" i="3"/>
  <c r="B205" i="3"/>
  <c r="A205" i="3"/>
  <c r="P204" i="3"/>
  <c r="O204" i="3"/>
  <c r="N204" i="3"/>
  <c r="M204" i="3"/>
  <c r="L204" i="3"/>
  <c r="K204" i="3"/>
  <c r="J204" i="3"/>
  <c r="I204" i="3"/>
  <c r="H204" i="3"/>
  <c r="G204" i="3"/>
  <c r="F204" i="3"/>
  <c r="E204" i="3"/>
  <c r="D204" i="3"/>
  <c r="C204" i="3"/>
  <c r="B204" i="3"/>
  <c r="A204" i="3"/>
  <c r="P203" i="3"/>
  <c r="O203" i="3"/>
  <c r="N203" i="3"/>
  <c r="M203" i="3"/>
  <c r="L203" i="3"/>
  <c r="K203" i="3"/>
  <c r="J203" i="3"/>
  <c r="I203" i="3"/>
  <c r="H203" i="3"/>
  <c r="G203" i="3"/>
  <c r="F203" i="3"/>
  <c r="E203" i="3"/>
  <c r="D203" i="3"/>
  <c r="C203" i="3"/>
  <c r="B203" i="3"/>
  <c r="A203" i="3"/>
  <c r="P202" i="3"/>
  <c r="O202" i="3"/>
  <c r="N202" i="3"/>
  <c r="M202" i="3"/>
  <c r="L202" i="3"/>
  <c r="K202" i="3"/>
  <c r="J202" i="3"/>
  <c r="I202" i="3"/>
  <c r="H202" i="3"/>
  <c r="G202" i="3"/>
  <c r="F202" i="3"/>
  <c r="E202" i="3"/>
  <c r="D202" i="3"/>
  <c r="C202" i="3"/>
  <c r="B202" i="3"/>
  <c r="A202" i="3"/>
  <c r="P201" i="3"/>
  <c r="O201" i="3"/>
  <c r="N201" i="3"/>
  <c r="M201" i="3"/>
  <c r="L201" i="3"/>
  <c r="K201" i="3"/>
  <c r="J201" i="3"/>
  <c r="I201" i="3"/>
  <c r="H201" i="3"/>
  <c r="G201" i="3"/>
  <c r="F201" i="3"/>
  <c r="E201" i="3"/>
  <c r="D201" i="3"/>
  <c r="C201" i="3"/>
  <c r="B201" i="3"/>
  <c r="A201" i="3"/>
  <c r="P200" i="3"/>
  <c r="O200" i="3"/>
  <c r="N200" i="3"/>
  <c r="M200" i="3"/>
  <c r="L200" i="3"/>
  <c r="K200" i="3"/>
  <c r="J200" i="3"/>
  <c r="I200" i="3"/>
  <c r="H200" i="3"/>
  <c r="G200" i="3"/>
  <c r="F200" i="3"/>
  <c r="E200" i="3"/>
  <c r="D200" i="3"/>
  <c r="C200" i="3"/>
  <c r="B200" i="3"/>
  <c r="A200" i="3"/>
  <c r="P199" i="3"/>
  <c r="O199" i="3"/>
  <c r="N199" i="3"/>
  <c r="M199" i="3"/>
  <c r="L199" i="3"/>
  <c r="K199" i="3"/>
  <c r="J199" i="3"/>
  <c r="I199" i="3"/>
  <c r="H199" i="3"/>
  <c r="G199" i="3"/>
  <c r="F199" i="3"/>
  <c r="E199" i="3"/>
  <c r="D199" i="3"/>
  <c r="C199" i="3"/>
  <c r="B199" i="3"/>
  <c r="A199" i="3"/>
  <c r="P198" i="3"/>
  <c r="O198" i="3"/>
  <c r="N198" i="3"/>
  <c r="M198" i="3"/>
  <c r="L198" i="3"/>
  <c r="K198" i="3"/>
  <c r="J198" i="3"/>
  <c r="I198" i="3"/>
  <c r="H198" i="3"/>
  <c r="G198" i="3"/>
  <c r="F198" i="3"/>
  <c r="E198" i="3"/>
  <c r="D198" i="3"/>
  <c r="C198" i="3"/>
  <c r="B198" i="3"/>
  <c r="A198" i="3"/>
  <c r="P197" i="3"/>
  <c r="O197" i="3"/>
  <c r="N197" i="3"/>
  <c r="M197" i="3"/>
  <c r="L197" i="3"/>
  <c r="K197" i="3"/>
  <c r="J197" i="3"/>
  <c r="I197" i="3"/>
  <c r="H197" i="3"/>
  <c r="G197" i="3"/>
  <c r="F197" i="3"/>
  <c r="E197" i="3"/>
  <c r="D197" i="3"/>
  <c r="C197" i="3"/>
  <c r="B197" i="3"/>
  <c r="A197" i="3"/>
  <c r="P196" i="3" l="1"/>
  <c r="O196" i="3"/>
  <c r="N196" i="3"/>
  <c r="M196" i="3"/>
  <c r="L196" i="3"/>
  <c r="K196" i="3"/>
  <c r="J196" i="3"/>
  <c r="I196" i="3"/>
  <c r="H196" i="3"/>
  <c r="G196" i="3"/>
  <c r="F196" i="3"/>
  <c r="E196" i="3"/>
  <c r="D196" i="3"/>
  <c r="C196" i="3"/>
  <c r="B196" i="3"/>
  <c r="A196" i="3"/>
  <c r="P195" i="3"/>
  <c r="O195" i="3"/>
  <c r="N195" i="3"/>
  <c r="M195" i="3"/>
  <c r="L195" i="3"/>
  <c r="K195" i="3"/>
  <c r="J195" i="3"/>
  <c r="I195" i="3"/>
  <c r="H195" i="3"/>
  <c r="G195" i="3"/>
  <c r="F195" i="3"/>
  <c r="E195" i="3"/>
  <c r="D195" i="3"/>
  <c r="C195" i="3"/>
  <c r="B195" i="3"/>
  <c r="A195" i="3"/>
  <c r="P194" i="3"/>
  <c r="O194" i="3"/>
  <c r="N194" i="3"/>
  <c r="M194" i="3"/>
  <c r="L194" i="3"/>
  <c r="K194" i="3"/>
  <c r="J194" i="3"/>
  <c r="I194" i="3"/>
  <c r="H194" i="3"/>
  <c r="G194" i="3"/>
  <c r="F194" i="3"/>
  <c r="E194" i="3"/>
  <c r="D194" i="3"/>
  <c r="C194" i="3"/>
  <c r="B194" i="3"/>
  <c r="A194" i="3"/>
  <c r="P193" i="3"/>
  <c r="O193" i="3"/>
  <c r="N193" i="3"/>
  <c r="M193" i="3"/>
  <c r="L193" i="3"/>
  <c r="K193" i="3"/>
  <c r="J193" i="3"/>
  <c r="I193" i="3"/>
  <c r="H193" i="3"/>
  <c r="G193" i="3"/>
  <c r="F193" i="3"/>
  <c r="E193" i="3"/>
  <c r="D193" i="3"/>
  <c r="C193" i="3"/>
  <c r="B193" i="3"/>
  <c r="A193" i="3"/>
  <c r="P192" i="3"/>
  <c r="O192" i="3"/>
  <c r="N192" i="3"/>
  <c r="M192" i="3"/>
  <c r="L192" i="3"/>
  <c r="K192" i="3"/>
  <c r="J192" i="3"/>
  <c r="I192" i="3"/>
  <c r="H192" i="3"/>
  <c r="G192" i="3"/>
  <c r="F192" i="3"/>
  <c r="E192" i="3"/>
  <c r="D192" i="3"/>
  <c r="C192" i="3"/>
  <c r="B192" i="3"/>
  <c r="A192" i="3"/>
  <c r="P191" i="3"/>
  <c r="O191" i="3"/>
  <c r="N191" i="3"/>
  <c r="M191" i="3"/>
  <c r="L191" i="3"/>
  <c r="K191" i="3"/>
  <c r="J191" i="3"/>
  <c r="I191" i="3"/>
  <c r="H191" i="3"/>
  <c r="G191" i="3"/>
  <c r="F191" i="3"/>
  <c r="E191" i="3"/>
  <c r="D191" i="3"/>
  <c r="C191" i="3"/>
  <c r="B191" i="3"/>
  <c r="A191" i="3"/>
  <c r="P190" i="3"/>
  <c r="O190" i="3"/>
  <c r="N190" i="3"/>
  <c r="M190" i="3"/>
  <c r="L190" i="3"/>
  <c r="K190" i="3"/>
  <c r="J190" i="3"/>
  <c r="I190" i="3"/>
  <c r="H190" i="3"/>
  <c r="G190" i="3"/>
  <c r="F190" i="3"/>
  <c r="E190" i="3"/>
  <c r="D190" i="3"/>
  <c r="C190" i="3"/>
  <c r="B190" i="3"/>
  <c r="A190" i="3"/>
  <c r="P189" i="3"/>
  <c r="O189" i="3"/>
  <c r="N189" i="3"/>
  <c r="M189" i="3"/>
  <c r="L189" i="3"/>
  <c r="K189" i="3"/>
  <c r="J189" i="3"/>
  <c r="I189" i="3"/>
  <c r="H189" i="3"/>
  <c r="G189" i="3"/>
  <c r="F189" i="3"/>
  <c r="E189" i="3"/>
  <c r="D189" i="3"/>
  <c r="C189" i="3"/>
  <c r="B189" i="3"/>
  <c r="A189" i="3"/>
  <c r="P188" i="3"/>
  <c r="O188" i="3"/>
  <c r="N188" i="3"/>
  <c r="M188" i="3"/>
  <c r="L188" i="3"/>
  <c r="K188" i="3"/>
  <c r="J188" i="3"/>
  <c r="I188" i="3"/>
  <c r="H188" i="3"/>
  <c r="G188" i="3"/>
  <c r="F188" i="3"/>
  <c r="E188" i="3"/>
  <c r="D188" i="3"/>
  <c r="C188" i="3"/>
  <c r="B188" i="3"/>
  <c r="A188" i="3"/>
  <c r="P187" i="3"/>
  <c r="O187" i="3"/>
  <c r="N187" i="3"/>
  <c r="M187" i="3"/>
  <c r="L187" i="3"/>
  <c r="K187" i="3"/>
  <c r="J187" i="3"/>
  <c r="I187" i="3"/>
  <c r="H187" i="3"/>
  <c r="G187" i="3"/>
  <c r="F187" i="3"/>
  <c r="E187" i="3"/>
  <c r="D187" i="3"/>
  <c r="C187" i="3"/>
  <c r="B187" i="3"/>
  <c r="A187" i="3"/>
  <c r="P186" i="3"/>
  <c r="O186" i="3"/>
  <c r="N186" i="3"/>
  <c r="M186" i="3"/>
  <c r="L186" i="3"/>
  <c r="K186" i="3"/>
  <c r="J186" i="3"/>
  <c r="I186" i="3"/>
  <c r="H186" i="3"/>
  <c r="G186" i="3"/>
  <c r="F186" i="3"/>
  <c r="E186" i="3"/>
  <c r="D186" i="3"/>
  <c r="C186" i="3"/>
  <c r="B186" i="3"/>
  <c r="A186" i="3"/>
  <c r="P185" i="3"/>
  <c r="O185" i="3"/>
  <c r="N185" i="3"/>
  <c r="M185" i="3"/>
  <c r="L185" i="3"/>
  <c r="K185" i="3"/>
  <c r="J185" i="3"/>
  <c r="I185" i="3"/>
  <c r="H185" i="3"/>
  <c r="G185" i="3"/>
  <c r="F185" i="3"/>
  <c r="E185" i="3"/>
  <c r="D185" i="3"/>
  <c r="C185" i="3"/>
  <c r="B185" i="3"/>
  <c r="A185" i="3"/>
  <c r="P184" i="3"/>
  <c r="O184" i="3"/>
  <c r="N184" i="3"/>
  <c r="M184" i="3"/>
  <c r="L184" i="3"/>
  <c r="K184" i="3"/>
  <c r="J184" i="3"/>
  <c r="I184" i="3"/>
  <c r="H184" i="3"/>
  <c r="G184" i="3"/>
  <c r="F184" i="3"/>
  <c r="E184" i="3"/>
  <c r="D184" i="3"/>
  <c r="C184" i="3"/>
  <c r="B184" i="3"/>
  <c r="A184" i="3"/>
  <c r="P183" i="3"/>
  <c r="O183" i="3"/>
  <c r="N183" i="3"/>
  <c r="M183" i="3"/>
  <c r="L183" i="3"/>
  <c r="K183" i="3"/>
  <c r="J183" i="3"/>
  <c r="I183" i="3"/>
  <c r="H183" i="3"/>
  <c r="G183" i="3"/>
  <c r="F183" i="3"/>
  <c r="E183" i="3"/>
  <c r="D183" i="3"/>
  <c r="C183" i="3"/>
  <c r="B183" i="3"/>
  <c r="A183" i="3"/>
  <c r="P182" i="3"/>
  <c r="O182" i="3"/>
  <c r="N182" i="3"/>
  <c r="M182" i="3"/>
  <c r="L182" i="3"/>
  <c r="K182" i="3"/>
  <c r="J182" i="3"/>
  <c r="I182" i="3"/>
  <c r="H182" i="3"/>
  <c r="G182" i="3"/>
  <c r="F182" i="3"/>
  <c r="E182" i="3"/>
  <c r="D182" i="3"/>
  <c r="C182" i="3"/>
  <c r="B182" i="3"/>
  <c r="A182" i="3"/>
  <c r="P181" i="3"/>
  <c r="O181" i="3"/>
  <c r="N181" i="3"/>
  <c r="M181" i="3"/>
  <c r="L181" i="3"/>
  <c r="K181" i="3"/>
  <c r="J181" i="3"/>
  <c r="I181" i="3"/>
  <c r="H181" i="3"/>
  <c r="G181" i="3"/>
  <c r="F181" i="3"/>
  <c r="E181" i="3"/>
  <c r="D181" i="3"/>
  <c r="C181" i="3"/>
  <c r="B181" i="3"/>
  <c r="A181" i="3"/>
  <c r="P180" i="3"/>
  <c r="O180" i="3"/>
  <c r="N180" i="3"/>
  <c r="M180" i="3"/>
  <c r="L180" i="3"/>
  <c r="K180" i="3"/>
  <c r="J180" i="3"/>
  <c r="I180" i="3"/>
  <c r="H180" i="3"/>
  <c r="G180" i="3"/>
  <c r="F180" i="3"/>
  <c r="E180" i="3"/>
  <c r="D180" i="3"/>
  <c r="C180" i="3"/>
  <c r="B180" i="3"/>
  <c r="A180" i="3"/>
  <c r="P179" i="3"/>
  <c r="O179" i="3"/>
  <c r="N179" i="3"/>
  <c r="M179" i="3"/>
  <c r="L179" i="3"/>
  <c r="K179" i="3"/>
  <c r="J179" i="3"/>
  <c r="I179" i="3"/>
  <c r="H179" i="3"/>
  <c r="G179" i="3"/>
  <c r="F179" i="3"/>
  <c r="E179" i="3"/>
  <c r="D179" i="3"/>
  <c r="C179" i="3"/>
  <c r="B179" i="3"/>
  <c r="A179" i="3"/>
  <c r="P178" i="3"/>
  <c r="O178" i="3"/>
  <c r="N178" i="3"/>
  <c r="M178" i="3"/>
  <c r="L178" i="3"/>
  <c r="K178" i="3"/>
  <c r="J178" i="3"/>
  <c r="I178" i="3"/>
  <c r="H178" i="3"/>
  <c r="G178" i="3"/>
  <c r="F178" i="3"/>
  <c r="E178" i="3"/>
  <c r="D178" i="3"/>
  <c r="C178" i="3"/>
  <c r="B178" i="3"/>
  <c r="A178" i="3"/>
  <c r="P177" i="3"/>
  <c r="O177" i="3"/>
  <c r="N177" i="3"/>
  <c r="M177" i="3"/>
  <c r="L177" i="3"/>
  <c r="K177" i="3"/>
  <c r="J177" i="3"/>
  <c r="I177" i="3"/>
  <c r="H177" i="3"/>
  <c r="G177" i="3"/>
  <c r="F177" i="3"/>
  <c r="E177" i="3"/>
  <c r="D177" i="3"/>
  <c r="C177" i="3"/>
  <c r="B177" i="3"/>
  <c r="A177" i="3"/>
  <c r="P176" i="3"/>
  <c r="O176" i="3"/>
  <c r="N176" i="3"/>
  <c r="M176" i="3"/>
  <c r="L176" i="3"/>
  <c r="K176" i="3"/>
  <c r="J176" i="3"/>
  <c r="I176" i="3"/>
  <c r="H176" i="3"/>
  <c r="G176" i="3"/>
  <c r="F176" i="3"/>
  <c r="E176" i="3"/>
  <c r="D176" i="3"/>
  <c r="C176" i="3"/>
  <c r="B176" i="3"/>
  <c r="A176" i="3"/>
  <c r="P175" i="3"/>
  <c r="O175" i="3"/>
  <c r="N175" i="3"/>
  <c r="M175" i="3"/>
  <c r="L175" i="3"/>
  <c r="K175" i="3"/>
  <c r="J175" i="3"/>
  <c r="I175" i="3"/>
  <c r="H175" i="3"/>
  <c r="G175" i="3"/>
  <c r="F175" i="3"/>
  <c r="E175" i="3"/>
  <c r="D175" i="3"/>
  <c r="C175" i="3"/>
  <c r="B175" i="3"/>
  <c r="A175" i="3"/>
  <c r="P174" i="3"/>
  <c r="O174" i="3"/>
  <c r="N174" i="3"/>
  <c r="M174" i="3"/>
  <c r="L174" i="3"/>
  <c r="K174" i="3"/>
  <c r="J174" i="3"/>
  <c r="I174" i="3"/>
  <c r="H174" i="3"/>
  <c r="G174" i="3"/>
  <c r="F174" i="3"/>
  <c r="E174" i="3"/>
  <c r="D174" i="3"/>
  <c r="C174" i="3"/>
  <c r="B174" i="3"/>
  <c r="A174" i="3"/>
  <c r="P173" i="3"/>
  <c r="O173" i="3"/>
  <c r="N173" i="3"/>
  <c r="M173" i="3"/>
  <c r="L173" i="3"/>
  <c r="K173" i="3"/>
  <c r="J173" i="3"/>
  <c r="I173" i="3"/>
  <c r="H173" i="3"/>
  <c r="G173" i="3"/>
  <c r="F173" i="3"/>
  <c r="E173" i="3"/>
  <c r="D173" i="3"/>
  <c r="C173" i="3"/>
  <c r="B173" i="3"/>
  <c r="A173" i="3"/>
  <c r="P172" i="3"/>
  <c r="O172" i="3"/>
  <c r="N172" i="3"/>
  <c r="M172" i="3"/>
  <c r="L172" i="3"/>
  <c r="K172" i="3"/>
  <c r="J172" i="3"/>
  <c r="I172" i="3"/>
  <c r="H172" i="3"/>
  <c r="G172" i="3"/>
  <c r="F172" i="3"/>
  <c r="E172" i="3"/>
  <c r="D172" i="3"/>
  <c r="C172" i="3"/>
  <c r="B172" i="3"/>
  <c r="A172" i="3"/>
  <c r="P171" i="3"/>
  <c r="O171" i="3"/>
  <c r="N171" i="3"/>
  <c r="M171" i="3"/>
  <c r="L171" i="3"/>
  <c r="K171" i="3"/>
  <c r="J171" i="3"/>
  <c r="I171" i="3"/>
  <c r="H171" i="3"/>
  <c r="G171" i="3"/>
  <c r="F171" i="3"/>
  <c r="E171" i="3"/>
  <c r="D171" i="3"/>
  <c r="C171" i="3"/>
  <c r="B171" i="3"/>
  <c r="A171" i="3"/>
  <c r="P170" i="3"/>
  <c r="O170" i="3"/>
  <c r="N170" i="3"/>
  <c r="M170" i="3"/>
  <c r="L170" i="3"/>
  <c r="K170" i="3"/>
  <c r="J170" i="3"/>
  <c r="I170" i="3"/>
  <c r="H170" i="3"/>
  <c r="G170" i="3"/>
  <c r="F170" i="3"/>
  <c r="E170" i="3"/>
  <c r="D170" i="3"/>
  <c r="C170" i="3"/>
  <c r="B170" i="3"/>
  <c r="A170" i="3"/>
  <c r="P169" i="3"/>
  <c r="O169" i="3"/>
  <c r="N169" i="3"/>
  <c r="M169" i="3"/>
  <c r="L169" i="3"/>
  <c r="K169" i="3"/>
  <c r="J169" i="3"/>
  <c r="I169" i="3"/>
  <c r="H169" i="3"/>
  <c r="G169" i="3"/>
  <c r="F169" i="3"/>
  <c r="E169" i="3"/>
  <c r="D169" i="3"/>
  <c r="C169" i="3"/>
  <c r="B169" i="3"/>
  <c r="A169" i="3"/>
  <c r="P168" i="3"/>
  <c r="O168" i="3"/>
  <c r="N168" i="3"/>
  <c r="M168" i="3"/>
  <c r="L168" i="3"/>
  <c r="K168" i="3"/>
  <c r="J168" i="3"/>
  <c r="I168" i="3"/>
  <c r="H168" i="3"/>
  <c r="G168" i="3"/>
  <c r="F168" i="3"/>
  <c r="E168" i="3"/>
  <c r="D168" i="3"/>
  <c r="C168" i="3"/>
  <c r="B168" i="3"/>
  <c r="A168" i="3"/>
  <c r="P167" i="3"/>
  <c r="O167" i="3"/>
  <c r="N167" i="3"/>
  <c r="M167" i="3"/>
  <c r="L167" i="3"/>
  <c r="K167" i="3"/>
  <c r="J167" i="3"/>
  <c r="I167" i="3"/>
  <c r="H167" i="3"/>
  <c r="G167" i="3"/>
  <c r="F167" i="3"/>
  <c r="E167" i="3"/>
  <c r="D167" i="3"/>
  <c r="C167" i="3"/>
  <c r="B167" i="3"/>
  <c r="A167" i="3"/>
  <c r="P166" i="3"/>
  <c r="O166" i="3"/>
  <c r="N166" i="3"/>
  <c r="M166" i="3"/>
  <c r="L166" i="3"/>
  <c r="K166" i="3"/>
  <c r="J166" i="3"/>
  <c r="I166" i="3"/>
  <c r="H166" i="3"/>
  <c r="G166" i="3"/>
  <c r="F166" i="3"/>
  <c r="E166" i="3"/>
  <c r="D166" i="3"/>
  <c r="C166" i="3"/>
  <c r="B166" i="3"/>
  <c r="A166" i="3"/>
  <c r="P165" i="3"/>
  <c r="O165" i="3"/>
  <c r="N165" i="3"/>
  <c r="M165" i="3"/>
  <c r="L165" i="3"/>
  <c r="K165" i="3"/>
  <c r="J165" i="3"/>
  <c r="I165" i="3"/>
  <c r="H165" i="3"/>
  <c r="G165" i="3"/>
  <c r="F165" i="3"/>
  <c r="E165" i="3"/>
  <c r="D165" i="3"/>
  <c r="C165" i="3"/>
  <c r="B165" i="3"/>
  <c r="A165" i="3"/>
  <c r="P164" i="3"/>
  <c r="O164" i="3"/>
  <c r="N164" i="3"/>
  <c r="M164" i="3"/>
  <c r="L164" i="3"/>
  <c r="K164" i="3"/>
  <c r="J164" i="3"/>
  <c r="I164" i="3"/>
  <c r="H164" i="3"/>
  <c r="G164" i="3"/>
  <c r="F164" i="3"/>
  <c r="E164" i="3"/>
  <c r="D164" i="3"/>
  <c r="C164" i="3"/>
  <c r="B164" i="3"/>
  <c r="A164" i="3"/>
  <c r="P163" i="3"/>
  <c r="O163" i="3"/>
  <c r="N163" i="3"/>
  <c r="M163" i="3"/>
  <c r="L163" i="3"/>
  <c r="K163" i="3"/>
  <c r="J163" i="3"/>
  <c r="I163" i="3"/>
  <c r="H163" i="3"/>
  <c r="G163" i="3"/>
  <c r="F163" i="3"/>
  <c r="E163" i="3"/>
  <c r="D163" i="3"/>
  <c r="C163" i="3"/>
  <c r="B163" i="3"/>
  <c r="A163" i="3"/>
  <c r="P162" i="3"/>
  <c r="O162" i="3"/>
  <c r="N162" i="3"/>
  <c r="M162" i="3"/>
  <c r="L162" i="3"/>
  <c r="K162" i="3"/>
  <c r="J162" i="3"/>
  <c r="I162" i="3"/>
  <c r="H162" i="3"/>
  <c r="G162" i="3"/>
  <c r="F162" i="3"/>
  <c r="E162" i="3"/>
  <c r="D162" i="3"/>
  <c r="C162" i="3"/>
  <c r="B162" i="3"/>
  <c r="A162" i="3"/>
  <c r="P161" i="3"/>
  <c r="O161" i="3"/>
  <c r="N161" i="3"/>
  <c r="M161" i="3"/>
  <c r="L161" i="3"/>
  <c r="K161" i="3"/>
  <c r="J161" i="3"/>
  <c r="I161" i="3"/>
  <c r="H161" i="3"/>
  <c r="G161" i="3"/>
  <c r="F161" i="3"/>
  <c r="E161" i="3"/>
  <c r="D161" i="3"/>
  <c r="C161" i="3"/>
  <c r="B161" i="3"/>
  <c r="A161" i="3"/>
  <c r="P160" i="3"/>
  <c r="O160" i="3"/>
  <c r="N160" i="3"/>
  <c r="M160" i="3"/>
  <c r="L160" i="3"/>
  <c r="K160" i="3"/>
  <c r="J160" i="3"/>
  <c r="I160" i="3"/>
  <c r="H160" i="3"/>
  <c r="G160" i="3"/>
  <c r="F160" i="3"/>
  <c r="E160" i="3"/>
  <c r="D160" i="3"/>
  <c r="C160" i="3"/>
  <c r="B160" i="3"/>
  <c r="A160" i="3"/>
  <c r="P159" i="3"/>
  <c r="O159" i="3"/>
  <c r="N159" i="3"/>
  <c r="M159" i="3"/>
  <c r="L159" i="3"/>
  <c r="K159" i="3"/>
  <c r="J159" i="3"/>
  <c r="I159" i="3"/>
  <c r="H159" i="3"/>
  <c r="G159" i="3"/>
  <c r="F159" i="3"/>
  <c r="E159" i="3"/>
  <c r="D159" i="3"/>
  <c r="C159" i="3"/>
  <c r="B159" i="3"/>
  <c r="A159" i="3"/>
  <c r="P158" i="3"/>
  <c r="O158" i="3"/>
  <c r="N158" i="3"/>
  <c r="M158" i="3"/>
  <c r="L158" i="3"/>
  <c r="K158" i="3"/>
  <c r="J158" i="3"/>
  <c r="I158" i="3"/>
  <c r="H158" i="3"/>
  <c r="G158" i="3"/>
  <c r="F158" i="3"/>
  <c r="E158" i="3"/>
  <c r="D158" i="3"/>
  <c r="C158" i="3"/>
  <c r="B158" i="3"/>
  <c r="A158" i="3"/>
  <c r="P157" i="3"/>
  <c r="O157" i="3"/>
  <c r="N157" i="3"/>
  <c r="M157" i="3"/>
  <c r="L157" i="3"/>
  <c r="K157" i="3"/>
  <c r="J157" i="3"/>
  <c r="I157" i="3"/>
  <c r="H157" i="3"/>
  <c r="G157" i="3"/>
  <c r="F157" i="3"/>
  <c r="E157" i="3"/>
  <c r="D157" i="3"/>
  <c r="C157" i="3"/>
  <c r="B157" i="3"/>
  <c r="A157" i="3"/>
  <c r="P156" i="3"/>
  <c r="O156" i="3"/>
  <c r="N156" i="3"/>
  <c r="M156" i="3"/>
  <c r="L156" i="3"/>
  <c r="K156" i="3"/>
  <c r="J156" i="3"/>
  <c r="I156" i="3"/>
  <c r="H156" i="3"/>
  <c r="G156" i="3"/>
  <c r="F156" i="3"/>
  <c r="E156" i="3"/>
  <c r="D156" i="3"/>
  <c r="C156" i="3"/>
  <c r="B156" i="3"/>
  <c r="A156" i="3"/>
  <c r="P155" i="3"/>
  <c r="O155" i="3"/>
  <c r="N155" i="3"/>
  <c r="M155" i="3"/>
  <c r="L155" i="3"/>
  <c r="K155" i="3"/>
  <c r="J155" i="3"/>
  <c r="I155" i="3"/>
  <c r="H155" i="3"/>
  <c r="G155" i="3"/>
  <c r="F155" i="3"/>
  <c r="E155" i="3"/>
  <c r="D155" i="3"/>
  <c r="C155" i="3"/>
  <c r="B155" i="3"/>
  <c r="A155" i="3"/>
  <c r="P154" i="3"/>
  <c r="O154" i="3"/>
  <c r="N154" i="3"/>
  <c r="M154" i="3"/>
  <c r="L154" i="3"/>
  <c r="K154" i="3"/>
  <c r="J154" i="3"/>
  <c r="I154" i="3"/>
  <c r="H154" i="3"/>
  <c r="G154" i="3"/>
  <c r="F154" i="3"/>
  <c r="E154" i="3"/>
  <c r="D154" i="3"/>
  <c r="C154" i="3"/>
  <c r="B154" i="3"/>
  <c r="A154" i="3"/>
  <c r="P153" i="3"/>
  <c r="O153" i="3"/>
  <c r="N153" i="3"/>
  <c r="M153" i="3"/>
  <c r="L153" i="3"/>
  <c r="K153" i="3"/>
  <c r="J153" i="3"/>
  <c r="I153" i="3"/>
  <c r="H153" i="3"/>
  <c r="G153" i="3"/>
  <c r="F153" i="3"/>
  <c r="E153" i="3"/>
  <c r="D153" i="3"/>
  <c r="C153" i="3"/>
  <c r="B153" i="3"/>
  <c r="A153" i="3"/>
  <c r="P152" i="3"/>
  <c r="O152" i="3"/>
  <c r="N152" i="3"/>
  <c r="M152" i="3"/>
  <c r="L152" i="3"/>
  <c r="K152" i="3"/>
  <c r="J152" i="3"/>
  <c r="I152" i="3"/>
  <c r="H152" i="3"/>
  <c r="G152" i="3"/>
  <c r="F152" i="3"/>
  <c r="E152" i="3"/>
  <c r="D152" i="3"/>
  <c r="C152" i="3"/>
  <c r="B152" i="3"/>
  <c r="A152" i="3"/>
  <c r="P151" i="3"/>
  <c r="O151" i="3"/>
  <c r="N151" i="3"/>
  <c r="M151" i="3"/>
  <c r="L151" i="3"/>
  <c r="K151" i="3"/>
  <c r="J151" i="3"/>
  <c r="I151" i="3"/>
  <c r="H151" i="3"/>
  <c r="G151" i="3"/>
  <c r="F151" i="3"/>
  <c r="E151" i="3"/>
  <c r="D151" i="3"/>
  <c r="C151" i="3"/>
  <c r="B151" i="3"/>
  <c r="A151" i="3"/>
  <c r="P150" i="3"/>
  <c r="O150" i="3"/>
  <c r="N150" i="3"/>
  <c r="M150" i="3"/>
  <c r="L150" i="3"/>
  <c r="K150" i="3"/>
  <c r="J150" i="3"/>
  <c r="I150" i="3"/>
  <c r="H150" i="3"/>
  <c r="G150" i="3"/>
  <c r="F150" i="3"/>
  <c r="E150" i="3"/>
  <c r="D150" i="3"/>
  <c r="C150" i="3"/>
  <c r="B150" i="3"/>
  <c r="A150" i="3"/>
  <c r="P149" i="3"/>
  <c r="O149" i="3"/>
  <c r="N149" i="3"/>
  <c r="M149" i="3"/>
  <c r="L149" i="3"/>
  <c r="K149" i="3"/>
  <c r="J149" i="3"/>
  <c r="I149" i="3"/>
  <c r="H149" i="3"/>
  <c r="G149" i="3"/>
  <c r="F149" i="3"/>
  <c r="E149" i="3"/>
  <c r="D149" i="3"/>
  <c r="C149" i="3"/>
  <c r="B149" i="3"/>
  <c r="A149" i="3"/>
  <c r="P148" i="3"/>
  <c r="O148" i="3"/>
  <c r="N148" i="3"/>
  <c r="M148" i="3"/>
  <c r="L148" i="3"/>
  <c r="K148" i="3"/>
  <c r="J148" i="3"/>
  <c r="I148" i="3"/>
  <c r="H148" i="3"/>
  <c r="G148" i="3"/>
  <c r="F148" i="3"/>
  <c r="E148" i="3"/>
  <c r="D148" i="3"/>
  <c r="C148" i="3"/>
  <c r="B148" i="3"/>
  <c r="A148" i="3"/>
  <c r="P147" i="3"/>
  <c r="O147" i="3"/>
  <c r="N147" i="3"/>
  <c r="M147" i="3"/>
  <c r="L147" i="3"/>
  <c r="K147" i="3"/>
  <c r="J147" i="3"/>
  <c r="I147" i="3"/>
  <c r="H147" i="3"/>
  <c r="G147" i="3"/>
  <c r="F147" i="3"/>
  <c r="E147" i="3"/>
  <c r="D147" i="3"/>
  <c r="C147" i="3"/>
  <c r="B147" i="3"/>
  <c r="A147" i="3"/>
  <c r="P146" i="3"/>
  <c r="O146" i="3"/>
  <c r="N146" i="3"/>
  <c r="M146" i="3"/>
  <c r="L146" i="3"/>
  <c r="K146" i="3"/>
  <c r="J146" i="3"/>
  <c r="I146" i="3"/>
  <c r="H146" i="3"/>
  <c r="G146" i="3"/>
  <c r="F146" i="3"/>
  <c r="E146" i="3"/>
  <c r="D146" i="3"/>
  <c r="C146" i="3"/>
  <c r="B146" i="3"/>
  <c r="A146" i="3"/>
  <c r="P145" i="3"/>
  <c r="O145" i="3"/>
  <c r="N145" i="3"/>
  <c r="M145" i="3"/>
  <c r="L145" i="3"/>
  <c r="K145" i="3"/>
  <c r="J145" i="3"/>
  <c r="I145" i="3"/>
  <c r="H145" i="3"/>
  <c r="G145" i="3"/>
  <c r="F145" i="3"/>
  <c r="E145" i="3"/>
  <c r="D145" i="3"/>
  <c r="C145" i="3"/>
  <c r="B145" i="3"/>
  <c r="A145" i="3"/>
  <c r="P144" i="3"/>
  <c r="O144" i="3"/>
  <c r="N144" i="3"/>
  <c r="M144" i="3"/>
  <c r="L144" i="3"/>
  <c r="K144" i="3"/>
  <c r="J144" i="3"/>
  <c r="I144" i="3"/>
  <c r="H144" i="3"/>
  <c r="G144" i="3"/>
  <c r="F144" i="3"/>
  <c r="E144" i="3"/>
  <c r="D144" i="3"/>
  <c r="C144" i="3"/>
  <c r="B144" i="3"/>
  <c r="A144" i="3"/>
  <c r="P143" i="3"/>
  <c r="O143" i="3"/>
  <c r="N143" i="3"/>
  <c r="M143" i="3"/>
  <c r="L143" i="3"/>
  <c r="K143" i="3"/>
  <c r="J143" i="3"/>
  <c r="I143" i="3"/>
  <c r="H143" i="3"/>
  <c r="G143" i="3"/>
  <c r="F143" i="3"/>
  <c r="E143" i="3"/>
  <c r="D143" i="3"/>
  <c r="C143" i="3"/>
  <c r="B143" i="3"/>
  <c r="A143" i="3"/>
  <c r="P142" i="3"/>
  <c r="O142" i="3"/>
  <c r="N142" i="3"/>
  <c r="M142" i="3"/>
  <c r="L142" i="3"/>
  <c r="K142" i="3"/>
  <c r="J142" i="3"/>
  <c r="I142" i="3"/>
  <c r="H142" i="3"/>
  <c r="G142" i="3"/>
  <c r="F142" i="3"/>
  <c r="E142" i="3"/>
  <c r="D142" i="3"/>
  <c r="C142" i="3"/>
  <c r="B142" i="3"/>
  <c r="A142" i="3"/>
  <c r="P141" i="3"/>
  <c r="O141" i="3"/>
  <c r="N141" i="3"/>
  <c r="M141" i="3"/>
  <c r="L141" i="3"/>
  <c r="K141" i="3"/>
  <c r="J141" i="3"/>
  <c r="I141" i="3"/>
  <c r="H141" i="3"/>
  <c r="G141" i="3"/>
  <c r="F141" i="3"/>
  <c r="E141" i="3"/>
  <c r="D141" i="3"/>
  <c r="C141" i="3"/>
  <c r="B141" i="3"/>
  <c r="A141" i="3"/>
  <c r="P140" i="3"/>
  <c r="O140" i="3"/>
  <c r="N140" i="3"/>
  <c r="M140" i="3"/>
  <c r="L140" i="3"/>
  <c r="K140" i="3"/>
  <c r="J140" i="3"/>
  <c r="I140" i="3"/>
  <c r="H140" i="3"/>
  <c r="G140" i="3"/>
  <c r="F140" i="3"/>
  <c r="E140" i="3"/>
  <c r="D140" i="3"/>
  <c r="C140" i="3"/>
  <c r="B140" i="3"/>
  <c r="A140" i="3"/>
  <c r="P139" i="3"/>
  <c r="O139" i="3"/>
  <c r="N139" i="3"/>
  <c r="M139" i="3"/>
  <c r="L139" i="3"/>
  <c r="K139" i="3"/>
  <c r="J139" i="3"/>
  <c r="I139" i="3"/>
  <c r="H139" i="3"/>
  <c r="G139" i="3"/>
  <c r="F139" i="3"/>
  <c r="E139" i="3"/>
  <c r="D139" i="3"/>
  <c r="C139" i="3"/>
  <c r="B139" i="3"/>
  <c r="A139" i="3"/>
  <c r="P138" i="3"/>
  <c r="O138" i="3"/>
  <c r="N138" i="3"/>
  <c r="M138" i="3"/>
  <c r="L138" i="3"/>
  <c r="K138" i="3"/>
  <c r="J138" i="3"/>
  <c r="I138" i="3"/>
  <c r="H138" i="3"/>
  <c r="G138" i="3"/>
  <c r="F138" i="3"/>
  <c r="E138" i="3"/>
  <c r="D138" i="3"/>
  <c r="C138" i="3"/>
  <c r="B138" i="3"/>
  <c r="A138" i="3"/>
  <c r="P137" i="3"/>
  <c r="O137" i="3"/>
  <c r="N137" i="3"/>
  <c r="M137" i="3"/>
  <c r="L137" i="3"/>
  <c r="K137" i="3"/>
  <c r="J137" i="3"/>
  <c r="I137" i="3"/>
  <c r="H137" i="3"/>
  <c r="G137" i="3"/>
  <c r="F137" i="3"/>
  <c r="E137" i="3"/>
  <c r="D137" i="3"/>
  <c r="C137" i="3"/>
  <c r="B137" i="3"/>
  <c r="A137" i="3"/>
  <c r="P136" i="3"/>
  <c r="O136" i="3"/>
  <c r="N136" i="3"/>
  <c r="M136" i="3"/>
  <c r="L136" i="3"/>
  <c r="K136" i="3"/>
  <c r="J136" i="3"/>
  <c r="I136" i="3"/>
  <c r="H136" i="3"/>
  <c r="G136" i="3"/>
  <c r="F136" i="3"/>
  <c r="E136" i="3"/>
  <c r="D136" i="3"/>
  <c r="C136" i="3"/>
  <c r="B136" i="3"/>
  <c r="A136" i="3"/>
  <c r="P135" i="3"/>
  <c r="O135" i="3"/>
  <c r="N135" i="3"/>
  <c r="M135" i="3"/>
  <c r="L135" i="3"/>
  <c r="K135" i="3"/>
  <c r="J135" i="3"/>
  <c r="I135" i="3"/>
  <c r="H135" i="3"/>
  <c r="G135" i="3"/>
  <c r="F135" i="3"/>
  <c r="E135" i="3"/>
  <c r="D135" i="3"/>
  <c r="C135" i="3"/>
  <c r="B135" i="3"/>
  <c r="A135" i="3"/>
  <c r="P134" i="3"/>
  <c r="O134" i="3"/>
  <c r="N134" i="3"/>
  <c r="M134" i="3"/>
  <c r="L134" i="3"/>
  <c r="K134" i="3"/>
  <c r="J134" i="3"/>
  <c r="I134" i="3"/>
  <c r="H134" i="3"/>
  <c r="G134" i="3"/>
  <c r="F134" i="3"/>
  <c r="E134" i="3"/>
  <c r="D134" i="3"/>
  <c r="C134" i="3"/>
  <c r="B134" i="3"/>
  <c r="A134" i="3"/>
  <c r="P133" i="3"/>
  <c r="O133" i="3"/>
  <c r="N133" i="3"/>
  <c r="M133" i="3"/>
  <c r="L133" i="3"/>
  <c r="K133" i="3"/>
  <c r="J133" i="3"/>
  <c r="I133" i="3"/>
  <c r="H133" i="3"/>
  <c r="G133" i="3"/>
  <c r="F133" i="3"/>
  <c r="E133" i="3"/>
  <c r="D133" i="3"/>
  <c r="C133" i="3"/>
  <c r="B133" i="3"/>
  <c r="A133" i="3"/>
  <c r="P132" i="3"/>
  <c r="O132" i="3"/>
  <c r="N132" i="3"/>
  <c r="M132" i="3"/>
  <c r="L132" i="3"/>
  <c r="K132" i="3"/>
  <c r="J132" i="3"/>
  <c r="I132" i="3"/>
  <c r="H132" i="3"/>
  <c r="G132" i="3"/>
  <c r="F132" i="3"/>
  <c r="E132" i="3"/>
  <c r="D132" i="3"/>
  <c r="C132" i="3"/>
  <c r="B132" i="3"/>
  <c r="A132" i="3"/>
  <c r="P131" i="3"/>
  <c r="O131" i="3"/>
  <c r="N131" i="3"/>
  <c r="M131" i="3"/>
  <c r="L131" i="3"/>
  <c r="K131" i="3"/>
  <c r="J131" i="3"/>
  <c r="I131" i="3"/>
  <c r="H131" i="3"/>
  <c r="G131" i="3"/>
  <c r="F131" i="3"/>
  <c r="E131" i="3"/>
  <c r="D131" i="3"/>
  <c r="C131" i="3"/>
  <c r="B131" i="3"/>
  <c r="A131" i="3"/>
  <c r="P130" i="3"/>
  <c r="O130" i="3"/>
  <c r="N130" i="3"/>
  <c r="M130" i="3"/>
  <c r="L130" i="3"/>
  <c r="K130" i="3"/>
  <c r="J130" i="3"/>
  <c r="I130" i="3"/>
  <c r="H130" i="3"/>
  <c r="G130" i="3"/>
  <c r="F130" i="3"/>
  <c r="E130" i="3"/>
  <c r="D130" i="3"/>
  <c r="C130" i="3"/>
  <c r="B130" i="3"/>
  <c r="A130" i="3"/>
  <c r="P129" i="3"/>
  <c r="O129" i="3"/>
  <c r="N129" i="3"/>
  <c r="M129" i="3"/>
  <c r="L129" i="3"/>
  <c r="K129" i="3"/>
  <c r="J129" i="3"/>
  <c r="I129" i="3"/>
  <c r="H129" i="3"/>
  <c r="G129" i="3"/>
  <c r="F129" i="3"/>
  <c r="E129" i="3"/>
  <c r="D129" i="3"/>
  <c r="C129" i="3"/>
  <c r="B129" i="3"/>
  <c r="A129" i="3"/>
  <c r="P128" i="3"/>
  <c r="O128" i="3"/>
  <c r="N128" i="3"/>
  <c r="M128" i="3"/>
  <c r="L128" i="3"/>
  <c r="K128" i="3"/>
  <c r="J128" i="3"/>
  <c r="I128" i="3"/>
  <c r="H128" i="3"/>
  <c r="G128" i="3"/>
  <c r="F128" i="3"/>
  <c r="E128" i="3"/>
  <c r="D128" i="3"/>
  <c r="C128" i="3"/>
  <c r="B128" i="3"/>
  <c r="A128" i="3"/>
  <c r="P127" i="3"/>
  <c r="O127" i="3"/>
  <c r="N127" i="3"/>
  <c r="M127" i="3"/>
  <c r="L127" i="3"/>
  <c r="K127" i="3"/>
  <c r="J127" i="3"/>
  <c r="I127" i="3"/>
  <c r="H127" i="3"/>
  <c r="G127" i="3"/>
  <c r="F127" i="3"/>
  <c r="E127" i="3"/>
  <c r="D127" i="3"/>
  <c r="C127" i="3"/>
  <c r="B127" i="3"/>
  <c r="A127" i="3"/>
  <c r="P126" i="3"/>
  <c r="O126" i="3"/>
  <c r="N126" i="3"/>
  <c r="M126" i="3"/>
  <c r="L126" i="3"/>
  <c r="K126" i="3"/>
  <c r="J126" i="3"/>
  <c r="I126" i="3"/>
  <c r="H126" i="3"/>
  <c r="G126" i="3"/>
  <c r="F126" i="3"/>
  <c r="E126" i="3"/>
  <c r="D126" i="3"/>
  <c r="C126" i="3"/>
  <c r="B126" i="3"/>
  <c r="A126" i="3"/>
  <c r="P125" i="3"/>
  <c r="O125" i="3"/>
  <c r="N125" i="3"/>
  <c r="M125" i="3"/>
  <c r="L125" i="3"/>
  <c r="K125" i="3"/>
  <c r="J125" i="3"/>
  <c r="I125" i="3"/>
  <c r="H125" i="3"/>
  <c r="G125" i="3"/>
  <c r="F125" i="3"/>
  <c r="E125" i="3"/>
  <c r="D125" i="3"/>
  <c r="C125" i="3"/>
  <c r="B125" i="3"/>
  <c r="A125" i="3"/>
  <c r="P124" i="3"/>
  <c r="O124" i="3"/>
  <c r="N124" i="3"/>
  <c r="M124" i="3"/>
  <c r="L124" i="3"/>
  <c r="K124" i="3"/>
  <c r="J124" i="3"/>
  <c r="I124" i="3"/>
  <c r="H124" i="3"/>
  <c r="G124" i="3"/>
  <c r="F124" i="3"/>
  <c r="E124" i="3"/>
  <c r="D124" i="3"/>
  <c r="C124" i="3"/>
  <c r="B124" i="3"/>
  <c r="A124" i="3"/>
  <c r="P123" i="3"/>
  <c r="O123" i="3"/>
  <c r="N123" i="3"/>
  <c r="M123" i="3"/>
  <c r="L123" i="3"/>
  <c r="K123" i="3"/>
  <c r="J123" i="3"/>
  <c r="I123" i="3"/>
  <c r="H123" i="3"/>
  <c r="G123" i="3"/>
  <c r="F123" i="3"/>
  <c r="E123" i="3"/>
  <c r="D123" i="3"/>
  <c r="C123" i="3"/>
  <c r="B123" i="3"/>
  <c r="A123" i="3"/>
  <c r="P122" i="3"/>
  <c r="O122" i="3"/>
  <c r="N122" i="3"/>
  <c r="M122" i="3"/>
  <c r="L122" i="3"/>
  <c r="K122" i="3"/>
  <c r="J122" i="3"/>
  <c r="I122" i="3"/>
  <c r="H122" i="3"/>
  <c r="G122" i="3"/>
  <c r="F122" i="3"/>
  <c r="E122" i="3"/>
  <c r="D122" i="3"/>
  <c r="C122" i="3"/>
  <c r="B122" i="3"/>
  <c r="A122" i="3"/>
  <c r="P121" i="3"/>
  <c r="O121" i="3"/>
  <c r="N121" i="3"/>
  <c r="M121" i="3"/>
  <c r="L121" i="3"/>
  <c r="K121" i="3"/>
  <c r="J121" i="3"/>
  <c r="I121" i="3"/>
  <c r="H121" i="3"/>
  <c r="G121" i="3"/>
  <c r="F121" i="3"/>
  <c r="E121" i="3"/>
  <c r="D121" i="3"/>
  <c r="C121" i="3"/>
  <c r="B121" i="3"/>
  <c r="A121" i="3"/>
  <c r="P120" i="3"/>
  <c r="O120" i="3"/>
  <c r="N120" i="3"/>
  <c r="M120" i="3"/>
  <c r="L120" i="3"/>
  <c r="K120" i="3"/>
  <c r="J120" i="3"/>
  <c r="I120" i="3"/>
  <c r="H120" i="3"/>
  <c r="G120" i="3"/>
  <c r="F120" i="3"/>
  <c r="E120" i="3"/>
  <c r="D120" i="3"/>
  <c r="C120" i="3"/>
  <c r="B120" i="3"/>
  <c r="A120" i="3"/>
  <c r="P119" i="3" l="1"/>
  <c r="O119" i="3"/>
  <c r="N119" i="3"/>
  <c r="M119" i="3"/>
  <c r="L119" i="3"/>
  <c r="K119" i="3"/>
  <c r="J119" i="3"/>
  <c r="I119" i="3"/>
  <c r="H119" i="3"/>
  <c r="G119" i="3"/>
  <c r="F119" i="3"/>
  <c r="E119" i="3"/>
  <c r="D119" i="3"/>
  <c r="C119" i="3"/>
  <c r="B119" i="3"/>
  <c r="A119" i="3"/>
  <c r="P118" i="3"/>
  <c r="O118" i="3"/>
  <c r="N118" i="3"/>
  <c r="M118" i="3"/>
  <c r="L118" i="3"/>
  <c r="K118" i="3"/>
  <c r="J118" i="3"/>
  <c r="I118" i="3"/>
  <c r="H118" i="3"/>
  <c r="G118" i="3"/>
  <c r="F118" i="3"/>
  <c r="E118" i="3"/>
  <c r="D118" i="3"/>
  <c r="C118" i="3"/>
  <c r="B118" i="3"/>
  <c r="A118" i="3"/>
  <c r="P117" i="3"/>
  <c r="O117" i="3"/>
  <c r="N117" i="3"/>
  <c r="M117" i="3"/>
  <c r="L117" i="3"/>
  <c r="K117" i="3"/>
  <c r="J117" i="3"/>
  <c r="I117" i="3"/>
  <c r="H117" i="3"/>
  <c r="G117" i="3"/>
  <c r="F117" i="3"/>
  <c r="E117" i="3"/>
  <c r="D117" i="3"/>
  <c r="C117" i="3"/>
  <c r="B117" i="3"/>
  <c r="A117" i="3"/>
  <c r="P116" i="3"/>
  <c r="O116" i="3"/>
  <c r="N116" i="3"/>
  <c r="M116" i="3"/>
  <c r="L116" i="3"/>
  <c r="K116" i="3"/>
  <c r="J116" i="3"/>
  <c r="I116" i="3"/>
  <c r="H116" i="3"/>
  <c r="G116" i="3"/>
  <c r="F116" i="3"/>
  <c r="E116" i="3"/>
  <c r="D116" i="3"/>
  <c r="C116" i="3"/>
  <c r="B116" i="3"/>
  <c r="A116" i="3"/>
  <c r="P115" i="3"/>
  <c r="O115" i="3"/>
  <c r="N115" i="3"/>
  <c r="M115" i="3"/>
  <c r="L115" i="3"/>
  <c r="K115" i="3"/>
  <c r="J115" i="3"/>
  <c r="I115" i="3"/>
  <c r="H115" i="3"/>
  <c r="G115" i="3"/>
  <c r="F115" i="3"/>
  <c r="E115" i="3"/>
  <c r="D115" i="3"/>
  <c r="C115" i="3"/>
  <c r="B115" i="3"/>
  <c r="A115" i="3"/>
  <c r="P114" i="3"/>
  <c r="O114" i="3"/>
  <c r="N114" i="3"/>
  <c r="M114" i="3"/>
  <c r="L114" i="3"/>
  <c r="K114" i="3"/>
  <c r="J114" i="3"/>
  <c r="I114" i="3"/>
  <c r="H114" i="3"/>
  <c r="G114" i="3"/>
  <c r="F114" i="3"/>
  <c r="E114" i="3"/>
  <c r="D114" i="3"/>
  <c r="C114" i="3"/>
  <c r="B114" i="3"/>
  <c r="A114" i="3"/>
  <c r="P113" i="3"/>
  <c r="O113" i="3"/>
  <c r="N113" i="3"/>
  <c r="M113" i="3"/>
  <c r="L113" i="3"/>
  <c r="K113" i="3"/>
  <c r="J113" i="3"/>
  <c r="I113" i="3"/>
  <c r="H113" i="3"/>
  <c r="G113" i="3"/>
  <c r="F113" i="3"/>
  <c r="E113" i="3"/>
  <c r="D113" i="3"/>
  <c r="C113" i="3"/>
  <c r="B113" i="3"/>
  <c r="A113" i="3"/>
  <c r="P112" i="3"/>
  <c r="O112" i="3"/>
  <c r="N112" i="3"/>
  <c r="M112" i="3"/>
  <c r="L112" i="3"/>
  <c r="K112" i="3"/>
  <c r="J112" i="3"/>
  <c r="I112" i="3"/>
  <c r="H112" i="3"/>
  <c r="G112" i="3"/>
  <c r="F112" i="3"/>
  <c r="E112" i="3"/>
  <c r="D112" i="3"/>
  <c r="C112" i="3"/>
  <c r="B112" i="3"/>
  <c r="A112" i="3"/>
  <c r="P111" i="3"/>
  <c r="O111" i="3"/>
  <c r="N111" i="3"/>
  <c r="M111" i="3"/>
  <c r="L111" i="3"/>
  <c r="K111" i="3"/>
  <c r="J111" i="3"/>
  <c r="I111" i="3"/>
  <c r="H111" i="3"/>
  <c r="G111" i="3"/>
  <c r="F111" i="3"/>
  <c r="E111" i="3"/>
  <c r="D111" i="3"/>
  <c r="C111" i="3"/>
  <c r="B111" i="3"/>
  <c r="A111" i="3"/>
  <c r="P110" i="3"/>
  <c r="O110" i="3"/>
  <c r="N110" i="3"/>
  <c r="M110" i="3"/>
  <c r="L110" i="3"/>
  <c r="K110" i="3"/>
  <c r="J110" i="3"/>
  <c r="I110" i="3"/>
  <c r="H110" i="3"/>
  <c r="G110" i="3"/>
  <c r="F110" i="3"/>
  <c r="E110" i="3"/>
  <c r="D110" i="3"/>
  <c r="C110" i="3"/>
  <c r="B110" i="3"/>
  <c r="A110" i="3"/>
  <c r="P109" i="3"/>
  <c r="O109" i="3"/>
  <c r="N109" i="3"/>
  <c r="M109" i="3"/>
  <c r="L109" i="3"/>
  <c r="K109" i="3"/>
  <c r="J109" i="3"/>
  <c r="I109" i="3"/>
  <c r="H109" i="3"/>
  <c r="G109" i="3"/>
  <c r="F109" i="3"/>
  <c r="E109" i="3"/>
  <c r="D109" i="3"/>
  <c r="C109" i="3"/>
  <c r="B109" i="3"/>
  <c r="A109" i="3"/>
  <c r="P108" i="3"/>
  <c r="O108" i="3"/>
  <c r="N108" i="3"/>
  <c r="M108" i="3"/>
  <c r="L108" i="3"/>
  <c r="K108" i="3"/>
  <c r="J108" i="3"/>
  <c r="I108" i="3"/>
  <c r="H108" i="3"/>
  <c r="G108" i="3"/>
  <c r="F108" i="3"/>
  <c r="E108" i="3"/>
  <c r="D108" i="3"/>
  <c r="C108" i="3"/>
  <c r="B108" i="3"/>
  <c r="A108" i="3"/>
  <c r="P107" i="3"/>
  <c r="O107" i="3"/>
  <c r="N107" i="3"/>
  <c r="M107" i="3"/>
  <c r="L107" i="3"/>
  <c r="K107" i="3"/>
  <c r="J107" i="3"/>
  <c r="I107" i="3"/>
  <c r="H107" i="3"/>
  <c r="G107" i="3"/>
  <c r="F107" i="3"/>
  <c r="E107" i="3"/>
  <c r="D107" i="3"/>
  <c r="C107" i="3"/>
  <c r="B107" i="3"/>
  <c r="A107" i="3"/>
  <c r="P106" i="3"/>
  <c r="O106" i="3"/>
  <c r="N106" i="3"/>
  <c r="M106" i="3"/>
  <c r="L106" i="3"/>
  <c r="K106" i="3"/>
  <c r="J106" i="3"/>
  <c r="I106" i="3"/>
  <c r="H106" i="3"/>
  <c r="G106" i="3"/>
  <c r="F106" i="3"/>
  <c r="E106" i="3"/>
  <c r="D106" i="3"/>
  <c r="C106" i="3"/>
  <c r="B106" i="3"/>
  <c r="A106" i="3"/>
  <c r="P105" i="3"/>
  <c r="O105" i="3"/>
  <c r="N105" i="3"/>
  <c r="M105" i="3"/>
  <c r="L105" i="3"/>
  <c r="K105" i="3"/>
  <c r="J105" i="3"/>
  <c r="I105" i="3"/>
  <c r="H105" i="3"/>
  <c r="G105" i="3"/>
  <c r="F105" i="3"/>
  <c r="E105" i="3"/>
  <c r="D105" i="3"/>
  <c r="C105" i="3"/>
  <c r="B105" i="3"/>
  <c r="A105" i="3"/>
  <c r="P104" i="3"/>
  <c r="O104" i="3"/>
  <c r="N104" i="3"/>
  <c r="M104" i="3"/>
  <c r="L104" i="3"/>
  <c r="K104" i="3"/>
  <c r="J104" i="3"/>
  <c r="I104" i="3"/>
  <c r="H104" i="3"/>
  <c r="G104" i="3"/>
  <c r="F104" i="3"/>
  <c r="E104" i="3"/>
  <c r="D104" i="3"/>
  <c r="C104" i="3"/>
  <c r="B104" i="3"/>
  <c r="A104" i="3"/>
  <c r="P103" i="3"/>
  <c r="O103" i="3"/>
  <c r="N103" i="3"/>
  <c r="M103" i="3"/>
  <c r="L103" i="3"/>
  <c r="K103" i="3"/>
  <c r="J103" i="3"/>
  <c r="I103" i="3"/>
  <c r="H103" i="3"/>
  <c r="G103" i="3"/>
  <c r="F103" i="3"/>
  <c r="E103" i="3"/>
  <c r="D103" i="3"/>
  <c r="C103" i="3"/>
  <c r="B103" i="3"/>
  <c r="A103" i="3"/>
  <c r="P102" i="3"/>
  <c r="O102" i="3"/>
  <c r="N102" i="3"/>
  <c r="M102" i="3"/>
  <c r="L102" i="3"/>
  <c r="K102" i="3"/>
  <c r="J102" i="3"/>
  <c r="I102" i="3"/>
  <c r="H102" i="3"/>
  <c r="G102" i="3"/>
  <c r="F102" i="3"/>
  <c r="E102" i="3"/>
  <c r="D102" i="3"/>
  <c r="C102" i="3"/>
  <c r="B102" i="3"/>
  <c r="A102" i="3"/>
  <c r="P101" i="3"/>
  <c r="O101" i="3"/>
  <c r="N101" i="3"/>
  <c r="M101" i="3"/>
  <c r="L101" i="3"/>
  <c r="K101" i="3"/>
  <c r="J101" i="3"/>
  <c r="I101" i="3"/>
  <c r="H101" i="3"/>
  <c r="G101" i="3"/>
  <c r="F101" i="3"/>
  <c r="E101" i="3"/>
  <c r="D101" i="3"/>
  <c r="C101" i="3"/>
  <c r="B101" i="3"/>
  <c r="A101" i="3"/>
  <c r="P100" i="3"/>
  <c r="O100" i="3"/>
  <c r="N100" i="3"/>
  <c r="M100" i="3"/>
  <c r="L100" i="3"/>
  <c r="K100" i="3"/>
  <c r="J100" i="3"/>
  <c r="I100" i="3"/>
  <c r="H100" i="3"/>
  <c r="G100" i="3"/>
  <c r="F100" i="3"/>
  <c r="E100" i="3"/>
  <c r="D100" i="3"/>
  <c r="C100" i="3"/>
  <c r="B100" i="3"/>
  <c r="A100" i="3"/>
  <c r="P99" i="3"/>
  <c r="O99" i="3"/>
  <c r="N99" i="3"/>
  <c r="M99" i="3"/>
  <c r="L99" i="3"/>
  <c r="K99" i="3"/>
  <c r="J99" i="3"/>
  <c r="I99" i="3"/>
  <c r="H99" i="3"/>
  <c r="G99" i="3"/>
  <c r="F99" i="3"/>
  <c r="E99" i="3"/>
  <c r="D99" i="3"/>
  <c r="C99" i="3"/>
  <c r="B99" i="3"/>
  <c r="A99" i="3"/>
  <c r="P98" i="3"/>
  <c r="O98" i="3"/>
  <c r="N98" i="3"/>
  <c r="M98" i="3"/>
  <c r="L98" i="3"/>
  <c r="K98" i="3"/>
  <c r="J98" i="3"/>
  <c r="I98" i="3"/>
  <c r="H98" i="3"/>
  <c r="G98" i="3"/>
  <c r="F98" i="3"/>
  <c r="E98" i="3"/>
  <c r="D98" i="3"/>
  <c r="C98" i="3"/>
  <c r="B98" i="3"/>
  <c r="A98" i="3"/>
  <c r="P97" i="3"/>
  <c r="O97" i="3"/>
  <c r="N97" i="3"/>
  <c r="M97" i="3"/>
  <c r="L97" i="3"/>
  <c r="K97" i="3"/>
  <c r="I97" i="3"/>
  <c r="H97" i="3"/>
  <c r="G97" i="3"/>
  <c r="F97" i="3"/>
  <c r="E97" i="3"/>
  <c r="D97" i="3"/>
  <c r="C97" i="3"/>
  <c r="B97" i="3"/>
  <c r="A97" i="3"/>
  <c r="P96" i="3"/>
  <c r="O96" i="3"/>
  <c r="N96" i="3"/>
  <c r="M96" i="3"/>
  <c r="L96" i="3"/>
  <c r="K96" i="3"/>
  <c r="J96" i="3"/>
  <c r="I96" i="3"/>
  <c r="H96" i="3"/>
  <c r="G96" i="3"/>
  <c r="F96" i="3"/>
  <c r="E96" i="3"/>
  <c r="D96" i="3"/>
  <c r="C96" i="3"/>
  <c r="B96" i="3"/>
  <c r="A96" i="3"/>
  <c r="P95" i="3"/>
  <c r="O95" i="3"/>
  <c r="N95" i="3"/>
  <c r="M95" i="3"/>
  <c r="L95" i="3"/>
  <c r="K95" i="3"/>
  <c r="J95" i="3"/>
  <c r="I95" i="3"/>
  <c r="H95" i="3"/>
  <c r="G95" i="3"/>
  <c r="F95" i="3"/>
  <c r="E95" i="3"/>
  <c r="D95" i="3"/>
  <c r="C95" i="3"/>
  <c r="B95" i="3"/>
  <c r="A95" i="3"/>
  <c r="P94" i="3"/>
  <c r="O94" i="3"/>
  <c r="N94" i="3"/>
  <c r="M94" i="3"/>
  <c r="L94" i="3"/>
  <c r="K94" i="3"/>
  <c r="J94" i="3"/>
  <c r="I94" i="3"/>
  <c r="H94" i="3"/>
  <c r="G94" i="3"/>
  <c r="F94" i="3"/>
  <c r="E94" i="3"/>
  <c r="D94" i="3"/>
  <c r="C94" i="3"/>
  <c r="B94" i="3"/>
  <c r="A94" i="3"/>
  <c r="P93" i="3"/>
  <c r="O93" i="3"/>
  <c r="N93" i="3"/>
  <c r="M93" i="3"/>
  <c r="L93" i="3"/>
  <c r="K93" i="3"/>
  <c r="J93" i="3"/>
  <c r="I93" i="3"/>
  <c r="H93" i="3"/>
  <c r="G93" i="3"/>
  <c r="F93" i="3"/>
  <c r="E93" i="3"/>
  <c r="D93" i="3"/>
  <c r="C93" i="3"/>
  <c r="B93" i="3"/>
  <c r="A93" i="3"/>
  <c r="P92" i="3"/>
  <c r="O92" i="3"/>
  <c r="N92" i="3"/>
  <c r="M92" i="3"/>
  <c r="L92" i="3"/>
  <c r="K92" i="3"/>
  <c r="J92" i="3"/>
  <c r="I92" i="3"/>
  <c r="H92" i="3"/>
  <c r="G92" i="3"/>
  <c r="F92" i="3"/>
  <c r="E92" i="3"/>
  <c r="D92" i="3"/>
  <c r="C92" i="3"/>
  <c r="B92" i="3"/>
  <c r="A92" i="3"/>
  <c r="P91" i="3"/>
  <c r="O91" i="3"/>
  <c r="N91" i="3"/>
  <c r="M91" i="3"/>
  <c r="L91" i="3"/>
  <c r="K91" i="3"/>
  <c r="J91" i="3"/>
  <c r="I91" i="3"/>
  <c r="H91" i="3"/>
  <c r="G91" i="3"/>
  <c r="F91" i="3"/>
  <c r="E91" i="3"/>
  <c r="D91" i="3"/>
  <c r="C91" i="3"/>
  <c r="B91" i="3"/>
  <c r="A91" i="3"/>
  <c r="P90" i="3"/>
  <c r="O90" i="3"/>
  <c r="N90" i="3"/>
  <c r="M90" i="3"/>
  <c r="L90" i="3"/>
  <c r="K90" i="3"/>
  <c r="J90" i="3"/>
  <c r="I90" i="3"/>
  <c r="H90" i="3"/>
  <c r="G90" i="3"/>
  <c r="F90" i="3"/>
  <c r="E90" i="3"/>
  <c r="D90" i="3"/>
  <c r="C90" i="3"/>
  <c r="B90" i="3"/>
  <c r="A90" i="3"/>
  <c r="P89" i="3"/>
  <c r="O89" i="3"/>
  <c r="N89" i="3"/>
  <c r="M89" i="3"/>
  <c r="L89" i="3"/>
  <c r="K89" i="3"/>
  <c r="J89" i="3"/>
  <c r="I89" i="3"/>
  <c r="H89" i="3"/>
  <c r="G89" i="3"/>
  <c r="F89" i="3"/>
  <c r="E89" i="3"/>
  <c r="D89" i="3"/>
  <c r="C89" i="3"/>
  <c r="B89" i="3"/>
  <c r="A89" i="3"/>
  <c r="P88" i="3"/>
  <c r="O88" i="3"/>
  <c r="N88" i="3"/>
  <c r="M88" i="3"/>
  <c r="L88" i="3"/>
  <c r="K88" i="3"/>
  <c r="J88" i="3"/>
  <c r="I88" i="3"/>
  <c r="H88" i="3"/>
  <c r="G88" i="3"/>
  <c r="F88" i="3"/>
  <c r="E88" i="3"/>
  <c r="D88" i="3"/>
  <c r="C88" i="3"/>
  <c r="B88" i="3"/>
  <c r="A88" i="3"/>
  <c r="P87" i="3"/>
  <c r="O87" i="3"/>
  <c r="N87" i="3"/>
  <c r="M87" i="3"/>
  <c r="L87" i="3"/>
  <c r="K87" i="3"/>
  <c r="J87" i="3"/>
  <c r="I87" i="3"/>
  <c r="H87" i="3"/>
  <c r="G87" i="3"/>
  <c r="F87" i="3"/>
  <c r="E87" i="3"/>
  <c r="D87" i="3"/>
  <c r="C87" i="3"/>
  <c r="B87" i="3"/>
  <c r="A87" i="3"/>
  <c r="P86" i="3"/>
  <c r="O86" i="3"/>
  <c r="N86" i="3"/>
  <c r="M86" i="3"/>
  <c r="L86" i="3"/>
  <c r="K86" i="3"/>
  <c r="J86" i="3"/>
  <c r="I86" i="3"/>
  <c r="H86" i="3"/>
  <c r="G86" i="3"/>
  <c r="F86" i="3"/>
  <c r="E86" i="3"/>
  <c r="D86" i="3"/>
  <c r="C86" i="3"/>
  <c r="B86" i="3"/>
  <c r="A86" i="3"/>
  <c r="P85" i="3"/>
  <c r="O85" i="3"/>
  <c r="N85" i="3"/>
  <c r="M85" i="3"/>
  <c r="L85" i="3"/>
  <c r="K85" i="3"/>
  <c r="J85" i="3"/>
  <c r="I85" i="3"/>
  <c r="H85" i="3"/>
  <c r="G85" i="3"/>
  <c r="F85" i="3"/>
  <c r="E85" i="3"/>
  <c r="D85" i="3"/>
  <c r="C85" i="3"/>
  <c r="B85" i="3"/>
  <c r="A85" i="3"/>
  <c r="P84" i="3"/>
  <c r="O84" i="3"/>
  <c r="N84" i="3"/>
  <c r="M84" i="3"/>
  <c r="L84" i="3"/>
  <c r="K84" i="3"/>
  <c r="J84" i="3"/>
  <c r="I84" i="3"/>
  <c r="H84" i="3"/>
  <c r="G84" i="3"/>
  <c r="F84" i="3"/>
  <c r="E84" i="3"/>
  <c r="D84" i="3"/>
  <c r="C84" i="3"/>
  <c r="B84" i="3"/>
  <c r="A84" i="3"/>
  <c r="P83" i="3"/>
  <c r="O83" i="3"/>
  <c r="N83" i="3"/>
  <c r="M83" i="3"/>
  <c r="L83" i="3"/>
  <c r="K83" i="3"/>
  <c r="J83" i="3"/>
  <c r="I83" i="3"/>
  <c r="H83" i="3"/>
  <c r="G83" i="3"/>
  <c r="F83" i="3"/>
  <c r="E83" i="3"/>
  <c r="D83" i="3"/>
  <c r="C83" i="3"/>
  <c r="B83" i="3"/>
  <c r="A83" i="3"/>
  <c r="P82" i="3"/>
  <c r="O82" i="3"/>
  <c r="N82" i="3"/>
  <c r="M82" i="3"/>
  <c r="L82" i="3"/>
  <c r="K82" i="3"/>
  <c r="J82" i="3"/>
  <c r="I82" i="3"/>
  <c r="H82" i="3"/>
  <c r="G82" i="3"/>
  <c r="F82" i="3"/>
  <c r="E82" i="3"/>
  <c r="D82" i="3"/>
  <c r="C82" i="3"/>
  <c r="B82" i="3"/>
  <c r="A82" i="3"/>
  <c r="P81" i="3"/>
  <c r="O81" i="3"/>
  <c r="N81" i="3"/>
  <c r="M81" i="3"/>
  <c r="L81" i="3"/>
  <c r="K81" i="3"/>
  <c r="J81" i="3"/>
  <c r="I81" i="3"/>
  <c r="H81" i="3"/>
  <c r="G81" i="3"/>
  <c r="F81" i="3"/>
  <c r="E81" i="3"/>
  <c r="D81" i="3"/>
  <c r="C81" i="3"/>
  <c r="B81" i="3"/>
  <c r="A81" i="3"/>
  <c r="P80" i="3"/>
  <c r="O80" i="3"/>
  <c r="N80" i="3"/>
  <c r="M80" i="3"/>
  <c r="L80" i="3"/>
  <c r="K80" i="3"/>
  <c r="J80" i="3"/>
  <c r="I80" i="3"/>
  <c r="H80" i="3"/>
  <c r="G80" i="3"/>
  <c r="F80" i="3"/>
  <c r="E80" i="3"/>
  <c r="D80" i="3"/>
  <c r="C80" i="3"/>
  <c r="B80" i="3"/>
  <c r="A80" i="3"/>
  <c r="P79" i="3"/>
  <c r="O79" i="3"/>
  <c r="N79" i="3"/>
  <c r="M79" i="3"/>
  <c r="L79" i="3"/>
  <c r="K79" i="3"/>
  <c r="J79" i="3"/>
  <c r="I79" i="3"/>
  <c r="H79" i="3"/>
  <c r="G79" i="3"/>
  <c r="F79" i="3"/>
  <c r="E79" i="3"/>
  <c r="D79" i="3"/>
  <c r="C79" i="3"/>
  <c r="B79" i="3"/>
  <c r="A79" i="3"/>
  <c r="P78" i="3"/>
  <c r="O78" i="3"/>
  <c r="N78" i="3"/>
  <c r="M78" i="3"/>
  <c r="L78" i="3"/>
  <c r="K78" i="3"/>
  <c r="J78" i="3"/>
  <c r="I78" i="3"/>
  <c r="H78" i="3"/>
  <c r="G78" i="3"/>
  <c r="F78" i="3"/>
  <c r="E78" i="3"/>
  <c r="D78" i="3"/>
  <c r="C78" i="3"/>
  <c r="B78" i="3"/>
  <c r="A78" i="3"/>
  <c r="P77" i="3"/>
  <c r="O77" i="3"/>
  <c r="N77" i="3"/>
  <c r="M77" i="3"/>
  <c r="L77" i="3"/>
  <c r="K77" i="3"/>
  <c r="J77" i="3"/>
  <c r="I77" i="3"/>
  <c r="H77" i="3"/>
  <c r="G77" i="3"/>
  <c r="F77" i="3"/>
  <c r="E77" i="3"/>
  <c r="D77" i="3"/>
  <c r="C77" i="3"/>
  <c r="B77" i="3"/>
  <c r="A77" i="3"/>
  <c r="P76" i="3"/>
  <c r="O76" i="3"/>
  <c r="N76" i="3"/>
  <c r="M76" i="3"/>
  <c r="L76" i="3"/>
  <c r="K76" i="3"/>
  <c r="J76" i="3"/>
  <c r="I76" i="3"/>
  <c r="H76" i="3"/>
  <c r="G76" i="3"/>
  <c r="F76" i="3"/>
  <c r="E76" i="3"/>
  <c r="D76" i="3"/>
  <c r="C76" i="3"/>
  <c r="B76" i="3"/>
  <c r="A76" i="3"/>
  <c r="P75" i="3"/>
  <c r="O75" i="3"/>
  <c r="N75" i="3"/>
  <c r="M75" i="3"/>
  <c r="L75" i="3"/>
  <c r="K75" i="3"/>
  <c r="J75" i="3"/>
  <c r="I75" i="3"/>
  <c r="H75" i="3"/>
  <c r="G75" i="3"/>
  <c r="F75" i="3"/>
  <c r="E75" i="3"/>
  <c r="D75" i="3"/>
  <c r="C75" i="3"/>
  <c r="B75" i="3"/>
  <c r="A75" i="3"/>
  <c r="P74" i="3"/>
  <c r="O74" i="3"/>
  <c r="N74" i="3"/>
  <c r="M74" i="3"/>
  <c r="L74" i="3"/>
  <c r="K74" i="3"/>
  <c r="J74" i="3"/>
  <c r="I74" i="3"/>
  <c r="H74" i="3"/>
  <c r="G74" i="3"/>
  <c r="F74" i="3"/>
  <c r="E74" i="3"/>
  <c r="D74" i="3"/>
  <c r="C74" i="3"/>
  <c r="B74" i="3"/>
  <c r="A74" i="3"/>
  <c r="P73" i="3"/>
  <c r="O73" i="3"/>
  <c r="N73" i="3"/>
  <c r="M73" i="3"/>
  <c r="L73" i="3"/>
  <c r="K73" i="3"/>
  <c r="J73" i="3"/>
  <c r="I73" i="3"/>
  <c r="H73" i="3"/>
  <c r="G73" i="3"/>
  <c r="F73" i="3"/>
  <c r="E73" i="3"/>
  <c r="D73" i="3"/>
  <c r="C73" i="3"/>
  <c r="B73" i="3"/>
  <c r="A73" i="3"/>
  <c r="P72" i="3"/>
  <c r="O72" i="3"/>
  <c r="N72" i="3"/>
  <c r="M72" i="3"/>
  <c r="L72" i="3"/>
  <c r="K72" i="3"/>
  <c r="J72" i="3"/>
  <c r="I72" i="3"/>
  <c r="H72" i="3"/>
  <c r="G72" i="3"/>
  <c r="F72" i="3"/>
  <c r="E72" i="3"/>
  <c r="D72" i="3"/>
  <c r="C72" i="3"/>
  <c r="B72" i="3"/>
  <c r="A72" i="3"/>
  <c r="P71" i="3"/>
  <c r="O71" i="3"/>
  <c r="N71" i="3"/>
  <c r="M71" i="3"/>
  <c r="L71" i="3"/>
  <c r="K71" i="3"/>
  <c r="J71" i="3"/>
  <c r="I71" i="3"/>
  <c r="H71" i="3"/>
  <c r="G71" i="3"/>
  <c r="F71" i="3"/>
  <c r="E71" i="3"/>
  <c r="D71" i="3"/>
  <c r="C71" i="3"/>
  <c r="B71" i="3"/>
  <c r="A71" i="3"/>
  <c r="P70" i="3"/>
  <c r="O70" i="3"/>
  <c r="N70" i="3"/>
  <c r="M70" i="3"/>
  <c r="L70" i="3"/>
  <c r="K70" i="3"/>
  <c r="J70" i="3"/>
  <c r="I70" i="3"/>
  <c r="H70" i="3"/>
  <c r="G70" i="3"/>
  <c r="F70" i="3"/>
  <c r="E70" i="3"/>
  <c r="D70" i="3"/>
  <c r="C70" i="3"/>
  <c r="B70" i="3"/>
  <c r="A70" i="3"/>
  <c r="P69" i="3"/>
  <c r="O69" i="3"/>
  <c r="N69" i="3"/>
  <c r="M69" i="3"/>
  <c r="L69" i="3"/>
  <c r="K69" i="3"/>
  <c r="J69" i="3"/>
  <c r="I69" i="3"/>
  <c r="H69" i="3"/>
  <c r="G69" i="3"/>
  <c r="F69" i="3"/>
  <c r="E69" i="3"/>
  <c r="D69" i="3"/>
  <c r="C69" i="3"/>
  <c r="B69" i="3"/>
  <c r="A69" i="3"/>
  <c r="P68" i="3"/>
  <c r="O68" i="3"/>
  <c r="N68" i="3"/>
  <c r="M68" i="3"/>
  <c r="L68" i="3"/>
  <c r="K68" i="3"/>
  <c r="J68" i="3"/>
  <c r="I68" i="3"/>
  <c r="H68" i="3"/>
  <c r="G68" i="3"/>
  <c r="F68" i="3"/>
  <c r="E68" i="3"/>
  <c r="D68" i="3"/>
  <c r="C68" i="3"/>
  <c r="B68" i="3"/>
  <c r="A68" i="3"/>
  <c r="P67" i="3"/>
  <c r="O67" i="3"/>
  <c r="N67" i="3"/>
  <c r="M67" i="3"/>
  <c r="L67" i="3"/>
  <c r="K67" i="3"/>
  <c r="J67" i="3"/>
  <c r="I67" i="3"/>
  <c r="H67" i="3"/>
  <c r="G67" i="3"/>
  <c r="F67" i="3"/>
  <c r="E67" i="3"/>
  <c r="D67" i="3"/>
  <c r="C67" i="3"/>
  <c r="B67" i="3"/>
  <c r="A67" i="3"/>
  <c r="P66" i="3"/>
  <c r="O66" i="3"/>
  <c r="N66" i="3"/>
  <c r="M66" i="3"/>
  <c r="L66" i="3"/>
  <c r="K66" i="3"/>
  <c r="J66" i="3"/>
  <c r="I66" i="3"/>
  <c r="H66" i="3"/>
  <c r="G66" i="3"/>
  <c r="F66" i="3"/>
  <c r="E66" i="3"/>
  <c r="D66" i="3"/>
  <c r="C66" i="3"/>
  <c r="B66" i="3"/>
  <c r="A66" i="3"/>
  <c r="P65" i="3"/>
  <c r="O65" i="3"/>
  <c r="N65" i="3"/>
  <c r="M65" i="3"/>
  <c r="L65" i="3"/>
  <c r="K65" i="3"/>
  <c r="J65" i="3"/>
  <c r="I65" i="3"/>
  <c r="H65" i="3"/>
  <c r="G65" i="3"/>
  <c r="F65" i="3"/>
  <c r="E65" i="3"/>
  <c r="D65" i="3"/>
  <c r="C65" i="3"/>
  <c r="B65" i="3"/>
  <c r="A65" i="3"/>
  <c r="P64" i="3"/>
  <c r="O64" i="3"/>
  <c r="N64" i="3"/>
  <c r="M64" i="3"/>
  <c r="L64" i="3"/>
  <c r="K64" i="3"/>
  <c r="J64" i="3"/>
  <c r="I64" i="3"/>
  <c r="H64" i="3"/>
  <c r="G64" i="3"/>
  <c r="F64" i="3"/>
  <c r="E64" i="3"/>
  <c r="D64" i="3"/>
  <c r="C64" i="3"/>
  <c r="B64" i="3"/>
  <c r="A64" i="3"/>
  <c r="P63" i="3"/>
  <c r="O63" i="3"/>
  <c r="N63" i="3"/>
  <c r="M63" i="3"/>
  <c r="L63" i="3"/>
  <c r="K63" i="3"/>
  <c r="J63" i="3"/>
  <c r="I63" i="3"/>
  <c r="H63" i="3"/>
  <c r="G63" i="3"/>
  <c r="F63" i="3"/>
  <c r="E63" i="3"/>
  <c r="D63" i="3"/>
  <c r="C63" i="3"/>
  <c r="B63" i="3"/>
  <c r="A63" i="3"/>
  <c r="P62" i="3"/>
  <c r="O62" i="3"/>
  <c r="N62" i="3"/>
  <c r="M62" i="3"/>
  <c r="L62" i="3"/>
  <c r="K62" i="3"/>
  <c r="J62" i="3"/>
  <c r="I62" i="3"/>
  <c r="H62" i="3"/>
  <c r="G62" i="3"/>
  <c r="F62" i="3"/>
  <c r="E62" i="3"/>
  <c r="D62" i="3"/>
  <c r="C62" i="3"/>
  <c r="B62" i="3"/>
  <c r="A62" i="3"/>
  <c r="P61" i="3"/>
  <c r="O61" i="3"/>
  <c r="N61" i="3"/>
  <c r="M61" i="3"/>
  <c r="L61" i="3"/>
  <c r="K61" i="3"/>
  <c r="J61" i="3"/>
  <c r="I61" i="3"/>
  <c r="H61" i="3"/>
  <c r="G61" i="3"/>
  <c r="F61" i="3"/>
  <c r="E61" i="3"/>
  <c r="D61" i="3"/>
  <c r="C61" i="3"/>
  <c r="B61" i="3"/>
  <c r="A61" i="3"/>
  <c r="P60" i="3"/>
  <c r="O60" i="3"/>
  <c r="N60" i="3"/>
  <c r="M60" i="3"/>
  <c r="L60" i="3"/>
  <c r="K60" i="3"/>
  <c r="J60" i="3"/>
  <c r="I60" i="3"/>
  <c r="H60" i="3"/>
  <c r="G60" i="3"/>
  <c r="F60" i="3"/>
  <c r="E60" i="3"/>
  <c r="D60" i="3"/>
  <c r="C60" i="3"/>
  <c r="B60" i="3"/>
  <c r="A60" i="3"/>
  <c r="B298" i="2" l="1"/>
  <c r="B301" i="2" l="1"/>
  <c r="P59" i="3" l="1"/>
  <c r="O59" i="3"/>
  <c r="N59" i="3"/>
  <c r="M59" i="3"/>
  <c r="L59" i="3"/>
  <c r="K59" i="3"/>
  <c r="J59" i="3"/>
  <c r="I59" i="3"/>
  <c r="H59" i="3"/>
  <c r="G59" i="3"/>
  <c r="F59" i="3"/>
  <c r="E59" i="3"/>
  <c r="D59" i="3"/>
  <c r="C59" i="3"/>
  <c r="B59" i="3"/>
  <c r="A59" i="3"/>
  <c r="P58" i="3"/>
  <c r="O58" i="3"/>
  <c r="N58" i="3"/>
  <c r="M58" i="3"/>
  <c r="L58" i="3"/>
  <c r="K58" i="3"/>
  <c r="J58" i="3"/>
  <c r="I58" i="3"/>
  <c r="H58" i="3"/>
  <c r="G58" i="3"/>
  <c r="F58" i="3"/>
  <c r="E58" i="3"/>
  <c r="D58" i="3"/>
  <c r="C58" i="3"/>
  <c r="B58" i="3"/>
  <c r="A58" i="3"/>
  <c r="P57" i="3"/>
  <c r="O57" i="3"/>
  <c r="N57" i="3"/>
  <c r="M57" i="3"/>
  <c r="L57" i="3"/>
  <c r="K57" i="3"/>
  <c r="J57" i="3"/>
  <c r="I57" i="3"/>
  <c r="H57" i="3"/>
  <c r="G57" i="3"/>
  <c r="F57" i="3"/>
  <c r="E57" i="3"/>
  <c r="D57" i="3"/>
  <c r="C57" i="3"/>
  <c r="B57" i="3"/>
  <c r="A57" i="3"/>
  <c r="P56" i="3"/>
  <c r="O56" i="3"/>
  <c r="N56" i="3"/>
  <c r="M56" i="3"/>
  <c r="L56" i="3"/>
  <c r="K56" i="3"/>
  <c r="J56" i="3"/>
  <c r="I56" i="3"/>
  <c r="H56" i="3"/>
  <c r="G56" i="3"/>
  <c r="F56" i="3"/>
  <c r="E56" i="3"/>
  <c r="D56" i="3"/>
  <c r="C56" i="3"/>
  <c r="B56" i="3"/>
  <c r="A56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C55" i="3"/>
  <c r="B55" i="3"/>
  <c r="A55" i="3"/>
  <c r="P54" i="3"/>
  <c r="O54" i="3"/>
  <c r="N54" i="3"/>
  <c r="M54" i="3"/>
  <c r="L54" i="3"/>
  <c r="K54" i="3"/>
  <c r="J54" i="3"/>
  <c r="I54" i="3"/>
  <c r="H54" i="3"/>
  <c r="G54" i="3"/>
  <c r="F54" i="3"/>
  <c r="E54" i="3"/>
  <c r="D54" i="3"/>
  <c r="C54" i="3"/>
  <c r="B54" i="3"/>
  <c r="A54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C53" i="3"/>
  <c r="B53" i="3"/>
  <c r="A53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C52" i="3"/>
  <c r="B52" i="3"/>
  <c r="A52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C51" i="3"/>
  <c r="B51" i="3"/>
  <c r="A51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C50" i="3"/>
  <c r="B50" i="3"/>
  <c r="A50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C49" i="3"/>
  <c r="B49" i="3"/>
  <c r="A49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C48" i="3"/>
  <c r="B48" i="3"/>
  <c r="A48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C47" i="3"/>
  <c r="B47" i="3"/>
  <c r="A47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C46" i="3"/>
  <c r="B46" i="3"/>
  <c r="A46" i="3"/>
  <c r="P45" i="3" l="1"/>
  <c r="O45" i="3"/>
  <c r="N45" i="3"/>
  <c r="M45" i="3"/>
  <c r="L45" i="3"/>
  <c r="K45" i="3"/>
  <c r="J45" i="3"/>
  <c r="I45" i="3"/>
  <c r="H45" i="3"/>
  <c r="G45" i="3"/>
  <c r="F45" i="3"/>
  <c r="E45" i="3"/>
  <c r="D45" i="3"/>
  <c r="C45" i="3"/>
  <c r="B45" i="3"/>
  <c r="A45" i="3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C44" i="3"/>
  <c r="B44" i="3"/>
  <c r="A44" i="3"/>
  <c r="P43" i="3"/>
  <c r="O43" i="3"/>
  <c r="N43" i="3"/>
  <c r="M43" i="3"/>
  <c r="L43" i="3"/>
  <c r="K43" i="3"/>
  <c r="J43" i="3"/>
  <c r="I43" i="3"/>
  <c r="H43" i="3"/>
  <c r="G43" i="3"/>
  <c r="F43" i="3"/>
  <c r="E43" i="3"/>
  <c r="D43" i="3"/>
  <c r="C43" i="3"/>
  <c r="B43" i="3"/>
  <c r="A43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C42" i="3"/>
  <c r="B42" i="3"/>
  <c r="A42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C41" i="3"/>
  <c r="B41" i="3"/>
  <c r="A41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C40" i="3"/>
  <c r="B40" i="3"/>
  <c r="A40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C39" i="3"/>
  <c r="B39" i="3"/>
  <c r="A39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C38" i="3"/>
  <c r="B38" i="3"/>
  <c r="A38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C37" i="3"/>
  <c r="B37" i="3"/>
  <c r="A37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36" i="3"/>
  <c r="B36" i="3"/>
  <c r="A36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B35" i="3"/>
  <c r="A35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C34" i="3"/>
  <c r="B34" i="3"/>
  <c r="A34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33" i="3"/>
  <c r="B33" i="3"/>
  <c r="A33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32" i="3"/>
  <c r="B32" i="3"/>
  <c r="A32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31" i="3"/>
  <c r="B31" i="3"/>
  <c r="A31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30" i="3"/>
  <c r="B30" i="3"/>
  <c r="A30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B29" i="3"/>
  <c r="A29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28" i="3"/>
  <c r="B28" i="3"/>
  <c r="A28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B27" i="3"/>
  <c r="A27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B26" i="3"/>
  <c r="A26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25" i="3"/>
  <c r="B25" i="3"/>
  <c r="A25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24" i="3"/>
  <c r="B24" i="3"/>
  <c r="A24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23" i="3"/>
  <c r="B23" i="3"/>
  <c r="A23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B22" i="3"/>
  <c r="A22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B21" i="3"/>
  <c r="A21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A20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B19" i="3"/>
  <c r="A19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B18" i="3"/>
  <c r="A18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B17" i="3"/>
  <c r="A17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A16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A15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A14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A13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A12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A11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A10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B9" i="3"/>
  <c r="A9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A8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A7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B6" i="3"/>
  <c r="A6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B5" i="3"/>
  <c r="A5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A4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B3" i="3"/>
  <c r="A3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B2" i="3"/>
  <c r="A2" i="3"/>
  <c r="P342" i="2"/>
  <c r="O342" i="2"/>
  <c r="N342" i="2"/>
  <c r="M342" i="2"/>
  <c r="L342" i="2"/>
  <c r="K342" i="2"/>
  <c r="J342" i="2"/>
  <c r="I342" i="2"/>
  <c r="H342" i="2"/>
  <c r="G342" i="2"/>
  <c r="F342" i="2"/>
  <c r="E342" i="2"/>
  <c r="D342" i="2"/>
  <c r="C342" i="2"/>
  <c r="B342" i="2"/>
  <c r="A342" i="2"/>
  <c r="P341" i="2"/>
  <c r="O341" i="2"/>
  <c r="N341" i="2"/>
  <c r="M341" i="2"/>
  <c r="L341" i="2"/>
  <c r="K341" i="2"/>
  <c r="J341" i="2"/>
  <c r="I341" i="2"/>
  <c r="H341" i="2"/>
  <c r="G341" i="2"/>
  <c r="F341" i="2"/>
  <c r="E341" i="2"/>
  <c r="D341" i="2"/>
  <c r="C341" i="2"/>
  <c r="B341" i="2"/>
  <c r="A341" i="2"/>
  <c r="P340" i="2"/>
  <c r="O340" i="2"/>
  <c r="N340" i="2"/>
  <c r="M340" i="2"/>
  <c r="L340" i="2"/>
  <c r="K340" i="2"/>
  <c r="J340" i="2"/>
  <c r="I340" i="2"/>
  <c r="H340" i="2"/>
  <c r="G340" i="2"/>
  <c r="F340" i="2"/>
  <c r="E340" i="2"/>
  <c r="D340" i="2"/>
  <c r="C340" i="2"/>
  <c r="B340" i="2"/>
  <c r="A340" i="2"/>
  <c r="P339" i="2"/>
  <c r="O339" i="2"/>
  <c r="N339" i="2"/>
  <c r="M339" i="2"/>
  <c r="L339" i="2"/>
  <c r="K339" i="2"/>
  <c r="J339" i="2"/>
  <c r="I339" i="2"/>
  <c r="H339" i="2"/>
  <c r="G339" i="2"/>
  <c r="F339" i="2"/>
  <c r="E339" i="2"/>
  <c r="D339" i="2"/>
  <c r="C339" i="2"/>
  <c r="B339" i="2"/>
  <c r="A339" i="2"/>
  <c r="P338" i="2"/>
  <c r="O338" i="2"/>
  <c r="N338" i="2"/>
  <c r="M338" i="2"/>
  <c r="L338" i="2"/>
  <c r="K338" i="2"/>
  <c r="J338" i="2"/>
  <c r="I338" i="2"/>
  <c r="H338" i="2"/>
  <c r="G338" i="2"/>
  <c r="F338" i="2"/>
  <c r="E338" i="2"/>
  <c r="D338" i="2"/>
  <c r="C338" i="2"/>
  <c r="B338" i="2"/>
  <c r="A338" i="2"/>
  <c r="P337" i="2"/>
  <c r="O337" i="2"/>
  <c r="N337" i="2"/>
  <c r="M337" i="2"/>
  <c r="L337" i="2"/>
  <c r="K337" i="2"/>
  <c r="J337" i="2"/>
  <c r="I337" i="2"/>
  <c r="H337" i="2"/>
  <c r="G337" i="2"/>
  <c r="F337" i="2"/>
  <c r="E337" i="2"/>
  <c r="D337" i="2"/>
  <c r="C337" i="2"/>
  <c r="B337" i="2"/>
  <c r="A337" i="2"/>
  <c r="P336" i="2"/>
  <c r="O336" i="2"/>
  <c r="N336" i="2"/>
  <c r="M336" i="2"/>
  <c r="L336" i="2"/>
  <c r="K336" i="2"/>
  <c r="J336" i="2"/>
  <c r="I336" i="2"/>
  <c r="H336" i="2"/>
  <c r="G336" i="2"/>
  <c r="F336" i="2"/>
  <c r="E336" i="2"/>
  <c r="D336" i="2"/>
  <c r="C336" i="2"/>
  <c r="B336" i="2"/>
  <c r="A336" i="2"/>
  <c r="P335" i="2"/>
  <c r="O335" i="2"/>
  <c r="N335" i="2"/>
  <c r="M335" i="2"/>
  <c r="L335" i="2"/>
  <c r="K335" i="2"/>
  <c r="J335" i="2"/>
  <c r="I335" i="2"/>
  <c r="H335" i="2"/>
  <c r="G335" i="2"/>
  <c r="F335" i="2"/>
  <c r="E335" i="2"/>
  <c r="D335" i="2"/>
  <c r="C335" i="2"/>
  <c r="B335" i="2"/>
  <c r="A335" i="2"/>
  <c r="P334" i="2"/>
  <c r="O334" i="2"/>
  <c r="N334" i="2"/>
  <c r="M334" i="2"/>
  <c r="L334" i="2"/>
  <c r="K334" i="2"/>
  <c r="J334" i="2"/>
  <c r="I334" i="2"/>
  <c r="H334" i="2"/>
  <c r="G334" i="2"/>
  <c r="F334" i="2"/>
  <c r="E334" i="2"/>
  <c r="D334" i="2"/>
  <c r="C334" i="2"/>
  <c r="B334" i="2"/>
  <c r="A334" i="2"/>
  <c r="P333" i="2"/>
  <c r="O333" i="2"/>
  <c r="N333" i="2"/>
  <c r="M333" i="2"/>
  <c r="L333" i="2"/>
  <c r="K333" i="2"/>
  <c r="J333" i="2"/>
  <c r="I333" i="2"/>
  <c r="H333" i="2"/>
  <c r="G333" i="2"/>
  <c r="F333" i="2"/>
  <c r="E333" i="2"/>
  <c r="D333" i="2"/>
  <c r="C333" i="2"/>
  <c r="B333" i="2"/>
  <c r="A333" i="2"/>
  <c r="P332" i="2"/>
  <c r="O332" i="2"/>
  <c r="N332" i="2"/>
  <c r="M332" i="2"/>
  <c r="L332" i="2"/>
  <c r="K332" i="2"/>
  <c r="J332" i="2"/>
  <c r="I332" i="2"/>
  <c r="H332" i="2"/>
  <c r="G332" i="2"/>
  <c r="F332" i="2"/>
  <c r="E332" i="2"/>
  <c r="D332" i="2"/>
  <c r="C332" i="2"/>
  <c r="B332" i="2"/>
  <c r="A332" i="2"/>
  <c r="P331" i="2"/>
  <c r="O331" i="2"/>
  <c r="N331" i="2"/>
  <c r="M331" i="2"/>
  <c r="L331" i="2"/>
  <c r="K331" i="2"/>
  <c r="J331" i="2"/>
  <c r="I331" i="2"/>
  <c r="H331" i="2"/>
  <c r="G331" i="2"/>
  <c r="F331" i="2"/>
  <c r="E331" i="2"/>
  <c r="D331" i="2"/>
  <c r="C331" i="2"/>
  <c r="B331" i="2"/>
  <c r="A331" i="2"/>
  <c r="P330" i="2"/>
  <c r="O330" i="2"/>
  <c r="N330" i="2"/>
  <c r="M330" i="2"/>
  <c r="L330" i="2"/>
  <c r="K330" i="2"/>
  <c r="J330" i="2"/>
  <c r="I330" i="2"/>
  <c r="H330" i="2"/>
  <c r="G330" i="2"/>
  <c r="F330" i="2"/>
  <c r="E330" i="2"/>
  <c r="D330" i="2"/>
  <c r="C330" i="2"/>
  <c r="B330" i="2"/>
  <c r="A330" i="2"/>
  <c r="P329" i="2"/>
  <c r="O329" i="2"/>
  <c r="N329" i="2"/>
  <c r="M329" i="2"/>
  <c r="L329" i="2"/>
  <c r="K329" i="2"/>
  <c r="J329" i="2"/>
  <c r="I329" i="2"/>
  <c r="H329" i="2"/>
  <c r="G329" i="2"/>
  <c r="F329" i="2"/>
  <c r="E329" i="2"/>
  <c r="D329" i="2"/>
  <c r="C329" i="2"/>
  <c r="B329" i="2"/>
  <c r="A329" i="2"/>
  <c r="P328" i="2"/>
  <c r="O328" i="2"/>
  <c r="N328" i="2"/>
  <c r="M328" i="2"/>
  <c r="L328" i="2"/>
  <c r="K328" i="2"/>
  <c r="J328" i="2"/>
  <c r="I328" i="2"/>
  <c r="H328" i="2"/>
  <c r="G328" i="2"/>
  <c r="F328" i="2"/>
  <c r="E328" i="2"/>
  <c r="D328" i="2"/>
  <c r="C328" i="2"/>
  <c r="B328" i="2"/>
  <c r="A328" i="2"/>
  <c r="P327" i="2"/>
  <c r="O327" i="2"/>
  <c r="N327" i="2"/>
  <c r="M327" i="2"/>
  <c r="L327" i="2"/>
  <c r="K327" i="2"/>
  <c r="J327" i="2"/>
  <c r="I327" i="2"/>
  <c r="H327" i="2"/>
  <c r="G327" i="2"/>
  <c r="F327" i="2"/>
  <c r="E327" i="2"/>
  <c r="D327" i="2"/>
  <c r="C327" i="2"/>
  <c r="B327" i="2"/>
  <c r="A327" i="2"/>
  <c r="P326" i="2"/>
  <c r="O326" i="2"/>
  <c r="N326" i="2"/>
  <c r="M326" i="2"/>
  <c r="L326" i="2"/>
  <c r="K326" i="2"/>
  <c r="J326" i="2"/>
  <c r="I326" i="2"/>
  <c r="H326" i="2"/>
  <c r="G326" i="2"/>
  <c r="F326" i="2"/>
  <c r="E326" i="2"/>
  <c r="D326" i="2"/>
  <c r="C326" i="2"/>
  <c r="B326" i="2"/>
  <c r="A326" i="2"/>
  <c r="P325" i="2"/>
  <c r="O325" i="2"/>
  <c r="N325" i="2"/>
  <c r="M325" i="2"/>
  <c r="L325" i="2"/>
  <c r="K325" i="2"/>
  <c r="J325" i="2"/>
  <c r="I325" i="2"/>
  <c r="H325" i="2"/>
  <c r="G325" i="2"/>
  <c r="F325" i="2"/>
  <c r="E325" i="2"/>
  <c r="D325" i="2"/>
  <c r="C325" i="2"/>
  <c r="B325" i="2"/>
  <c r="A325" i="2"/>
  <c r="P324" i="2"/>
  <c r="O324" i="2"/>
  <c r="N324" i="2"/>
  <c r="M324" i="2"/>
  <c r="L324" i="2"/>
  <c r="K324" i="2"/>
  <c r="J324" i="2"/>
  <c r="I324" i="2"/>
  <c r="H324" i="2"/>
  <c r="G324" i="2"/>
  <c r="F324" i="2"/>
  <c r="E324" i="2"/>
  <c r="D324" i="2"/>
  <c r="C324" i="2"/>
  <c r="B324" i="2"/>
  <c r="A324" i="2"/>
  <c r="P323" i="2"/>
  <c r="O323" i="2"/>
  <c r="N323" i="2"/>
  <c r="M323" i="2"/>
  <c r="L323" i="2"/>
  <c r="K323" i="2"/>
  <c r="J323" i="2"/>
  <c r="I323" i="2"/>
  <c r="H323" i="2"/>
  <c r="G323" i="2"/>
  <c r="F323" i="2"/>
  <c r="E323" i="2"/>
  <c r="D323" i="2"/>
  <c r="C323" i="2"/>
  <c r="B323" i="2"/>
  <c r="A323" i="2"/>
  <c r="P322" i="2"/>
  <c r="O322" i="2"/>
  <c r="N322" i="2"/>
  <c r="M322" i="2"/>
  <c r="L322" i="2"/>
  <c r="K322" i="2"/>
  <c r="J322" i="2"/>
  <c r="I322" i="2"/>
  <c r="H322" i="2"/>
  <c r="G322" i="2"/>
  <c r="F322" i="2"/>
  <c r="E322" i="2"/>
  <c r="D322" i="2"/>
  <c r="C322" i="2"/>
  <c r="B322" i="2"/>
  <c r="A322" i="2"/>
  <c r="P321" i="2"/>
  <c r="O321" i="2"/>
  <c r="N321" i="2"/>
  <c r="M321" i="2"/>
  <c r="L321" i="2"/>
  <c r="K321" i="2"/>
  <c r="J321" i="2"/>
  <c r="I321" i="2"/>
  <c r="H321" i="2"/>
  <c r="G321" i="2"/>
  <c r="F321" i="2"/>
  <c r="E321" i="2"/>
  <c r="D321" i="2"/>
  <c r="C321" i="2"/>
  <c r="B321" i="2"/>
  <c r="A321" i="2"/>
  <c r="P320" i="2"/>
  <c r="O320" i="2"/>
  <c r="N320" i="2"/>
  <c r="M320" i="2"/>
  <c r="L320" i="2"/>
  <c r="K320" i="2"/>
  <c r="J320" i="2"/>
  <c r="I320" i="2"/>
  <c r="H320" i="2"/>
  <c r="G320" i="2"/>
  <c r="F320" i="2"/>
  <c r="E320" i="2"/>
  <c r="D320" i="2"/>
  <c r="C320" i="2"/>
  <c r="B320" i="2"/>
  <c r="A320" i="2"/>
  <c r="P319" i="2"/>
  <c r="O319" i="2"/>
  <c r="N319" i="2"/>
  <c r="M319" i="2"/>
  <c r="L319" i="2"/>
  <c r="K319" i="2"/>
  <c r="J319" i="2"/>
  <c r="I319" i="2"/>
  <c r="H319" i="2"/>
  <c r="G319" i="2"/>
  <c r="F319" i="2"/>
  <c r="E319" i="2"/>
  <c r="D319" i="2"/>
  <c r="C319" i="2"/>
  <c r="B319" i="2"/>
  <c r="A319" i="2"/>
  <c r="P318" i="2"/>
  <c r="O318" i="2"/>
  <c r="N318" i="2"/>
  <c r="M318" i="2"/>
  <c r="L318" i="2"/>
  <c r="K318" i="2"/>
  <c r="J318" i="2"/>
  <c r="I318" i="2"/>
  <c r="H318" i="2"/>
  <c r="G318" i="2"/>
  <c r="F318" i="2"/>
  <c r="E318" i="2"/>
  <c r="D318" i="2"/>
  <c r="C318" i="2"/>
  <c r="B318" i="2"/>
  <c r="A318" i="2"/>
  <c r="P317" i="2"/>
  <c r="O317" i="2"/>
  <c r="N317" i="2"/>
  <c r="M317" i="2"/>
  <c r="L317" i="2"/>
  <c r="K317" i="2"/>
  <c r="J317" i="2"/>
  <c r="I317" i="2"/>
  <c r="H317" i="2"/>
  <c r="G317" i="2"/>
  <c r="F317" i="2"/>
  <c r="E317" i="2"/>
  <c r="D317" i="2"/>
  <c r="C317" i="2"/>
  <c r="B317" i="2"/>
  <c r="A317" i="2"/>
  <c r="P316" i="2"/>
  <c r="O316" i="2"/>
  <c r="N316" i="2"/>
  <c r="M316" i="2"/>
  <c r="L316" i="2"/>
  <c r="K316" i="2"/>
  <c r="J316" i="2"/>
  <c r="I316" i="2"/>
  <c r="H316" i="2"/>
  <c r="G316" i="2"/>
  <c r="F316" i="2"/>
  <c r="E316" i="2"/>
  <c r="D316" i="2"/>
  <c r="C316" i="2"/>
  <c r="B316" i="2"/>
  <c r="A316" i="2"/>
  <c r="P315" i="2"/>
  <c r="O315" i="2"/>
  <c r="N315" i="2"/>
  <c r="M315" i="2"/>
  <c r="L315" i="2"/>
  <c r="K315" i="2"/>
  <c r="J315" i="2"/>
  <c r="I315" i="2"/>
  <c r="H315" i="2"/>
  <c r="G315" i="2"/>
  <c r="F315" i="2"/>
  <c r="E315" i="2"/>
  <c r="D315" i="2"/>
  <c r="C315" i="2"/>
  <c r="B315" i="2"/>
  <c r="A315" i="2"/>
  <c r="P314" i="2"/>
  <c r="O314" i="2"/>
  <c r="N314" i="2"/>
  <c r="M314" i="2"/>
  <c r="L314" i="2"/>
  <c r="K314" i="2"/>
  <c r="J314" i="2"/>
  <c r="I314" i="2"/>
  <c r="H314" i="2"/>
  <c r="G314" i="2"/>
  <c r="F314" i="2"/>
  <c r="E314" i="2"/>
  <c r="D314" i="2"/>
  <c r="C314" i="2"/>
  <c r="B314" i="2"/>
  <c r="A314" i="2"/>
  <c r="P313" i="2"/>
  <c r="O313" i="2"/>
  <c r="N313" i="2"/>
  <c r="M313" i="2"/>
  <c r="L313" i="2"/>
  <c r="K313" i="2"/>
  <c r="J313" i="2"/>
  <c r="I313" i="2"/>
  <c r="H313" i="2"/>
  <c r="G313" i="2"/>
  <c r="F313" i="2"/>
  <c r="E313" i="2"/>
  <c r="D313" i="2"/>
  <c r="C313" i="2"/>
  <c r="B313" i="2"/>
  <c r="A313" i="2"/>
  <c r="P312" i="2"/>
  <c r="O312" i="2"/>
  <c r="N312" i="2"/>
  <c r="M312" i="2"/>
  <c r="L312" i="2"/>
  <c r="K312" i="2"/>
  <c r="J312" i="2"/>
  <c r="I312" i="2"/>
  <c r="H312" i="2"/>
  <c r="G312" i="2"/>
  <c r="F312" i="2"/>
  <c r="E312" i="2"/>
  <c r="D312" i="2"/>
  <c r="C312" i="2"/>
  <c r="B312" i="2"/>
  <c r="A312" i="2"/>
  <c r="P311" i="2"/>
  <c r="O311" i="2"/>
  <c r="N311" i="2"/>
  <c r="M311" i="2"/>
  <c r="L311" i="2"/>
  <c r="K311" i="2"/>
  <c r="J311" i="2"/>
  <c r="I311" i="2"/>
  <c r="H311" i="2"/>
  <c r="G311" i="2"/>
  <c r="F311" i="2"/>
  <c r="E311" i="2"/>
  <c r="D311" i="2"/>
  <c r="C311" i="2"/>
  <c r="B311" i="2"/>
  <c r="A311" i="2"/>
  <c r="P310" i="2"/>
  <c r="O310" i="2"/>
  <c r="N310" i="2"/>
  <c r="M310" i="2"/>
  <c r="L310" i="2"/>
  <c r="K310" i="2"/>
  <c r="J310" i="2"/>
  <c r="I310" i="2"/>
  <c r="H310" i="2"/>
  <c r="G310" i="2"/>
  <c r="F310" i="2"/>
  <c r="E310" i="2"/>
  <c r="D310" i="2"/>
  <c r="C310" i="2"/>
  <c r="B310" i="2"/>
  <c r="A310" i="2"/>
  <c r="P309" i="2"/>
  <c r="O309" i="2"/>
  <c r="N309" i="2"/>
  <c r="M309" i="2"/>
  <c r="L309" i="2"/>
  <c r="K309" i="2"/>
  <c r="J309" i="2"/>
  <c r="I309" i="2"/>
  <c r="H309" i="2"/>
  <c r="G309" i="2"/>
  <c r="F309" i="2"/>
  <c r="E309" i="2"/>
  <c r="D309" i="2"/>
  <c r="C309" i="2"/>
  <c r="B309" i="2"/>
  <c r="A309" i="2"/>
  <c r="P308" i="2"/>
  <c r="O308" i="2"/>
  <c r="N308" i="2"/>
  <c r="M308" i="2"/>
  <c r="L308" i="2"/>
  <c r="K308" i="2"/>
  <c r="J308" i="2"/>
  <c r="I308" i="2"/>
  <c r="H308" i="2"/>
  <c r="G308" i="2"/>
  <c r="F308" i="2"/>
  <c r="E308" i="2"/>
  <c r="D308" i="2"/>
  <c r="C308" i="2"/>
  <c r="B308" i="2"/>
  <c r="A308" i="2"/>
  <c r="P307" i="2"/>
  <c r="O307" i="2"/>
  <c r="N307" i="2"/>
  <c r="M307" i="2"/>
  <c r="L307" i="2"/>
  <c r="K307" i="2"/>
  <c r="J307" i="2"/>
  <c r="I307" i="2"/>
  <c r="H307" i="2"/>
  <c r="G307" i="2"/>
  <c r="F307" i="2"/>
  <c r="E307" i="2"/>
  <c r="D307" i="2"/>
  <c r="C307" i="2"/>
  <c r="B307" i="2"/>
  <c r="A307" i="2"/>
  <c r="P306" i="2"/>
  <c r="O306" i="2"/>
  <c r="N306" i="2"/>
  <c r="M306" i="2"/>
  <c r="L306" i="2"/>
  <c r="K306" i="2"/>
  <c r="J306" i="2"/>
  <c r="I306" i="2"/>
  <c r="H306" i="2"/>
  <c r="G306" i="2"/>
  <c r="F306" i="2"/>
  <c r="E306" i="2"/>
  <c r="D306" i="2"/>
  <c r="C306" i="2"/>
  <c r="B306" i="2"/>
  <c r="A306" i="2"/>
  <c r="P305" i="2"/>
  <c r="O305" i="2"/>
  <c r="N305" i="2"/>
  <c r="M305" i="2"/>
  <c r="L305" i="2"/>
  <c r="K305" i="2"/>
  <c r="J305" i="2"/>
  <c r="I305" i="2"/>
  <c r="H305" i="2"/>
  <c r="G305" i="2"/>
  <c r="F305" i="2"/>
  <c r="E305" i="2"/>
  <c r="D305" i="2"/>
  <c r="C305" i="2"/>
  <c r="B305" i="2"/>
  <c r="A305" i="2"/>
  <c r="P304" i="2"/>
  <c r="O304" i="2"/>
  <c r="N304" i="2"/>
  <c r="M304" i="2"/>
  <c r="L304" i="2"/>
  <c r="K304" i="2"/>
  <c r="J304" i="2"/>
  <c r="I304" i="2"/>
  <c r="H304" i="2"/>
  <c r="G304" i="2"/>
  <c r="F304" i="2"/>
  <c r="E304" i="2"/>
  <c r="D304" i="2"/>
  <c r="C304" i="2"/>
  <c r="B304" i="2"/>
  <c r="A304" i="2"/>
  <c r="P303" i="2"/>
  <c r="O303" i="2"/>
  <c r="N303" i="2"/>
  <c r="M303" i="2"/>
  <c r="L303" i="2"/>
  <c r="K303" i="2"/>
  <c r="J303" i="2"/>
  <c r="I303" i="2"/>
  <c r="H303" i="2"/>
  <c r="G303" i="2"/>
  <c r="F303" i="2"/>
  <c r="E303" i="2"/>
  <c r="D303" i="2"/>
  <c r="C303" i="2"/>
  <c r="B303" i="2"/>
  <c r="A303" i="2"/>
  <c r="P302" i="2"/>
  <c r="O302" i="2"/>
  <c r="N302" i="2"/>
  <c r="M302" i="2"/>
  <c r="L302" i="2"/>
  <c r="K302" i="2"/>
  <c r="J302" i="2"/>
  <c r="I302" i="2"/>
  <c r="H302" i="2"/>
  <c r="G302" i="2"/>
  <c r="F302" i="2"/>
  <c r="E302" i="2"/>
  <c r="D302" i="2"/>
  <c r="C302" i="2"/>
  <c r="A302" i="2"/>
  <c r="P301" i="2"/>
  <c r="O301" i="2"/>
  <c r="N301" i="2"/>
  <c r="M301" i="2"/>
  <c r="L301" i="2"/>
  <c r="K301" i="2"/>
  <c r="J301" i="2"/>
  <c r="I301" i="2"/>
  <c r="H301" i="2"/>
  <c r="G301" i="2"/>
  <c r="F301" i="2"/>
  <c r="E301" i="2"/>
  <c r="D301" i="2"/>
  <c r="C301" i="2"/>
  <c r="A301" i="2"/>
  <c r="P300" i="2"/>
  <c r="O300" i="2"/>
  <c r="N300" i="2"/>
  <c r="M300" i="2"/>
  <c r="L300" i="2"/>
  <c r="K300" i="2"/>
  <c r="J300" i="2"/>
  <c r="I300" i="2"/>
  <c r="H300" i="2"/>
  <c r="G300" i="2"/>
  <c r="F300" i="2"/>
  <c r="E300" i="2"/>
  <c r="D300" i="2"/>
  <c r="C300" i="2"/>
  <c r="A300" i="2"/>
  <c r="P299" i="2"/>
  <c r="O299" i="2"/>
  <c r="N299" i="2"/>
  <c r="M299" i="2"/>
  <c r="L299" i="2"/>
  <c r="K299" i="2"/>
  <c r="J299" i="2"/>
  <c r="I299" i="2"/>
  <c r="H299" i="2"/>
  <c r="G299" i="2"/>
  <c r="F299" i="2"/>
  <c r="E299" i="2"/>
  <c r="D299" i="2"/>
  <c r="C299" i="2"/>
  <c r="B299" i="2"/>
  <c r="A299" i="2"/>
  <c r="P298" i="2"/>
  <c r="O298" i="2"/>
  <c r="N298" i="2"/>
  <c r="M298" i="2"/>
  <c r="L298" i="2"/>
  <c r="K298" i="2"/>
  <c r="J298" i="2"/>
  <c r="I298" i="2"/>
  <c r="H298" i="2"/>
  <c r="G298" i="2"/>
  <c r="F298" i="2"/>
  <c r="E298" i="2"/>
  <c r="D298" i="2"/>
  <c r="C298" i="2"/>
  <c r="A298" i="2"/>
  <c r="P297" i="2"/>
  <c r="O297" i="2"/>
  <c r="N297" i="2"/>
  <c r="M297" i="2"/>
  <c r="L297" i="2"/>
  <c r="K297" i="2"/>
  <c r="J297" i="2"/>
  <c r="I297" i="2"/>
  <c r="H297" i="2"/>
  <c r="G297" i="2"/>
  <c r="F297" i="2"/>
  <c r="E297" i="2"/>
  <c r="D297" i="2"/>
  <c r="C297" i="2"/>
  <c r="B297" i="2"/>
  <c r="A297" i="2"/>
  <c r="P296" i="2"/>
  <c r="O296" i="2"/>
  <c r="N296" i="2"/>
  <c r="M296" i="2"/>
  <c r="L296" i="2"/>
  <c r="K296" i="2"/>
  <c r="J296" i="2"/>
  <c r="I296" i="2"/>
  <c r="H296" i="2"/>
  <c r="G296" i="2"/>
  <c r="F296" i="2"/>
  <c r="E296" i="2"/>
  <c r="D296" i="2"/>
  <c r="C296" i="2"/>
  <c r="B296" i="2"/>
  <c r="A296" i="2"/>
  <c r="P295" i="2"/>
  <c r="O295" i="2"/>
  <c r="N295" i="2"/>
  <c r="M295" i="2"/>
  <c r="L295" i="2"/>
  <c r="K295" i="2"/>
  <c r="J295" i="2"/>
  <c r="I295" i="2"/>
  <c r="H295" i="2"/>
  <c r="G295" i="2"/>
  <c r="F295" i="2"/>
  <c r="E295" i="2"/>
  <c r="D295" i="2"/>
  <c r="C295" i="2"/>
  <c r="B295" i="2"/>
  <c r="A295" i="2"/>
  <c r="P294" i="2"/>
  <c r="O294" i="2"/>
  <c r="N294" i="2"/>
  <c r="M294" i="2"/>
  <c r="L294" i="2"/>
  <c r="K294" i="2"/>
  <c r="J294" i="2"/>
  <c r="I294" i="2"/>
  <c r="H294" i="2"/>
  <c r="G294" i="2"/>
  <c r="F294" i="2"/>
  <c r="E294" i="2"/>
  <c r="D294" i="2"/>
  <c r="C294" i="2"/>
  <c r="B294" i="2"/>
  <c r="A294" i="2"/>
  <c r="P293" i="2"/>
  <c r="O293" i="2"/>
  <c r="N293" i="2"/>
  <c r="M293" i="2"/>
  <c r="L293" i="2"/>
  <c r="K293" i="2"/>
  <c r="J293" i="2"/>
  <c r="I293" i="2"/>
  <c r="H293" i="2"/>
  <c r="G293" i="2"/>
  <c r="F293" i="2"/>
  <c r="E293" i="2"/>
  <c r="D293" i="2"/>
  <c r="C293" i="2"/>
  <c r="B293" i="2"/>
  <c r="A293" i="2"/>
  <c r="P292" i="2"/>
  <c r="O292" i="2"/>
  <c r="N292" i="2"/>
  <c r="M292" i="2"/>
  <c r="L292" i="2"/>
  <c r="K292" i="2"/>
  <c r="J292" i="2"/>
  <c r="I292" i="2"/>
  <c r="H292" i="2"/>
  <c r="G292" i="2"/>
  <c r="F292" i="2"/>
  <c r="E292" i="2"/>
  <c r="D292" i="2"/>
  <c r="C292" i="2"/>
  <c r="B292" i="2"/>
  <c r="A292" i="2"/>
  <c r="P291" i="2"/>
  <c r="O291" i="2"/>
  <c r="N291" i="2"/>
  <c r="M291" i="2"/>
  <c r="L291" i="2"/>
  <c r="K291" i="2"/>
  <c r="J291" i="2"/>
  <c r="I291" i="2"/>
  <c r="H291" i="2"/>
  <c r="G291" i="2"/>
  <c r="F291" i="2"/>
  <c r="E291" i="2"/>
  <c r="D291" i="2"/>
  <c r="C291" i="2"/>
  <c r="B291" i="2"/>
  <c r="A291" i="2"/>
  <c r="P290" i="2"/>
  <c r="O290" i="2"/>
  <c r="N290" i="2"/>
  <c r="M290" i="2"/>
  <c r="L290" i="2"/>
  <c r="K290" i="2"/>
  <c r="J290" i="2"/>
  <c r="I290" i="2"/>
  <c r="H290" i="2"/>
  <c r="G290" i="2"/>
  <c r="F290" i="2"/>
  <c r="E290" i="2"/>
  <c r="D290" i="2"/>
  <c r="C290" i="2"/>
  <c r="B290" i="2"/>
  <c r="A290" i="2"/>
  <c r="P289" i="2"/>
  <c r="O289" i="2"/>
  <c r="N289" i="2"/>
  <c r="M289" i="2"/>
  <c r="L289" i="2"/>
  <c r="K289" i="2"/>
  <c r="J289" i="2"/>
  <c r="I289" i="2"/>
  <c r="H289" i="2"/>
  <c r="G289" i="2"/>
  <c r="F289" i="2"/>
  <c r="E289" i="2"/>
  <c r="D289" i="2"/>
  <c r="C289" i="2"/>
  <c r="B289" i="2"/>
  <c r="A289" i="2"/>
  <c r="P288" i="2"/>
  <c r="O288" i="2"/>
  <c r="N288" i="2"/>
  <c r="M288" i="2"/>
  <c r="L288" i="2"/>
  <c r="K288" i="2"/>
  <c r="J288" i="2"/>
  <c r="I288" i="2"/>
  <c r="H288" i="2"/>
  <c r="G288" i="2"/>
  <c r="F288" i="2"/>
  <c r="E288" i="2"/>
  <c r="D288" i="2"/>
  <c r="C288" i="2"/>
  <c r="B288" i="2"/>
  <c r="A288" i="2"/>
  <c r="P287" i="2"/>
  <c r="O287" i="2"/>
  <c r="N287" i="2"/>
  <c r="M287" i="2"/>
  <c r="L287" i="2"/>
  <c r="K287" i="2"/>
  <c r="J287" i="2"/>
  <c r="I287" i="2"/>
  <c r="H287" i="2"/>
  <c r="G287" i="2"/>
  <c r="F287" i="2"/>
  <c r="E287" i="2"/>
  <c r="D287" i="2"/>
  <c r="C287" i="2"/>
  <c r="B287" i="2"/>
  <c r="A287" i="2"/>
  <c r="P286" i="2"/>
  <c r="O286" i="2"/>
  <c r="N286" i="2"/>
  <c r="M286" i="2"/>
  <c r="L286" i="2"/>
  <c r="K286" i="2"/>
  <c r="J286" i="2"/>
  <c r="I286" i="2"/>
  <c r="H286" i="2"/>
  <c r="G286" i="2"/>
  <c r="F286" i="2"/>
  <c r="E286" i="2"/>
  <c r="D286" i="2"/>
  <c r="C286" i="2"/>
  <c r="B286" i="2"/>
  <c r="A286" i="2"/>
  <c r="P285" i="2"/>
  <c r="O285" i="2"/>
  <c r="N285" i="2"/>
  <c r="M285" i="2"/>
  <c r="L285" i="2"/>
  <c r="K285" i="2"/>
  <c r="J285" i="2"/>
  <c r="I285" i="2"/>
  <c r="H285" i="2"/>
  <c r="G285" i="2"/>
  <c r="F285" i="2"/>
  <c r="E285" i="2"/>
  <c r="D285" i="2"/>
  <c r="C285" i="2"/>
  <c r="B285" i="2"/>
  <c r="A285" i="2"/>
  <c r="P284" i="2"/>
  <c r="O284" i="2"/>
  <c r="N284" i="2"/>
  <c r="M284" i="2"/>
  <c r="L284" i="2"/>
  <c r="K284" i="2"/>
  <c r="J284" i="2"/>
  <c r="I284" i="2"/>
  <c r="H284" i="2"/>
  <c r="G284" i="2"/>
  <c r="F284" i="2"/>
  <c r="E284" i="2"/>
  <c r="D284" i="2"/>
  <c r="C284" i="2"/>
  <c r="B284" i="2"/>
  <c r="A284" i="2"/>
  <c r="P283" i="2"/>
  <c r="O283" i="2"/>
  <c r="N283" i="2"/>
  <c r="M283" i="2"/>
  <c r="L283" i="2"/>
  <c r="K283" i="2"/>
  <c r="J283" i="2"/>
  <c r="I283" i="2"/>
  <c r="H283" i="2"/>
  <c r="G283" i="2"/>
  <c r="F283" i="2"/>
  <c r="E283" i="2"/>
  <c r="D283" i="2"/>
  <c r="C283" i="2"/>
  <c r="B283" i="2"/>
  <c r="A283" i="2"/>
  <c r="P282" i="2"/>
  <c r="O282" i="2"/>
  <c r="N282" i="2"/>
  <c r="M282" i="2"/>
  <c r="L282" i="2"/>
  <c r="K282" i="2"/>
  <c r="J282" i="2"/>
  <c r="I282" i="2"/>
  <c r="H282" i="2"/>
  <c r="G282" i="2"/>
  <c r="F282" i="2"/>
  <c r="E282" i="2"/>
  <c r="D282" i="2"/>
  <c r="C282" i="2"/>
  <c r="B282" i="2"/>
  <c r="A282" i="2"/>
  <c r="P281" i="2"/>
  <c r="O281" i="2"/>
  <c r="N281" i="2"/>
  <c r="M281" i="2"/>
  <c r="L281" i="2"/>
  <c r="K281" i="2"/>
  <c r="J281" i="2"/>
  <c r="I281" i="2"/>
  <c r="H281" i="2"/>
  <c r="G281" i="2"/>
  <c r="F281" i="2"/>
  <c r="E281" i="2"/>
  <c r="D281" i="2"/>
  <c r="C281" i="2"/>
  <c r="B281" i="2"/>
  <c r="A281" i="2"/>
  <c r="P280" i="2"/>
  <c r="O280" i="2"/>
  <c r="N280" i="2"/>
  <c r="M280" i="2"/>
  <c r="L280" i="2"/>
  <c r="K280" i="2"/>
  <c r="J280" i="2"/>
  <c r="I280" i="2"/>
  <c r="H280" i="2"/>
  <c r="G280" i="2"/>
  <c r="F280" i="2"/>
  <c r="E280" i="2"/>
  <c r="D280" i="2"/>
  <c r="C280" i="2"/>
  <c r="B280" i="2"/>
  <c r="A280" i="2"/>
  <c r="P279" i="2"/>
  <c r="O279" i="2"/>
  <c r="N279" i="2"/>
  <c r="M279" i="2"/>
  <c r="L279" i="2"/>
  <c r="K279" i="2"/>
  <c r="J279" i="2"/>
  <c r="I279" i="2"/>
  <c r="H279" i="2"/>
  <c r="G279" i="2"/>
  <c r="F279" i="2"/>
  <c r="E279" i="2"/>
  <c r="D279" i="2"/>
  <c r="C279" i="2"/>
  <c r="B279" i="2"/>
  <c r="A279" i="2"/>
  <c r="P278" i="2"/>
  <c r="O278" i="2"/>
  <c r="N278" i="2"/>
  <c r="M278" i="2"/>
  <c r="L278" i="2"/>
  <c r="K278" i="2"/>
  <c r="J278" i="2"/>
  <c r="I278" i="2"/>
  <c r="H278" i="2"/>
  <c r="G278" i="2"/>
  <c r="F278" i="2"/>
  <c r="E278" i="2"/>
  <c r="D278" i="2"/>
  <c r="C278" i="2"/>
  <c r="B278" i="2"/>
  <c r="A278" i="2"/>
  <c r="P277" i="2"/>
  <c r="O277" i="2"/>
  <c r="N277" i="2"/>
  <c r="M277" i="2"/>
  <c r="L277" i="2"/>
  <c r="K277" i="2"/>
  <c r="J277" i="2"/>
  <c r="I277" i="2"/>
  <c r="H277" i="2"/>
  <c r="G277" i="2"/>
  <c r="F277" i="2"/>
  <c r="E277" i="2"/>
  <c r="D277" i="2"/>
  <c r="C277" i="2"/>
  <c r="B277" i="2"/>
  <c r="A277" i="2"/>
  <c r="P276" i="2"/>
  <c r="O276" i="2"/>
  <c r="N276" i="2"/>
  <c r="M276" i="2"/>
  <c r="L276" i="2"/>
  <c r="K276" i="2"/>
  <c r="J276" i="2"/>
  <c r="I276" i="2"/>
  <c r="H276" i="2"/>
  <c r="G276" i="2"/>
  <c r="F276" i="2"/>
  <c r="E276" i="2"/>
  <c r="D276" i="2"/>
  <c r="C276" i="2"/>
  <c r="B276" i="2"/>
  <c r="A276" i="2"/>
  <c r="P275" i="2"/>
  <c r="O275" i="2"/>
  <c r="N275" i="2"/>
  <c r="M275" i="2"/>
  <c r="L275" i="2"/>
  <c r="K275" i="2"/>
  <c r="J275" i="2"/>
  <c r="I275" i="2"/>
  <c r="H275" i="2"/>
  <c r="G275" i="2"/>
  <c r="F275" i="2"/>
  <c r="E275" i="2"/>
  <c r="D275" i="2"/>
  <c r="C275" i="2"/>
  <c r="B275" i="2"/>
  <c r="A275" i="2"/>
  <c r="P274" i="2"/>
  <c r="O274" i="2"/>
  <c r="N274" i="2"/>
  <c r="M274" i="2"/>
  <c r="L274" i="2"/>
  <c r="K274" i="2"/>
  <c r="J274" i="2"/>
  <c r="I274" i="2"/>
  <c r="H274" i="2"/>
  <c r="G274" i="2"/>
  <c r="F274" i="2"/>
  <c r="E274" i="2"/>
  <c r="D274" i="2"/>
  <c r="C274" i="2"/>
  <c r="B274" i="2"/>
  <c r="A274" i="2"/>
  <c r="P273" i="2"/>
  <c r="O273" i="2"/>
  <c r="N273" i="2"/>
  <c r="M273" i="2"/>
  <c r="L273" i="2"/>
  <c r="K273" i="2"/>
  <c r="J273" i="2"/>
  <c r="I273" i="2"/>
  <c r="H273" i="2"/>
  <c r="G273" i="2"/>
  <c r="F273" i="2"/>
  <c r="E273" i="2"/>
  <c r="D273" i="2"/>
  <c r="C273" i="2"/>
  <c r="B273" i="2"/>
  <c r="A273" i="2"/>
  <c r="P272" i="2"/>
  <c r="O272" i="2"/>
  <c r="N272" i="2"/>
  <c r="M272" i="2"/>
  <c r="L272" i="2"/>
  <c r="K272" i="2"/>
  <c r="J272" i="2"/>
  <c r="I272" i="2"/>
  <c r="H272" i="2"/>
  <c r="G272" i="2"/>
  <c r="F272" i="2"/>
  <c r="E272" i="2"/>
  <c r="D272" i="2"/>
  <c r="C272" i="2"/>
  <c r="B272" i="2"/>
  <c r="A272" i="2"/>
  <c r="P271" i="2"/>
  <c r="O271" i="2"/>
  <c r="N271" i="2"/>
  <c r="M271" i="2"/>
  <c r="L271" i="2"/>
  <c r="K271" i="2"/>
  <c r="J271" i="2"/>
  <c r="I271" i="2"/>
  <c r="H271" i="2"/>
  <c r="G271" i="2"/>
  <c r="F271" i="2"/>
  <c r="E271" i="2"/>
  <c r="D271" i="2"/>
  <c r="C271" i="2"/>
  <c r="B271" i="2"/>
  <c r="A271" i="2"/>
  <c r="P270" i="2"/>
  <c r="O270" i="2"/>
  <c r="N270" i="2"/>
  <c r="M270" i="2"/>
  <c r="L270" i="2"/>
  <c r="K270" i="2"/>
  <c r="J270" i="2"/>
  <c r="I270" i="2"/>
  <c r="H270" i="2"/>
  <c r="G270" i="2"/>
  <c r="F270" i="2"/>
  <c r="E270" i="2"/>
  <c r="D270" i="2"/>
  <c r="C270" i="2"/>
  <c r="B270" i="2"/>
  <c r="A270" i="2"/>
  <c r="P269" i="2"/>
  <c r="O269" i="2"/>
  <c r="N269" i="2"/>
  <c r="M269" i="2"/>
  <c r="L269" i="2"/>
  <c r="K269" i="2"/>
  <c r="J269" i="2"/>
  <c r="I269" i="2"/>
  <c r="H269" i="2"/>
  <c r="G269" i="2"/>
  <c r="F269" i="2"/>
  <c r="E269" i="2"/>
  <c r="D269" i="2"/>
  <c r="C269" i="2"/>
  <c r="B269" i="2"/>
  <c r="A269" i="2"/>
  <c r="P268" i="2"/>
  <c r="O268" i="2"/>
  <c r="N268" i="2"/>
  <c r="M268" i="2"/>
  <c r="L268" i="2"/>
  <c r="K268" i="2"/>
  <c r="J268" i="2"/>
  <c r="I268" i="2"/>
  <c r="H268" i="2"/>
  <c r="G268" i="2"/>
  <c r="F268" i="2"/>
  <c r="E268" i="2"/>
  <c r="D268" i="2"/>
  <c r="C268" i="2"/>
  <c r="B268" i="2"/>
  <c r="A268" i="2"/>
  <c r="P267" i="2"/>
  <c r="O267" i="2"/>
  <c r="N267" i="2"/>
  <c r="M267" i="2"/>
  <c r="L267" i="2"/>
  <c r="K267" i="2"/>
  <c r="J267" i="2"/>
  <c r="I267" i="2"/>
  <c r="H267" i="2"/>
  <c r="G267" i="2"/>
  <c r="F267" i="2"/>
  <c r="E267" i="2"/>
  <c r="D267" i="2"/>
  <c r="C267" i="2"/>
  <c r="B267" i="2"/>
  <c r="A267" i="2"/>
  <c r="P266" i="2"/>
  <c r="O266" i="2"/>
  <c r="N266" i="2"/>
  <c r="M266" i="2"/>
  <c r="L266" i="2"/>
  <c r="K266" i="2"/>
  <c r="J266" i="2"/>
  <c r="I266" i="2"/>
  <c r="H266" i="2"/>
  <c r="G266" i="2"/>
  <c r="F266" i="2"/>
  <c r="E266" i="2"/>
  <c r="D266" i="2"/>
  <c r="C266" i="2"/>
  <c r="B266" i="2"/>
  <c r="A266" i="2"/>
  <c r="P265" i="2"/>
  <c r="O265" i="2"/>
  <c r="N265" i="2"/>
  <c r="M265" i="2"/>
  <c r="L265" i="2"/>
  <c r="K265" i="2"/>
  <c r="J265" i="2"/>
  <c r="I265" i="2"/>
  <c r="H265" i="2"/>
  <c r="G265" i="2"/>
  <c r="F265" i="2"/>
  <c r="E265" i="2"/>
  <c r="D265" i="2"/>
  <c r="C265" i="2"/>
  <c r="B265" i="2"/>
  <c r="A265" i="2"/>
  <c r="P264" i="2"/>
  <c r="O264" i="2"/>
  <c r="N264" i="2"/>
  <c r="M264" i="2"/>
  <c r="L264" i="2"/>
  <c r="K264" i="2"/>
  <c r="J264" i="2"/>
  <c r="I264" i="2"/>
  <c r="H264" i="2"/>
  <c r="G264" i="2"/>
  <c r="F264" i="2"/>
  <c r="E264" i="2"/>
  <c r="D264" i="2"/>
  <c r="C264" i="2"/>
  <c r="B264" i="2"/>
  <c r="A264" i="2"/>
  <c r="P263" i="2"/>
  <c r="O263" i="2"/>
  <c r="N263" i="2"/>
  <c r="M263" i="2"/>
  <c r="L263" i="2"/>
  <c r="K263" i="2"/>
  <c r="J263" i="2"/>
  <c r="I263" i="2"/>
  <c r="H263" i="2"/>
  <c r="G263" i="2"/>
  <c r="F263" i="2"/>
  <c r="E263" i="2"/>
  <c r="D263" i="2"/>
  <c r="C263" i="2"/>
  <c r="B263" i="2"/>
  <c r="A263" i="2"/>
  <c r="P262" i="2"/>
  <c r="O262" i="2"/>
  <c r="N262" i="2"/>
  <c r="M262" i="2"/>
  <c r="L262" i="2"/>
  <c r="K262" i="2"/>
  <c r="J262" i="2"/>
  <c r="I262" i="2"/>
  <c r="H262" i="2"/>
  <c r="G262" i="2"/>
  <c r="F262" i="2"/>
  <c r="E262" i="2"/>
  <c r="D262" i="2"/>
  <c r="C262" i="2"/>
  <c r="B262" i="2"/>
  <c r="A262" i="2"/>
  <c r="P261" i="2"/>
  <c r="O261" i="2"/>
  <c r="N261" i="2"/>
  <c r="M261" i="2"/>
  <c r="L261" i="2"/>
  <c r="K261" i="2"/>
  <c r="J261" i="2"/>
  <c r="I261" i="2"/>
  <c r="H261" i="2"/>
  <c r="G261" i="2"/>
  <c r="F261" i="2"/>
  <c r="E261" i="2"/>
  <c r="D261" i="2"/>
  <c r="C261" i="2"/>
  <c r="B261" i="2"/>
  <c r="A261" i="2"/>
  <c r="P260" i="2"/>
  <c r="O260" i="2"/>
  <c r="N260" i="2"/>
  <c r="M260" i="2"/>
  <c r="L260" i="2"/>
  <c r="K260" i="2"/>
  <c r="J260" i="2"/>
  <c r="I260" i="2"/>
  <c r="H260" i="2"/>
  <c r="G260" i="2"/>
  <c r="F260" i="2"/>
  <c r="E260" i="2"/>
  <c r="D260" i="2"/>
  <c r="C260" i="2"/>
  <c r="B260" i="2"/>
  <c r="A260" i="2"/>
  <c r="P259" i="2"/>
  <c r="O259" i="2"/>
  <c r="N259" i="2"/>
  <c r="M259" i="2"/>
  <c r="L259" i="2"/>
  <c r="K259" i="2"/>
  <c r="J259" i="2"/>
  <c r="I259" i="2"/>
  <c r="H259" i="2"/>
  <c r="G259" i="2"/>
  <c r="F259" i="2"/>
  <c r="E259" i="2"/>
  <c r="D259" i="2"/>
  <c r="C259" i="2"/>
  <c r="B259" i="2"/>
  <c r="A259" i="2"/>
  <c r="P258" i="2"/>
  <c r="O258" i="2"/>
  <c r="N258" i="2"/>
  <c r="M258" i="2"/>
  <c r="L258" i="2"/>
  <c r="K258" i="2"/>
  <c r="J258" i="2"/>
  <c r="I258" i="2"/>
  <c r="H258" i="2"/>
  <c r="G258" i="2"/>
  <c r="F258" i="2"/>
  <c r="E258" i="2"/>
  <c r="D258" i="2"/>
  <c r="C258" i="2"/>
  <c r="B258" i="2"/>
  <c r="A258" i="2"/>
  <c r="P257" i="2"/>
  <c r="O257" i="2"/>
  <c r="N257" i="2"/>
  <c r="M257" i="2"/>
  <c r="L257" i="2"/>
  <c r="K257" i="2"/>
  <c r="J257" i="2"/>
  <c r="I257" i="2"/>
  <c r="H257" i="2"/>
  <c r="G257" i="2"/>
  <c r="F257" i="2"/>
  <c r="E257" i="2"/>
  <c r="D257" i="2"/>
  <c r="C257" i="2"/>
  <c r="B257" i="2"/>
  <c r="A257" i="2"/>
  <c r="P256" i="2"/>
  <c r="O256" i="2"/>
  <c r="N256" i="2"/>
  <c r="M256" i="2"/>
  <c r="L256" i="2"/>
  <c r="K256" i="2"/>
  <c r="J256" i="2"/>
  <c r="I256" i="2"/>
  <c r="H256" i="2"/>
  <c r="G256" i="2"/>
  <c r="F256" i="2"/>
  <c r="E256" i="2"/>
  <c r="D256" i="2"/>
  <c r="C256" i="2"/>
  <c r="B256" i="2"/>
  <c r="A256" i="2"/>
  <c r="P255" i="2"/>
  <c r="O255" i="2"/>
  <c r="N255" i="2"/>
  <c r="M255" i="2"/>
  <c r="L255" i="2"/>
  <c r="K255" i="2"/>
  <c r="J255" i="2"/>
  <c r="I255" i="2"/>
  <c r="H255" i="2"/>
  <c r="G255" i="2"/>
  <c r="F255" i="2"/>
  <c r="E255" i="2"/>
  <c r="D255" i="2"/>
  <c r="C255" i="2"/>
  <c r="B255" i="2"/>
  <c r="A255" i="2"/>
  <c r="P254" i="2"/>
  <c r="O254" i="2"/>
  <c r="N254" i="2"/>
  <c r="M254" i="2"/>
  <c r="L254" i="2"/>
  <c r="K254" i="2"/>
  <c r="J254" i="2"/>
  <c r="I254" i="2"/>
  <c r="H254" i="2"/>
  <c r="G254" i="2"/>
  <c r="F254" i="2"/>
  <c r="E254" i="2"/>
  <c r="D254" i="2"/>
  <c r="C254" i="2"/>
  <c r="B254" i="2"/>
  <c r="A254" i="2"/>
  <c r="P253" i="2"/>
  <c r="O253" i="2"/>
  <c r="N253" i="2"/>
  <c r="M253" i="2"/>
  <c r="L253" i="2"/>
  <c r="K253" i="2"/>
  <c r="J253" i="2"/>
  <c r="I253" i="2"/>
  <c r="H253" i="2"/>
  <c r="G253" i="2"/>
  <c r="F253" i="2"/>
  <c r="E253" i="2"/>
  <c r="D253" i="2"/>
  <c r="C253" i="2"/>
  <c r="B253" i="2"/>
  <c r="A253" i="2"/>
  <c r="P252" i="2"/>
  <c r="O252" i="2"/>
  <c r="N252" i="2"/>
  <c r="M252" i="2"/>
  <c r="L252" i="2"/>
  <c r="K252" i="2"/>
  <c r="J252" i="2"/>
  <c r="I252" i="2"/>
  <c r="H252" i="2"/>
  <c r="G252" i="2"/>
  <c r="F252" i="2"/>
  <c r="E252" i="2"/>
  <c r="D252" i="2"/>
  <c r="C252" i="2"/>
  <c r="B252" i="2"/>
  <c r="A252" i="2"/>
  <c r="P251" i="2"/>
  <c r="O251" i="2"/>
  <c r="N251" i="2"/>
  <c r="M251" i="2"/>
  <c r="L251" i="2"/>
  <c r="K251" i="2"/>
  <c r="J251" i="2"/>
  <c r="I251" i="2"/>
  <c r="H251" i="2"/>
  <c r="G251" i="2"/>
  <c r="F251" i="2"/>
  <c r="E251" i="2"/>
  <c r="D251" i="2"/>
  <c r="C251" i="2"/>
  <c r="B251" i="2"/>
  <c r="A251" i="2"/>
  <c r="P250" i="2"/>
  <c r="O250" i="2"/>
  <c r="N250" i="2"/>
  <c r="M250" i="2"/>
  <c r="L250" i="2"/>
  <c r="K250" i="2"/>
  <c r="J250" i="2"/>
  <c r="I250" i="2"/>
  <c r="H250" i="2"/>
  <c r="G250" i="2"/>
  <c r="F250" i="2"/>
  <c r="E250" i="2"/>
  <c r="D250" i="2"/>
  <c r="C250" i="2"/>
  <c r="B250" i="2"/>
  <c r="A250" i="2"/>
  <c r="P249" i="2"/>
  <c r="O249" i="2"/>
  <c r="N249" i="2"/>
  <c r="M249" i="2"/>
  <c r="L249" i="2"/>
  <c r="K249" i="2"/>
  <c r="J249" i="2"/>
  <c r="I249" i="2"/>
  <c r="H249" i="2"/>
  <c r="G249" i="2"/>
  <c r="F249" i="2"/>
  <c r="E249" i="2"/>
  <c r="D249" i="2"/>
  <c r="C249" i="2"/>
  <c r="B249" i="2"/>
  <c r="A249" i="2"/>
  <c r="P248" i="2"/>
  <c r="O248" i="2"/>
  <c r="N248" i="2"/>
  <c r="M248" i="2"/>
  <c r="L248" i="2"/>
  <c r="K248" i="2"/>
  <c r="J248" i="2"/>
  <c r="I248" i="2"/>
  <c r="H248" i="2"/>
  <c r="G248" i="2"/>
  <c r="F248" i="2"/>
  <c r="E248" i="2"/>
  <c r="D248" i="2"/>
  <c r="C248" i="2"/>
  <c r="B248" i="2"/>
  <c r="A248" i="2"/>
  <c r="P247" i="2"/>
  <c r="O247" i="2"/>
  <c r="N247" i="2"/>
  <c r="M247" i="2"/>
  <c r="L247" i="2"/>
  <c r="K247" i="2"/>
  <c r="J247" i="2"/>
  <c r="I247" i="2"/>
  <c r="H247" i="2"/>
  <c r="G247" i="2"/>
  <c r="F247" i="2"/>
  <c r="E247" i="2"/>
  <c r="D247" i="2"/>
  <c r="C247" i="2"/>
  <c r="B247" i="2"/>
  <c r="A247" i="2"/>
  <c r="P246" i="2"/>
  <c r="O246" i="2"/>
  <c r="N246" i="2"/>
  <c r="M246" i="2"/>
  <c r="L246" i="2"/>
  <c r="K246" i="2"/>
  <c r="J246" i="2"/>
  <c r="I246" i="2"/>
  <c r="H246" i="2"/>
  <c r="G246" i="2"/>
  <c r="F246" i="2"/>
  <c r="E246" i="2"/>
  <c r="D246" i="2"/>
  <c r="C246" i="2"/>
  <c r="B246" i="2"/>
  <c r="A246" i="2"/>
  <c r="P245" i="2"/>
  <c r="O245" i="2"/>
  <c r="N245" i="2"/>
  <c r="M245" i="2"/>
  <c r="L245" i="2"/>
  <c r="K245" i="2"/>
  <c r="J245" i="2"/>
  <c r="I245" i="2"/>
  <c r="H245" i="2"/>
  <c r="G245" i="2"/>
  <c r="F245" i="2"/>
  <c r="E245" i="2"/>
  <c r="D245" i="2"/>
  <c r="C245" i="2"/>
  <c r="B245" i="2"/>
  <c r="A245" i="2"/>
  <c r="P244" i="2"/>
  <c r="O244" i="2"/>
  <c r="N244" i="2"/>
  <c r="M244" i="2"/>
  <c r="L244" i="2"/>
  <c r="K244" i="2"/>
  <c r="J244" i="2"/>
  <c r="I244" i="2"/>
  <c r="H244" i="2"/>
  <c r="G244" i="2"/>
  <c r="F244" i="2"/>
  <c r="E244" i="2"/>
  <c r="D244" i="2"/>
  <c r="C244" i="2"/>
  <c r="B244" i="2"/>
  <c r="A244" i="2"/>
  <c r="P243" i="2"/>
  <c r="O243" i="2"/>
  <c r="N243" i="2"/>
  <c r="M243" i="2"/>
  <c r="L243" i="2"/>
  <c r="K243" i="2"/>
  <c r="J243" i="2"/>
  <c r="I243" i="2"/>
  <c r="H243" i="2"/>
  <c r="G243" i="2"/>
  <c r="F243" i="2"/>
  <c r="E243" i="2"/>
  <c r="D243" i="2"/>
  <c r="C243" i="2"/>
  <c r="B243" i="2"/>
  <c r="A243" i="2"/>
  <c r="P242" i="2"/>
  <c r="O242" i="2"/>
  <c r="N242" i="2"/>
  <c r="M242" i="2"/>
  <c r="L242" i="2"/>
  <c r="K242" i="2"/>
  <c r="J242" i="2"/>
  <c r="I242" i="2"/>
  <c r="H242" i="2"/>
  <c r="G242" i="2"/>
  <c r="F242" i="2"/>
  <c r="E242" i="2"/>
  <c r="D242" i="2"/>
  <c r="C242" i="2"/>
  <c r="B242" i="2"/>
  <c r="A242" i="2"/>
  <c r="P241" i="2"/>
  <c r="O241" i="2"/>
  <c r="N241" i="2"/>
  <c r="M241" i="2"/>
  <c r="L241" i="2"/>
  <c r="K241" i="2"/>
  <c r="J241" i="2"/>
  <c r="I241" i="2"/>
  <c r="H241" i="2"/>
  <c r="G241" i="2"/>
  <c r="F241" i="2"/>
  <c r="E241" i="2"/>
  <c r="D241" i="2"/>
  <c r="C241" i="2"/>
  <c r="B241" i="2"/>
  <c r="A241" i="2"/>
  <c r="P240" i="2"/>
  <c r="O240" i="2"/>
  <c r="N240" i="2"/>
  <c r="M240" i="2"/>
  <c r="L240" i="2"/>
  <c r="K240" i="2"/>
  <c r="J240" i="2"/>
  <c r="I240" i="2"/>
  <c r="H240" i="2"/>
  <c r="G240" i="2"/>
  <c r="F240" i="2"/>
  <c r="E240" i="2"/>
  <c r="D240" i="2"/>
  <c r="C240" i="2"/>
  <c r="B240" i="2"/>
  <c r="A240" i="2"/>
  <c r="P239" i="2"/>
  <c r="O239" i="2"/>
  <c r="N239" i="2"/>
  <c r="M239" i="2"/>
  <c r="L239" i="2"/>
  <c r="K239" i="2"/>
  <c r="J239" i="2"/>
  <c r="I239" i="2"/>
  <c r="H239" i="2"/>
  <c r="G239" i="2"/>
  <c r="F239" i="2"/>
  <c r="E239" i="2"/>
  <c r="D239" i="2"/>
  <c r="C239" i="2"/>
  <c r="B239" i="2"/>
  <c r="A239" i="2"/>
  <c r="P238" i="2"/>
  <c r="O238" i="2"/>
  <c r="N238" i="2"/>
  <c r="M238" i="2"/>
  <c r="L238" i="2"/>
  <c r="K238" i="2"/>
  <c r="J238" i="2"/>
  <c r="I238" i="2"/>
  <c r="H238" i="2"/>
  <c r="G238" i="2"/>
  <c r="F238" i="2"/>
  <c r="E238" i="2"/>
  <c r="D238" i="2"/>
  <c r="C238" i="2"/>
  <c r="B238" i="2"/>
  <c r="A238" i="2"/>
  <c r="P237" i="2"/>
  <c r="O237" i="2"/>
  <c r="N237" i="2"/>
  <c r="M237" i="2"/>
  <c r="L237" i="2"/>
  <c r="K237" i="2"/>
  <c r="J237" i="2"/>
  <c r="I237" i="2"/>
  <c r="H237" i="2"/>
  <c r="G237" i="2"/>
  <c r="F237" i="2"/>
  <c r="E237" i="2"/>
  <c r="D237" i="2"/>
  <c r="C237" i="2"/>
  <c r="B237" i="2"/>
  <c r="A237" i="2"/>
  <c r="P236" i="2"/>
  <c r="O236" i="2"/>
  <c r="N236" i="2"/>
  <c r="M236" i="2"/>
  <c r="L236" i="2"/>
  <c r="K236" i="2"/>
  <c r="J236" i="2"/>
  <c r="I236" i="2"/>
  <c r="H236" i="2"/>
  <c r="G236" i="2"/>
  <c r="F236" i="2"/>
  <c r="E236" i="2"/>
  <c r="D236" i="2"/>
  <c r="C236" i="2"/>
  <c r="B236" i="2"/>
  <c r="A236" i="2"/>
  <c r="P235" i="2"/>
  <c r="O235" i="2"/>
  <c r="N235" i="2"/>
  <c r="M235" i="2"/>
  <c r="L235" i="2"/>
  <c r="K235" i="2"/>
  <c r="J235" i="2"/>
  <c r="I235" i="2"/>
  <c r="H235" i="2"/>
  <c r="G235" i="2"/>
  <c r="F235" i="2"/>
  <c r="E235" i="2"/>
  <c r="D235" i="2"/>
  <c r="C235" i="2"/>
  <c r="B235" i="2"/>
  <c r="A235" i="2"/>
  <c r="P234" i="2"/>
  <c r="O234" i="2"/>
  <c r="N234" i="2"/>
  <c r="M234" i="2"/>
  <c r="L234" i="2"/>
  <c r="K234" i="2"/>
  <c r="J234" i="2"/>
  <c r="I234" i="2"/>
  <c r="H234" i="2"/>
  <c r="G234" i="2"/>
  <c r="F234" i="2"/>
  <c r="E234" i="2"/>
  <c r="D234" i="2"/>
  <c r="C234" i="2"/>
  <c r="B234" i="2"/>
  <c r="A234" i="2"/>
  <c r="P233" i="2"/>
  <c r="O233" i="2"/>
  <c r="N233" i="2"/>
  <c r="M233" i="2"/>
  <c r="L233" i="2"/>
  <c r="K233" i="2"/>
  <c r="J233" i="2"/>
  <c r="I233" i="2"/>
  <c r="H233" i="2"/>
  <c r="G233" i="2"/>
  <c r="F233" i="2"/>
  <c r="E233" i="2"/>
  <c r="D233" i="2"/>
  <c r="C233" i="2"/>
  <c r="B233" i="2"/>
  <c r="A233" i="2"/>
  <c r="P232" i="2"/>
  <c r="O232" i="2"/>
  <c r="N232" i="2"/>
  <c r="M232" i="2"/>
  <c r="L232" i="2"/>
  <c r="K232" i="2"/>
  <c r="J232" i="2"/>
  <c r="I232" i="2"/>
  <c r="H232" i="2"/>
  <c r="G232" i="2"/>
  <c r="F232" i="2"/>
  <c r="E232" i="2"/>
  <c r="D232" i="2"/>
  <c r="C232" i="2"/>
  <c r="B232" i="2"/>
  <c r="A232" i="2"/>
  <c r="P231" i="2"/>
  <c r="O231" i="2"/>
  <c r="N231" i="2"/>
  <c r="M231" i="2"/>
  <c r="L231" i="2"/>
  <c r="K231" i="2"/>
  <c r="J231" i="2"/>
  <c r="I231" i="2"/>
  <c r="H231" i="2"/>
  <c r="G231" i="2"/>
  <c r="F231" i="2"/>
  <c r="E231" i="2"/>
  <c r="D231" i="2"/>
  <c r="C231" i="2"/>
  <c r="B231" i="2"/>
  <c r="A231" i="2"/>
  <c r="P230" i="2"/>
  <c r="O230" i="2"/>
  <c r="N230" i="2"/>
  <c r="M230" i="2"/>
  <c r="L230" i="2"/>
  <c r="K230" i="2"/>
  <c r="J230" i="2"/>
  <c r="I230" i="2"/>
  <c r="H230" i="2"/>
  <c r="G230" i="2"/>
  <c r="F230" i="2"/>
  <c r="E230" i="2"/>
  <c r="D230" i="2"/>
  <c r="C230" i="2"/>
  <c r="B230" i="2"/>
  <c r="A230" i="2"/>
  <c r="P229" i="2"/>
  <c r="O229" i="2"/>
  <c r="N229" i="2"/>
  <c r="M229" i="2"/>
  <c r="L229" i="2"/>
  <c r="K229" i="2"/>
  <c r="J229" i="2"/>
  <c r="I229" i="2"/>
  <c r="H229" i="2"/>
  <c r="G229" i="2"/>
  <c r="F229" i="2"/>
  <c r="E229" i="2"/>
  <c r="D229" i="2"/>
  <c r="C229" i="2"/>
  <c r="B229" i="2"/>
  <c r="A229" i="2"/>
  <c r="P228" i="2"/>
  <c r="O228" i="2"/>
  <c r="N228" i="2"/>
  <c r="M228" i="2"/>
  <c r="L228" i="2"/>
  <c r="K228" i="2"/>
  <c r="J228" i="2"/>
  <c r="I228" i="2"/>
  <c r="H228" i="2"/>
  <c r="G228" i="2"/>
  <c r="F228" i="2"/>
  <c r="E228" i="2"/>
  <c r="D228" i="2"/>
  <c r="C228" i="2"/>
  <c r="B228" i="2"/>
  <c r="A228" i="2"/>
  <c r="P227" i="2"/>
  <c r="O227" i="2"/>
  <c r="N227" i="2"/>
  <c r="M227" i="2"/>
  <c r="L227" i="2"/>
  <c r="K227" i="2"/>
  <c r="J227" i="2"/>
  <c r="I227" i="2"/>
  <c r="H227" i="2"/>
  <c r="G227" i="2"/>
  <c r="F227" i="2"/>
  <c r="E227" i="2"/>
  <c r="D227" i="2"/>
  <c r="C227" i="2"/>
  <c r="B227" i="2"/>
  <c r="A227" i="2"/>
  <c r="P226" i="2"/>
  <c r="O226" i="2"/>
  <c r="N226" i="2"/>
  <c r="M226" i="2"/>
  <c r="L226" i="2"/>
  <c r="K226" i="2"/>
  <c r="J226" i="2"/>
  <c r="I226" i="2"/>
  <c r="H226" i="2"/>
  <c r="G226" i="2"/>
  <c r="F226" i="2"/>
  <c r="E226" i="2"/>
  <c r="D226" i="2"/>
  <c r="C226" i="2"/>
  <c r="B226" i="2"/>
  <c r="A226" i="2"/>
  <c r="P225" i="2"/>
  <c r="O225" i="2"/>
  <c r="N225" i="2"/>
  <c r="M225" i="2"/>
  <c r="L225" i="2"/>
  <c r="K225" i="2"/>
  <c r="J225" i="2"/>
  <c r="I225" i="2"/>
  <c r="H225" i="2"/>
  <c r="G225" i="2"/>
  <c r="F225" i="2"/>
  <c r="E225" i="2"/>
  <c r="D225" i="2"/>
  <c r="C225" i="2"/>
  <c r="B225" i="2"/>
  <c r="A225" i="2"/>
  <c r="P224" i="2"/>
  <c r="O224" i="2"/>
  <c r="N224" i="2"/>
  <c r="M224" i="2"/>
  <c r="L224" i="2"/>
  <c r="K224" i="2"/>
  <c r="J224" i="2"/>
  <c r="I224" i="2"/>
  <c r="H224" i="2"/>
  <c r="G224" i="2"/>
  <c r="F224" i="2"/>
  <c r="E224" i="2"/>
  <c r="D224" i="2"/>
  <c r="C224" i="2"/>
  <c r="B224" i="2"/>
  <c r="A224" i="2"/>
  <c r="P223" i="2"/>
  <c r="O223" i="2"/>
  <c r="N223" i="2"/>
  <c r="M223" i="2"/>
  <c r="L223" i="2"/>
  <c r="K223" i="2"/>
  <c r="J223" i="2"/>
  <c r="I223" i="2"/>
  <c r="H223" i="2"/>
  <c r="G223" i="2"/>
  <c r="F223" i="2"/>
  <c r="E223" i="2"/>
  <c r="D223" i="2"/>
  <c r="C223" i="2"/>
  <c r="B223" i="2"/>
  <c r="A223" i="2"/>
  <c r="P222" i="2"/>
  <c r="O222" i="2"/>
  <c r="N222" i="2"/>
  <c r="M222" i="2"/>
  <c r="L222" i="2"/>
  <c r="K222" i="2"/>
  <c r="J222" i="2"/>
  <c r="I222" i="2"/>
  <c r="H222" i="2"/>
  <c r="G222" i="2"/>
  <c r="F222" i="2"/>
  <c r="E222" i="2"/>
  <c r="D222" i="2"/>
  <c r="C222" i="2"/>
  <c r="B222" i="2"/>
  <c r="A222" i="2"/>
  <c r="P221" i="2"/>
  <c r="O221" i="2"/>
  <c r="N221" i="2"/>
  <c r="M221" i="2"/>
  <c r="L221" i="2"/>
  <c r="K221" i="2"/>
  <c r="J221" i="2"/>
  <c r="I221" i="2"/>
  <c r="H221" i="2"/>
  <c r="G221" i="2"/>
  <c r="F221" i="2"/>
  <c r="E221" i="2"/>
  <c r="D221" i="2"/>
  <c r="C221" i="2"/>
  <c r="B221" i="2"/>
  <c r="A221" i="2"/>
  <c r="P220" i="2"/>
  <c r="O220" i="2"/>
  <c r="N220" i="2"/>
  <c r="M220" i="2"/>
  <c r="L220" i="2"/>
  <c r="K220" i="2"/>
  <c r="J220" i="2"/>
  <c r="I220" i="2"/>
  <c r="H220" i="2"/>
  <c r="G220" i="2"/>
  <c r="F220" i="2"/>
  <c r="E220" i="2"/>
  <c r="D220" i="2"/>
  <c r="C220" i="2"/>
  <c r="B220" i="2"/>
  <c r="A220" i="2"/>
  <c r="P219" i="2"/>
  <c r="O219" i="2"/>
  <c r="N219" i="2"/>
  <c r="M219" i="2"/>
  <c r="L219" i="2"/>
  <c r="K219" i="2"/>
  <c r="J219" i="2"/>
  <c r="I219" i="2"/>
  <c r="H219" i="2"/>
  <c r="G219" i="2"/>
  <c r="F219" i="2"/>
  <c r="E219" i="2"/>
  <c r="D219" i="2"/>
  <c r="C219" i="2"/>
  <c r="B219" i="2"/>
  <c r="A219" i="2"/>
  <c r="P218" i="2"/>
  <c r="O218" i="2"/>
  <c r="N218" i="2"/>
  <c r="M218" i="2"/>
  <c r="L218" i="2"/>
  <c r="K218" i="2"/>
  <c r="J218" i="2"/>
  <c r="I218" i="2"/>
  <c r="H218" i="2"/>
  <c r="G218" i="2"/>
  <c r="F218" i="2"/>
  <c r="E218" i="2"/>
  <c r="D218" i="2"/>
  <c r="C218" i="2"/>
  <c r="B218" i="2"/>
  <c r="A218" i="2"/>
  <c r="P217" i="2"/>
  <c r="O217" i="2"/>
  <c r="N217" i="2"/>
  <c r="M217" i="2"/>
  <c r="L217" i="2"/>
  <c r="K217" i="2"/>
  <c r="J217" i="2"/>
  <c r="I217" i="2"/>
  <c r="H217" i="2"/>
  <c r="G217" i="2"/>
  <c r="F217" i="2"/>
  <c r="E217" i="2"/>
  <c r="D217" i="2"/>
  <c r="C217" i="2"/>
  <c r="B217" i="2"/>
  <c r="A217" i="2"/>
  <c r="P216" i="2"/>
  <c r="O216" i="2"/>
  <c r="N216" i="2"/>
  <c r="M216" i="2"/>
  <c r="L216" i="2"/>
  <c r="K216" i="2"/>
  <c r="J216" i="2"/>
  <c r="I216" i="2"/>
  <c r="H216" i="2"/>
  <c r="G216" i="2"/>
  <c r="F216" i="2"/>
  <c r="E216" i="2"/>
  <c r="D216" i="2"/>
  <c r="C216" i="2"/>
  <c r="B216" i="2"/>
  <c r="A216" i="2"/>
  <c r="P215" i="2"/>
  <c r="O215" i="2"/>
  <c r="N215" i="2"/>
  <c r="M215" i="2"/>
  <c r="L215" i="2"/>
  <c r="K215" i="2"/>
  <c r="J215" i="2"/>
  <c r="I215" i="2"/>
  <c r="H215" i="2"/>
  <c r="G215" i="2"/>
  <c r="F215" i="2"/>
  <c r="E215" i="2"/>
  <c r="D215" i="2"/>
  <c r="C215" i="2"/>
  <c r="B215" i="2"/>
  <c r="A215" i="2"/>
  <c r="P214" i="2"/>
  <c r="O214" i="2"/>
  <c r="N214" i="2"/>
  <c r="M214" i="2"/>
  <c r="L214" i="2"/>
  <c r="K214" i="2"/>
  <c r="J214" i="2"/>
  <c r="I214" i="2"/>
  <c r="H214" i="2"/>
  <c r="G214" i="2"/>
  <c r="F214" i="2"/>
  <c r="E214" i="2"/>
  <c r="D214" i="2"/>
  <c r="C214" i="2"/>
  <c r="B214" i="2"/>
  <c r="A214" i="2"/>
  <c r="P213" i="2"/>
  <c r="O213" i="2"/>
  <c r="N213" i="2"/>
  <c r="M213" i="2"/>
  <c r="L213" i="2"/>
  <c r="K213" i="2"/>
  <c r="J213" i="2"/>
  <c r="I213" i="2"/>
  <c r="H213" i="2"/>
  <c r="G213" i="2"/>
  <c r="F213" i="2"/>
  <c r="E213" i="2"/>
  <c r="D213" i="2"/>
  <c r="C213" i="2"/>
  <c r="B213" i="2"/>
  <c r="A213" i="2"/>
  <c r="P212" i="2"/>
  <c r="O212" i="2"/>
  <c r="N212" i="2"/>
  <c r="M212" i="2"/>
  <c r="L212" i="2"/>
  <c r="K212" i="2"/>
  <c r="J212" i="2"/>
  <c r="I212" i="2"/>
  <c r="H212" i="2"/>
  <c r="G212" i="2"/>
  <c r="F212" i="2"/>
  <c r="E212" i="2"/>
  <c r="D212" i="2"/>
  <c r="C212" i="2"/>
  <c r="B212" i="2"/>
  <c r="A212" i="2"/>
  <c r="P211" i="2"/>
  <c r="O211" i="2"/>
  <c r="N211" i="2"/>
  <c r="M211" i="2"/>
  <c r="L211" i="2"/>
  <c r="K211" i="2"/>
  <c r="J211" i="2"/>
  <c r="I211" i="2"/>
  <c r="H211" i="2"/>
  <c r="G211" i="2"/>
  <c r="F211" i="2"/>
  <c r="E211" i="2"/>
  <c r="D211" i="2"/>
  <c r="C211" i="2"/>
  <c r="B211" i="2"/>
  <c r="A211" i="2"/>
  <c r="P210" i="2"/>
  <c r="O210" i="2"/>
  <c r="N210" i="2"/>
  <c r="M210" i="2"/>
  <c r="L210" i="2"/>
  <c r="K210" i="2"/>
  <c r="J210" i="2"/>
  <c r="I210" i="2"/>
  <c r="H210" i="2"/>
  <c r="G210" i="2"/>
  <c r="F210" i="2"/>
  <c r="E210" i="2"/>
  <c r="D210" i="2"/>
  <c r="C210" i="2"/>
  <c r="B210" i="2"/>
  <c r="A210" i="2"/>
  <c r="P209" i="2"/>
  <c r="O209" i="2"/>
  <c r="N209" i="2"/>
  <c r="M209" i="2"/>
  <c r="L209" i="2"/>
  <c r="K209" i="2"/>
  <c r="J209" i="2"/>
  <c r="I209" i="2"/>
  <c r="H209" i="2"/>
  <c r="G209" i="2"/>
  <c r="F209" i="2"/>
  <c r="E209" i="2"/>
  <c r="D209" i="2"/>
  <c r="C209" i="2"/>
  <c r="B209" i="2"/>
  <c r="A209" i="2"/>
  <c r="P208" i="2"/>
  <c r="O208" i="2"/>
  <c r="N208" i="2"/>
  <c r="M208" i="2"/>
  <c r="L208" i="2"/>
  <c r="K208" i="2"/>
  <c r="J208" i="2"/>
  <c r="I208" i="2"/>
  <c r="H208" i="2"/>
  <c r="G208" i="2"/>
  <c r="F208" i="2"/>
  <c r="E208" i="2"/>
  <c r="D208" i="2"/>
  <c r="C208" i="2"/>
  <c r="B208" i="2"/>
  <c r="A208" i="2"/>
  <c r="P207" i="2"/>
  <c r="O207" i="2"/>
  <c r="N207" i="2"/>
  <c r="M207" i="2"/>
  <c r="L207" i="2"/>
  <c r="K207" i="2"/>
  <c r="J207" i="2"/>
  <c r="I207" i="2"/>
  <c r="H207" i="2"/>
  <c r="G207" i="2"/>
  <c r="F207" i="2"/>
  <c r="E207" i="2"/>
  <c r="D207" i="2"/>
  <c r="C207" i="2"/>
  <c r="B207" i="2"/>
  <c r="A207" i="2"/>
  <c r="P206" i="2"/>
  <c r="O206" i="2"/>
  <c r="N206" i="2"/>
  <c r="M206" i="2"/>
  <c r="L206" i="2"/>
  <c r="K206" i="2"/>
  <c r="J206" i="2"/>
  <c r="I206" i="2"/>
  <c r="H206" i="2"/>
  <c r="G206" i="2"/>
  <c r="F206" i="2"/>
  <c r="E206" i="2"/>
  <c r="D206" i="2"/>
  <c r="C206" i="2"/>
  <c r="B206" i="2"/>
  <c r="A206" i="2"/>
  <c r="P205" i="2"/>
  <c r="O205" i="2"/>
  <c r="N205" i="2"/>
  <c r="M205" i="2"/>
  <c r="L205" i="2"/>
  <c r="K205" i="2"/>
  <c r="J205" i="2"/>
  <c r="I205" i="2"/>
  <c r="H205" i="2"/>
  <c r="G205" i="2"/>
  <c r="F205" i="2"/>
  <c r="E205" i="2"/>
  <c r="D205" i="2"/>
  <c r="C205" i="2"/>
  <c r="B205" i="2"/>
  <c r="A205" i="2"/>
  <c r="P204" i="2"/>
  <c r="O204" i="2"/>
  <c r="N204" i="2"/>
  <c r="M204" i="2"/>
  <c r="L204" i="2"/>
  <c r="K204" i="2"/>
  <c r="J204" i="2"/>
  <c r="I204" i="2"/>
  <c r="H204" i="2"/>
  <c r="G204" i="2"/>
  <c r="F204" i="2"/>
  <c r="E204" i="2"/>
  <c r="D204" i="2"/>
  <c r="C204" i="2"/>
  <c r="B204" i="2"/>
  <c r="A204" i="2"/>
  <c r="P203" i="2"/>
  <c r="O203" i="2"/>
  <c r="N203" i="2"/>
  <c r="M203" i="2"/>
  <c r="L203" i="2"/>
  <c r="K203" i="2"/>
  <c r="J203" i="2"/>
  <c r="I203" i="2"/>
  <c r="H203" i="2"/>
  <c r="G203" i="2"/>
  <c r="F203" i="2"/>
  <c r="E203" i="2"/>
  <c r="D203" i="2"/>
  <c r="C203" i="2"/>
  <c r="B203" i="2"/>
  <c r="A203" i="2"/>
  <c r="P202" i="2"/>
  <c r="O202" i="2"/>
  <c r="N202" i="2"/>
  <c r="M202" i="2"/>
  <c r="L202" i="2"/>
  <c r="K202" i="2"/>
  <c r="J202" i="2"/>
  <c r="I202" i="2"/>
  <c r="H202" i="2"/>
  <c r="G202" i="2"/>
  <c r="F202" i="2"/>
  <c r="E202" i="2"/>
  <c r="D202" i="2"/>
  <c r="C202" i="2"/>
  <c r="B202" i="2"/>
  <c r="A202" i="2"/>
  <c r="P201" i="2"/>
  <c r="O201" i="2"/>
  <c r="N201" i="2"/>
  <c r="M201" i="2"/>
  <c r="L201" i="2"/>
  <c r="K201" i="2"/>
  <c r="J201" i="2"/>
  <c r="I201" i="2"/>
  <c r="H201" i="2"/>
  <c r="G201" i="2"/>
  <c r="F201" i="2"/>
  <c r="E201" i="2"/>
  <c r="D201" i="2"/>
  <c r="C201" i="2"/>
  <c r="B201" i="2"/>
  <c r="A201" i="2"/>
  <c r="P200" i="2"/>
  <c r="O200" i="2"/>
  <c r="N200" i="2"/>
  <c r="M200" i="2"/>
  <c r="L200" i="2"/>
  <c r="K200" i="2"/>
  <c r="J200" i="2"/>
  <c r="I200" i="2"/>
  <c r="H200" i="2"/>
  <c r="G200" i="2"/>
  <c r="F200" i="2"/>
  <c r="E200" i="2"/>
  <c r="D200" i="2"/>
  <c r="C200" i="2"/>
  <c r="B200" i="2"/>
  <c r="A200" i="2"/>
  <c r="P199" i="2"/>
  <c r="O199" i="2"/>
  <c r="N199" i="2"/>
  <c r="M199" i="2"/>
  <c r="L199" i="2"/>
  <c r="K199" i="2"/>
  <c r="J199" i="2"/>
  <c r="I199" i="2"/>
  <c r="H199" i="2"/>
  <c r="G199" i="2"/>
  <c r="F199" i="2"/>
  <c r="E199" i="2"/>
  <c r="D199" i="2"/>
  <c r="C199" i="2"/>
  <c r="B199" i="2"/>
  <c r="A199" i="2"/>
  <c r="P198" i="2"/>
  <c r="O198" i="2"/>
  <c r="N198" i="2"/>
  <c r="M198" i="2"/>
  <c r="L198" i="2"/>
  <c r="K198" i="2"/>
  <c r="J198" i="2"/>
  <c r="I198" i="2"/>
  <c r="H198" i="2"/>
  <c r="G198" i="2"/>
  <c r="F198" i="2"/>
  <c r="E198" i="2"/>
  <c r="D198" i="2"/>
  <c r="C198" i="2"/>
  <c r="B198" i="2"/>
  <c r="A198" i="2"/>
  <c r="P197" i="2"/>
  <c r="O197" i="2"/>
  <c r="N197" i="2"/>
  <c r="M197" i="2"/>
  <c r="L197" i="2"/>
  <c r="K197" i="2"/>
  <c r="J197" i="2"/>
  <c r="I197" i="2"/>
  <c r="H197" i="2"/>
  <c r="G197" i="2"/>
  <c r="F197" i="2"/>
  <c r="E197" i="2"/>
  <c r="D197" i="2"/>
  <c r="C197" i="2"/>
  <c r="B197" i="2"/>
  <c r="A197" i="2"/>
  <c r="P196" i="2"/>
  <c r="O196" i="2"/>
  <c r="N196" i="2"/>
  <c r="M196" i="2"/>
  <c r="L196" i="2"/>
  <c r="K196" i="2"/>
  <c r="J196" i="2"/>
  <c r="I196" i="2"/>
  <c r="H196" i="2"/>
  <c r="G196" i="2"/>
  <c r="F196" i="2"/>
  <c r="E196" i="2"/>
  <c r="D196" i="2"/>
  <c r="C196" i="2"/>
  <c r="B196" i="2"/>
  <c r="A196" i="2"/>
  <c r="P195" i="2"/>
  <c r="O195" i="2"/>
  <c r="N195" i="2"/>
  <c r="M195" i="2"/>
  <c r="L195" i="2"/>
  <c r="K195" i="2"/>
  <c r="J195" i="2"/>
  <c r="I195" i="2"/>
  <c r="H195" i="2"/>
  <c r="G195" i="2"/>
  <c r="F195" i="2"/>
  <c r="E195" i="2"/>
  <c r="D195" i="2"/>
  <c r="C195" i="2"/>
  <c r="B195" i="2"/>
  <c r="A195" i="2"/>
  <c r="P194" i="2"/>
  <c r="O194" i="2"/>
  <c r="N194" i="2"/>
  <c r="M194" i="2"/>
  <c r="L194" i="2"/>
  <c r="K194" i="2"/>
  <c r="J194" i="2"/>
  <c r="I194" i="2"/>
  <c r="H194" i="2"/>
  <c r="G194" i="2"/>
  <c r="F194" i="2"/>
  <c r="E194" i="2"/>
  <c r="D194" i="2"/>
  <c r="C194" i="2"/>
  <c r="B194" i="2"/>
  <c r="A194" i="2"/>
  <c r="P193" i="2"/>
  <c r="O193" i="2"/>
  <c r="N193" i="2"/>
  <c r="M193" i="2"/>
  <c r="L193" i="2"/>
  <c r="K193" i="2"/>
  <c r="J193" i="2"/>
  <c r="I193" i="2"/>
  <c r="H193" i="2"/>
  <c r="G193" i="2"/>
  <c r="F193" i="2"/>
  <c r="E193" i="2"/>
  <c r="D193" i="2"/>
  <c r="C193" i="2"/>
  <c r="B193" i="2"/>
  <c r="A193" i="2"/>
  <c r="P192" i="2"/>
  <c r="O192" i="2"/>
  <c r="N192" i="2"/>
  <c r="M192" i="2"/>
  <c r="L192" i="2"/>
  <c r="K192" i="2"/>
  <c r="J192" i="2"/>
  <c r="I192" i="2"/>
  <c r="H192" i="2"/>
  <c r="G192" i="2"/>
  <c r="F192" i="2"/>
  <c r="E192" i="2"/>
  <c r="D192" i="2"/>
  <c r="C192" i="2"/>
  <c r="B192" i="2"/>
  <c r="A192" i="2"/>
  <c r="P191" i="2"/>
  <c r="O191" i="2"/>
  <c r="N191" i="2"/>
  <c r="M191" i="2"/>
  <c r="L191" i="2"/>
  <c r="K191" i="2"/>
  <c r="J191" i="2"/>
  <c r="I191" i="2"/>
  <c r="H191" i="2"/>
  <c r="G191" i="2"/>
  <c r="F191" i="2"/>
  <c r="E191" i="2"/>
  <c r="D191" i="2"/>
  <c r="C191" i="2"/>
  <c r="B191" i="2"/>
  <c r="A191" i="2"/>
  <c r="P190" i="2"/>
  <c r="O190" i="2"/>
  <c r="N190" i="2"/>
  <c r="M190" i="2"/>
  <c r="L190" i="2"/>
  <c r="K190" i="2"/>
  <c r="J190" i="2"/>
  <c r="I190" i="2"/>
  <c r="H190" i="2"/>
  <c r="G190" i="2"/>
  <c r="F190" i="2"/>
  <c r="E190" i="2"/>
  <c r="D190" i="2"/>
  <c r="C190" i="2"/>
  <c r="B190" i="2"/>
  <c r="A190" i="2"/>
  <c r="P189" i="2"/>
  <c r="O189" i="2"/>
  <c r="N189" i="2"/>
  <c r="M189" i="2"/>
  <c r="L189" i="2"/>
  <c r="K189" i="2"/>
  <c r="J189" i="2"/>
  <c r="I189" i="2"/>
  <c r="H189" i="2"/>
  <c r="G189" i="2"/>
  <c r="F189" i="2"/>
  <c r="E189" i="2"/>
  <c r="D189" i="2"/>
  <c r="C189" i="2"/>
  <c r="B189" i="2"/>
  <c r="A189" i="2"/>
  <c r="P188" i="2"/>
  <c r="O188" i="2"/>
  <c r="N188" i="2"/>
  <c r="M188" i="2"/>
  <c r="L188" i="2"/>
  <c r="K188" i="2"/>
  <c r="J188" i="2"/>
  <c r="I188" i="2"/>
  <c r="H188" i="2"/>
  <c r="G188" i="2"/>
  <c r="F188" i="2"/>
  <c r="E188" i="2"/>
  <c r="D188" i="2"/>
  <c r="C188" i="2"/>
  <c r="B188" i="2"/>
  <c r="A188" i="2"/>
  <c r="P187" i="2"/>
  <c r="O187" i="2"/>
  <c r="N187" i="2"/>
  <c r="M187" i="2"/>
  <c r="L187" i="2"/>
  <c r="K187" i="2"/>
  <c r="J187" i="2"/>
  <c r="I187" i="2"/>
  <c r="H187" i="2"/>
  <c r="G187" i="2"/>
  <c r="F187" i="2"/>
  <c r="E187" i="2"/>
  <c r="D187" i="2"/>
  <c r="C187" i="2"/>
  <c r="B187" i="2"/>
  <c r="A187" i="2"/>
  <c r="P186" i="2"/>
  <c r="O186" i="2"/>
  <c r="N186" i="2"/>
  <c r="M186" i="2"/>
  <c r="L186" i="2"/>
  <c r="K186" i="2"/>
  <c r="J186" i="2"/>
  <c r="I186" i="2"/>
  <c r="H186" i="2"/>
  <c r="G186" i="2"/>
  <c r="F186" i="2"/>
  <c r="E186" i="2"/>
  <c r="D186" i="2"/>
  <c r="C186" i="2"/>
  <c r="B186" i="2"/>
  <c r="A186" i="2"/>
  <c r="P185" i="2"/>
  <c r="O185" i="2"/>
  <c r="N185" i="2"/>
  <c r="M185" i="2"/>
  <c r="L185" i="2"/>
  <c r="K185" i="2"/>
  <c r="J185" i="2"/>
  <c r="I185" i="2"/>
  <c r="H185" i="2"/>
  <c r="G185" i="2"/>
  <c r="F185" i="2"/>
  <c r="E185" i="2"/>
  <c r="D185" i="2"/>
  <c r="C185" i="2"/>
  <c r="B185" i="2"/>
  <c r="A185" i="2"/>
  <c r="P184" i="2"/>
  <c r="O184" i="2"/>
  <c r="N184" i="2"/>
  <c r="M184" i="2"/>
  <c r="L184" i="2"/>
  <c r="K184" i="2"/>
  <c r="J184" i="2"/>
  <c r="I184" i="2"/>
  <c r="H184" i="2"/>
  <c r="G184" i="2"/>
  <c r="F184" i="2"/>
  <c r="E184" i="2"/>
  <c r="D184" i="2"/>
  <c r="C184" i="2"/>
  <c r="B184" i="2"/>
  <c r="A184" i="2"/>
  <c r="P183" i="2"/>
  <c r="O183" i="2"/>
  <c r="N183" i="2"/>
  <c r="M183" i="2"/>
  <c r="L183" i="2"/>
  <c r="K183" i="2"/>
  <c r="J183" i="2"/>
  <c r="I183" i="2"/>
  <c r="H183" i="2"/>
  <c r="G183" i="2"/>
  <c r="F183" i="2"/>
  <c r="E183" i="2"/>
  <c r="D183" i="2"/>
  <c r="C183" i="2"/>
  <c r="B183" i="2"/>
  <c r="A183" i="2"/>
  <c r="P182" i="2"/>
  <c r="O182" i="2"/>
  <c r="N182" i="2"/>
  <c r="M182" i="2"/>
  <c r="L182" i="2"/>
  <c r="K182" i="2"/>
  <c r="J182" i="2"/>
  <c r="I182" i="2"/>
  <c r="H182" i="2"/>
  <c r="G182" i="2"/>
  <c r="F182" i="2"/>
  <c r="E182" i="2"/>
  <c r="D182" i="2"/>
  <c r="C182" i="2"/>
  <c r="B182" i="2"/>
  <c r="A182" i="2"/>
  <c r="P181" i="2"/>
  <c r="O181" i="2"/>
  <c r="N181" i="2"/>
  <c r="M181" i="2"/>
  <c r="L181" i="2"/>
  <c r="K181" i="2"/>
  <c r="J181" i="2"/>
  <c r="I181" i="2"/>
  <c r="H181" i="2"/>
  <c r="G181" i="2"/>
  <c r="F181" i="2"/>
  <c r="E181" i="2"/>
  <c r="D181" i="2"/>
  <c r="C181" i="2"/>
  <c r="B181" i="2"/>
  <c r="A181" i="2"/>
  <c r="P180" i="2"/>
  <c r="O180" i="2"/>
  <c r="N180" i="2"/>
  <c r="M180" i="2"/>
  <c r="L180" i="2"/>
  <c r="K180" i="2"/>
  <c r="J180" i="2"/>
  <c r="I180" i="2"/>
  <c r="H180" i="2"/>
  <c r="G180" i="2"/>
  <c r="F180" i="2"/>
  <c r="E180" i="2"/>
  <c r="D180" i="2"/>
  <c r="C180" i="2"/>
  <c r="B180" i="2"/>
  <c r="A180" i="2"/>
  <c r="P179" i="2"/>
  <c r="O179" i="2"/>
  <c r="N179" i="2"/>
  <c r="M179" i="2"/>
  <c r="L179" i="2"/>
  <c r="K179" i="2"/>
  <c r="J179" i="2"/>
  <c r="I179" i="2"/>
  <c r="H179" i="2"/>
  <c r="G179" i="2"/>
  <c r="F179" i="2"/>
  <c r="E179" i="2"/>
  <c r="D179" i="2"/>
  <c r="C179" i="2"/>
  <c r="B179" i="2"/>
  <c r="A179" i="2"/>
  <c r="P178" i="2"/>
  <c r="O178" i="2"/>
  <c r="N178" i="2"/>
  <c r="M178" i="2"/>
  <c r="L178" i="2"/>
  <c r="K178" i="2"/>
  <c r="J178" i="2"/>
  <c r="I178" i="2"/>
  <c r="H178" i="2"/>
  <c r="G178" i="2"/>
  <c r="F178" i="2"/>
  <c r="E178" i="2"/>
  <c r="D178" i="2"/>
  <c r="C178" i="2"/>
  <c r="B178" i="2"/>
  <c r="A178" i="2"/>
  <c r="P177" i="2"/>
  <c r="O177" i="2"/>
  <c r="N177" i="2"/>
  <c r="M177" i="2"/>
  <c r="L177" i="2"/>
  <c r="K177" i="2"/>
  <c r="J177" i="2"/>
  <c r="I177" i="2"/>
  <c r="H177" i="2"/>
  <c r="G177" i="2"/>
  <c r="F177" i="2"/>
  <c r="E177" i="2"/>
  <c r="D177" i="2"/>
  <c r="C177" i="2"/>
  <c r="B177" i="2"/>
  <c r="A177" i="2"/>
  <c r="P176" i="2"/>
  <c r="O176" i="2"/>
  <c r="N176" i="2"/>
  <c r="M176" i="2"/>
  <c r="L176" i="2"/>
  <c r="K176" i="2"/>
  <c r="J176" i="2"/>
  <c r="I176" i="2"/>
  <c r="H176" i="2"/>
  <c r="G176" i="2"/>
  <c r="F176" i="2"/>
  <c r="E176" i="2"/>
  <c r="D176" i="2"/>
  <c r="C176" i="2"/>
  <c r="B176" i="2"/>
  <c r="A176" i="2"/>
  <c r="P175" i="2"/>
  <c r="O175" i="2"/>
  <c r="N175" i="2"/>
  <c r="M175" i="2"/>
  <c r="L175" i="2"/>
  <c r="K175" i="2"/>
  <c r="J175" i="2"/>
  <c r="I175" i="2"/>
  <c r="H175" i="2"/>
  <c r="G175" i="2"/>
  <c r="F175" i="2"/>
  <c r="E175" i="2"/>
  <c r="D175" i="2"/>
  <c r="C175" i="2"/>
  <c r="B175" i="2"/>
  <c r="A175" i="2"/>
  <c r="P174" i="2"/>
  <c r="O174" i="2"/>
  <c r="N174" i="2"/>
  <c r="M174" i="2"/>
  <c r="L174" i="2"/>
  <c r="K174" i="2"/>
  <c r="J174" i="2"/>
  <c r="I174" i="2"/>
  <c r="H174" i="2"/>
  <c r="G174" i="2"/>
  <c r="F174" i="2"/>
  <c r="E174" i="2"/>
  <c r="D174" i="2"/>
  <c r="C174" i="2"/>
  <c r="B174" i="2"/>
  <c r="A174" i="2"/>
  <c r="P173" i="2"/>
  <c r="O173" i="2"/>
  <c r="N173" i="2"/>
  <c r="M173" i="2"/>
  <c r="L173" i="2"/>
  <c r="K173" i="2"/>
  <c r="J173" i="2"/>
  <c r="I173" i="2"/>
  <c r="H173" i="2"/>
  <c r="G173" i="2"/>
  <c r="F173" i="2"/>
  <c r="E173" i="2"/>
  <c r="D173" i="2"/>
  <c r="C173" i="2"/>
  <c r="B173" i="2"/>
  <c r="A173" i="2"/>
  <c r="P172" i="2"/>
  <c r="O172" i="2"/>
  <c r="N172" i="2"/>
  <c r="M172" i="2"/>
  <c r="L172" i="2"/>
  <c r="K172" i="2"/>
  <c r="J172" i="2"/>
  <c r="I172" i="2"/>
  <c r="H172" i="2"/>
  <c r="G172" i="2"/>
  <c r="F172" i="2"/>
  <c r="E172" i="2"/>
  <c r="D172" i="2"/>
  <c r="C172" i="2"/>
  <c r="B172" i="2"/>
  <c r="A172" i="2"/>
  <c r="P171" i="2"/>
  <c r="O171" i="2"/>
  <c r="N171" i="2"/>
  <c r="M171" i="2"/>
  <c r="L171" i="2"/>
  <c r="K171" i="2"/>
  <c r="J171" i="2"/>
  <c r="I171" i="2"/>
  <c r="H171" i="2"/>
  <c r="G171" i="2"/>
  <c r="F171" i="2"/>
  <c r="E171" i="2"/>
  <c r="D171" i="2"/>
  <c r="C171" i="2"/>
  <c r="B171" i="2"/>
  <c r="A171" i="2"/>
  <c r="P170" i="2"/>
  <c r="O170" i="2"/>
  <c r="N170" i="2"/>
  <c r="M170" i="2"/>
  <c r="L170" i="2"/>
  <c r="K170" i="2"/>
  <c r="J170" i="2"/>
  <c r="I170" i="2"/>
  <c r="H170" i="2"/>
  <c r="G170" i="2"/>
  <c r="F170" i="2"/>
  <c r="E170" i="2"/>
  <c r="D170" i="2"/>
  <c r="C170" i="2"/>
  <c r="B170" i="2"/>
  <c r="A170" i="2"/>
  <c r="P169" i="2"/>
  <c r="O169" i="2"/>
  <c r="N169" i="2"/>
  <c r="M169" i="2"/>
  <c r="L169" i="2"/>
  <c r="K169" i="2"/>
  <c r="J169" i="2"/>
  <c r="I169" i="2"/>
  <c r="H169" i="2"/>
  <c r="G169" i="2"/>
  <c r="F169" i="2"/>
  <c r="E169" i="2"/>
  <c r="D169" i="2"/>
  <c r="C169" i="2"/>
  <c r="B169" i="2"/>
  <c r="A169" i="2"/>
  <c r="P168" i="2"/>
  <c r="O168" i="2"/>
  <c r="N168" i="2"/>
  <c r="M168" i="2"/>
  <c r="L168" i="2"/>
  <c r="K168" i="2"/>
  <c r="J168" i="2"/>
  <c r="I168" i="2"/>
  <c r="H168" i="2"/>
  <c r="G168" i="2"/>
  <c r="F168" i="2"/>
  <c r="E168" i="2"/>
  <c r="D168" i="2"/>
  <c r="C168" i="2"/>
  <c r="B168" i="2"/>
  <c r="A168" i="2"/>
  <c r="P167" i="2"/>
  <c r="O167" i="2"/>
  <c r="N167" i="2"/>
  <c r="M167" i="2"/>
  <c r="L167" i="2"/>
  <c r="K167" i="2"/>
  <c r="J167" i="2"/>
  <c r="I167" i="2"/>
  <c r="H167" i="2"/>
  <c r="G167" i="2"/>
  <c r="F167" i="2"/>
  <c r="E167" i="2"/>
  <c r="D167" i="2"/>
  <c r="C167" i="2"/>
  <c r="B167" i="2"/>
  <c r="A167" i="2"/>
  <c r="P166" i="2"/>
  <c r="O166" i="2"/>
  <c r="N166" i="2"/>
  <c r="M166" i="2"/>
  <c r="L166" i="2"/>
  <c r="K166" i="2"/>
  <c r="J166" i="2"/>
  <c r="I166" i="2"/>
  <c r="H166" i="2"/>
  <c r="G166" i="2"/>
  <c r="F166" i="2"/>
  <c r="E166" i="2"/>
  <c r="D166" i="2"/>
  <c r="C166" i="2"/>
  <c r="B166" i="2"/>
  <c r="A166" i="2"/>
  <c r="P165" i="2"/>
  <c r="O165" i="2"/>
  <c r="N165" i="2"/>
  <c r="M165" i="2"/>
  <c r="L165" i="2"/>
  <c r="K165" i="2"/>
  <c r="J165" i="2"/>
  <c r="I165" i="2"/>
  <c r="H165" i="2"/>
  <c r="G165" i="2"/>
  <c r="F165" i="2"/>
  <c r="E165" i="2"/>
  <c r="D165" i="2"/>
  <c r="C165" i="2"/>
  <c r="B165" i="2"/>
  <c r="A165" i="2"/>
  <c r="P164" i="2"/>
  <c r="O164" i="2"/>
  <c r="N164" i="2"/>
  <c r="M164" i="2"/>
  <c r="L164" i="2"/>
  <c r="K164" i="2"/>
  <c r="J164" i="2"/>
  <c r="I164" i="2"/>
  <c r="H164" i="2"/>
  <c r="G164" i="2"/>
  <c r="F164" i="2"/>
  <c r="E164" i="2"/>
  <c r="D164" i="2"/>
  <c r="C164" i="2"/>
  <c r="B164" i="2"/>
  <c r="A164" i="2"/>
  <c r="P163" i="2"/>
  <c r="O163" i="2"/>
  <c r="N163" i="2"/>
  <c r="M163" i="2"/>
  <c r="L163" i="2"/>
  <c r="K163" i="2"/>
  <c r="J163" i="2"/>
  <c r="I163" i="2"/>
  <c r="H163" i="2"/>
  <c r="G163" i="2"/>
  <c r="F163" i="2"/>
  <c r="E163" i="2"/>
  <c r="D163" i="2"/>
  <c r="C163" i="2"/>
  <c r="B163" i="2"/>
  <c r="A163" i="2"/>
  <c r="P162" i="2"/>
  <c r="O162" i="2"/>
  <c r="N162" i="2"/>
  <c r="M162" i="2"/>
  <c r="L162" i="2"/>
  <c r="K162" i="2"/>
  <c r="J162" i="2"/>
  <c r="I162" i="2"/>
  <c r="H162" i="2"/>
  <c r="G162" i="2"/>
  <c r="F162" i="2"/>
  <c r="E162" i="2"/>
  <c r="D162" i="2"/>
  <c r="C162" i="2"/>
  <c r="B162" i="2"/>
  <c r="A162" i="2"/>
  <c r="P161" i="2"/>
  <c r="O161" i="2"/>
  <c r="N161" i="2"/>
  <c r="M161" i="2"/>
  <c r="L161" i="2"/>
  <c r="K161" i="2"/>
  <c r="J161" i="2"/>
  <c r="I161" i="2"/>
  <c r="H161" i="2"/>
  <c r="G161" i="2"/>
  <c r="F161" i="2"/>
  <c r="E161" i="2"/>
  <c r="D161" i="2"/>
  <c r="C161" i="2"/>
  <c r="B161" i="2"/>
  <c r="A161" i="2"/>
  <c r="P160" i="2"/>
  <c r="O160" i="2"/>
  <c r="N160" i="2"/>
  <c r="M160" i="2"/>
  <c r="L160" i="2"/>
  <c r="K160" i="2"/>
  <c r="J160" i="2"/>
  <c r="I160" i="2"/>
  <c r="H160" i="2"/>
  <c r="G160" i="2"/>
  <c r="F160" i="2"/>
  <c r="E160" i="2"/>
  <c r="D160" i="2"/>
  <c r="C160" i="2"/>
  <c r="B160" i="2"/>
  <c r="A160" i="2"/>
  <c r="P159" i="2"/>
  <c r="O159" i="2"/>
  <c r="N159" i="2"/>
  <c r="M159" i="2"/>
  <c r="L159" i="2"/>
  <c r="K159" i="2"/>
  <c r="J159" i="2"/>
  <c r="I159" i="2"/>
  <c r="H159" i="2"/>
  <c r="G159" i="2"/>
  <c r="F159" i="2"/>
  <c r="E159" i="2"/>
  <c r="D159" i="2"/>
  <c r="C159" i="2"/>
  <c r="B159" i="2"/>
  <c r="A159" i="2"/>
  <c r="P158" i="2"/>
  <c r="O158" i="2"/>
  <c r="N158" i="2"/>
  <c r="M158" i="2"/>
  <c r="L158" i="2"/>
  <c r="K158" i="2"/>
  <c r="J158" i="2"/>
  <c r="I158" i="2"/>
  <c r="H158" i="2"/>
  <c r="G158" i="2"/>
  <c r="F158" i="2"/>
  <c r="E158" i="2"/>
  <c r="D158" i="2"/>
  <c r="C158" i="2"/>
  <c r="B158" i="2"/>
  <c r="A158" i="2"/>
  <c r="P157" i="2"/>
  <c r="O157" i="2"/>
  <c r="N157" i="2"/>
  <c r="M157" i="2"/>
  <c r="L157" i="2"/>
  <c r="K157" i="2"/>
  <c r="J157" i="2"/>
  <c r="I157" i="2"/>
  <c r="H157" i="2"/>
  <c r="G157" i="2"/>
  <c r="F157" i="2"/>
  <c r="E157" i="2"/>
  <c r="D157" i="2"/>
  <c r="C157" i="2"/>
  <c r="B157" i="2"/>
  <c r="A157" i="2"/>
  <c r="P156" i="2"/>
  <c r="O156" i="2"/>
  <c r="N156" i="2"/>
  <c r="M156" i="2"/>
  <c r="L156" i="2"/>
  <c r="K156" i="2"/>
  <c r="J156" i="2"/>
  <c r="I156" i="2"/>
  <c r="H156" i="2"/>
  <c r="G156" i="2"/>
  <c r="F156" i="2"/>
  <c r="E156" i="2"/>
  <c r="D156" i="2"/>
  <c r="C156" i="2"/>
  <c r="B156" i="2"/>
  <c r="A156" i="2"/>
  <c r="P155" i="2"/>
  <c r="O155" i="2"/>
  <c r="N155" i="2"/>
  <c r="M155" i="2"/>
  <c r="L155" i="2"/>
  <c r="K155" i="2"/>
  <c r="J155" i="2"/>
  <c r="I155" i="2"/>
  <c r="H155" i="2"/>
  <c r="G155" i="2"/>
  <c r="F155" i="2"/>
  <c r="E155" i="2"/>
  <c r="D155" i="2"/>
  <c r="C155" i="2"/>
  <c r="B155" i="2"/>
  <c r="A155" i="2"/>
  <c r="P154" i="2"/>
  <c r="O154" i="2"/>
  <c r="N154" i="2"/>
  <c r="M154" i="2"/>
  <c r="L154" i="2"/>
  <c r="K154" i="2"/>
  <c r="J154" i="2"/>
  <c r="I154" i="2"/>
  <c r="H154" i="2"/>
  <c r="G154" i="2"/>
  <c r="F154" i="2"/>
  <c r="E154" i="2"/>
  <c r="D154" i="2"/>
  <c r="C154" i="2"/>
  <c r="B154" i="2"/>
  <c r="A154" i="2"/>
  <c r="P153" i="2"/>
  <c r="O153" i="2"/>
  <c r="N153" i="2"/>
  <c r="M153" i="2"/>
  <c r="L153" i="2"/>
  <c r="K153" i="2"/>
  <c r="J153" i="2"/>
  <c r="I153" i="2"/>
  <c r="H153" i="2"/>
  <c r="G153" i="2"/>
  <c r="F153" i="2"/>
  <c r="E153" i="2"/>
  <c r="D153" i="2"/>
  <c r="C153" i="2"/>
  <c r="B153" i="2"/>
  <c r="A153" i="2"/>
  <c r="P152" i="2"/>
  <c r="O152" i="2"/>
  <c r="N152" i="2"/>
  <c r="M152" i="2"/>
  <c r="L152" i="2"/>
  <c r="K152" i="2"/>
  <c r="J152" i="2"/>
  <c r="I152" i="2"/>
  <c r="H152" i="2"/>
  <c r="G152" i="2"/>
  <c r="F152" i="2"/>
  <c r="E152" i="2"/>
  <c r="D152" i="2"/>
  <c r="C152" i="2"/>
  <c r="B152" i="2"/>
  <c r="A152" i="2"/>
  <c r="P151" i="2"/>
  <c r="O151" i="2"/>
  <c r="N151" i="2"/>
  <c r="M151" i="2"/>
  <c r="L151" i="2"/>
  <c r="K151" i="2"/>
  <c r="J151" i="2"/>
  <c r="I151" i="2"/>
  <c r="H151" i="2"/>
  <c r="G151" i="2"/>
  <c r="F151" i="2"/>
  <c r="E151" i="2"/>
  <c r="D151" i="2"/>
  <c r="C151" i="2"/>
  <c r="B151" i="2"/>
  <c r="A151" i="2"/>
  <c r="P150" i="2"/>
  <c r="O150" i="2"/>
  <c r="N150" i="2"/>
  <c r="M150" i="2"/>
  <c r="L150" i="2"/>
  <c r="K150" i="2"/>
  <c r="J150" i="2"/>
  <c r="I150" i="2"/>
  <c r="H150" i="2"/>
  <c r="G150" i="2"/>
  <c r="F150" i="2"/>
  <c r="E150" i="2"/>
  <c r="D150" i="2"/>
  <c r="C150" i="2"/>
  <c r="B150" i="2"/>
  <c r="A150" i="2"/>
  <c r="P149" i="2"/>
  <c r="O149" i="2"/>
  <c r="N149" i="2"/>
  <c r="M149" i="2"/>
  <c r="L149" i="2"/>
  <c r="K149" i="2"/>
  <c r="J149" i="2"/>
  <c r="I149" i="2"/>
  <c r="H149" i="2"/>
  <c r="G149" i="2"/>
  <c r="F149" i="2"/>
  <c r="E149" i="2"/>
  <c r="D149" i="2"/>
  <c r="C149" i="2"/>
  <c r="B149" i="2"/>
  <c r="A149" i="2"/>
  <c r="P148" i="2"/>
  <c r="O148" i="2"/>
  <c r="N148" i="2"/>
  <c r="M148" i="2"/>
  <c r="L148" i="2"/>
  <c r="K148" i="2"/>
  <c r="J148" i="2"/>
  <c r="I148" i="2"/>
  <c r="H148" i="2"/>
  <c r="G148" i="2"/>
  <c r="F148" i="2"/>
  <c r="E148" i="2"/>
  <c r="D148" i="2"/>
  <c r="C148" i="2"/>
  <c r="B148" i="2"/>
  <c r="A148" i="2"/>
  <c r="P147" i="2"/>
  <c r="O147" i="2"/>
  <c r="N147" i="2"/>
  <c r="M147" i="2"/>
  <c r="L147" i="2"/>
  <c r="K147" i="2"/>
  <c r="J147" i="2"/>
  <c r="I147" i="2"/>
  <c r="H147" i="2"/>
  <c r="G147" i="2"/>
  <c r="F147" i="2"/>
  <c r="E147" i="2"/>
  <c r="D147" i="2"/>
  <c r="C147" i="2"/>
  <c r="B147" i="2"/>
  <c r="A147" i="2"/>
  <c r="P146" i="2"/>
  <c r="O146" i="2"/>
  <c r="N146" i="2"/>
  <c r="M146" i="2"/>
  <c r="L146" i="2"/>
  <c r="K146" i="2"/>
  <c r="J146" i="2"/>
  <c r="I146" i="2"/>
  <c r="H146" i="2"/>
  <c r="G146" i="2"/>
  <c r="F146" i="2"/>
  <c r="E146" i="2"/>
  <c r="D146" i="2"/>
  <c r="C146" i="2"/>
  <c r="B146" i="2"/>
  <c r="A146" i="2"/>
  <c r="P145" i="2"/>
  <c r="O145" i="2"/>
  <c r="N145" i="2"/>
  <c r="M145" i="2"/>
  <c r="L145" i="2"/>
  <c r="K145" i="2"/>
  <c r="J145" i="2"/>
  <c r="I145" i="2"/>
  <c r="H145" i="2"/>
  <c r="G145" i="2"/>
  <c r="F145" i="2"/>
  <c r="E145" i="2"/>
  <c r="D145" i="2"/>
  <c r="C145" i="2"/>
  <c r="B145" i="2"/>
  <c r="A145" i="2"/>
  <c r="P144" i="2"/>
  <c r="O144" i="2"/>
  <c r="N144" i="2"/>
  <c r="M144" i="2"/>
  <c r="L144" i="2"/>
  <c r="K144" i="2"/>
  <c r="J144" i="2"/>
  <c r="I144" i="2"/>
  <c r="H144" i="2"/>
  <c r="G144" i="2"/>
  <c r="F144" i="2"/>
  <c r="E144" i="2"/>
  <c r="D144" i="2"/>
  <c r="C144" i="2"/>
  <c r="B144" i="2"/>
  <c r="A144" i="2"/>
  <c r="P143" i="2"/>
  <c r="O143" i="2"/>
  <c r="N143" i="2"/>
  <c r="M143" i="2"/>
  <c r="L143" i="2"/>
  <c r="K143" i="2"/>
  <c r="J143" i="2"/>
  <c r="I143" i="2"/>
  <c r="H143" i="2"/>
  <c r="G143" i="2"/>
  <c r="F143" i="2"/>
  <c r="E143" i="2"/>
  <c r="D143" i="2"/>
  <c r="C143" i="2"/>
  <c r="B143" i="2"/>
  <c r="A143" i="2"/>
  <c r="P142" i="2"/>
  <c r="O142" i="2"/>
  <c r="N142" i="2"/>
  <c r="M142" i="2"/>
  <c r="L142" i="2"/>
  <c r="K142" i="2"/>
  <c r="J142" i="2"/>
  <c r="I142" i="2"/>
  <c r="H142" i="2"/>
  <c r="G142" i="2"/>
  <c r="F142" i="2"/>
  <c r="E142" i="2"/>
  <c r="D142" i="2"/>
  <c r="C142" i="2"/>
  <c r="B142" i="2"/>
  <c r="A142" i="2"/>
  <c r="P141" i="2"/>
  <c r="O141" i="2"/>
  <c r="N141" i="2"/>
  <c r="M141" i="2"/>
  <c r="L141" i="2"/>
  <c r="K141" i="2"/>
  <c r="J141" i="2"/>
  <c r="I141" i="2"/>
  <c r="H141" i="2"/>
  <c r="G141" i="2"/>
  <c r="F141" i="2"/>
  <c r="E141" i="2"/>
  <c r="D141" i="2"/>
  <c r="C141" i="2"/>
  <c r="B141" i="2"/>
  <c r="A141" i="2"/>
  <c r="P140" i="2"/>
  <c r="O140" i="2"/>
  <c r="N140" i="2"/>
  <c r="M140" i="2"/>
  <c r="L140" i="2"/>
  <c r="K140" i="2"/>
  <c r="J140" i="2"/>
  <c r="I140" i="2"/>
  <c r="H140" i="2"/>
  <c r="G140" i="2"/>
  <c r="F140" i="2"/>
  <c r="E140" i="2"/>
  <c r="D140" i="2"/>
  <c r="C140" i="2"/>
  <c r="B140" i="2"/>
  <c r="A140" i="2"/>
  <c r="P139" i="2"/>
  <c r="O139" i="2"/>
  <c r="N139" i="2"/>
  <c r="M139" i="2"/>
  <c r="L139" i="2"/>
  <c r="K139" i="2"/>
  <c r="J139" i="2"/>
  <c r="I139" i="2"/>
  <c r="H139" i="2"/>
  <c r="G139" i="2"/>
  <c r="F139" i="2"/>
  <c r="E139" i="2"/>
  <c r="D139" i="2"/>
  <c r="C139" i="2"/>
  <c r="B139" i="2"/>
  <c r="A139" i="2"/>
  <c r="P138" i="2"/>
  <c r="O138" i="2"/>
  <c r="N138" i="2"/>
  <c r="M138" i="2"/>
  <c r="L138" i="2"/>
  <c r="K138" i="2"/>
  <c r="J138" i="2"/>
  <c r="I138" i="2"/>
  <c r="H138" i="2"/>
  <c r="G138" i="2"/>
  <c r="F138" i="2"/>
  <c r="E138" i="2"/>
  <c r="D138" i="2"/>
  <c r="C138" i="2"/>
  <c r="B138" i="2"/>
  <c r="A138" i="2"/>
  <c r="P137" i="2"/>
  <c r="O137" i="2"/>
  <c r="N137" i="2"/>
  <c r="M137" i="2"/>
  <c r="L137" i="2"/>
  <c r="K137" i="2"/>
  <c r="J137" i="2"/>
  <c r="I137" i="2"/>
  <c r="H137" i="2"/>
  <c r="G137" i="2"/>
  <c r="F137" i="2"/>
  <c r="E137" i="2"/>
  <c r="D137" i="2"/>
  <c r="C137" i="2"/>
  <c r="B137" i="2"/>
  <c r="A137" i="2"/>
  <c r="P136" i="2"/>
  <c r="O136" i="2"/>
  <c r="N136" i="2"/>
  <c r="M136" i="2"/>
  <c r="L136" i="2"/>
  <c r="K136" i="2"/>
  <c r="J136" i="2"/>
  <c r="I136" i="2"/>
  <c r="H136" i="2"/>
  <c r="G136" i="2"/>
  <c r="F136" i="2"/>
  <c r="E136" i="2"/>
  <c r="D136" i="2"/>
  <c r="C136" i="2"/>
  <c r="B136" i="2"/>
  <c r="A136" i="2"/>
  <c r="P135" i="2"/>
  <c r="O135" i="2"/>
  <c r="N135" i="2"/>
  <c r="M135" i="2"/>
  <c r="L135" i="2"/>
  <c r="K135" i="2"/>
  <c r="J135" i="2"/>
  <c r="I135" i="2"/>
  <c r="H135" i="2"/>
  <c r="G135" i="2"/>
  <c r="F135" i="2"/>
  <c r="E135" i="2"/>
  <c r="D135" i="2"/>
  <c r="C135" i="2"/>
  <c r="B135" i="2"/>
  <c r="A135" i="2"/>
  <c r="P134" i="2"/>
  <c r="O134" i="2"/>
  <c r="N134" i="2"/>
  <c r="M134" i="2"/>
  <c r="L134" i="2"/>
  <c r="K134" i="2"/>
  <c r="J134" i="2"/>
  <c r="I134" i="2"/>
  <c r="H134" i="2"/>
  <c r="G134" i="2"/>
  <c r="F134" i="2"/>
  <c r="E134" i="2"/>
  <c r="D134" i="2"/>
  <c r="C134" i="2"/>
  <c r="B134" i="2"/>
  <c r="A134" i="2"/>
  <c r="P133" i="2"/>
  <c r="O133" i="2"/>
  <c r="N133" i="2"/>
  <c r="M133" i="2"/>
  <c r="L133" i="2"/>
  <c r="K133" i="2"/>
  <c r="J133" i="2"/>
  <c r="I133" i="2"/>
  <c r="H133" i="2"/>
  <c r="G133" i="2"/>
  <c r="F133" i="2"/>
  <c r="E133" i="2"/>
  <c r="D133" i="2"/>
  <c r="C133" i="2"/>
  <c r="B133" i="2"/>
  <c r="A133" i="2"/>
  <c r="P132" i="2"/>
  <c r="O132" i="2"/>
  <c r="N132" i="2"/>
  <c r="M132" i="2"/>
  <c r="L132" i="2"/>
  <c r="K132" i="2"/>
  <c r="J132" i="2"/>
  <c r="I132" i="2"/>
  <c r="H132" i="2"/>
  <c r="G132" i="2"/>
  <c r="F132" i="2"/>
  <c r="E132" i="2"/>
  <c r="D132" i="2"/>
  <c r="C132" i="2"/>
  <c r="B132" i="2"/>
  <c r="A132" i="2"/>
  <c r="P131" i="2"/>
  <c r="O131" i="2"/>
  <c r="N131" i="2"/>
  <c r="M131" i="2"/>
  <c r="L131" i="2"/>
  <c r="K131" i="2"/>
  <c r="J131" i="2"/>
  <c r="I131" i="2"/>
  <c r="H131" i="2"/>
  <c r="G131" i="2"/>
  <c r="F131" i="2"/>
  <c r="E131" i="2"/>
  <c r="D131" i="2"/>
  <c r="C131" i="2"/>
  <c r="B131" i="2"/>
  <c r="A131" i="2"/>
  <c r="P130" i="2"/>
  <c r="O130" i="2"/>
  <c r="N130" i="2"/>
  <c r="M130" i="2"/>
  <c r="L130" i="2"/>
  <c r="K130" i="2"/>
  <c r="J130" i="2"/>
  <c r="I130" i="2"/>
  <c r="H130" i="2"/>
  <c r="G130" i="2"/>
  <c r="F130" i="2"/>
  <c r="E130" i="2"/>
  <c r="D130" i="2"/>
  <c r="C130" i="2"/>
  <c r="B130" i="2"/>
  <c r="A130" i="2"/>
  <c r="P129" i="2"/>
  <c r="O129" i="2"/>
  <c r="N129" i="2"/>
  <c r="M129" i="2"/>
  <c r="L129" i="2"/>
  <c r="K129" i="2"/>
  <c r="J129" i="2"/>
  <c r="I129" i="2"/>
  <c r="H129" i="2"/>
  <c r="G129" i="2"/>
  <c r="F129" i="2"/>
  <c r="E129" i="2"/>
  <c r="D129" i="2"/>
  <c r="C129" i="2"/>
  <c r="B129" i="2"/>
  <c r="A129" i="2"/>
  <c r="P128" i="2"/>
  <c r="O128" i="2"/>
  <c r="N128" i="2"/>
  <c r="M128" i="2"/>
  <c r="L128" i="2"/>
  <c r="K128" i="2"/>
  <c r="J128" i="2"/>
  <c r="I128" i="2"/>
  <c r="H128" i="2"/>
  <c r="G128" i="2"/>
  <c r="F128" i="2"/>
  <c r="E128" i="2"/>
  <c r="D128" i="2"/>
  <c r="C128" i="2"/>
  <c r="B128" i="2"/>
  <c r="A128" i="2"/>
  <c r="P127" i="2"/>
  <c r="O127" i="2"/>
  <c r="N127" i="2"/>
  <c r="M127" i="2"/>
  <c r="L127" i="2"/>
  <c r="K127" i="2"/>
  <c r="J127" i="2"/>
  <c r="I127" i="2"/>
  <c r="H127" i="2"/>
  <c r="G127" i="2"/>
  <c r="F127" i="2"/>
  <c r="E127" i="2"/>
  <c r="D127" i="2"/>
  <c r="C127" i="2"/>
  <c r="B127" i="2"/>
  <c r="A127" i="2"/>
  <c r="P126" i="2"/>
  <c r="O126" i="2"/>
  <c r="N126" i="2"/>
  <c r="M126" i="2"/>
  <c r="L126" i="2"/>
  <c r="K126" i="2"/>
  <c r="J126" i="2"/>
  <c r="I126" i="2"/>
  <c r="H126" i="2"/>
  <c r="G126" i="2"/>
  <c r="F126" i="2"/>
  <c r="E126" i="2"/>
  <c r="D126" i="2"/>
  <c r="C126" i="2"/>
  <c r="B126" i="2"/>
  <c r="A126" i="2"/>
  <c r="P125" i="2"/>
  <c r="O125" i="2"/>
  <c r="N125" i="2"/>
  <c r="M125" i="2"/>
  <c r="L125" i="2"/>
  <c r="K125" i="2"/>
  <c r="J125" i="2"/>
  <c r="I125" i="2"/>
  <c r="H125" i="2"/>
  <c r="G125" i="2"/>
  <c r="F125" i="2"/>
  <c r="E125" i="2"/>
  <c r="D125" i="2"/>
  <c r="C125" i="2"/>
  <c r="B125" i="2"/>
  <c r="A125" i="2"/>
  <c r="P124" i="2"/>
  <c r="O124" i="2"/>
  <c r="N124" i="2"/>
  <c r="M124" i="2"/>
  <c r="L124" i="2"/>
  <c r="K124" i="2"/>
  <c r="J124" i="2"/>
  <c r="I124" i="2"/>
  <c r="H124" i="2"/>
  <c r="G124" i="2"/>
  <c r="F124" i="2"/>
  <c r="E124" i="2"/>
  <c r="D124" i="2"/>
  <c r="C124" i="2"/>
  <c r="B124" i="2"/>
  <c r="A124" i="2"/>
  <c r="P123" i="2"/>
  <c r="O123" i="2"/>
  <c r="N123" i="2"/>
  <c r="M123" i="2"/>
  <c r="L123" i="2"/>
  <c r="K123" i="2"/>
  <c r="J123" i="2"/>
  <c r="I123" i="2"/>
  <c r="H123" i="2"/>
  <c r="G123" i="2"/>
  <c r="F123" i="2"/>
  <c r="E123" i="2"/>
  <c r="D123" i="2"/>
  <c r="C123" i="2"/>
  <c r="B123" i="2"/>
  <c r="A123" i="2"/>
  <c r="P122" i="2"/>
  <c r="O122" i="2"/>
  <c r="N122" i="2"/>
  <c r="M122" i="2"/>
  <c r="L122" i="2"/>
  <c r="K122" i="2"/>
  <c r="J122" i="2"/>
  <c r="I122" i="2"/>
  <c r="H122" i="2"/>
  <c r="G122" i="2"/>
  <c r="F122" i="2"/>
  <c r="E122" i="2"/>
  <c r="D122" i="2"/>
  <c r="C122" i="2"/>
  <c r="B122" i="2"/>
  <c r="A122" i="2"/>
  <c r="P121" i="2"/>
  <c r="O121" i="2"/>
  <c r="N121" i="2"/>
  <c r="M121" i="2"/>
  <c r="L121" i="2"/>
  <c r="K121" i="2"/>
  <c r="J121" i="2"/>
  <c r="I121" i="2"/>
  <c r="H121" i="2"/>
  <c r="G121" i="2"/>
  <c r="F121" i="2"/>
  <c r="E121" i="2"/>
  <c r="D121" i="2"/>
  <c r="C121" i="2"/>
  <c r="B121" i="2"/>
  <c r="A121" i="2"/>
  <c r="P120" i="2"/>
  <c r="O120" i="2"/>
  <c r="N120" i="2"/>
  <c r="M120" i="2"/>
  <c r="L120" i="2"/>
  <c r="K120" i="2"/>
  <c r="J120" i="2"/>
  <c r="I120" i="2"/>
  <c r="H120" i="2"/>
  <c r="G120" i="2"/>
  <c r="F120" i="2"/>
  <c r="E120" i="2"/>
  <c r="D120" i="2"/>
  <c r="C120" i="2"/>
  <c r="B120" i="2"/>
  <c r="A120" i="2"/>
  <c r="P119" i="2"/>
  <c r="O119" i="2"/>
  <c r="N119" i="2"/>
  <c r="M119" i="2"/>
  <c r="L119" i="2"/>
  <c r="K119" i="2"/>
  <c r="J119" i="2"/>
  <c r="I119" i="2"/>
  <c r="H119" i="2"/>
  <c r="G119" i="2"/>
  <c r="F119" i="2"/>
  <c r="E119" i="2"/>
  <c r="D119" i="2"/>
  <c r="C119" i="2"/>
  <c r="B119" i="2"/>
  <c r="A119" i="2"/>
  <c r="P118" i="2"/>
  <c r="O118" i="2"/>
  <c r="N118" i="2"/>
  <c r="M118" i="2"/>
  <c r="L118" i="2"/>
  <c r="K118" i="2"/>
  <c r="J118" i="2"/>
  <c r="I118" i="2"/>
  <c r="H118" i="2"/>
  <c r="G118" i="2"/>
  <c r="F118" i="2"/>
  <c r="E118" i="2"/>
  <c r="D118" i="2"/>
  <c r="C118" i="2"/>
  <c r="B118" i="2"/>
  <c r="A118" i="2"/>
  <c r="P117" i="2"/>
  <c r="O117" i="2"/>
  <c r="N117" i="2"/>
  <c r="M117" i="2"/>
  <c r="L117" i="2"/>
  <c r="K117" i="2"/>
  <c r="J117" i="2"/>
  <c r="I117" i="2"/>
  <c r="H117" i="2"/>
  <c r="G117" i="2"/>
  <c r="F117" i="2"/>
  <c r="E117" i="2"/>
  <c r="D117" i="2"/>
  <c r="C117" i="2"/>
  <c r="B117" i="2"/>
  <c r="A117" i="2"/>
  <c r="P116" i="2"/>
  <c r="O116" i="2"/>
  <c r="N116" i="2"/>
  <c r="M116" i="2"/>
  <c r="L116" i="2"/>
  <c r="K116" i="2"/>
  <c r="J116" i="2"/>
  <c r="I116" i="2"/>
  <c r="H116" i="2"/>
  <c r="G116" i="2"/>
  <c r="F116" i="2"/>
  <c r="E116" i="2"/>
  <c r="D116" i="2"/>
  <c r="C116" i="2"/>
  <c r="B116" i="2"/>
  <c r="A116" i="2"/>
  <c r="P115" i="2"/>
  <c r="O115" i="2"/>
  <c r="N115" i="2"/>
  <c r="M115" i="2"/>
  <c r="L115" i="2"/>
  <c r="K115" i="2"/>
  <c r="J115" i="2"/>
  <c r="I115" i="2"/>
  <c r="H115" i="2"/>
  <c r="G115" i="2"/>
  <c r="F115" i="2"/>
  <c r="E115" i="2"/>
  <c r="D115" i="2"/>
  <c r="C115" i="2"/>
  <c r="B115" i="2"/>
  <c r="A115" i="2"/>
  <c r="P114" i="2"/>
  <c r="O114" i="2"/>
  <c r="N114" i="2"/>
  <c r="M114" i="2"/>
  <c r="L114" i="2"/>
  <c r="K114" i="2"/>
  <c r="J114" i="2"/>
  <c r="I114" i="2"/>
  <c r="H114" i="2"/>
  <c r="G114" i="2"/>
  <c r="F114" i="2"/>
  <c r="E114" i="2"/>
  <c r="D114" i="2"/>
  <c r="C114" i="2"/>
  <c r="B114" i="2"/>
  <c r="A114" i="2"/>
  <c r="P113" i="2"/>
  <c r="O113" i="2"/>
  <c r="N113" i="2"/>
  <c r="M113" i="2"/>
  <c r="L113" i="2"/>
  <c r="K113" i="2"/>
  <c r="J113" i="2"/>
  <c r="I113" i="2"/>
  <c r="H113" i="2"/>
  <c r="G113" i="2"/>
  <c r="F113" i="2"/>
  <c r="E113" i="2"/>
  <c r="D113" i="2"/>
  <c r="C113" i="2"/>
  <c r="B113" i="2"/>
  <c r="A113" i="2"/>
  <c r="P112" i="2"/>
  <c r="O112" i="2"/>
  <c r="N112" i="2"/>
  <c r="M112" i="2"/>
  <c r="L112" i="2"/>
  <c r="K112" i="2"/>
  <c r="J112" i="2"/>
  <c r="I112" i="2"/>
  <c r="H112" i="2"/>
  <c r="G112" i="2"/>
  <c r="F112" i="2"/>
  <c r="E112" i="2"/>
  <c r="D112" i="2"/>
  <c r="C112" i="2"/>
  <c r="B112" i="2"/>
  <c r="A112" i="2"/>
  <c r="P111" i="2"/>
  <c r="O111" i="2"/>
  <c r="N111" i="2"/>
  <c r="M111" i="2"/>
  <c r="L111" i="2"/>
  <c r="K111" i="2"/>
  <c r="J111" i="2"/>
  <c r="I111" i="2"/>
  <c r="H111" i="2"/>
  <c r="G111" i="2"/>
  <c r="F111" i="2"/>
  <c r="E111" i="2"/>
  <c r="D111" i="2"/>
  <c r="C111" i="2"/>
  <c r="B111" i="2"/>
  <c r="A111" i="2"/>
  <c r="P110" i="2"/>
  <c r="O110" i="2"/>
  <c r="N110" i="2"/>
  <c r="M110" i="2"/>
  <c r="L110" i="2"/>
  <c r="K110" i="2"/>
  <c r="J110" i="2"/>
  <c r="I110" i="2"/>
  <c r="H110" i="2"/>
  <c r="G110" i="2"/>
  <c r="F110" i="2"/>
  <c r="E110" i="2"/>
  <c r="D110" i="2"/>
  <c r="C110" i="2"/>
  <c r="B110" i="2"/>
  <c r="A110" i="2"/>
  <c r="P109" i="2"/>
  <c r="O109" i="2"/>
  <c r="N109" i="2"/>
  <c r="M109" i="2"/>
  <c r="L109" i="2"/>
  <c r="K109" i="2"/>
  <c r="J109" i="2"/>
  <c r="I109" i="2"/>
  <c r="H109" i="2"/>
  <c r="G109" i="2"/>
  <c r="F109" i="2"/>
  <c r="E109" i="2"/>
  <c r="D109" i="2"/>
  <c r="C109" i="2"/>
  <c r="B109" i="2"/>
  <c r="A109" i="2"/>
  <c r="P108" i="2"/>
  <c r="O108" i="2"/>
  <c r="N108" i="2"/>
  <c r="M108" i="2"/>
  <c r="L108" i="2"/>
  <c r="K108" i="2"/>
  <c r="J108" i="2"/>
  <c r="I108" i="2"/>
  <c r="H108" i="2"/>
  <c r="G108" i="2"/>
  <c r="F108" i="2"/>
  <c r="E108" i="2"/>
  <c r="D108" i="2"/>
  <c r="C108" i="2"/>
  <c r="B108" i="2"/>
  <c r="A108" i="2"/>
  <c r="P107" i="2"/>
  <c r="O107" i="2"/>
  <c r="N107" i="2"/>
  <c r="M107" i="2"/>
  <c r="L107" i="2"/>
  <c r="K107" i="2"/>
  <c r="J107" i="2"/>
  <c r="I107" i="2"/>
  <c r="H107" i="2"/>
  <c r="G107" i="2"/>
  <c r="F107" i="2"/>
  <c r="E107" i="2"/>
  <c r="D107" i="2"/>
  <c r="C107" i="2"/>
  <c r="B107" i="2"/>
  <c r="A107" i="2"/>
  <c r="P106" i="2"/>
  <c r="O106" i="2"/>
  <c r="N106" i="2"/>
  <c r="M106" i="2"/>
  <c r="L106" i="2"/>
  <c r="K106" i="2"/>
  <c r="J106" i="2"/>
  <c r="I106" i="2"/>
  <c r="H106" i="2"/>
  <c r="G106" i="2"/>
  <c r="F106" i="2"/>
  <c r="E106" i="2"/>
  <c r="D106" i="2"/>
  <c r="C106" i="2"/>
  <c r="B106" i="2"/>
  <c r="A106" i="2"/>
  <c r="P105" i="2"/>
  <c r="O105" i="2"/>
  <c r="N105" i="2"/>
  <c r="M105" i="2"/>
  <c r="L105" i="2"/>
  <c r="K105" i="2"/>
  <c r="J105" i="2"/>
  <c r="I105" i="2"/>
  <c r="H105" i="2"/>
  <c r="G105" i="2"/>
  <c r="F105" i="2"/>
  <c r="E105" i="2"/>
  <c r="D105" i="2"/>
  <c r="C105" i="2"/>
  <c r="B105" i="2"/>
  <c r="A105" i="2"/>
  <c r="P104" i="2"/>
  <c r="O104" i="2"/>
  <c r="N104" i="2"/>
  <c r="M104" i="2"/>
  <c r="L104" i="2"/>
  <c r="K104" i="2"/>
  <c r="J104" i="2"/>
  <c r="I104" i="2"/>
  <c r="H104" i="2"/>
  <c r="G104" i="2"/>
  <c r="F104" i="2"/>
  <c r="E104" i="2"/>
  <c r="D104" i="2"/>
  <c r="C104" i="2"/>
  <c r="B104" i="2"/>
  <c r="A104" i="2"/>
  <c r="P103" i="2"/>
  <c r="O103" i="2"/>
  <c r="N103" i="2"/>
  <c r="M103" i="2"/>
  <c r="L103" i="2"/>
  <c r="K103" i="2"/>
  <c r="J103" i="2"/>
  <c r="I103" i="2"/>
  <c r="H103" i="2"/>
  <c r="G103" i="2"/>
  <c r="F103" i="2"/>
  <c r="E103" i="2"/>
  <c r="D103" i="2"/>
  <c r="C103" i="2"/>
  <c r="B103" i="2"/>
  <c r="A103" i="2"/>
  <c r="P102" i="2"/>
  <c r="O102" i="2"/>
  <c r="N102" i="2"/>
  <c r="M102" i="2"/>
  <c r="L102" i="2"/>
  <c r="K102" i="2"/>
  <c r="J102" i="2"/>
  <c r="I102" i="2"/>
  <c r="H102" i="2"/>
  <c r="G102" i="2"/>
  <c r="F102" i="2"/>
  <c r="E102" i="2"/>
  <c r="D102" i="2"/>
  <c r="C102" i="2"/>
  <c r="B102" i="2"/>
  <c r="A102" i="2"/>
  <c r="P101" i="2"/>
  <c r="O101" i="2"/>
  <c r="N101" i="2"/>
  <c r="M101" i="2"/>
  <c r="L101" i="2"/>
  <c r="K101" i="2"/>
  <c r="J101" i="2"/>
  <c r="I101" i="2"/>
  <c r="H101" i="2"/>
  <c r="G101" i="2"/>
  <c r="F101" i="2"/>
  <c r="E101" i="2"/>
  <c r="D101" i="2"/>
  <c r="C101" i="2"/>
  <c r="B101" i="2"/>
  <c r="A101" i="2"/>
  <c r="P100" i="2"/>
  <c r="O100" i="2"/>
  <c r="N100" i="2"/>
  <c r="M100" i="2"/>
  <c r="L100" i="2"/>
  <c r="K100" i="2"/>
  <c r="J100" i="2"/>
  <c r="I100" i="2"/>
  <c r="H100" i="2"/>
  <c r="G100" i="2"/>
  <c r="F100" i="2"/>
  <c r="E100" i="2"/>
  <c r="D100" i="2"/>
  <c r="C100" i="2"/>
  <c r="B100" i="2"/>
  <c r="A100" i="2"/>
  <c r="P99" i="2"/>
  <c r="O99" i="2"/>
  <c r="N99" i="2"/>
  <c r="M99" i="2"/>
  <c r="L99" i="2"/>
  <c r="K99" i="2"/>
  <c r="J99" i="2"/>
  <c r="I99" i="2"/>
  <c r="H99" i="2"/>
  <c r="G99" i="2"/>
  <c r="F99" i="2"/>
  <c r="E99" i="2"/>
  <c r="D99" i="2"/>
  <c r="C99" i="2"/>
  <c r="B99" i="2"/>
  <c r="A99" i="2"/>
  <c r="P98" i="2"/>
  <c r="O98" i="2"/>
  <c r="N98" i="2"/>
  <c r="M98" i="2"/>
  <c r="L98" i="2"/>
  <c r="K98" i="2"/>
  <c r="J98" i="2"/>
  <c r="I98" i="2"/>
  <c r="H98" i="2"/>
  <c r="G98" i="2"/>
  <c r="F98" i="2"/>
  <c r="E98" i="2"/>
  <c r="D98" i="2"/>
  <c r="C98" i="2"/>
  <c r="B98" i="2"/>
  <c r="A98" i="2"/>
  <c r="P97" i="2"/>
  <c r="O97" i="2"/>
  <c r="N97" i="2"/>
  <c r="M97" i="2"/>
  <c r="L97" i="2"/>
  <c r="K97" i="2"/>
  <c r="J97" i="2"/>
  <c r="I97" i="2"/>
  <c r="H97" i="2"/>
  <c r="G97" i="2"/>
  <c r="F97" i="2"/>
  <c r="E97" i="2"/>
  <c r="D97" i="2"/>
  <c r="C97" i="2"/>
  <c r="B97" i="2"/>
  <c r="A97" i="2"/>
  <c r="P96" i="2"/>
  <c r="O96" i="2"/>
  <c r="N96" i="2"/>
  <c r="M96" i="2"/>
  <c r="L96" i="2"/>
  <c r="K96" i="2"/>
  <c r="J96" i="2"/>
  <c r="I96" i="2"/>
  <c r="H96" i="2"/>
  <c r="G96" i="2"/>
  <c r="F96" i="2"/>
  <c r="E96" i="2"/>
  <c r="D96" i="2"/>
  <c r="C96" i="2"/>
  <c r="B96" i="2"/>
  <c r="A96" i="2"/>
  <c r="P95" i="2"/>
  <c r="O95" i="2"/>
  <c r="N95" i="2"/>
  <c r="M95" i="2"/>
  <c r="L95" i="2"/>
  <c r="K95" i="2"/>
  <c r="J95" i="2"/>
  <c r="I95" i="2"/>
  <c r="H95" i="2"/>
  <c r="G95" i="2"/>
  <c r="F95" i="2"/>
  <c r="E95" i="2"/>
  <c r="D95" i="2"/>
  <c r="C95" i="2"/>
  <c r="B95" i="2"/>
  <c r="A95" i="2"/>
  <c r="P94" i="2"/>
  <c r="O94" i="2"/>
  <c r="N94" i="2"/>
  <c r="M94" i="2"/>
  <c r="L94" i="2"/>
  <c r="K94" i="2"/>
  <c r="J94" i="2"/>
  <c r="I94" i="2"/>
  <c r="H94" i="2"/>
  <c r="G94" i="2"/>
  <c r="F94" i="2"/>
  <c r="E94" i="2"/>
  <c r="D94" i="2"/>
  <c r="C94" i="2"/>
  <c r="B94" i="2"/>
  <c r="A94" i="2"/>
  <c r="P93" i="2"/>
  <c r="O93" i="2"/>
  <c r="N93" i="2"/>
  <c r="M93" i="2"/>
  <c r="L93" i="2"/>
  <c r="K93" i="2"/>
  <c r="J93" i="2"/>
  <c r="I93" i="2"/>
  <c r="H93" i="2"/>
  <c r="G93" i="2"/>
  <c r="F93" i="2"/>
  <c r="E93" i="2"/>
  <c r="D93" i="2"/>
  <c r="C93" i="2"/>
  <c r="B93" i="2"/>
  <c r="A93" i="2"/>
  <c r="P92" i="2"/>
  <c r="O92" i="2"/>
  <c r="N92" i="2"/>
  <c r="M92" i="2"/>
  <c r="L92" i="2"/>
  <c r="K92" i="2"/>
  <c r="J92" i="2"/>
  <c r="I92" i="2"/>
  <c r="H92" i="2"/>
  <c r="G92" i="2"/>
  <c r="F92" i="2"/>
  <c r="E92" i="2"/>
  <c r="D92" i="2"/>
  <c r="C92" i="2"/>
  <c r="B92" i="2"/>
  <c r="A92" i="2"/>
  <c r="P91" i="2"/>
  <c r="O91" i="2"/>
  <c r="N91" i="2"/>
  <c r="M91" i="2"/>
  <c r="L91" i="2"/>
  <c r="K91" i="2"/>
  <c r="J91" i="2"/>
  <c r="I91" i="2"/>
  <c r="H91" i="2"/>
  <c r="G91" i="2"/>
  <c r="F91" i="2"/>
  <c r="E91" i="2"/>
  <c r="D91" i="2"/>
  <c r="C91" i="2"/>
  <c r="B91" i="2"/>
  <c r="A91" i="2"/>
  <c r="P90" i="2"/>
  <c r="O90" i="2"/>
  <c r="N90" i="2"/>
  <c r="M90" i="2"/>
  <c r="L90" i="2"/>
  <c r="K90" i="2"/>
  <c r="J90" i="2"/>
  <c r="I90" i="2"/>
  <c r="H90" i="2"/>
  <c r="G90" i="2"/>
  <c r="F90" i="2"/>
  <c r="E90" i="2"/>
  <c r="D90" i="2"/>
  <c r="C90" i="2"/>
  <c r="B90" i="2"/>
  <c r="A90" i="2"/>
  <c r="P89" i="2"/>
  <c r="O89" i="2"/>
  <c r="N89" i="2"/>
  <c r="M89" i="2"/>
  <c r="L89" i="2"/>
  <c r="K89" i="2"/>
  <c r="J89" i="2"/>
  <c r="I89" i="2"/>
  <c r="H89" i="2"/>
  <c r="G89" i="2"/>
  <c r="F89" i="2"/>
  <c r="E89" i="2"/>
  <c r="D89" i="2"/>
  <c r="C89" i="2"/>
  <c r="B89" i="2"/>
  <c r="A89" i="2"/>
  <c r="P88" i="2"/>
  <c r="O88" i="2"/>
  <c r="N88" i="2"/>
  <c r="M88" i="2"/>
  <c r="L88" i="2"/>
  <c r="K88" i="2"/>
  <c r="J88" i="2"/>
  <c r="I88" i="2"/>
  <c r="H88" i="2"/>
  <c r="G88" i="2"/>
  <c r="F88" i="2"/>
  <c r="E88" i="2"/>
  <c r="D88" i="2"/>
  <c r="C88" i="2"/>
  <c r="B88" i="2"/>
  <c r="A88" i="2"/>
  <c r="P87" i="2"/>
  <c r="O87" i="2"/>
  <c r="N87" i="2"/>
  <c r="M87" i="2"/>
  <c r="L87" i="2"/>
  <c r="K87" i="2"/>
  <c r="J87" i="2"/>
  <c r="I87" i="2"/>
  <c r="H87" i="2"/>
  <c r="G87" i="2"/>
  <c r="F87" i="2"/>
  <c r="E87" i="2"/>
  <c r="D87" i="2"/>
  <c r="C87" i="2"/>
  <c r="B87" i="2"/>
  <c r="A87" i="2"/>
  <c r="P86" i="2"/>
  <c r="O86" i="2"/>
  <c r="N86" i="2"/>
  <c r="M86" i="2"/>
  <c r="L86" i="2"/>
  <c r="K86" i="2"/>
  <c r="J86" i="2"/>
  <c r="I86" i="2"/>
  <c r="H86" i="2"/>
  <c r="G86" i="2"/>
  <c r="F86" i="2"/>
  <c r="E86" i="2"/>
  <c r="D86" i="2"/>
  <c r="C86" i="2"/>
  <c r="B86" i="2"/>
  <c r="A86" i="2"/>
  <c r="P85" i="2"/>
  <c r="O85" i="2"/>
  <c r="N85" i="2"/>
  <c r="M85" i="2"/>
  <c r="L85" i="2"/>
  <c r="K85" i="2"/>
  <c r="J85" i="2"/>
  <c r="I85" i="2"/>
  <c r="H85" i="2"/>
  <c r="G85" i="2"/>
  <c r="F85" i="2"/>
  <c r="E85" i="2"/>
  <c r="D85" i="2"/>
  <c r="C85" i="2"/>
  <c r="B85" i="2"/>
  <c r="A85" i="2"/>
  <c r="P84" i="2"/>
  <c r="O84" i="2"/>
  <c r="N84" i="2"/>
  <c r="M84" i="2"/>
  <c r="L84" i="2"/>
  <c r="K84" i="2"/>
  <c r="J84" i="2"/>
  <c r="I84" i="2"/>
  <c r="H84" i="2"/>
  <c r="G84" i="2"/>
  <c r="F84" i="2"/>
  <c r="E84" i="2"/>
  <c r="D84" i="2"/>
  <c r="C84" i="2"/>
  <c r="B84" i="2"/>
  <c r="A84" i="2"/>
  <c r="P83" i="2"/>
  <c r="O83" i="2"/>
  <c r="N83" i="2"/>
  <c r="M83" i="2"/>
  <c r="L83" i="2"/>
  <c r="K83" i="2"/>
  <c r="J83" i="2"/>
  <c r="I83" i="2"/>
  <c r="H83" i="2"/>
  <c r="G83" i="2"/>
  <c r="F83" i="2"/>
  <c r="E83" i="2"/>
  <c r="D83" i="2"/>
  <c r="C83" i="2"/>
  <c r="B83" i="2"/>
  <c r="A83" i="2"/>
  <c r="P82" i="2"/>
  <c r="O82" i="2"/>
  <c r="N82" i="2"/>
  <c r="M82" i="2"/>
  <c r="L82" i="2"/>
  <c r="K82" i="2"/>
  <c r="J82" i="2"/>
  <c r="I82" i="2"/>
  <c r="H82" i="2"/>
  <c r="G82" i="2"/>
  <c r="F82" i="2"/>
  <c r="E82" i="2"/>
  <c r="D82" i="2"/>
  <c r="C82" i="2"/>
  <c r="B82" i="2"/>
  <c r="A82" i="2"/>
  <c r="P81" i="2"/>
  <c r="O81" i="2"/>
  <c r="N81" i="2"/>
  <c r="M81" i="2"/>
  <c r="L81" i="2"/>
  <c r="K81" i="2"/>
  <c r="J81" i="2"/>
  <c r="I81" i="2"/>
  <c r="H81" i="2"/>
  <c r="G81" i="2"/>
  <c r="F81" i="2"/>
  <c r="E81" i="2"/>
  <c r="D81" i="2"/>
  <c r="C81" i="2"/>
  <c r="B81" i="2"/>
  <c r="A81" i="2"/>
  <c r="P80" i="2"/>
  <c r="O80" i="2"/>
  <c r="N80" i="2"/>
  <c r="M80" i="2"/>
  <c r="L80" i="2"/>
  <c r="K80" i="2"/>
  <c r="J80" i="2"/>
  <c r="I80" i="2"/>
  <c r="H80" i="2"/>
  <c r="G80" i="2"/>
  <c r="F80" i="2"/>
  <c r="E80" i="2"/>
  <c r="D80" i="2"/>
  <c r="C80" i="2"/>
  <c r="B80" i="2"/>
  <c r="A80" i="2"/>
  <c r="P79" i="2"/>
  <c r="O79" i="2"/>
  <c r="N79" i="2"/>
  <c r="M79" i="2"/>
  <c r="L79" i="2"/>
  <c r="K79" i="2"/>
  <c r="J79" i="2"/>
  <c r="I79" i="2"/>
  <c r="H79" i="2"/>
  <c r="G79" i="2"/>
  <c r="F79" i="2"/>
  <c r="E79" i="2"/>
  <c r="D79" i="2"/>
  <c r="C79" i="2"/>
  <c r="B79" i="2"/>
  <c r="A79" i="2"/>
  <c r="P78" i="2"/>
  <c r="O78" i="2"/>
  <c r="N78" i="2"/>
  <c r="M78" i="2"/>
  <c r="L78" i="2"/>
  <c r="K78" i="2"/>
  <c r="J78" i="2"/>
  <c r="I78" i="2"/>
  <c r="H78" i="2"/>
  <c r="G78" i="2"/>
  <c r="F78" i="2"/>
  <c r="E78" i="2"/>
  <c r="D78" i="2"/>
  <c r="C78" i="2"/>
  <c r="B78" i="2"/>
  <c r="A78" i="2"/>
  <c r="P77" i="2"/>
  <c r="O77" i="2"/>
  <c r="N77" i="2"/>
  <c r="M77" i="2"/>
  <c r="L77" i="2"/>
  <c r="K77" i="2"/>
  <c r="J77" i="2"/>
  <c r="I77" i="2"/>
  <c r="H77" i="2"/>
  <c r="G77" i="2"/>
  <c r="F77" i="2"/>
  <c r="E77" i="2"/>
  <c r="D77" i="2"/>
  <c r="C77" i="2"/>
  <c r="B77" i="2"/>
  <c r="A77" i="2"/>
  <c r="P76" i="2"/>
  <c r="O76" i="2"/>
  <c r="N76" i="2"/>
  <c r="M76" i="2"/>
  <c r="L76" i="2"/>
  <c r="K76" i="2"/>
  <c r="J76" i="2"/>
  <c r="I76" i="2"/>
  <c r="H76" i="2"/>
  <c r="G76" i="2"/>
  <c r="F76" i="2"/>
  <c r="E76" i="2"/>
  <c r="D76" i="2"/>
  <c r="C76" i="2"/>
  <c r="B76" i="2"/>
  <c r="A76" i="2"/>
  <c r="P75" i="2"/>
  <c r="O75" i="2"/>
  <c r="N75" i="2"/>
  <c r="M75" i="2"/>
  <c r="L75" i="2"/>
  <c r="K75" i="2"/>
  <c r="J75" i="2"/>
  <c r="I75" i="2"/>
  <c r="H75" i="2"/>
  <c r="G75" i="2"/>
  <c r="F75" i="2"/>
  <c r="E75" i="2"/>
  <c r="D75" i="2"/>
  <c r="C75" i="2"/>
  <c r="B75" i="2"/>
  <c r="A75" i="2"/>
  <c r="P74" i="2"/>
  <c r="O74" i="2"/>
  <c r="N74" i="2"/>
  <c r="M74" i="2"/>
  <c r="L74" i="2"/>
  <c r="K74" i="2"/>
  <c r="J74" i="2"/>
  <c r="I74" i="2"/>
  <c r="H74" i="2"/>
  <c r="G74" i="2"/>
  <c r="F74" i="2"/>
  <c r="E74" i="2"/>
  <c r="D74" i="2"/>
  <c r="C74" i="2"/>
  <c r="B74" i="2"/>
  <c r="A74" i="2"/>
  <c r="P73" i="2"/>
  <c r="O73" i="2"/>
  <c r="N73" i="2"/>
  <c r="M73" i="2"/>
  <c r="L73" i="2"/>
  <c r="K73" i="2"/>
  <c r="J73" i="2"/>
  <c r="I73" i="2"/>
  <c r="H73" i="2"/>
  <c r="G73" i="2"/>
  <c r="F73" i="2"/>
  <c r="E73" i="2"/>
  <c r="D73" i="2"/>
  <c r="C73" i="2"/>
  <c r="B73" i="2"/>
  <c r="A73" i="2"/>
  <c r="P72" i="2"/>
  <c r="O72" i="2"/>
  <c r="N72" i="2"/>
  <c r="M72" i="2"/>
  <c r="L72" i="2"/>
  <c r="K72" i="2"/>
  <c r="J72" i="2"/>
  <c r="I72" i="2"/>
  <c r="H72" i="2"/>
  <c r="G72" i="2"/>
  <c r="F72" i="2"/>
  <c r="E72" i="2"/>
  <c r="D72" i="2"/>
  <c r="C72" i="2"/>
  <c r="B72" i="2"/>
  <c r="A72" i="2"/>
  <c r="P71" i="2"/>
  <c r="O71" i="2"/>
  <c r="N71" i="2"/>
  <c r="M71" i="2"/>
  <c r="L71" i="2"/>
  <c r="K71" i="2"/>
  <c r="J71" i="2"/>
  <c r="I71" i="2"/>
  <c r="H71" i="2"/>
  <c r="G71" i="2"/>
  <c r="F71" i="2"/>
  <c r="E71" i="2"/>
  <c r="D71" i="2"/>
  <c r="C71" i="2"/>
  <c r="B71" i="2"/>
  <c r="A71" i="2"/>
  <c r="P70" i="2"/>
  <c r="O70" i="2"/>
  <c r="N70" i="2"/>
  <c r="M70" i="2"/>
  <c r="L70" i="2"/>
  <c r="K70" i="2"/>
  <c r="J70" i="2"/>
  <c r="I70" i="2"/>
  <c r="H70" i="2"/>
  <c r="G70" i="2"/>
  <c r="F70" i="2"/>
  <c r="E70" i="2"/>
  <c r="D70" i="2"/>
  <c r="C70" i="2"/>
  <c r="B70" i="2"/>
  <c r="A70" i="2"/>
  <c r="P69" i="2"/>
  <c r="O69" i="2"/>
  <c r="N69" i="2"/>
  <c r="M69" i="2"/>
  <c r="L69" i="2"/>
  <c r="K69" i="2"/>
  <c r="J69" i="2"/>
  <c r="I69" i="2"/>
  <c r="H69" i="2"/>
  <c r="G69" i="2"/>
  <c r="F69" i="2"/>
  <c r="E69" i="2"/>
  <c r="D69" i="2"/>
  <c r="C69" i="2"/>
  <c r="B69" i="2"/>
  <c r="A69" i="2"/>
  <c r="P68" i="2"/>
  <c r="O68" i="2"/>
  <c r="N68" i="2"/>
  <c r="M68" i="2"/>
  <c r="L68" i="2"/>
  <c r="K68" i="2"/>
  <c r="J68" i="2"/>
  <c r="I68" i="2"/>
  <c r="H68" i="2"/>
  <c r="G68" i="2"/>
  <c r="F68" i="2"/>
  <c r="E68" i="2"/>
  <c r="D68" i="2"/>
  <c r="C68" i="2"/>
  <c r="B68" i="2"/>
  <c r="A68" i="2"/>
  <c r="P67" i="2"/>
  <c r="O67" i="2"/>
  <c r="N67" i="2"/>
  <c r="M67" i="2"/>
  <c r="L67" i="2"/>
  <c r="K67" i="2"/>
  <c r="J67" i="2"/>
  <c r="I67" i="2"/>
  <c r="H67" i="2"/>
  <c r="G67" i="2"/>
  <c r="F67" i="2"/>
  <c r="E67" i="2"/>
  <c r="D67" i="2"/>
  <c r="C67" i="2"/>
  <c r="B67" i="2"/>
  <c r="A67" i="2"/>
  <c r="P66" i="2"/>
  <c r="O66" i="2"/>
  <c r="N66" i="2"/>
  <c r="M66" i="2"/>
  <c r="L66" i="2"/>
  <c r="K66" i="2"/>
  <c r="J66" i="2"/>
  <c r="I66" i="2"/>
  <c r="H66" i="2"/>
  <c r="G66" i="2"/>
  <c r="F66" i="2"/>
  <c r="E66" i="2"/>
  <c r="D66" i="2"/>
  <c r="C66" i="2"/>
  <c r="B66" i="2"/>
  <c r="A66" i="2"/>
  <c r="P65" i="2"/>
  <c r="O65" i="2"/>
  <c r="N65" i="2"/>
  <c r="M65" i="2"/>
  <c r="L65" i="2"/>
  <c r="K65" i="2"/>
  <c r="J65" i="2"/>
  <c r="I65" i="2"/>
  <c r="H65" i="2"/>
  <c r="G65" i="2"/>
  <c r="F65" i="2"/>
  <c r="E65" i="2"/>
  <c r="D65" i="2"/>
  <c r="C65" i="2"/>
  <c r="B65" i="2"/>
  <c r="A65" i="2"/>
  <c r="P64" i="2"/>
  <c r="O64" i="2"/>
  <c r="N64" i="2"/>
  <c r="M64" i="2"/>
  <c r="L64" i="2"/>
  <c r="K64" i="2"/>
  <c r="J64" i="2"/>
  <c r="I64" i="2"/>
  <c r="H64" i="2"/>
  <c r="G64" i="2"/>
  <c r="F64" i="2"/>
  <c r="E64" i="2"/>
  <c r="D64" i="2"/>
  <c r="C64" i="2"/>
  <c r="B64" i="2"/>
  <c r="A64" i="2"/>
  <c r="P63" i="2"/>
  <c r="O63" i="2"/>
  <c r="N63" i="2"/>
  <c r="M63" i="2"/>
  <c r="L63" i="2"/>
  <c r="K63" i="2"/>
  <c r="J63" i="2"/>
  <c r="I63" i="2"/>
  <c r="H63" i="2"/>
  <c r="G63" i="2"/>
  <c r="F63" i="2"/>
  <c r="E63" i="2"/>
  <c r="D63" i="2"/>
  <c r="C63" i="2"/>
  <c r="B63" i="2"/>
  <c r="A63" i="2"/>
  <c r="P62" i="2"/>
  <c r="O62" i="2"/>
  <c r="N62" i="2"/>
  <c r="M62" i="2"/>
  <c r="L62" i="2"/>
  <c r="K62" i="2"/>
  <c r="J62" i="2"/>
  <c r="I62" i="2"/>
  <c r="H62" i="2"/>
  <c r="G62" i="2"/>
  <c r="F62" i="2"/>
  <c r="E62" i="2"/>
  <c r="D62" i="2"/>
  <c r="C62" i="2"/>
  <c r="B62" i="2"/>
  <c r="A62" i="2"/>
  <c r="P61" i="2"/>
  <c r="O61" i="2"/>
  <c r="N61" i="2"/>
  <c r="M61" i="2"/>
  <c r="L61" i="2"/>
  <c r="K61" i="2"/>
  <c r="J61" i="2"/>
  <c r="I61" i="2"/>
  <c r="H61" i="2"/>
  <c r="G61" i="2"/>
  <c r="F61" i="2"/>
  <c r="E61" i="2"/>
  <c r="D61" i="2"/>
  <c r="C61" i="2"/>
  <c r="B61" i="2"/>
  <c r="A61" i="2"/>
  <c r="P60" i="2"/>
  <c r="O60" i="2"/>
  <c r="N60" i="2"/>
  <c r="M60" i="2"/>
  <c r="L60" i="2"/>
  <c r="K60" i="2"/>
  <c r="J60" i="2"/>
  <c r="I60" i="2"/>
  <c r="H60" i="2"/>
  <c r="G60" i="2"/>
  <c r="F60" i="2"/>
  <c r="E60" i="2"/>
  <c r="D60" i="2"/>
  <c r="C60" i="2"/>
  <c r="B60" i="2"/>
  <c r="A60" i="2"/>
  <c r="P59" i="2"/>
  <c r="O59" i="2"/>
  <c r="N59" i="2"/>
  <c r="M59" i="2"/>
  <c r="L59" i="2"/>
  <c r="K59" i="2"/>
  <c r="J59" i="2"/>
  <c r="I59" i="2"/>
  <c r="H59" i="2"/>
  <c r="G59" i="2"/>
  <c r="F59" i="2"/>
  <c r="E59" i="2"/>
  <c r="D59" i="2"/>
  <c r="C59" i="2"/>
  <c r="B59" i="2"/>
  <c r="A59" i="2"/>
  <c r="P58" i="2"/>
  <c r="O58" i="2"/>
  <c r="N58" i="2"/>
  <c r="M58" i="2"/>
  <c r="L58" i="2"/>
  <c r="K58" i="2"/>
  <c r="J58" i="2"/>
  <c r="I58" i="2"/>
  <c r="H58" i="2"/>
  <c r="G58" i="2"/>
  <c r="F58" i="2"/>
  <c r="E58" i="2"/>
  <c r="D58" i="2"/>
  <c r="C58" i="2"/>
  <c r="B58" i="2"/>
  <c r="A58" i="2"/>
  <c r="P57" i="2"/>
  <c r="O57" i="2"/>
  <c r="N57" i="2"/>
  <c r="M57" i="2"/>
  <c r="L57" i="2"/>
  <c r="K57" i="2"/>
  <c r="J57" i="2"/>
  <c r="I57" i="2"/>
  <c r="H57" i="2"/>
  <c r="G57" i="2"/>
  <c r="F57" i="2"/>
  <c r="E57" i="2"/>
  <c r="D57" i="2"/>
  <c r="C57" i="2"/>
  <c r="B57" i="2"/>
  <c r="A57" i="2"/>
  <c r="P56" i="2"/>
  <c r="O56" i="2"/>
  <c r="N56" i="2"/>
  <c r="M56" i="2"/>
  <c r="L56" i="2"/>
  <c r="K56" i="2"/>
  <c r="J56" i="2"/>
  <c r="I56" i="2"/>
  <c r="H56" i="2"/>
  <c r="G56" i="2"/>
  <c r="F56" i="2"/>
  <c r="E56" i="2"/>
  <c r="D56" i="2"/>
  <c r="C56" i="2"/>
  <c r="B56" i="2"/>
  <c r="A56" i="2"/>
  <c r="P55" i="2"/>
  <c r="O55" i="2"/>
  <c r="N55" i="2"/>
  <c r="M55" i="2"/>
  <c r="L55" i="2"/>
  <c r="K55" i="2"/>
  <c r="J55" i="2"/>
  <c r="I55" i="2"/>
  <c r="H55" i="2"/>
  <c r="G55" i="2"/>
  <c r="F55" i="2"/>
  <c r="E55" i="2"/>
  <c r="D55" i="2"/>
  <c r="C55" i="2"/>
  <c r="B55" i="2"/>
  <c r="A55" i="2"/>
  <c r="P54" i="2"/>
  <c r="O54" i="2"/>
  <c r="N54" i="2"/>
  <c r="M54" i="2"/>
  <c r="L54" i="2"/>
  <c r="K54" i="2"/>
  <c r="J54" i="2"/>
  <c r="I54" i="2"/>
  <c r="H54" i="2"/>
  <c r="G54" i="2"/>
  <c r="F54" i="2"/>
  <c r="E54" i="2"/>
  <c r="D54" i="2"/>
  <c r="C54" i="2"/>
  <c r="B54" i="2"/>
  <c r="A54" i="2"/>
  <c r="P53" i="2"/>
  <c r="O53" i="2"/>
  <c r="N53" i="2"/>
  <c r="M53" i="2"/>
  <c r="L53" i="2"/>
  <c r="K53" i="2"/>
  <c r="J53" i="2"/>
  <c r="I53" i="2"/>
  <c r="H53" i="2"/>
  <c r="G53" i="2"/>
  <c r="F53" i="2"/>
  <c r="E53" i="2"/>
  <c r="D53" i="2"/>
  <c r="C53" i="2"/>
  <c r="B53" i="2"/>
  <c r="A53" i="2"/>
  <c r="P52" i="2"/>
  <c r="O52" i="2"/>
  <c r="N52" i="2"/>
  <c r="M52" i="2"/>
  <c r="L52" i="2"/>
  <c r="K52" i="2"/>
  <c r="J52" i="2"/>
  <c r="I52" i="2"/>
  <c r="H52" i="2"/>
  <c r="G52" i="2"/>
  <c r="F52" i="2"/>
  <c r="E52" i="2"/>
  <c r="D52" i="2"/>
  <c r="C52" i="2"/>
  <c r="B52" i="2"/>
  <c r="A52" i="2"/>
  <c r="P51" i="2"/>
  <c r="O51" i="2"/>
  <c r="N51" i="2"/>
  <c r="M51" i="2"/>
  <c r="L51" i="2"/>
  <c r="K51" i="2"/>
  <c r="J51" i="2"/>
  <c r="I51" i="2"/>
  <c r="H51" i="2"/>
  <c r="G51" i="2"/>
  <c r="F51" i="2"/>
  <c r="E51" i="2"/>
  <c r="D51" i="2"/>
  <c r="C51" i="2"/>
  <c r="B51" i="2"/>
  <c r="A51" i="2"/>
  <c r="P50" i="2"/>
  <c r="O50" i="2"/>
  <c r="N50" i="2"/>
  <c r="M50" i="2"/>
  <c r="L50" i="2"/>
  <c r="K50" i="2"/>
  <c r="J50" i="2"/>
  <c r="I50" i="2"/>
  <c r="H50" i="2"/>
  <c r="G50" i="2"/>
  <c r="F50" i="2"/>
  <c r="E50" i="2"/>
  <c r="D50" i="2"/>
  <c r="C50" i="2"/>
  <c r="B50" i="2"/>
  <c r="A50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C49" i="2"/>
  <c r="B49" i="2"/>
  <c r="A49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C48" i="2"/>
  <c r="B48" i="2"/>
  <c r="A48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C47" i="2"/>
  <c r="B47" i="2"/>
  <c r="A47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C46" i="2"/>
  <c r="B46" i="2"/>
  <c r="A46" i="2"/>
  <c r="P45" i="2"/>
  <c r="O45" i="2"/>
  <c r="N45" i="2"/>
  <c r="M45" i="2"/>
  <c r="L45" i="2"/>
  <c r="K45" i="2"/>
  <c r="J45" i="2"/>
  <c r="I45" i="2"/>
  <c r="H45" i="2"/>
  <c r="G45" i="2"/>
  <c r="F45" i="2"/>
  <c r="E45" i="2"/>
  <c r="D45" i="2"/>
  <c r="C45" i="2"/>
  <c r="B45" i="2"/>
  <c r="A45" i="2"/>
  <c r="P44" i="2"/>
  <c r="O44" i="2"/>
  <c r="N44" i="2"/>
  <c r="M44" i="2"/>
  <c r="L44" i="2"/>
  <c r="K44" i="2"/>
  <c r="J44" i="2"/>
  <c r="I44" i="2"/>
  <c r="H44" i="2"/>
  <c r="G44" i="2"/>
  <c r="F44" i="2"/>
  <c r="E44" i="2"/>
  <c r="D44" i="2"/>
  <c r="C44" i="2"/>
  <c r="B44" i="2"/>
  <c r="A44" i="2"/>
  <c r="P43" i="2"/>
  <c r="O43" i="2"/>
  <c r="N43" i="2"/>
  <c r="M43" i="2"/>
  <c r="L43" i="2"/>
  <c r="K43" i="2"/>
  <c r="J43" i="2"/>
  <c r="I43" i="2"/>
  <c r="H43" i="2"/>
  <c r="G43" i="2"/>
  <c r="F43" i="2"/>
  <c r="E43" i="2"/>
  <c r="D43" i="2"/>
  <c r="C43" i="2"/>
  <c r="B43" i="2"/>
  <c r="A43" i="2"/>
  <c r="P42" i="2"/>
  <c r="O42" i="2"/>
  <c r="N42" i="2"/>
  <c r="M42" i="2"/>
  <c r="L42" i="2"/>
  <c r="K42" i="2"/>
  <c r="J42" i="2"/>
  <c r="I42" i="2"/>
  <c r="H42" i="2"/>
  <c r="G42" i="2"/>
  <c r="F42" i="2"/>
  <c r="E42" i="2"/>
  <c r="D42" i="2"/>
  <c r="C42" i="2"/>
  <c r="B42" i="2"/>
  <c r="A42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C41" i="2"/>
  <c r="B41" i="2"/>
  <c r="A41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C40" i="2"/>
  <c r="B40" i="2"/>
  <c r="A40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C39" i="2"/>
  <c r="B39" i="2"/>
  <c r="A39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C38" i="2"/>
  <c r="B38" i="2"/>
  <c r="A38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C37" i="2"/>
  <c r="B37" i="2"/>
  <c r="A37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C36" i="2"/>
  <c r="B36" i="2"/>
  <c r="A36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C35" i="2"/>
  <c r="B35" i="2"/>
  <c r="A35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C34" i="2"/>
  <c r="B34" i="2"/>
  <c r="A34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C33" i="2"/>
  <c r="B33" i="2"/>
  <c r="A33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C32" i="2"/>
  <c r="B32" i="2"/>
  <c r="A32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C31" i="2"/>
  <c r="B31" i="2"/>
  <c r="A31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C30" i="2"/>
  <c r="B30" i="2"/>
  <c r="A30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C29" i="2"/>
  <c r="B29" i="2"/>
  <c r="A29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28" i="2"/>
  <c r="B28" i="2"/>
  <c r="A28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B27" i="2"/>
  <c r="A27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B26" i="2"/>
  <c r="A26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25" i="2"/>
  <c r="B25" i="2"/>
  <c r="A25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B24" i="2"/>
  <c r="A24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B23" i="2"/>
  <c r="A23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B22" i="2"/>
  <c r="A22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B21" i="2"/>
  <c r="A21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B20" i="2"/>
  <c r="A20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B19" i="2"/>
  <c r="A19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B18" i="2"/>
  <c r="A18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B17" i="2"/>
  <c r="A17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B16" i="2"/>
  <c r="A16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B15" i="2"/>
  <c r="A15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B14" i="2"/>
  <c r="A14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  <c r="A13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B12" i="2"/>
  <c r="A12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  <c r="A11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A10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B9" i="2"/>
  <c r="A9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A8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B7" i="2"/>
  <c r="A7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B6" i="2"/>
  <c r="A6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B5" i="2"/>
  <c r="A5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B4" i="2"/>
  <c r="A4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B3" i="2"/>
  <c r="A3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B2" i="2"/>
  <c r="A2" i="2"/>
  <c r="A2" i="1"/>
  <c r="B2" i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A3" i="1"/>
  <c r="B3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A4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A5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A6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A7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A8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A9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A10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A11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A12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A13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A14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A15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A16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A17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A18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A19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A20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A21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A22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A23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A24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A25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A26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A27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A28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A29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A30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A31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A32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A33" i="1"/>
  <c r="B33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A34" i="1"/>
  <c r="B34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A35" i="1"/>
  <c r="B35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A36" i="1"/>
  <c r="B36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A37" i="1"/>
  <c r="B37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A38" i="1"/>
  <c r="B38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A39" i="1"/>
  <c r="B39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A40" i="1"/>
  <c r="B40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A41" i="1"/>
  <c r="B41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A42" i="1"/>
  <c r="B42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A43" i="1"/>
  <c r="B43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A44" i="1"/>
  <c r="B44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A45" i="1"/>
  <c r="B45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A46" i="1"/>
  <c r="B46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A47" i="1"/>
  <c r="B47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A48" i="1"/>
  <c r="B48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A49" i="1"/>
  <c r="B49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A50" i="1"/>
  <c r="B50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A51" i="1"/>
  <c r="B51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A52" i="1"/>
  <c r="B52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A53" i="1"/>
  <c r="B53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A54" i="1"/>
  <c r="B54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A55" i="1"/>
  <c r="B55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A56" i="1"/>
  <c r="B56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A57" i="1"/>
  <c r="B57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A58" i="1"/>
  <c r="B58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A59" i="1"/>
  <c r="B59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A60" i="1"/>
  <c r="B60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A61" i="1"/>
  <c r="B61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A62" i="1"/>
  <c r="B62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A63" i="1"/>
  <c r="B63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A64" i="1"/>
  <c r="B64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A65" i="1"/>
  <c r="B65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A66" i="1"/>
  <c r="B66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A67" i="1"/>
  <c r="B67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A68" i="1"/>
  <c r="B68" i="1"/>
  <c r="C68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A69" i="1"/>
  <c r="B69" i="1"/>
  <c r="C69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A70" i="1"/>
  <c r="B70" i="1"/>
  <c r="C70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A71" i="1"/>
  <c r="B71" i="1"/>
  <c r="C71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A72" i="1"/>
  <c r="B72" i="1"/>
  <c r="C72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A73" i="1"/>
  <c r="B73" i="1"/>
  <c r="C73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A74" i="1"/>
  <c r="B74" i="1"/>
  <c r="C74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A75" i="1"/>
  <c r="B75" i="1"/>
  <c r="C75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A76" i="1"/>
  <c r="B76" i="1"/>
  <c r="C76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A77" i="1"/>
  <c r="B77" i="1"/>
  <c r="C77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A78" i="1"/>
  <c r="B78" i="1"/>
  <c r="C78" i="1"/>
  <c r="D78" i="1"/>
  <c r="E78" i="1"/>
  <c r="F78" i="1"/>
  <c r="G78" i="1"/>
  <c r="H78" i="1"/>
  <c r="I78" i="1"/>
  <c r="J78" i="1"/>
  <c r="K78" i="1"/>
  <c r="L78" i="1"/>
  <c r="M78" i="1"/>
  <c r="N78" i="1"/>
  <c r="O78" i="1"/>
  <c r="P78" i="1"/>
  <c r="A79" i="1"/>
  <c r="B79" i="1"/>
  <c r="C79" i="1"/>
  <c r="D79" i="1"/>
  <c r="E79" i="1"/>
  <c r="F79" i="1"/>
  <c r="G79" i="1"/>
  <c r="H79" i="1"/>
  <c r="I79" i="1"/>
  <c r="J79" i="1"/>
  <c r="K79" i="1"/>
  <c r="L79" i="1"/>
  <c r="M79" i="1"/>
  <c r="N79" i="1"/>
  <c r="O79" i="1"/>
  <c r="P79" i="1"/>
  <c r="A80" i="1"/>
  <c r="B80" i="1"/>
  <c r="C80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A81" i="1"/>
  <c r="B81" i="1"/>
  <c r="C81" i="1"/>
  <c r="D81" i="1"/>
  <c r="E81" i="1"/>
  <c r="F81" i="1"/>
  <c r="G81" i="1"/>
  <c r="H81" i="1"/>
  <c r="I81" i="1"/>
  <c r="J81" i="1"/>
  <c r="K81" i="1"/>
  <c r="L81" i="1"/>
  <c r="M81" i="1"/>
  <c r="N81" i="1"/>
  <c r="O81" i="1"/>
  <c r="P81" i="1"/>
  <c r="A82" i="1"/>
  <c r="B82" i="1"/>
  <c r="C82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A83" i="1"/>
  <c r="B83" i="1"/>
  <c r="C83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A84" i="1"/>
  <c r="B84" i="1"/>
  <c r="C84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A85" i="1"/>
  <c r="B85" i="1"/>
  <c r="C85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A86" i="1"/>
  <c r="B86" i="1"/>
  <c r="C86" i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A87" i="1"/>
  <c r="B87" i="1"/>
  <c r="C87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A88" i="1"/>
  <c r="B88" i="1"/>
  <c r="C88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A89" i="1"/>
  <c r="B89" i="1"/>
  <c r="C89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A90" i="1"/>
  <c r="B90" i="1"/>
  <c r="C90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A91" i="1"/>
  <c r="B91" i="1"/>
  <c r="C91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A92" i="1"/>
  <c r="B92" i="1"/>
  <c r="C92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A93" i="1"/>
  <c r="B93" i="1"/>
  <c r="C93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A94" i="1"/>
  <c r="B94" i="1"/>
  <c r="C94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A95" i="1"/>
  <c r="B95" i="1"/>
  <c r="C95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A96" i="1"/>
  <c r="B96" i="1"/>
  <c r="C96" i="1"/>
  <c r="D96" i="1"/>
  <c r="E96" i="1"/>
  <c r="F96" i="1"/>
  <c r="G96" i="1"/>
  <c r="H96" i="1"/>
  <c r="I96" i="1"/>
  <c r="J96" i="1"/>
  <c r="K96" i="1"/>
  <c r="L96" i="1"/>
  <c r="M96" i="1"/>
  <c r="N96" i="1"/>
  <c r="O96" i="1"/>
  <c r="P96" i="1"/>
  <c r="A97" i="1"/>
  <c r="B97" i="1"/>
  <c r="C97" i="1"/>
  <c r="D97" i="1"/>
  <c r="E97" i="1"/>
  <c r="F97" i="1"/>
  <c r="G97" i="1"/>
  <c r="H97" i="1"/>
  <c r="I97" i="1"/>
  <c r="J97" i="1"/>
  <c r="K97" i="1"/>
  <c r="L97" i="1"/>
  <c r="M97" i="1"/>
  <c r="N97" i="1"/>
  <c r="O97" i="1"/>
  <c r="P97" i="1"/>
  <c r="A98" i="1"/>
  <c r="B98" i="1"/>
  <c r="C98" i="1"/>
  <c r="D98" i="1"/>
  <c r="E98" i="1"/>
  <c r="F98" i="1"/>
  <c r="G98" i="1"/>
  <c r="H98" i="1"/>
  <c r="I98" i="1"/>
  <c r="J98" i="1"/>
  <c r="K98" i="1"/>
  <c r="L98" i="1"/>
  <c r="M98" i="1"/>
  <c r="N98" i="1"/>
  <c r="O98" i="1"/>
  <c r="P98" i="1"/>
  <c r="A99" i="1"/>
  <c r="B99" i="1"/>
  <c r="C99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A100" i="1"/>
  <c r="B100" i="1"/>
  <c r="C100" i="1"/>
  <c r="D100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A101" i="1"/>
  <c r="B101" i="1"/>
  <c r="C101" i="1"/>
  <c r="D101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A102" i="1"/>
  <c r="B102" i="1"/>
  <c r="C102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A103" i="1"/>
  <c r="B103" i="1"/>
  <c r="C103" i="1"/>
  <c r="D103" i="1"/>
  <c r="E103" i="1"/>
  <c r="F103" i="1"/>
  <c r="G103" i="1"/>
  <c r="H103" i="1"/>
  <c r="I103" i="1"/>
  <c r="J103" i="1"/>
  <c r="K103" i="1"/>
  <c r="L103" i="1"/>
  <c r="M103" i="1"/>
  <c r="N103" i="1"/>
  <c r="O103" i="1"/>
  <c r="P103" i="1"/>
  <c r="A104" i="1"/>
  <c r="B104" i="1"/>
  <c r="C104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A105" i="1"/>
  <c r="B105" i="1"/>
  <c r="C105" i="1"/>
  <c r="D105" i="1"/>
  <c r="E105" i="1"/>
  <c r="F105" i="1"/>
  <c r="G105" i="1"/>
  <c r="H105" i="1"/>
  <c r="I105" i="1"/>
  <c r="J105" i="1"/>
  <c r="K105" i="1"/>
  <c r="L105" i="1"/>
  <c r="M105" i="1"/>
  <c r="N105" i="1"/>
  <c r="O105" i="1"/>
  <c r="P105" i="1"/>
  <c r="A106" i="1"/>
  <c r="B106" i="1"/>
  <c r="C106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A107" i="1"/>
  <c r="B107" i="1"/>
  <c r="C107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A108" i="1"/>
  <c r="B108" i="1"/>
  <c r="C108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A109" i="1"/>
  <c r="B109" i="1"/>
  <c r="C109" i="1"/>
  <c r="D109" i="1"/>
  <c r="E109" i="1"/>
  <c r="F109" i="1"/>
  <c r="G109" i="1"/>
  <c r="H109" i="1"/>
  <c r="I109" i="1"/>
  <c r="J109" i="1"/>
  <c r="K109" i="1"/>
  <c r="L109" i="1"/>
  <c r="M109" i="1"/>
  <c r="N109" i="1"/>
  <c r="O109" i="1"/>
  <c r="P109" i="1"/>
  <c r="A110" i="1"/>
  <c r="B110" i="1"/>
  <c r="C110" i="1"/>
  <c r="D110" i="1"/>
  <c r="E110" i="1"/>
  <c r="F110" i="1"/>
  <c r="G110" i="1"/>
  <c r="H110" i="1"/>
  <c r="I110" i="1"/>
  <c r="J110" i="1"/>
  <c r="K110" i="1"/>
  <c r="L110" i="1"/>
  <c r="M110" i="1"/>
  <c r="N110" i="1"/>
  <c r="O110" i="1"/>
  <c r="P110" i="1"/>
  <c r="A111" i="1"/>
  <c r="B111" i="1"/>
  <c r="C111" i="1"/>
  <c r="D111" i="1"/>
  <c r="E111" i="1"/>
  <c r="F111" i="1"/>
  <c r="G111" i="1"/>
  <c r="H111" i="1"/>
  <c r="I111" i="1"/>
  <c r="J111" i="1"/>
  <c r="K111" i="1"/>
  <c r="L111" i="1"/>
  <c r="M111" i="1"/>
  <c r="N111" i="1"/>
  <c r="O111" i="1"/>
  <c r="P111" i="1"/>
  <c r="A112" i="1"/>
  <c r="B112" i="1"/>
  <c r="C112" i="1"/>
  <c r="D112" i="1"/>
  <c r="E112" i="1"/>
  <c r="F112" i="1"/>
  <c r="G112" i="1"/>
  <c r="H112" i="1"/>
  <c r="I112" i="1"/>
  <c r="J112" i="1"/>
  <c r="K112" i="1"/>
  <c r="L112" i="1"/>
  <c r="M112" i="1"/>
  <c r="N112" i="1"/>
  <c r="O112" i="1"/>
  <c r="P112" i="1"/>
  <c r="A113" i="1"/>
  <c r="B113" i="1"/>
  <c r="C113" i="1"/>
  <c r="D113" i="1"/>
  <c r="E113" i="1"/>
  <c r="F113" i="1"/>
  <c r="G113" i="1"/>
  <c r="H113" i="1"/>
  <c r="I113" i="1"/>
  <c r="J113" i="1"/>
  <c r="K113" i="1"/>
  <c r="L113" i="1"/>
  <c r="M113" i="1"/>
  <c r="N113" i="1"/>
  <c r="O113" i="1"/>
  <c r="P113" i="1"/>
  <c r="A114" i="1"/>
  <c r="B114" i="1"/>
  <c r="C114" i="1"/>
  <c r="D114" i="1"/>
  <c r="E114" i="1"/>
  <c r="F114" i="1"/>
  <c r="G114" i="1"/>
  <c r="H114" i="1"/>
  <c r="I114" i="1"/>
  <c r="J114" i="1"/>
  <c r="K114" i="1"/>
  <c r="L114" i="1"/>
  <c r="M114" i="1"/>
  <c r="N114" i="1"/>
  <c r="O114" i="1"/>
  <c r="P114" i="1"/>
  <c r="A115" i="1"/>
  <c r="B115" i="1"/>
  <c r="C115" i="1"/>
  <c r="D115" i="1"/>
  <c r="E115" i="1"/>
  <c r="F115" i="1"/>
  <c r="G115" i="1"/>
  <c r="H115" i="1"/>
  <c r="I115" i="1"/>
  <c r="J115" i="1"/>
  <c r="K115" i="1"/>
  <c r="L115" i="1"/>
  <c r="M115" i="1"/>
  <c r="N115" i="1"/>
  <c r="O115" i="1"/>
  <c r="P115" i="1"/>
  <c r="A116" i="1"/>
  <c r="B116" i="1"/>
  <c r="C116" i="1"/>
  <c r="D116" i="1"/>
  <c r="E116" i="1"/>
  <c r="F116" i="1"/>
  <c r="G116" i="1"/>
  <c r="H116" i="1"/>
  <c r="I116" i="1"/>
  <c r="J116" i="1"/>
  <c r="K116" i="1"/>
  <c r="L116" i="1"/>
  <c r="M116" i="1"/>
  <c r="N116" i="1"/>
  <c r="O116" i="1"/>
  <c r="P116" i="1"/>
  <c r="A117" i="1"/>
  <c r="B117" i="1"/>
  <c r="C117" i="1"/>
  <c r="D117" i="1"/>
  <c r="E117" i="1"/>
  <c r="F117" i="1"/>
  <c r="G117" i="1"/>
  <c r="H117" i="1"/>
  <c r="I117" i="1"/>
  <c r="J117" i="1"/>
  <c r="K117" i="1"/>
  <c r="L117" i="1"/>
  <c r="M117" i="1"/>
  <c r="N117" i="1"/>
  <c r="O117" i="1"/>
  <c r="P117" i="1"/>
  <c r="A118" i="1"/>
  <c r="B118" i="1"/>
  <c r="C118" i="1"/>
  <c r="D118" i="1"/>
  <c r="E118" i="1"/>
  <c r="F118" i="1"/>
  <c r="G118" i="1"/>
  <c r="H118" i="1"/>
  <c r="I118" i="1"/>
  <c r="J118" i="1"/>
  <c r="K118" i="1"/>
  <c r="L118" i="1"/>
  <c r="M118" i="1"/>
  <c r="N118" i="1"/>
  <c r="O118" i="1"/>
  <c r="P118" i="1"/>
  <c r="A119" i="1"/>
  <c r="B119" i="1"/>
  <c r="C119" i="1"/>
  <c r="D119" i="1"/>
  <c r="E119" i="1"/>
  <c r="F119" i="1"/>
  <c r="G119" i="1"/>
  <c r="H119" i="1"/>
  <c r="I119" i="1"/>
  <c r="J119" i="1"/>
  <c r="K119" i="1"/>
  <c r="L119" i="1"/>
  <c r="M119" i="1"/>
  <c r="N119" i="1"/>
  <c r="O119" i="1"/>
  <c r="P119" i="1"/>
  <c r="A120" i="1"/>
  <c r="B120" i="1"/>
  <c r="C120" i="1"/>
  <c r="D120" i="1"/>
  <c r="E120" i="1"/>
  <c r="F120" i="1"/>
  <c r="G120" i="1"/>
  <c r="H120" i="1"/>
  <c r="I120" i="1"/>
  <c r="J120" i="1"/>
  <c r="K120" i="1"/>
  <c r="L120" i="1"/>
  <c r="M120" i="1"/>
  <c r="N120" i="1"/>
  <c r="O120" i="1"/>
  <c r="P120" i="1"/>
  <c r="A121" i="1"/>
  <c r="B121" i="1"/>
  <c r="C121" i="1"/>
  <c r="D121" i="1"/>
  <c r="E121" i="1"/>
  <c r="F121" i="1"/>
  <c r="G121" i="1"/>
  <c r="H121" i="1"/>
  <c r="I121" i="1"/>
  <c r="J121" i="1"/>
  <c r="K121" i="1"/>
  <c r="L121" i="1"/>
  <c r="M121" i="1"/>
  <c r="N121" i="1"/>
  <c r="O121" i="1"/>
  <c r="P121" i="1"/>
  <c r="A122" i="1"/>
  <c r="B122" i="1"/>
  <c r="C122" i="1"/>
  <c r="D122" i="1"/>
  <c r="E122" i="1"/>
  <c r="F122" i="1"/>
  <c r="G122" i="1"/>
  <c r="H122" i="1"/>
  <c r="I122" i="1"/>
  <c r="J122" i="1"/>
  <c r="K122" i="1"/>
  <c r="L122" i="1"/>
  <c r="M122" i="1"/>
  <c r="N122" i="1"/>
  <c r="O122" i="1"/>
  <c r="P122" i="1"/>
  <c r="A123" i="1"/>
  <c r="B123" i="1"/>
  <c r="C123" i="1"/>
  <c r="D123" i="1"/>
  <c r="E123" i="1"/>
  <c r="F123" i="1"/>
  <c r="G123" i="1"/>
  <c r="H123" i="1"/>
  <c r="I123" i="1"/>
  <c r="J123" i="1"/>
  <c r="K123" i="1"/>
  <c r="L123" i="1"/>
  <c r="M123" i="1"/>
  <c r="N123" i="1"/>
  <c r="O123" i="1"/>
  <c r="P123" i="1"/>
  <c r="A124" i="1"/>
  <c r="B124" i="1"/>
  <c r="C124" i="1"/>
  <c r="D124" i="1"/>
  <c r="E124" i="1"/>
  <c r="F124" i="1"/>
  <c r="G124" i="1"/>
  <c r="H124" i="1"/>
  <c r="I124" i="1"/>
  <c r="J124" i="1"/>
  <c r="K124" i="1"/>
  <c r="L124" i="1"/>
  <c r="M124" i="1"/>
  <c r="N124" i="1"/>
  <c r="O124" i="1"/>
  <c r="P124" i="1"/>
  <c r="A125" i="1"/>
  <c r="B125" i="1"/>
  <c r="C125" i="1"/>
  <c r="D125" i="1"/>
  <c r="E125" i="1"/>
  <c r="F125" i="1"/>
  <c r="G125" i="1"/>
  <c r="H125" i="1"/>
  <c r="I125" i="1"/>
  <c r="J125" i="1"/>
  <c r="K125" i="1"/>
  <c r="L125" i="1"/>
  <c r="M125" i="1"/>
  <c r="N125" i="1"/>
  <c r="O125" i="1"/>
  <c r="P125" i="1"/>
  <c r="A126" i="1"/>
  <c r="B126" i="1"/>
  <c r="C126" i="1"/>
  <c r="D126" i="1"/>
  <c r="E126" i="1"/>
  <c r="F126" i="1"/>
  <c r="G126" i="1"/>
  <c r="H126" i="1"/>
  <c r="I126" i="1"/>
  <c r="J126" i="1"/>
  <c r="K126" i="1"/>
  <c r="L126" i="1"/>
  <c r="M126" i="1"/>
  <c r="N126" i="1"/>
  <c r="O126" i="1"/>
  <c r="P126" i="1"/>
  <c r="A127" i="1"/>
  <c r="B127" i="1"/>
  <c r="C127" i="1"/>
  <c r="D127" i="1"/>
  <c r="E127" i="1"/>
  <c r="F127" i="1"/>
  <c r="G127" i="1"/>
  <c r="H127" i="1"/>
  <c r="I127" i="1"/>
  <c r="J127" i="1"/>
  <c r="K127" i="1"/>
  <c r="L127" i="1"/>
  <c r="M127" i="1"/>
  <c r="N127" i="1"/>
  <c r="O127" i="1"/>
  <c r="P127" i="1"/>
  <c r="A128" i="1"/>
  <c r="B128" i="1"/>
  <c r="C128" i="1"/>
  <c r="D128" i="1"/>
  <c r="E128" i="1"/>
  <c r="F128" i="1"/>
  <c r="G128" i="1"/>
  <c r="H128" i="1"/>
  <c r="I128" i="1"/>
  <c r="J128" i="1"/>
  <c r="K128" i="1"/>
  <c r="L128" i="1"/>
  <c r="M128" i="1"/>
  <c r="N128" i="1"/>
  <c r="O128" i="1"/>
  <c r="P128" i="1"/>
  <c r="A129" i="1"/>
  <c r="B129" i="1"/>
  <c r="C129" i="1"/>
  <c r="D129" i="1"/>
  <c r="E129" i="1"/>
  <c r="F129" i="1"/>
  <c r="G129" i="1"/>
  <c r="H129" i="1"/>
  <c r="I129" i="1"/>
  <c r="J129" i="1"/>
  <c r="K129" i="1"/>
  <c r="L129" i="1"/>
  <c r="M129" i="1"/>
  <c r="N129" i="1"/>
  <c r="O129" i="1"/>
  <c r="P129" i="1"/>
  <c r="A130" i="1"/>
  <c r="B130" i="1"/>
  <c r="C130" i="1"/>
  <c r="D130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A131" i="1"/>
  <c r="B131" i="1"/>
  <c r="C131" i="1"/>
  <c r="D131" i="1"/>
  <c r="E131" i="1"/>
  <c r="F131" i="1"/>
  <c r="G131" i="1"/>
  <c r="H131" i="1"/>
  <c r="I131" i="1"/>
  <c r="J131" i="1"/>
  <c r="K131" i="1"/>
  <c r="L131" i="1"/>
  <c r="M131" i="1"/>
  <c r="N131" i="1"/>
  <c r="O131" i="1"/>
  <c r="P131" i="1"/>
  <c r="A132" i="1"/>
  <c r="B132" i="1"/>
  <c r="C132" i="1"/>
  <c r="D132" i="1"/>
  <c r="E132" i="1"/>
  <c r="F132" i="1"/>
  <c r="G132" i="1"/>
  <c r="H132" i="1"/>
  <c r="I132" i="1"/>
  <c r="J132" i="1"/>
  <c r="K132" i="1"/>
  <c r="L132" i="1"/>
  <c r="M132" i="1"/>
  <c r="N132" i="1"/>
  <c r="O132" i="1"/>
  <c r="P132" i="1"/>
  <c r="A133" i="1"/>
  <c r="B133" i="1"/>
  <c r="C133" i="1"/>
  <c r="D133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A134" i="1"/>
  <c r="B134" i="1"/>
  <c r="C134" i="1"/>
  <c r="D134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A135" i="1"/>
  <c r="B135" i="1"/>
  <c r="C135" i="1"/>
  <c r="D135" i="1"/>
  <c r="E135" i="1"/>
  <c r="F135" i="1"/>
  <c r="G135" i="1"/>
  <c r="H135" i="1"/>
  <c r="I135" i="1"/>
  <c r="J135" i="1"/>
  <c r="K135" i="1"/>
  <c r="L135" i="1"/>
  <c r="M135" i="1"/>
  <c r="N135" i="1"/>
  <c r="O135" i="1"/>
  <c r="P135" i="1"/>
  <c r="A136" i="1"/>
  <c r="B136" i="1"/>
  <c r="C136" i="1"/>
  <c r="D136" i="1"/>
  <c r="E136" i="1"/>
  <c r="F136" i="1"/>
  <c r="G136" i="1"/>
  <c r="H136" i="1"/>
  <c r="I136" i="1"/>
  <c r="J136" i="1"/>
  <c r="K136" i="1"/>
  <c r="L136" i="1"/>
  <c r="M136" i="1"/>
  <c r="N136" i="1"/>
  <c r="O136" i="1"/>
  <c r="P136" i="1"/>
  <c r="A137" i="1"/>
  <c r="B137" i="1"/>
  <c r="C137" i="1"/>
  <c r="D137" i="1"/>
  <c r="E137" i="1"/>
  <c r="F137" i="1"/>
  <c r="G137" i="1"/>
  <c r="H137" i="1"/>
  <c r="I137" i="1"/>
  <c r="J137" i="1"/>
  <c r="K137" i="1"/>
  <c r="L137" i="1"/>
  <c r="M137" i="1"/>
  <c r="N137" i="1"/>
  <c r="O137" i="1"/>
  <c r="P137" i="1"/>
  <c r="A138" i="1"/>
  <c r="B138" i="1"/>
  <c r="C138" i="1"/>
  <c r="D138" i="1"/>
  <c r="E138" i="1"/>
  <c r="F138" i="1"/>
  <c r="G138" i="1"/>
  <c r="H138" i="1"/>
  <c r="I138" i="1"/>
  <c r="J138" i="1"/>
  <c r="K138" i="1"/>
  <c r="L138" i="1"/>
  <c r="M138" i="1"/>
  <c r="N138" i="1"/>
  <c r="O138" i="1"/>
  <c r="P138" i="1"/>
  <c r="A139" i="1"/>
  <c r="B139" i="1"/>
  <c r="C139" i="1"/>
  <c r="D139" i="1"/>
  <c r="E139" i="1"/>
  <c r="F139" i="1"/>
  <c r="G139" i="1"/>
  <c r="H139" i="1"/>
  <c r="I139" i="1"/>
  <c r="J139" i="1"/>
  <c r="K139" i="1"/>
  <c r="L139" i="1"/>
  <c r="M139" i="1"/>
  <c r="N139" i="1"/>
  <c r="O139" i="1"/>
  <c r="P139" i="1"/>
  <c r="A140" i="1"/>
  <c r="B140" i="1"/>
  <c r="C140" i="1"/>
  <c r="D140" i="1"/>
  <c r="E140" i="1"/>
  <c r="F140" i="1"/>
  <c r="G140" i="1"/>
  <c r="H140" i="1"/>
  <c r="I140" i="1"/>
  <c r="J140" i="1"/>
  <c r="K140" i="1"/>
  <c r="L140" i="1"/>
  <c r="M140" i="1"/>
  <c r="N140" i="1"/>
  <c r="O140" i="1"/>
  <c r="P140" i="1"/>
  <c r="A141" i="1"/>
  <c r="B141" i="1"/>
  <c r="C141" i="1"/>
  <c r="D141" i="1"/>
  <c r="E141" i="1"/>
  <c r="F141" i="1"/>
  <c r="G141" i="1"/>
  <c r="H141" i="1"/>
  <c r="I141" i="1"/>
  <c r="J141" i="1"/>
  <c r="K141" i="1"/>
  <c r="L141" i="1"/>
  <c r="M141" i="1"/>
  <c r="N141" i="1"/>
  <c r="O141" i="1"/>
  <c r="P141" i="1"/>
  <c r="A142" i="1"/>
  <c r="B142" i="1"/>
  <c r="C142" i="1"/>
  <c r="D142" i="1"/>
  <c r="E142" i="1"/>
  <c r="F142" i="1"/>
  <c r="G142" i="1"/>
  <c r="H142" i="1"/>
  <c r="I142" i="1"/>
  <c r="J142" i="1"/>
  <c r="K142" i="1"/>
  <c r="L142" i="1"/>
  <c r="M142" i="1"/>
  <c r="N142" i="1"/>
  <c r="O142" i="1"/>
  <c r="P142" i="1"/>
  <c r="A143" i="1"/>
  <c r="B143" i="1"/>
  <c r="C143" i="1"/>
  <c r="D143" i="1"/>
  <c r="E143" i="1"/>
  <c r="F143" i="1"/>
  <c r="G143" i="1"/>
  <c r="H143" i="1"/>
  <c r="I143" i="1"/>
  <c r="J143" i="1"/>
  <c r="K143" i="1"/>
  <c r="L143" i="1"/>
  <c r="M143" i="1"/>
  <c r="N143" i="1"/>
  <c r="O143" i="1"/>
  <c r="P143" i="1"/>
  <c r="A144" i="1"/>
  <c r="B144" i="1"/>
  <c r="C144" i="1"/>
  <c r="D144" i="1"/>
  <c r="E144" i="1"/>
  <c r="F144" i="1"/>
  <c r="G144" i="1"/>
  <c r="H144" i="1"/>
  <c r="I144" i="1"/>
  <c r="J144" i="1"/>
  <c r="K144" i="1"/>
  <c r="L144" i="1"/>
  <c r="M144" i="1"/>
  <c r="N144" i="1"/>
  <c r="O144" i="1"/>
  <c r="P144" i="1"/>
  <c r="A145" i="1"/>
  <c r="B145" i="1"/>
  <c r="C145" i="1"/>
  <c r="D145" i="1"/>
  <c r="E145" i="1"/>
  <c r="F145" i="1"/>
  <c r="G145" i="1"/>
  <c r="H145" i="1"/>
  <c r="I145" i="1"/>
  <c r="J145" i="1"/>
  <c r="K145" i="1"/>
  <c r="L145" i="1"/>
  <c r="M145" i="1"/>
  <c r="N145" i="1"/>
  <c r="O145" i="1"/>
  <c r="P145" i="1"/>
  <c r="A146" i="1"/>
  <c r="B146" i="1"/>
  <c r="C146" i="1"/>
  <c r="D146" i="1"/>
  <c r="E146" i="1"/>
  <c r="F146" i="1"/>
  <c r="G146" i="1"/>
  <c r="H146" i="1"/>
  <c r="I146" i="1"/>
  <c r="J146" i="1"/>
  <c r="K146" i="1"/>
  <c r="L146" i="1"/>
  <c r="M146" i="1"/>
  <c r="N146" i="1"/>
  <c r="O146" i="1"/>
  <c r="P146" i="1"/>
  <c r="A147" i="1"/>
  <c r="B147" i="1"/>
  <c r="C147" i="1"/>
  <c r="D147" i="1"/>
  <c r="E147" i="1"/>
  <c r="F147" i="1"/>
  <c r="G147" i="1"/>
  <c r="H147" i="1"/>
  <c r="I147" i="1"/>
  <c r="J147" i="1"/>
  <c r="K147" i="1"/>
  <c r="L147" i="1"/>
  <c r="M147" i="1"/>
  <c r="N147" i="1"/>
  <c r="O147" i="1"/>
  <c r="P147" i="1"/>
  <c r="A148" i="1"/>
  <c r="B148" i="1"/>
  <c r="C148" i="1"/>
  <c r="D148" i="1"/>
  <c r="E148" i="1"/>
  <c r="F148" i="1"/>
  <c r="G148" i="1"/>
  <c r="H148" i="1"/>
  <c r="I148" i="1"/>
  <c r="J148" i="1"/>
  <c r="K148" i="1"/>
  <c r="L148" i="1"/>
  <c r="M148" i="1"/>
  <c r="N148" i="1"/>
  <c r="O148" i="1"/>
  <c r="P148" i="1"/>
  <c r="A149" i="1"/>
  <c r="B149" i="1"/>
  <c r="C149" i="1"/>
  <c r="D149" i="1"/>
  <c r="E149" i="1"/>
  <c r="F149" i="1"/>
  <c r="G149" i="1"/>
  <c r="H149" i="1"/>
  <c r="I149" i="1"/>
  <c r="J149" i="1"/>
  <c r="K149" i="1"/>
  <c r="L149" i="1"/>
  <c r="M149" i="1"/>
  <c r="N149" i="1"/>
  <c r="O149" i="1"/>
  <c r="P149" i="1"/>
  <c r="A150" i="1"/>
  <c r="B150" i="1"/>
  <c r="C150" i="1"/>
  <c r="D150" i="1"/>
  <c r="E150" i="1"/>
  <c r="F150" i="1"/>
  <c r="G150" i="1"/>
  <c r="H150" i="1"/>
  <c r="I150" i="1"/>
  <c r="J150" i="1"/>
  <c r="K150" i="1"/>
  <c r="L150" i="1"/>
  <c r="M150" i="1"/>
  <c r="N150" i="1"/>
  <c r="O150" i="1"/>
  <c r="P150" i="1"/>
  <c r="A151" i="1"/>
  <c r="B151" i="1"/>
  <c r="C151" i="1"/>
  <c r="D151" i="1"/>
  <c r="E151" i="1"/>
  <c r="F151" i="1"/>
  <c r="G151" i="1"/>
  <c r="H151" i="1"/>
  <c r="I151" i="1"/>
  <c r="J151" i="1"/>
  <c r="K151" i="1"/>
  <c r="L151" i="1"/>
  <c r="M151" i="1"/>
  <c r="N151" i="1"/>
  <c r="O151" i="1"/>
  <c r="P151" i="1"/>
  <c r="A152" i="1"/>
  <c r="B152" i="1"/>
  <c r="C152" i="1"/>
  <c r="D152" i="1"/>
  <c r="E152" i="1"/>
  <c r="F152" i="1"/>
  <c r="G152" i="1"/>
  <c r="H152" i="1"/>
  <c r="I152" i="1"/>
  <c r="J152" i="1"/>
  <c r="K152" i="1"/>
  <c r="L152" i="1"/>
  <c r="M152" i="1"/>
  <c r="N152" i="1"/>
  <c r="O152" i="1"/>
  <c r="P152" i="1"/>
  <c r="A153" i="1"/>
  <c r="B153" i="1"/>
  <c r="C153" i="1"/>
  <c r="D153" i="1"/>
  <c r="E153" i="1"/>
  <c r="F153" i="1"/>
  <c r="G153" i="1"/>
  <c r="H153" i="1"/>
  <c r="I153" i="1"/>
  <c r="J153" i="1"/>
  <c r="K153" i="1"/>
  <c r="L153" i="1"/>
  <c r="M153" i="1"/>
  <c r="N153" i="1"/>
  <c r="O153" i="1"/>
  <c r="P153" i="1"/>
  <c r="A154" i="1"/>
  <c r="B154" i="1"/>
  <c r="C154" i="1"/>
  <c r="D154" i="1"/>
  <c r="E154" i="1"/>
  <c r="F154" i="1"/>
  <c r="G154" i="1"/>
  <c r="H154" i="1"/>
  <c r="I154" i="1"/>
  <c r="J154" i="1"/>
  <c r="K154" i="1"/>
  <c r="L154" i="1"/>
  <c r="M154" i="1"/>
  <c r="N154" i="1"/>
  <c r="O154" i="1"/>
  <c r="P154" i="1"/>
  <c r="A155" i="1"/>
  <c r="B155" i="1"/>
  <c r="C155" i="1"/>
  <c r="D155" i="1"/>
  <c r="E155" i="1"/>
  <c r="F155" i="1"/>
  <c r="G155" i="1"/>
  <c r="H155" i="1"/>
  <c r="I155" i="1"/>
  <c r="J155" i="1"/>
  <c r="K155" i="1"/>
  <c r="L155" i="1"/>
  <c r="M155" i="1"/>
  <c r="N155" i="1"/>
  <c r="O155" i="1"/>
  <c r="P155" i="1"/>
  <c r="A156" i="1"/>
  <c r="B156" i="1"/>
  <c r="C156" i="1"/>
  <c r="D156" i="1"/>
  <c r="E156" i="1"/>
  <c r="F156" i="1"/>
  <c r="G156" i="1"/>
  <c r="H156" i="1"/>
  <c r="I156" i="1"/>
  <c r="J156" i="1"/>
  <c r="K156" i="1"/>
  <c r="L156" i="1"/>
  <c r="M156" i="1"/>
  <c r="N156" i="1"/>
  <c r="O156" i="1"/>
  <c r="P156" i="1"/>
  <c r="A157" i="1"/>
  <c r="B157" i="1"/>
  <c r="C157" i="1"/>
  <c r="D157" i="1"/>
  <c r="E157" i="1"/>
  <c r="F157" i="1"/>
  <c r="G157" i="1"/>
  <c r="H157" i="1"/>
  <c r="I157" i="1"/>
  <c r="J157" i="1"/>
  <c r="K157" i="1"/>
  <c r="L157" i="1"/>
  <c r="M157" i="1"/>
  <c r="N157" i="1"/>
  <c r="O157" i="1"/>
  <c r="P157" i="1"/>
  <c r="A158" i="1"/>
  <c r="B158" i="1"/>
  <c r="C158" i="1"/>
  <c r="D158" i="1"/>
  <c r="E158" i="1"/>
  <c r="F158" i="1"/>
  <c r="G158" i="1"/>
  <c r="H158" i="1"/>
  <c r="I158" i="1"/>
  <c r="J158" i="1"/>
  <c r="K158" i="1"/>
  <c r="L158" i="1"/>
  <c r="M158" i="1"/>
  <c r="N158" i="1"/>
  <c r="O158" i="1"/>
  <c r="P158" i="1"/>
  <c r="A159" i="1"/>
  <c r="B159" i="1"/>
  <c r="C159" i="1"/>
  <c r="D159" i="1"/>
  <c r="E159" i="1"/>
  <c r="F159" i="1"/>
  <c r="G159" i="1"/>
  <c r="H159" i="1"/>
  <c r="I159" i="1"/>
  <c r="J159" i="1"/>
  <c r="K159" i="1"/>
  <c r="L159" i="1"/>
  <c r="M159" i="1"/>
  <c r="N159" i="1"/>
  <c r="O159" i="1"/>
  <c r="P159" i="1"/>
  <c r="A160" i="1"/>
  <c r="B160" i="1"/>
  <c r="C160" i="1"/>
  <c r="D160" i="1"/>
  <c r="E160" i="1"/>
  <c r="F160" i="1"/>
  <c r="G160" i="1"/>
  <c r="H160" i="1"/>
  <c r="I160" i="1"/>
  <c r="J160" i="1"/>
  <c r="K160" i="1"/>
  <c r="L160" i="1"/>
  <c r="M160" i="1"/>
  <c r="N160" i="1"/>
  <c r="O160" i="1"/>
  <c r="P160" i="1"/>
  <c r="A161" i="1"/>
  <c r="B161" i="1"/>
  <c r="C161" i="1"/>
  <c r="D161" i="1"/>
  <c r="E161" i="1"/>
  <c r="F161" i="1"/>
  <c r="G161" i="1"/>
  <c r="H161" i="1"/>
  <c r="I161" i="1"/>
  <c r="J161" i="1"/>
  <c r="K161" i="1"/>
  <c r="L161" i="1"/>
  <c r="M161" i="1"/>
  <c r="N161" i="1"/>
  <c r="O161" i="1"/>
  <c r="P161" i="1"/>
  <c r="A162" i="1"/>
  <c r="B162" i="1"/>
  <c r="C162" i="1"/>
  <c r="D162" i="1"/>
  <c r="E162" i="1"/>
  <c r="F162" i="1"/>
  <c r="G162" i="1"/>
  <c r="H162" i="1"/>
  <c r="I162" i="1"/>
  <c r="J162" i="1"/>
  <c r="K162" i="1"/>
  <c r="L162" i="1"/>
  <c r="M162" i="1"/>
  <c r="N162" i="1"/>
  <c r="O162" i="1"/>
  <c r="P162" i="1"/>
  <c r="A163" i="1"/>
  <c r="B163" i="1"/>
  <c r="C163" i="1"/>
  <c r="D163" i="1"/>
  <c r="E163" i="1"/>
  <c r="F163" i="1"/>
  <c r="G163" i="1"/>
  <c r="H163" i="1"/>
  <c r="I163" i="1"/>
  <c r="J163" i="1"/>
  <c r="K163" i="1"/>
  <c r="L163" i="1"/>
  <c r="M163" i="1"/>
  <c r="N163" i="1"/>
  <c r="O163" i="1"/>
  <c r="P163" i="1"/>
  <c r="A164" i="1"/>
  <c r="B164" i="1"/>
  <c r="C164" i="1"/>
  <c r="D164" i="1"/>
  <c r="E164" i="1"/>
  <c r="F164" i="1"/>
  <c r="G164" i="1"/>
  <c r="H164" i="1"/>
  <c r="I164" i="1"/>
  <c r="J164" i="1"/>
  <c r="K164" i="1"/>
  <c r="L164" i="1"/>
  <c r="M164" i="1"/>
  <c r="N164" i="1"/>
  <c r="O164" i="1"/>
  <c r="P164" i="1"/>
  <c r="A165" i="1"/>
  <c r="B165" i="1"/>
  <c r="C165" i="1"/>
  <c r="D165" i="1"/>
  <c r="E165" i="1"/>
  <c r="F165" i="1"/>
  <c r="G165" i="1"/>
  <c r="H165" i="1"/>
  <c r="I165" i="1"/>
  <c r="J165" i="1"/>
  <c r="K165" i="1"/>
  <c r="L165" i="1"/>
  <c r="M165" i="1"/>
  <c r="N165" i="1"/>
  <c r="O165" i="1"/>
  <c r="P165" i="1"/>
  <c r="A166" i="1"/>
  <c r="B166" i="1"/>
  <c r="C166" i="1"/>
  <c r="D166" i="1"/>
  <c r="E166" i="1"/>
  <c r="F166" i="1"/>
  <c r="G166" i="1"/>
  <c r="H166" i="1"/>
  <c r="I166" i="1"/>
  <c r="J166" i="1"/>
  <c r="K166" i="1"/>
  <c r="L166" i="1"/>
  <c r="M166" i="1"/>
  <c r="N166" i="1"/>
  <c r="O166" i="1"/>
  <c r="P166" i="1"/>
  <c r="A167" i="1"/>
  <c r="B167" i="1"/>
  <c r="C167" i="1"/>
  <c r="D167" i="1"/>
  <c r="E167" i="1"/>
  <c r="F167" i="1"/>
  <c r="G167" i="1"/>
  <c r="H167" i="1"/>
  <c r="I167" i="1"/>
  <c r="J167" i="1"/>
  <c r="K167" i="1"/>
  <c r="L167" i="1"/>
  <c r="M167" i="1"/>
  <c r="N167" i="1"/>
  <c r="O167" i="1"/>
  <c r="P167" i="1"/>
  <c r="A168" i="1"/>
  <c r="B168" i="1"/>
  <c r="C168" i="1"/>
  <c r="D168" i="1"/>
  <c r="E168" i="1"/>
  <c r="F168" i="1"/>
  <c r="G168" i="1"/>
  <c r="H168" i="1"/>
  <c r="I168" i="1"/>
  <c r="J168" i="1"/>
  <c r="K168" i="1"/>
  <c r="L168" i="1"/>
  <c r="M168" i="1"/>
  <c r="N168" i="1"/>
  <c r="O168" i="1"/>
  <c r="P168" i="1"/>
  <c r="A169" i="1"/>
  <c r="B169" i="1"/>
  <c r="C169" i="1"/>
  <c r="D169" i="1"/>
  <c r="E169" i="1"/>
  <c r="F169" i="1"/>
  <c r="G169" i="1"/>
  <c r="H169" i="1"/>
  <c r="I169" i="1"/>
  <c r="J169" i="1"/>
  <c r="K169" i="1"/>
  <c r="L169" i="1"/>
  <c r="M169" i="1"/>
  <c r="N169" i="1"/>
  <c r="O169" i="1"/>
  <c r="P169" i="1"/>
  <c r="A170" i="1"/>
  <c r="B170" i="1"/>
  <c r="C170" i="1"/>
  <c r="D170" i="1"/>
  <c r="E170" i="1"/>
  <c r="F170" i="1"/>
  <c r="G170" i="1"/>
  <c r="H170" i="1"/>
  <c r="I170" i="1"/>
  <c r="J170" i="1"/>
  <c r="K170" i="1"/>
  <c r="L170" i="1"/>
  <c r="M170" i="1"/>
  <c r="N170" i="1"/>
  <c r="O170" i="1"/>
  <c r="P170" i="1"/>
  <c r="A171" i="1"/>
  <c r="B171" i="1"/>
  <c r="C171" i="1"/>
  <c r="D171" i="1"/>
  <c r="E171" i="1"/>
  <c r="F171" i="1"/>
  <c r="G171" i="1"/>
  <c r="H171" i="1"/>
  <c r="I171" i="1"/>
  <c r="J171" i="1"/>
  <c r="K171" i="1"/>
  <c r="L171" i="1"/>
  <c r="M171" i="1"/>
  <c r="N171" i="1"/>
  <c r="O171" i="1"/>
  <c r="P171" i="1"/>
  <c r="A172" i="1"/>
  <c r="B172" i="1"/>
  <c r="C172" i="1"/>
  <c r="D172" i="1"/>
  <c r="E172" i="1"/>
  <c r="F172" i="1"/>
  <c r="G172" i="1"/>
  <c r="H172" i="1"/>
  <c r="I172" i="1"/>
  <c r="J172" i="1"/>
  <c r="K172" i="1"/>
  <c r="L172" i="1"/>
  <c r="M172" i="1"/>
  <c r="N172" i="1"/>
  <c r="O172" i="1"/>
  <c r="P172" i="1"/>
  <c r="A173" i="1"/>
  <c r="B173" i="1"/>
  <c r="C173" i="1"/>
  <c r="D173" i="1"/>
  <c r="E173" i="1"/>
  <c r="F173" i="1"/>
  <c r="G173" i="1"/>
  <c r="H173" i="1"/>
  <c r="I173" i="1"/>
  <c r="J173" i="1"/>
  <c r="K173" i="1"/>
  <c r="L173" i="1"/>
  <c r="M173" i="1"/>
  <c r="N173" i="1"/>
  <c r="O173" i="1"/>
  <c r="P173" i="1"/>
  <c r="A174" i="1"/>
  <c r="B174" i="1"/>
  <c r="C174" i="1"/>
  <c r="D174" i="1"/>
  <c r="E174" i="1"/>
  <c r="F174" i="1"/>
  <c r="G174" i="1"/>
  <c r="H174" i="1"/>
  <c r="I174" i="1"/>
  <c r="J174" i="1"/>
  <c r="K174" i="1"/>
  <c r="L174" i="1"/>
  <c r="M174" i="1"/>
  <c r="N174" i="1"/>
  <c r="O174" i="1"/>
  <c r="P174" i="1"/>
  <c r="A175" i="1"/>
  <c r="B175" i="1"/>
  <c r="C175" i="1"/>
  <c r="D175" i="1"/>
  <c r="E175" i="1"/>
  <c r="F175" i="1"/>
  <c r="G175" i="1"/>
  <c r="H175" i="1"/>
  <c r="I175" i="1"/>
  <c r="J175" i="1"/>
  <c r="K175" i="1"/>
  <c r="L175" i="1"/>
  <c r="M175" i="1"/>
  <c r="N175" i="1"/>
  <c r="O175" i="1"/>
  <c r="P175" i="1"/>
  <c r="A176" i="1"/>
  <c r="B176" i="1"/>
  <c r="C176" i="1"/>
  <c r="D176" i="1"/>
  <c r="E176" i="1"/>
  <c r="F176" i="1"/>
  <c r="G176" i="1"/>
  <c r="H176" i="1"/>
  <c r="I176" i="1"/>
  <c r="J176" i="1"/>
  <c r="K176" i="1"/>
  <c r="L176" i="1"/>
  <c r="M176" i="1"/>
  <c r="N176" i="1"/>
  <c r="O176" i="1"/>
  <c r="P176" i="1"/>
  <c r="A177" i="1"/>
  <c r="B177" i="1"/>
  <c r="C177" i="1"/>
  <c r="D177" i="1"/>
  <c r="E177" i="1"/>
  <c r="F177" i="1"/>
  <c r="G177" i="1"/>
  <c r="H177" i="1"/>
  <c r="I177" i="1"/>
  <c r="J177" i="1"/>
  <c r="K177" i="1"/>
  <c r="L177" i="1"/>
  <c r="M177" i="1"/>
  <c r="N177" i="1"/>
  <c r="O177" i="1"/>
  <c r="P177" i="1"/>
  <c r="A178" i="1"/>
  <c r="B178" i="1"/>
  <c r="C178" i="1"/>
  <c r="D178" i="1"/>
  <c r="E178" i="1"/>
  <c r="F178" i="1"/>
  <c r="G178" i="1"/>
  <c r="H178" i="1"/>
  <c r="I178" i="1"/>
  <c r="J178" i="1"/>
  <c r="K178" i="1"/>
  <c r="L178" i="1"/>
  <c r="M178" i="1"/>
  <c r="N178" i="1"/>
  <c r="O178" i="1"/>
  <c r="P178" i="1"/>
  <c r="A179" i="1"/>
  <c r="B179" i="1"/>
  <c r="C179" i="1"/>
  <c r="D179" i="1"/>
  <c r="E179" i="1"/>
  <c r="F179" i="1"/>
  <c r="G179" i="1"/>
  <c r="H179" i="1"/>
  <c r="I179" i="1"/>
  <c r="J179" i="1"/>
  <c r="K179" i="1"/>
  <c r="L179" i="1"/>
  <c r="M179" i="1"/>
  <c r="N179" i="1"/>
  <c r="O179" i="1"/>
  <c r="P179" i="1"/>
  <c r="A180" i="1"/>
  <c r="B180" i="1"/>
  <c r="C180" i="1"/>
  <c r="D180" i="1"/>
  <c r="E180" i="1"/>
  <c r="F180" i="1"/>
  <c r="G180" i="1"/>
  <c r="H180" i="1"/>
  <c r="I180" i="1"/>
  <c r="J180" i="1"/>
  <c r="K180" i="1"/>
  <c r="L180" i="1"/>
  <c r="M180" i="1"/>
  <c r="N180" i="1"/>
  <c r="O180" i="1"/>
  <c r="P180" i="1"/>
  <c r="A181" i="1"/>
  <c r="B181" i="1"/>
  <c r="C181" i="1"/>
  <c r="D181" i="1"/>
  <c r="E181" i="1"/>
  <c r="F181" i="1"/>
  <c r="G181" i="1"/>
  <c r="H181" i="1"/>
  <c r="I181" i="1"/>
  <c r="J181" i="1"/>
  <c r="K181" i="1"/>
  <c r="L181" i="1"/>
  <c r="M181" i="1"/>
  <c r="N181" i="1"/>
  <c r="O181" i="1"/>
  <c r="P181" i="1"/>
  <c r="A182" i="1"/>
  <c r="B182" i="1"/>
  <c r="C182" i="1"/>
  <c r="D182" i="1"/>
  <c r="E182" i="1"/>
  <c r="F182" i="1"/>
  <c r="G182" i="1"/>
  <c r="H182" i="1"/>
  <c r="I182" i="1"/>
  <c r="J182" i="1"/>
  <c r="K182" i="1"/>
  <c r="L182" i="1"/>
  <c r="M182" i="1"/>
  <c r="N182" i="1"/>
  <c r="O182" i="1"/>
  <c r="P182" i="1"/>
  <c r="A183" i="1"/>
  <c r="B183" i="1"/>
  <c r="C183" i="1"/>
  <c r="D183" i="1"/>
  <c r="E183" i="1"/>
  <c r="F183" i="1"/>
  <c r="G183" i="1"/>
  <c r="H183" i="1"/>
  <c r="I183" i="1"/>
  <c r="J183" i="1"/>
  <c r="K183" i="1"/>
  <c r="L183" i="1"/>
  <c r="M183" i="1"/>
  <c r="N183" i="1"/>
  <c r="O183" i="1"/>
  <c r="P183" i="1"/>
  <c r="A184" i="1"/>
  <c r="B184" i="1"/>
  <c r="C184" i="1"/>
  <c r="D184" i="1"/>
  <c r="E184" i="1"/>
  <c r="F184" i="1"/>
  <c r="G184" i="1"/>
  <c r="H184" i="1"/>
  <c r="I184" i="1"/>
  <c r="J184" i="1"/>
  <c r="K184" i="1"/>
  <c r="L184" i="1"/>
  <c r="M184" i="1"/>
  <c r="N184" i="1"/>
  <c r="O184" i="1"/>
  <c r="P184" i="1"/>
  <c r="A185" i="1"/>
  <c r="B185" i="1"/>
  <c r="C185" i="1"/>
  <c r="D185" i="1"/>
  <c r="E185" i="1"/>
  <c r="F185" i="1"/>
  <c r="G185" i="1"/>
  <c r="H185" i="1"/>
  <c r="I185" i="1"/>
  <c r="J185" i="1"/>
  <c r="K185" i="1"/>
  <c r="L185" i="1"/>
  <c r="M185" i="1"/>
  <c r="N185" i="1"/>
  <c r="O185" i="1"/>
  <c r="P185" i="1"/>
  <c r="A186" i="1"/>
  <c r="B186" i="1"/>
  <c r="C186" i="1"/>
  <c r="D186" i="1"/>
  <c r="E186" i="1"/>
  <c r="F186" i="1"/>
  <c r="G186" i="1"/>
  <c r="H186" i="1"/>
  <c r="I186" i="1"/>
  <c r="J186" i="1"/>
  <c r="K186" i="1"/>
  <c r="L186" i="1"/>
  <c r="M186" i="1"/>
  <c r="N186" i="1"/>
  <c r="O186" i="1"/>
  <c r="P186" i="1"/>
  <c r="A187" i="1"/>
  <c r="B187" i="1"/>
  <c r="C187" i="1"/>
  <c r="D187" i="1"/>
  <c r="E187" i="1"/>
  <c r="F187" i="1"/>
  <c r="G187" i="1"/>
  <c r="H187" i="1"/>
  <c r="I187" i="1"/>
  <c r="J187" i="1"/>
  <c r="K187" i="1"/>
  <c r="L187" i="1"/>
  <c r="M187" i="1"/>
  <c r="N187" i="1"/>
  <c r="O187" i="1"/>
  <c r="P187" i="1"/>
  <c r="A188" i="1"/>
  <c r="B188" i="1"/>
  <c r="C188" i="1"/>
  <c r="D188" i="1"/>
  <c r="E188" i="1"/>
  <c r="F188" i="1"/>
  <c r="G188" i="1"/>
  <c r="H188" i="1"/>
  <c r="I188" i="1"/>
  <c r="J188" i="1"/>
  <c r="K188" i="1"/>
  <c r="L188" i="1"/>
  <c r="M188" i="1"/>
  <c r="N188" i="1"/>
  <c r="O188" i="1"/>
  <c r="P188" i="1"/>
  <c r="A189" i="1"/>
  <c r="B189" i="1"/>
  <c r="C189" i="1"/>
  <c r="D189" i="1"/>
  <c r="E189" i="1"/>
  <c r="F189" i="1"/>
  <c r="G189" i="1"/>
  <c r="H189" i="1"/>
  <c r="I189" i="1"/>
  <c r="J189" i="1"/>
  <c r="K189" i="1"/>
  <c r="L189" i="1"/>
  <c r="M189" i="1"/>
  <c r="N189" i="1"/>
  <c r="O189" i="1"/>
  <c r="P189" i="1"/>
  <c r="A190" i="1"/>
  <c r="B190" i="1"/>
  <c r="C190" i="1"/>
  <c r="D190" i="1"/>
  <c r="E190" i="1"/>
  <c r="F190" i="1"/>
  <c r="G190" i="1"/>
  <c r="H190" i="1"/>
  <c r="I190" i="1"/>
  <c r="J190" i="1"/>
  <c r="K190" i="1"/>
  <c r="L190" i="1"/>
  <c r="M190" i="1"/>
  <c r="N190" i="1"/>
  <c r="O190" i="1"/>
  <c r="P190" i="1"/>
  <c r="A191" i="1"/>
  <c r="B191" i="1"/>
  <c r="C191" i="1"/>
  <c r="D191" i="1"/>
  <c r="E191" i="1"/>
  <c r="F191" i="1"/>
  <c r="G191" i="1"/>
  <c r="H191" i="1"/>
  <c r="I191" i="1"/>
  <c r="J191" i="1"/>
  <c r="K191" i="1"/>
  <c r="L191" i="1"/>
  <c r="M191" i="1"/>
  <c r="N191" i="1"/>
  <c r="O191" i="1"/>
  <c r="P191" i="1"/>
  <c r="A192" i="1"/>
  <c r="B192" i="1"/>
  <c r="C192" i="1"/>
  <c r="D192" i="1"/>
  <c r="E192" i="1"/>
  <c r="F192" i="1"/>
  <c r="G192" i="1"/>
  <c r="H192" i="1"/>
  <c r="I192" i="1"/>
  <c r="J192" i="1"/>
  <c r="K192" i="1"/>
  <c r="L192" i="1"/>
  <c r="M192" i="1"/>
  <c r="N192" i="1"/>
  <c r="O192" i="1"/>
  <c r="P192" i="1"/>
  <c r="A193" i="1"/>
  <c r="B193" i="1"/>
  <c r="C193" i="1"/>
  <c r="D193" i="1"/>
  <c r="E193" i="1"/>
  <c r="F193" i="1"/>
  <c r="G193" i="1"/>
  <c r="H193" i="1"/>
  <c r="I193" i="1"/>
  <c r="J193" i="1"/>
  <c r="K193" i="1"/>
  <c r="L193" i="1"/>
  <c r="M193" i="1"/>
  <c r="N193" i="1"/>
  <c r="O193" i="1"/>
  <c r="P193" i="1"/>
  <c r="A194" i="1"/>
  <c r="B194" i="1"/>
  <c r="C194" i="1"/>
  <c r="D194" i="1"/>
  <c r="E194" i="1"/>
  <c r="F194" i="1"/>
  <c r="G194" i="1"/>
  <c r="H194" i="1"/>
  <c r="I194" i="1"/>
  <c r="J194" i="1"/>
  <c r="K194" i="1"/>
  <c r="L194" i="1"/>
  <c r="M194" i="1"/>
  <c r="N194" i="1"/>
  <c r="O194" i="1"/>
  <c r="P194" i="1"/>
  <c r="A195" i="1"/>
  <c r="B195" i="1"/>
  <c r="C195" i="1"/>
  <c r="D195" i="1"/>
  <c r="E195" i="1"/>
  <c r="F195" i="1"/>
  <c r="G195" i="1"/>
  <c r="H195" i="1"/>
  <c r="I195" i="1"/>
  <c r="J195" i="1"/>
  <c r="K195" i="1"/>
  <c r="L195" i="1"/>
  <c r="M195" i="1"/>
  <c r="N195" i="1"/>
  <c r="O195" i="1"/>
  <c r="P195" i="1"/>
  <c r="A196" i="1"/>
  <c r="B196" i="1"/>
  <c r="C196" i="1"/>
  <c r="D196" i="1"/>
  <c r="E196" i="1"/>
  <c r="F196" i="1"/>
  <c r="G196" i="1"/>
  <c r="H196" i="1"/>
  <c r="I196" i="1"/>
  <c r="J196" i="1"/>
  <c r="K196" i="1"/>
  <c r="L196" i="1"/>
  <c r="M196" i="1"/>
  <c r="N196" i="1"/>
  <c r="O196" i="1"/>
  <c r="P196" i="1"/>
  <c r="A197" i="1"/>
  <c r="B197" i="1"/>
  <c r="C197" i="1"/>
  <c r="D197" i="1"/>
  <c r="E197" i="1"/>
  <c r="F197" i="1"/>
  <c r="G197" i="1"/>
  <c r="H197" i="1"/>
  <c r="I197" i="1"/>
  <c r="J197" i="1"/>
  <c r="K197" i="1"/>
  <c r="L197" i="1"/>
  <c r="M197" i="1"/>
  <c r="N197" i="1"/>
  <c r="O197" i="1"/>
  <c r="P197" i="1"/>
  <c r="A198" i="1"/>
  <c r="B198" i="1"/>
  <c r="C198" i="1"/>
  <c r="D198" i="1"/>
  <c r="E198" i="1"/>
  <c r="F198" i="1"/>
  <c r="G198" i="1"/>
  <c r="H198" i="1"/>
  <c r="I198" i="1"/>
  <c r="J198" i="1"/>
  <c r="K198" i="1"/>
  <c r="L198" i="1"/>
  <c r="M198" i="1"/>
  <c r="N198" i="1"/>
  <c r="O198" i="1"/>
  <c r="P198" i="1"/>
  <c r="A199" i="1"/>
  <c r="B199" i="1"/>
  <c r="C199" i="1"/>
  <c r="D199" i="1"/>
  <c r="E199" i="1"/>
  <c r="F199" i="1"/>
  <c r="G199" i="1"/>
  <c r="H199" i="1"/>
  <c r="I199" i="1"/>
  <c r="J199" i="1"/>
  <c r="K199" i="1"/>
  <c r="L199" i="1"/>
  <c r="M199" i="1"/>
  <c r="N199" i="1"/>
  <c r="O199" i="1"/>
  <c r="P199" i="1"/>
  <c r="A200" i="1"/>
  <c r="B200" i="1"/>
  <c r="C200" i="1"/>
  <c r="D200" i="1"/>
  <c r="E200" i="1"/>
  <c r="F200" i="1"/>
  <c r="G200" i="1"/>
  <c r="H200" i="1"/>
  <c r="I200" i="1"/>
  <c r="J200" i="1"/>
  <c r="K200" i="1"/>
  <c r="L200" i="1"/>
  <c r="M200" i="1"/>
  <c r="N200" i="1"/>
  <c r="O200" i="1"/>
  <c r="P200" i="1"/>
  <c r="A201" i="1"/>
  <c r="B201" i="1"/>
  <c r="C201" i="1"/>
  <c r="D201" i="1"/>
  <c r="E201" i="1"/>
  <c r="F201" i="1"/>
  <c r="G201" i="1"/>
  <c r="H201" i="1"/>
  <c r="I201" i="1"/>
  <c r="J201" i="1"/>
  <c r="K201" i="1"/>
  <c r="L201" i="1"/>
  <c r="M201" i="1"/>
  <c r="N201" i="1"/>
  <c r="O201" i="1"/>
  <c r="P201" i="1"/>
  <c r="A202" i="1"/>
  <c r="B202" i="1"/>
  <c r="C202" i="1"/>
  <c r="D202" i="1"/>
  <c r="E202" i="1"/>
  <c r="F202" i="1"/>
  <c r="G202" i="1"/>
  <c r="H202" i="1"/>
  <c r="I202" i="1"/>
  <c r="J202" i="1"/>
  <c r="K202" i="1"/>
  <c r="L202" i="1"/>
  <c r="M202" i="1"/>
  <c r="N202" i="1"/>
  <c r="O202" i="1"/>
  <c r="P202" i="1"/>
  <c r="A203" i="1"/>
  <c r="B203" i="1"/>
  <c r="C203" i="1"/>
  <c r="D203" i="1"/>
  <c r="E203" i="1"/>
  <c r="F203" i="1"/>
  <c r="G203" i="1"/>
  <c r="H203" i="1"/>
  <c r="I203" i="1"/>
  <c r="J203" i="1"/>
  <c r="K203" i="1"/>
  <c r="L203" i="1"/>
  <c r="M203" i="1"/>
  <c r="N203" i="1"/>
  <c r="O203" i="1"/>
  <c r="P203" i="1"/>
  <c r="A204" i="1"/>
  <c r="B204" i="1"/>
  <c r="C204" i="1"/>
  <c r="D204" i="1"/>
  <c r="E204" i="1"/>
  <c r="F204" i="1"/>
  <c r="G204" i="1"/>
  <c r="H204" i="1"/>
  <c r="I204" i="1"/>
  <c r="J204" i="1"/>
  <c r="K204" i="1"/>
  <c r="L204" i="1"/>
  <c r="M204" i="1"/>
  <c r="N204" i="1"/>
  <c r="O204" i="1"/>
  <c r="P204" i="1"/>
  <c r="A205" i="1"/>
  <c r="B205" i="1"/>
  <c r="C205" i="1"/>
  <c r="D205" i="1"/>
  <c r="E205" i="1"/>
  <c r="F205" i="1"/>
  <c r="G205" i="1"/>
  <c r="H205" i="1"/>
  <c r="I205" i="1"/>
  <c r="J205" i="1"/>
  <c r="K205" i="1"/>
  <c r="L205" i="1"/>
  <c r="M205" i="1"/>
  <c r="N205" i="1"/>
  <c r="O205" i="1"/>
  <c r="P205" i="1"/>
  <c r="A206" i="1"/>
  <c r="B206" i="1"/>
  <c r="C206" i="1"/>
  <c r="D206" i="1"/>
  <c r="E206" i="1"/>
  <c r="F206" i="1"/>
  <c r="G206" i="1"/>
  <c r="H206" i="1"/>
  <c r="I206" i="1"/>
  <c r="J206" i="1"/>
  <c r="K206" i="1"/>
  <c r="L206" i="1"/>
  <c r="M206" i="1"/>
  <c r="N206" i="1"/>
  <c r="O206" i="1"/>
  <c r="P206" i="1"/>
  <c r="A207" i="1"/>
  <c r="B207" i="1"/>
  <c r="C207" i="1"/>
  <c r="D207" i="1"/>
  <c r="E207" i="1"/>
  <c r="F207" i="1"/>
  <c r="G207" i="1"/>
  <c r="H207" i="1"/>
  <c r="I207" i="1"/>
  <c r="J207" i="1"/>
  <c r="K207" i="1"/>
  <c r="L207" i="1"/>
  <c r="M207" i="1"/>
  <c r="N207" i="1"/>
  <c r="O207" i="1"/>
  <c r="P207" i="1"/>
  <c r="A208" i="1"/>
  <c r="B208" i="1"/>
  <c r="C208" i="1"/>
  <c r="D208" i="1"/>
  <c r="E208" i="1"/>
  <c r="F208" i="1"/>
  <c r="G208" i="1"/>
  <c r="H208" i="1"/>
  <c r="I208" i="1"/>
  <c r="J208" i="1"/>
  <c r="K208" i="1"/>
  <c r="L208" i="1"/>
  <c r="M208" i="1"/>
  <c r="N208" i="1"/>
  <c r="O208" i="1"/>
  <c r="P208" i="1"/>
  <c r="A209" i="1"/>
  <c r="B209" i="1"/>
  <c r="C209" i="1"/>
  <c r="D209" i="1"/>
  <c r="E209" i="1"/>
  <c r="F209" i="1"/>
  <c r="G209" i="1"/>
  <c r="H209" i="1"/>
  <c r="I209" i="1"/>
  <c r="J209" i="1"/>
  <c r="K209" i="1"/>
  <c r="L209" i="1"/>
  <c r="M209" i="1"/>
  <c r="N209" i="1"/>
  <c r="O209" i="1"/>
  <c r="P209" i="1"/>
  <c r="A210" i="1"/>
  <c r="B210" i="1"/>
  <c r="C210" i="1"/>
  <c r="D210" i="1"/>
  <c r="E210" i="1"/>
  <c r="F210" i="1"/>
  <c r="G210" i="1"/>
  <c r="H210" i="1"/>
  <c r="I210" i="1"/>
  <c r="J210" i="1"/>
  <c r="K210" i="1"/>
  <c r="L210" i="1"/>
  <c r="M210" i="1"/>
  <c r="N210" i="1"/>
  <c r="O210" i="1"/>
  <c r="P210" i="1"/>
  <c r="A211" i="1"/>
  <c r="B211" i="1"/>
  <c r="C211" i="1"/>
  <c r="D211" i="1"/>
  <c r="E211" i="1"/>
  <c r="F211" i="1"/>
  <c r="G211" i="1"/>
  <c r="H211" i="1"/>
  <c r="I211" i="1"/>
  <c r="J211" i="1"/>
  <c r="K211" i="1"/>
  <c r="L211" i="1"/>
  <c r="M211" i="1"/>
  <c r="N211" i="1"/>
  <c r="O211" i="1"/>
  <c r="P211" i="1"/>
  <c r="A212" i="1"/>
  <c r="B212" i="1"/>
  <c r="C212" i="1"/>
  <c r="D212" i="1"/>
  <c r="E212" i="1"/>
  <c r="F212" i="1"/>
  <c r="G212" i="1"/>
  <c r="H212" i="1"/>
  <c r="I212" i="1"/>
  <c r="J212" i="1"/>
  <c r="K212" i="1"/>
  <c r="L212" i="1"/>
  <c r="M212" i="1"/>
  <c r="N212" i="1"/>
  <c r="O212" i="1"/>
  <c r="P212" i="1"/>
  <c r="A213" i="1"/>
  <c r="B213" i="1"/>
  <c r="C213" i="1"/>
  <c r="D213" i="1"/>
  <c r="E213" i="1"/>
  <c r="F213" i="1"/>
  <c r="G213" i="1"/>
  <c r="H213" i="1"/>
  <c r="I213" i="1"/>
  <c r="J213" i="1"/>
  <c r="K213" i="1"/>
  <c r="L213" i="1"/>
  <c r="M213" i="1"/>
  <c r="N213" i="1"/>
  <c r="O213" i="1"/>
  <c r="P213" i="1"/>
  <c r="A214" i="1"/>
  <c r="B214" i="1"/>
  <c r="C214" i="1"/>
  <c r="D214" i="1"/>
  <c r="E214" i="1"/>
  <c r="F214" i="1"/>
  <c r="G214" i="1"/>
  <c r="H214" i="1"/>
  <c r="I214" i="1"/>
  <c r="J214" i="1"/>
  <c r="K214" i="1"/>
  <c r="L214" i="1"/>
  <c r="M214" i="1"/>
  <c r="N214" i="1"/>
  <c r="O214" i="1"/>
  <c r="P214" i="1"/>
  <c r="A215" i="1"/>
  <c r="B215" i="1"/>
  <c r="C215" i="1"/>
  <c r="D215" i="1"/>
  <c r="E215" i="1"/>
  <c r="F215" i="1"/>
  <c r="G215" i="1"/>
  <c r="H215" i="1"/>
  <c r="I215" i="1"/>
  <c r="J215" i="1"/>
  <c r="K215" i="1"/>
  <c r="L215" i="1"/>
  <c r="M215" i="1"/>
  <c r="N215" i="1"/>
  <c r="O215" i="1"/>
  <c r="P215" i="1"/>
  <c r="A216" i="1"/>
  <c r="B216" i="1"/>
  <c r="C216" i="1"/>
  <c r="D216" i="1"/>
  <c r="E216" i="1"/>
  <c r="F216" i="1"/>
  <c r="G216" i="1"/>
  <c r="H216" i="1"/>
  <c r="I216" i="1"/>
  <c r="J216" i="1"/>
  <c r="K216" i="1"/>
  <c r="L216" i="1"/>
  <c r="M216" i="1"/>
  <c r="N216" i="1"/>
  <c r="O216" i="1"/>
  <c r="P216" i="1"/>
  <c r="A217" i="1"/>
  <c r="B217" i="1"/>
  <c r="C217" i="1"/>
  <c r="D217" i="1"/>
  <c r="E217" i="1"/>
  <c r="F217" i="1"/>
  <c r="G217" i="1"/>
  <c r="H217" i="1"/>
  <c r="I217" i="1"/>
  <c r="J217" i="1"/>
  <c r="K217" i="1"/>
  <c r="L217" i="1"/>
  <c r="M217" i="1"/>
  <c r="N217" i="1"/>
  <c r="O217" i="1"/>
  <c r="P217" i="1"/>
  <c r="A218" i="1"/>
  <c r="B218" i="1"/>
  <c r="C218" i="1"/>
  <c r="D218" i="1"/>
  <c r="E218" i="1"/>
  <c r="F218" i="1"/>
  <c r="G218" i="1"/>
  <c r="H218" i="1"/>
  <c r="I218" i="1"/>
  <c r="J218" i="1"/>
  <c r="K218" i="1"/>
  <c r="L218" i="1"/>
  <c r="M218" i="1"/>
  <c r="N218" i="1"/>
  <c r="O218" i="1"/>
  <c r="P218" i="1"/>
  <c r="A219" i="1"/>
  <c r="B219" i="1"/>
  <c r="C219" i="1"/>
  <c r="D219" i="1"/>
  <c r="E219" i="1"/>
  <c r="F219" i="1"/>
  <c r="G219" i="1"/>
  <c r="H219" i="1"/>
  <c r="I219" i="1"/>
  <c r="J219" i="1"/>
  <c r="K219" i="1"/>
  <c r="L219" i="1"/>
  <c r="M219" i="1"/>
  <c r="N219" i="1"/>
  <c r="O219" i="1"/>
  <c r="P219" i="1"/>
  <c r="A220" i="1"/>
  <c r="B220" i="1"/>
  <c r="C220" i="1"/>
  <c r="D220" i="1"/>
  <c r="E220" i="1"/>
  <c r="F220" i="1"/>
  <c r="G220" i="1"/>
  <c r="H220" i="1"/>
  <c r="I220" i="1"/>
  <c r="J220" i="1"/>
  <c r="K220" i="1"/>
  <c r="L220" i="1"/>
  <c r="M220" i="1"/>
  <c r="N220" i="1"/>
  <c r="O220" i="1"/>
  <c r="P220" i="1"/>
  <c r="A221" i="1"/>
  <c r="B221" i="1"/>
  <c r="C221" i="1"/>
  <c r="D221" i="1"/>
  <c r="E221" i="1"/>
  <c r="F221" i="1"/>
  <c r="G221" i="1"/>
  <c r="H221" i="1"/>
  <c r="I221" i="1"/>
  <c r="J221" i="1"/>
  <c r="K221" i="1"/>
  <c r="L221" i="1"/>
  <c r="M221" i="1"/>
  <c r="N221" i="1"/>
  <c r="O221" i="1"/>
  <c r="P221" i="1"/>
  <c r="A222" i="1"/>
  <c r="B222" i="1"/>
  <c r="C222" i="1"/>
  <c r="D222" i="1"/>
  <c r="E222" i="1"/>
  <c r="F222" i="1"/>
  <c r="G222" i="1"/>
  <c r="H222" i="1"/>
  <c r="I222" i="1"/>
  <c r="J222" i="1"/>
  <c r="K222" i="1"/>
  <c r="L222" i="1"/>
  <c r="M222" i="1"/>
  <c r="N222" i="1"/>
  <c r="O222" i="1"/>
  <c r="P222" i="1"/>
  <c r="A223" i="1"/>
  <c r="B223" i="1"/>
  <c r="C223" i="1"/>
  <c r="D223" i="1"/>
  <c r="E223" i="1"/>
  <c r="F223" i="1"/>
  <c r="G223" i="1"/>
  <c r="H223" i="1"/>
  <c r="I223" i="1"/>
  <c r="J223" i="1"/>
  <c r="K223" i="1"/>
  <c r="L223" i="1"/>
  <c r="M223" i="1"/>
  <c r="N223" i="1"/>
  <c r="O223" i="1"/>
  <c r="P223" i="1"/>
  <c r="A224" i="1"/>
  <c r="B224" i="1"/>
  <c r="C224" i="1"/>
  <c r="D224" i="1"/>
  <c r="E224" i="1"/>
  <c r="F224" i="1"/>
  <c r="G224" i="1"/>
  <c r="H224" i="1"/>
  <c r="I224" i="1"/>
  <c r="J224" i="1"/>
  <c r="K224" i="1"/>
  <c r="L224" i="1"/>
  <c r="M224" i="1"/>
  <c r="N224" i="1"/>
  <c r="O224" i="1"/>
  <c r="P224" i="1"/>
  <c r="A225" i="1"/>
  <c r="B225" i="1"/>
  <c r="C225" i="1"/>
  <c r="D225" i="1"/>
  <c r="E225" i="1"/>
  <c r="F225" i="1"/>
  <c r="G225" i="1"/>
  <c r="H225" i="1"/>
  <c r="I225" i="1"/>
  <c r="J225" i="1"/>
  <c r="K225" i="1"/>
  <c r="L225" i="1"/>
  <c r="M225" i="1"/>
  <c r="N225" i="1"/>
  <c r="O225" i="1"/>
  <c r="P225" i="1"/>
  <c r="A226" i="1"/>
  <c r="B226" i="1"/>
  <c r="C226" i="1"/>
  <c r="D226" i="1"/>
  <c r="E226" i="1"/>
  <c r="F226" i="1"/>
  <c r="G226" i="1"/>
  <c r="H226" i="1"/>
  <c r="I226" i="1"/>
  <c r="J226" i="1"/>
  <c r="K226" i="1"/>
  <c r="L226" i="1"/>
  <c r="M226" i="1"/>
  <c r="N226" i="1"/>
  <c r="O226" i="1"/>
  <c r="P226" i="1"/>
  <c r="A227" i="1"/>
  <c r="B227" i="1"/>
  <c r="C227" i="1"/>
  <c r="D227" i="1"/>
  <c r="E227" i="1"/>
  <c r="F227" i="1"/>
  <c r="G227" i="1"/>
  <c r="H227" i="1"/>
  <c r="I227" i="1"/>
  <c r="J227" i="1"/>
  <c r="K227" i="1"/>
  <c r="L227" i="1"/>
  <c r="M227" i="1"/>
  <c r="N227" i="1"/>
  <c r="O227" i="1"/>
  <c r="P227" i="1"/>
  <c r="A228" i="1"/>
  <c r="B228" i="1"/>
  <c r="C228" i="1"/>
  <c r="D228" i="1"/>
  <c r="E228" i="1"/>
  <c r="F228" i="1"/>
  <c r="G228" i="1"/>
  <c r="H228" i="1"/>
  <c r="I228" i="1"/>
  <c r="J228" i="1"/>
  <c r="K228" i="1"/>
  <c r="L228" i="1"/>
  <c r="M228" i="1"/>
  <c r="N228" i="1"/>
  <c r="O228" i="1"/>
  <c r="P228" i="1"/>
  <c r="A229" i="1"/>
  <c r="B229" i="1"/>
  <c r="C229" i="1"/>
  <c r="D229" i="1"/>
  <c r="E229" i="1"/>
  <c r="F229" i="1"/>
  <c r="G229" i="1"/>
  <c r="H229" i="1"/>
  <c r="I229" i="1"/>
  <c r="J229" i="1"/>
  <c r="K229" i="1"/>
  <c r="L229" i="1"/>
  <c r="M229" i="1"/>
  <c r="N229" i="1"/>
  <c r="O229" i="1"/>
  <c r="P229" i="1"/>
  <c r="A230" i="1"/>
  <c r="B230" i="1"/>
  <c r="C230" i="1"/>
  <c r="D230" i="1"/>
  <c r="E230" i="1"/>
  <c r="F230" i="1"/>
  <c r="G230" i="1"/>
  <c r="H230" i="1"/>
  <c r="I230" i="1"/>
  <c r="J230" i="1"/>
  <c r="K230" i="1"/>
  <c r="L230" i="1"/>
  <c r="M230" i="1"/>
  <c r="N230" i="1"/>
  <c r="O230" i="1"/>
  <c r="P230" i="1"/>
  <c r="A231" i="1"/>
  <c r="B231" i="1"/>
  <c r="C231" i="1"/>
  <c r="D231" i="1"/>
  <c r="E231" i="1"/>
  <c r="F231" i="1"/>
  <c r="G231" i="1"/>
  <c r="H231" i="1"/>
  <c r="I231" i="1"/>
  <c r="J231" i="1"/>
  <c r="K231" i="1"/>
  <c r="L231" i="1"/>
  <c r="M231" i="1"/>
  <c r="N231" i="1"/>
  <c r="O231" i="1"/>
  <c r="P231" i="1"/>
  <c r="A232" i="1"/>
  <c r="B232" i="1"/>
  <c r="C232" i="1"/>
  <c r="D232" i="1"/>
  <c r="E232" i="1"/>
  <c r="F232" i="1"/>
  <c r="G232" i="1"/>
  <c r="H232" i="1"/>
  <c r="I232" i="1"/>
  <c r="J232" i="1"/>
  <c r="K232" i="1"/>
  <c r="L232" i="1"/>
  <c r="M232" i="1"/>
  <c r="N232" i="1"/>
  <c r="O232" i="1"/>
  <c r="P232" i="1"/>
  <c r="A233" i="1"/>
  <c r="B233" i="1"/>
  <c r="C233" i="1"/>
  <c r="D233" i="1"/>
  <c r="E233" i="1"/>
  <c r="F233" i="1"/>
  <c r="G233" i="1"/>
  <c r="H233" i="1"/>
  <c r="I233" i="1"/>
  <c r="J233" i="1"/>
  <c r="K233" i="1"/>
  <c r="L233" i="1"/>
  <c r="M233" i="1"/>
  <c r="N233" i="1"/>
  <c r="O233" i="1"/>
  <c r="P233" i="1"/>
  <c r="A234" i="1"/>
  <c r="B234" i="1"/>
  <c r="C234" i="1"/>
  <c r="D234" i="1"/>
  <c r="E234" i="1"/>
  <c r="F234" i="1"/>
  <c r="G234" i="1"/>
  <c r="H234" i="1"/>
  <c r="I234" i="1"/>
  <c r="J234" i="1"/>
  <c r="K234" i="1"/>
  <c r="L234" i="1"/>
  <c r="M234" i="1"/>
  <c r="N234" i="1"/>
  <c r="O234" i="1"/>
  <c r="P234" i="1"/>
  <c r="A235" i="1"/>
  <c r="B235" i="1"/>
  <c r="C235" i="1"/>
  <c r="D235" i="1"/>
  <c r="E235" i="1"/>
  <c r="F235" i="1"/>
  <c r="G235" i="1"/>
  <c r="H235" i="1"/>
  <c r="I235" i="1"/>
  <c r="J235" i="1"/>
  <c r="K235" i="1"/>
  <c r="L235" i="1"/>
  <c r="M235" i="1"/>
  <c r="N235" i="1"/>
  <c r="O235" i="1"/>
  <c r="P235" i="1"/>
  <c r="A236" i="1"/>
  <c r="B236" i="1"/>
  <c r="C236" i="1"/>
  <c r="D236" i="1"/>
  <c r="E236" i="1"/>
  <c r="F236" i="1"/>
  <c r="G236" i="1"/>
  <c r="H236" i="1"/>
  <c r="I236" i="1"/>
  <c r="J236" i="1"/>
  <c r="K236" i="1"/>
  <c r="L236" i="1"/>
  <c r="M236" i="1"/>
  <c r="N236" i="1"/>
  <c r="O236" i="1"/>
  <c r="P236" i="1"/>
  <c r="A237" i="1"/>
  <c r="B237" i="1"/>
  <c r="C237" i="1"/>
  <c r="D237" i="1"/>
  <c r="E237" i="1"/>
  <c r="F237" i="1"/>
  <c r="G237" i="1"/>
  <c r="H237" i="1"/>
  <c r="I237" i="1"/>
  <c r="J237" i="1"/>
  <c r="K237" i="1"/>
  <c r="L237" i="1"/>
  <c r="M237" i="1"/>
  <c r="N237" i="1"/>
  <c r="O237" i="1"/>
  <c r="P237" i="1"/>
  <c r="A238" i="1"/>
  <c r="B238" i="1"/>
  <c r="C238" i="1"/>
  <c r="D238" i="1"/>
  <c r="E238" i="1"/>
  <c r="F238" i="1"/>
  <c r="G238" i="1"/>
  <c r="H238" i="1"/>
  <c r="I238" i="1"/>
  <c r="J238" i="1"/>
  <c r="K238" i="1"/>
  <c r="L238" i="1"/>
  <c r="M238" i="1"/>
  <c r="N238" i="1"/>
  <c r="O238" i="1"/>
  <c r="P238" i="1"/>
  <c r="A239" i="1"/>
  <c r="B239" i="1"/>
  <c r="C239" i="1"/>
  <c r="D239" i="1"/>
  <c r="E239" i="1"/>
  <c r="F239" i="1"/>
  <c r="G239" i="1"/>
  <c r="H239" i="1"/>
  <c r="I239" i="1"/>
  <c r="J239" i="1"/>
  <c r="K239" i="1"/>
  <c r="L239" i="1"/>
  <c r="M239" i="1"/>
  <c r="N239" i="1"/>
  <c r="O239" i="1"/>
  <c r="P239" i="1"/>
  <c r="A240" i="1"/>
  <c r="B240" i="1"/>
  <c r="C240" i="1"/>
  <c r="D240" i="1"/>
  <c r="E240" i="1"/>
  <c r="F240" i="1"/>
  <c r="G240" i="1"/>
  <c r="H240" i="1"/>
  <c r="I240" i="1"/>
  <c r="J240" i="1"/>
  <c r="K240" i="1"/>
  <c r="L240" i="1"/>
  <c r="M240" i="1"/>
  <c r="N240" i="1"/>
  <c r="O240" i="1"/>
  <c r="P240" i="1"/>
  <c r="A241" i="1"/>
  <c r="B241" i="1"/>
  <c r="C241" i="1"/>
  <c r="D241" i="1"/>
  <c r="E241" i="1"/>
  <c r="F241" i="1"/>
  <c r="G241" i="1"/>
  <c r="H241" i="1"/>
  <c r="I241" i="1"/>
  <c r="J241" i="1"/>
  <c r="K241" i="1"/>
  <c r="L241" i="1"/>
  <c r="M241" i="1"/>
  <c r="N241" i="1"/>
  <c r="O241" i="1"/>
  <c r="P241" i="1"/>
  <c r="A242" i="1"/>
  <c r="B242" i="1"/>
  <c r="C242" i="1"/>
  <c r="D242" i="1"/>
  <c r="E242" i="1"/>
  <c r="F242" i="1"/>
  <c r="G242" i="1"/>
  <c r="H242" i="1"/>
  <c r="I242" i="1"/>
  <c r="J242" i="1"/>
  <c r="K242" i="1"/>
  <c r="L242" i="1"/>
  <c r="M242" i="1"/>
  <c r="N242" i="1"/>
  <c r="O242" i="1"/>
  <c r="P242" i="1"/>
  <c r="A243" i="1"/>
  <c r="B243" i="1"/>
  <c r="C243" i="1"/>
  <c r="D243" i="1"/>
  <c r="E243" i="1"/>
  <c r="F243" i="1"/>
  <c r="G243" i="1"/>
  <c r="H243" i="1"/>
  <c r="I243" i="1"/>
  <c r="J243" i="1"/>
  <c r="K243" i="1"/>
  <c r="L243" i="1"/>
  <c r="M243" i="1"/>
  <c r="N243" i="1"/>
  <c r="O243" i="1"/>
  <c r="P243" i="1"/>
  <c r="A244" i="1"/>
  <c r="B244" i="1"/>
  <c r="C244" i="1"/>
  <c r="D244" i="1"/>
  <c r="E244" i="1"/>
  <c r="F244" i="1"/>
  <c r="G244" i="1"/>
  <c r="H244" i="1"/>
  <c r="I244" i="1"/>
  <c r="J244" i="1"/>
  <c r="K244" i="1"/>
  <c r="L244" i="1"/>
  <c r="M244" i="1"/>
  <c r="N244" i="1"/>
  <c r="O244" i="1"/>
  <c r="P244" i="1"/>
  <c r="A245" i="1"/>
  <c r="B245" i="1"/>
  <c r="C245" i="1"/>
  <c r="D245" i="1"/>
  <c r="E245" i="1"/>
  <c r="F245" i="1"/>
  <c r="G245" i="1"/>
  <c r="H245" i="1"/>
  <c r="I245" i="1"/>
  <c r="J245" i="1"/>
  <c r="K245" i="1"/>
  <c r="L245" i="1"/>
  <c r="M245" i="1"/>
  <c r="N245" i="1"/>
  <c r="O245" i="1"/>
  <c r="P245" i="1"/>
  <c r="A246" i="1"/>
  <c r="B246" i="1"/>
  <c r="C246" i="1"/>
  <c r="D246" i="1"/>
  <c r="E246" i="1"/>
  <c r="F246" i="1"/>
  <c r="G246" i="1"/>
  <c r="H246" i="1"/>
  <c r="I246" i="1"/>
  <c r="J246" i="1"/>
  <c r="K246" i="1"/>
  <c r="L246" i="1"/>
  <c r="M246" i="1"/>
  <c r="N246" i="1"/>
  <c r="O246" i="1"/>
  <c r="P246" i="1"/>
  <c r="A247" i="1"/>
  <c r="B247" i="1"/>
  <c r="C247" i="1"/>
  <c r="D247" i="1"/>
  <c r="E247" i="1"/>
  <c r="F247" i="1"/>
  <c r="G247" i="1"/>
  <c r="H247" i="1"/>
  <c r="I247" i="1"/>
  <c r="J247" i="1"/>
  <c r="K247" i="1"/>
  <c r="L247" i="1"/>
  <c r="M247" i="1"/>
  <c r="N247" i="1"/>
  <c r="O247" i="1"/>
  <c r="P247" i="1"/>
  <c r="A248" i="1"/>
  <c r="B248" i="1"/>
  <c r="C248" i="1"/>
  <c r="D248" i="1"/>
  <c r="E248" i="1"/>
  <c r="F248" i="1"/>
  <c r="G248" i="1"/>
  <c r="H248" i="1"/>
  <c r="I248" i="1"/>
  <c r="J248" i="1"/>
  <c r="K248" i="1"/>
  <c r="L248" i="1"/>
  <c r="M248" i="1"/>
  <c r="N248" i="1"/>
  <c r="O248" i="1"/>
  <c r="P248" i="1"/>
  <c r="A249" i="1"/>
  <c r="B249" i="1"/>
  <c r="C249" i="1"/>
  <c r="D249" i="1"/>
  <c r="E249" i="1"/>
  <c r="F249" i="1"/>
  <c r="G249" i="1"/>
  <c r="H249" i="1"/>
  <c r="I249" i="1"/>
  <c r="J249" i="1"/>
  <c r="K249" i="1"/>
  <c r="L249" i="1"/>
  <c r="M249" i="1"/>
  <c r="N249" i="1"/>
  <c r="O249" i="1"/>
  <c r="P249" i="1"/>
  <c r="A250" i="1"/>
  <c r="B250" i="1"/>
  <c r="C250" i="1"/>
  <c r="D250" i="1"/>
  <c r="E250" i="1"/>
  <c r="F250" i="1"/>
  <c r="G250" i="1"/>
  <c r="H250" i="1"/>
  <c r="I250" i="1"/>
  <c r="J250" i="1"/>
  <c r="K250" i="1"/>
  <c r="L250" i="1"/>
  <c r="M250" i="1"/>
  <c r="N250" i="1"/>
  <c r="O250" i="1"/>
  <c r="P250" i="1"/>
  <c r="A251" i="1"/>
  <c r="B251" i="1"/>
  <c r="C251" i="1"/>
  <c r="D251" i="1"/>
  <c r="E251" i="1"/>
  <c r="F251" i="1"/>
  <c r="G251" i="1"/>
  <c r="H251" i="1"/>
  <c r="I251" i="1"/>
  <c r="J251" i="1"/>
  <c r="K251" i="1"/>
  <c r="L251" i="1"/>
  <c r="M251" i="1"/>
  <c r="N251" i="1"/>
  <c r="O251" i="1"/>
  <c r="P251" i="1"/>
  <c r="A252" i="1"/>
  <c r="B252" i="1"/>
  <c r="C252" i="1"/>
  <c r="D252" i="1"/>
  <c r="E252" i="1"/>
  <c r="F252" i="1"/>
  <c r="G252" i="1"/>
  <c r="H252" i="1"/>
  <c r="I252" i="1"/>
  <c r="J252" i="1"/>
  <c r="K252" i="1"/>
  <c r="L252" i="1"/>
  <c r="M252" i="1"/>
  <c r="N252" i="1"/>
  <c r="O252" i="1"/>
  <c r="P252" i="1"/>
  <c r="A253" i="1"/>
  <c r="B253" i="1"/>
  <c r="C253" i="1"/>
  <c r="D253" i="1"/>
  <c r="E253" i="1"/>
  <c r="F253" i="1"/>
  <c r="G253" i="1"/>
  <c r="H253" i="1"/>
  <c r="I253" i="1"/>
  <c r="J253" i="1"/>
  <c r="K253" i="1"/>
  <c r="L253" i="1"/>
  <c r="M253" i="1"/>
  <c r="N253" i="1"/>
  <c r="O253" i="1"/>
  <c r="P253" i="1"/>
  <c r="A254" i="1"/>
  <c r="B254" i="1"/>
  <c r="C254" i="1"/>
  <c r="D254" i="1"/>
  <c r="E254" i="1"/>
  <c r="F254" i="1"/>
  <c r="G254" i="1"/>
  <c r="H254" i="1"/>
  <c r="I254" i="1"/>
  <c r="J254" i="1"/>
  <c r="K254" i="1"/>
  <c r="L254" i="1"/>
  <c r="M254" i="1"/>
  <c r="N254" i="1"/>
  <c r="O254" i="1"/>
  <c r="P254" i="1"/>
  <c r="A255" i="1"/>
  <c r="B255" i="1"/>
  <c r="C255" i="1"/>
  <c r="D255" i="1"/>
  <c r="E255" i="1"/>
  <c r="F255" i="1"/>
  <c r="G255" i="1"/>
  <c r="H255" i="1"/>
  <c r="I255" i="1"/>
  <c r="J255" i="1"/>
  <c r="K255" i="1"/>
  <c r="L255" i="1"/>
  <c r="M255" i="1"/>
  <c r="N255" i="1"/>
  <c r="O255" i="1"/>
  <c r="P255" i="1"/>
  <c r="A256" i="1"/>
  <c r="B256" i="1"/>
  <c r="C256" i="1"/>
  <c r="D256" i="1"/>
  <c r="E256" i="1"/>
  <c r="F256" i="1"/>
  <c r="G256" i="1"/>
  <c r="H256" i="1"/>
  <c r="I256" i="1"/>
  <c r="J256" i="1"/>
  <c r="K256" i="1"/>
  <c r="L256" i="1"/>
  <c r="M256" i="1"/>
  <c r="N256" i="1"/>
  <c r="O256" i="1"/>
  <c r="P256" i="1"/>
  <c r="A257" i="1"/>
  <c r="B257" i="1"/>
  <c r="C257" i="1"/>
  <c r="D257" i="1"/>
  <c r="E257" i="1"/>
  <c r="F257" i="1"/>
  <c r="G257" i="1"/>
  <c r="H257" i="1"/>
  <c r="I257" i="1"/>
  <c r="J257" i="1"/>
  <c r="K257" i="1"/>
  <c r="L257" i="1"/>
  <c r="M257" i="1"/>
  <c r="N257" i="1"/>
  <c r="O257" i="1"/>
  <c r="P257" i="1"/>
  <c r="A258" i="1"/>
  <c r="B258" i="1"/>
  <c r="C258" i="1"/>
  <c r="D258" i="1"/>
  <c r="E258" i="1"/>
  <c r="F258" i="1"/>
  <c r="G258" i="1"/>
  <c r="H258" i="1"/>
  <c r="I258" i="1"/>
  <c r="J258" i="1"/>
  <c r="K258" i="1"/>
  <c r="L258" i="1"/>
  <c r="M258" i="1"/>
  <c r="N258" i="1"/>
  <c r="O258" i="1"/>
  <c r="P258" i="1"/>
  <c r="A259" i="1"/>
  <c r="B259" i="1"/>
  <c r="C259" i="1"/>
  <c r="D259" i="1"/>
  <c r="E259" i="1"/>
  <c r="F259" i="1"/>
  <c r="G259" i="1"/>
  <c r="H259" i="1"/>
  <c r="I259" i="1"/>
  <c r="J259" i="1"/>
  <c r="K259" i="1"/>
  <c r="L259" i="1"/>
  <c r="M259" i="1"/>
  <c r="N259" i="1"/>
  <c r="O259" i="1"/>
  <c r="P259" i="1"/>
  <c r="A260" i="1"/>
  <c r="B260" i="1"/>
  <c r="C260" i="1"/>
  <c r="D260" i="1"/>
  <c r="E260" i="1"/>
  <c r="F260" i="1"/>
  <c r="G260" i="1"/>
  <c r="H260" i="1"/>
  <c r="I260" i="1"/>
  <c r="J260" i="1"/>
  <c r="K260" i="1"/>
  <c r="L260" i="1"/>
  <c r="M260" i="1"/>
  <c r="N260" i="1"/>
  <c r="O260" i="1"/>
  <c r="P260" i="1"/>
  <c r="A261" i="1"/>
  <c r="B261" i="1"/>
  <c r="C261" i="1"/>
  <c r="D261" i="1"/>
  <c r="E261" i="1"/>
  <c r="F261" i="1"/>
  <c r="G261" i="1"/>
  <c r="H261" i="1"/>
  <c r="I261" i="1"/>
  <c r="J261" i="1"/>
  <c r="K261" i="1"/>
  <c r="L261" i="1"/>
  <c r="M261" i="1"/>
  <c r="N261" i="1"/>
  <c r="O261" i="1"/>
  <c r="P261" i="1"/>
  <c r="A262" i="1"/>
  <c r="B262" i="1"/>
  <c r="C262" i="1"/>
  <c r="D262" i="1"/>
  <c r="E262" i="1"/>
  <c r="F262" i="1"/>
  <c r="G262" i="1"/>
  <c r="H262" i="1"/>
  <c r="I262" i="1"/>
  <c r="J262" i="1"/>
  <c r="K262" i="1"/>
  <c r="L262" i="1"/>
  <c r="M262" i="1"/>
  <c r="N262" i="1"/>
  <c r="O262" i="1"/>
  <c r="P262" i="1"/>
  <c r="A263" i="1"/>
  <c r="B263" i="1"/>
  <c r="C263" i="1"/>
  <c r="D263" i="1"/>
  <c r="E263" i="1"/>
  <c r="F263" i="1"/>
  <c r="G263" i="1"/>
  <c r="H263" i="1"/>
  <c r="I263" i="1"/>
  <c r="J263" i="1"/>
  <c r="K263" i="1"/>
  <c r="L263" i="1"/>
  <c r="M263" i="1"/>
  <c r="N263" i="1"/>
  <c r="O263" i="1"/>
  <c r="P263" i="1"/>
  <c r="A264" i="1"/>
  <c r="B264" i="1"/>
  <c r="C264" i="1"/>
  <c r="D264" i="1"/>
  <c r="E264" i="1"/>
  <c r="F264" i="1"/>
  <c r="G264" i="1"/>
  <c r="H264" i="1"/>
  <c r="I264" i="1"/>
  <c r="J264" i="1"/>
  <c r="K264" i="1"/>
  <c r="L264" i="1"/>
  <c r="M264" i="1"/>
  <c r="N264" i="1"/>
  <c r="O264" i="1"/>
  <c r="P264" i="1"/>
  <c r="A265" i="1"/>
  <c r="B265" i="1"/>
  <c r="C265" i="1"/>
  <c r="D265" i="1"/>
  <c r="E265" i="1"/>
  <c r="F265" i="1"/>
  <c r="G265" i="1"/>
  <c r="H265" i="1"/>
  <c r="I265" i="1"/>
  <c r="J265" i="1"/>
  <c r="K265" i="1"/>
  <c r="L265" i="1"/>
  <c r="M265" i="1"/>
  <c r="N265" i="1"/>
  <c r="O265" i="1"/>
  <c r="P265" i="1"/>
  <c r="A266" i="1"/>
  <c r="B266" i="1"/>
  <c r="C266" i="1"/>
  <c r="D266" i="1"/>
  <c r="E266" i="1"/>
  <c r="F266" i="1"/>
  <c r="G266" i="1"/>
  <c r="H266" i="1"/>
  <c r="I266" i="1"/>
  <c r="J266" i="1"/>
  <c r="K266" i="1"/>
  <c r="L266" i="1"/>
  <c r="M266" i="1"/>
  <c r="N266" i="1"/>
  <c r="O266" i="1"/>
  <c r="P266" i="1"/>
  <c r="A267" i="1"/>
  <c r="B267" i="1"/>
  <c r="C267" i="1"/>
  <c r="D267" i="1"/>
  <c r="E267" i="1"/>
  <c r="F267" i="1"/>
  <c r="G267" i="1"/>
  <c r="H267" i="1"/>
  <c r="I267" i="1"/>
  <c r="J267" i="1"/>
  <c r="K267" i="1"/>
  <c r="L267" i="1"/>
  <c r="M267" i="1"/>
  <c r="N267" i="1"/>
  <c r="O267" i="1"/>
  <c r="P267" i="1"/>
  <c r="A268" i="1"/>
  <c r="B268" i="1"/>
  <c r="C268" i="1"/>
  <c r="D268" i="1"/>
  <c r="E268" i="1"/>
  <c r="F268" i="1"/>
  <c r="G268" i="1"/>
  <c r="H268" i="1"/>
  <c r="I268" i="1"/>
  <c r="J268" i="1"/>
  <c r="K268" i="1"/>
  <c r="L268" i="1"/>
  <c r="M268" i="1"/>
  <c r="N268" i="1"/>
  <c r="O268" i="1"/>
  <c r="P268" i="1"/>
  <c r="A269" i="1"/>
  <c r="B269" i="1"/>
  <c r="C269" i="1"/>
  <c r="D269" i="1"/>
  <c r="E269" i="1"/>
  <c r="F269" i="1"/>
  <c r="G269" i="1"/>
  <c r="H269" i="1"/>
  <c r="I269" i="1"/>
  <c r="J269" i="1"/>
  <c r="K269" i="1"/>
  <c r="L269" i="1"/>
  <c r="M269" i="1"/>
  <c r="N269" i="1"/>
  <c r="O269" i="1"/>
  <c r="P269" i="1"/>
  <c r="A270" i="1"/>
  <c r="B270" i="1"/>
  <c r="C270" i="1"/>
  <c r="D270" i="1"/>
  <c r="E270" i="1"/>
  <c r="F270" i="1"/>
  <c r="G270" i="1"/>
  <c r="H270" i="1"/>
  <c r="I270" i="1"/>
  <c r="J270" i="1"/>
  <c r="K270" i="1"/>
  <c r="L270" i="1"/>
  <c r="M270" i="1"/>
  <c r="N270" i="1"/>
  <c r="O270" i="1"/>
  <c r="P270" i="1"/>
  <c r="A271" i="1"/>
  <c r="B271" i="1"/>
  <c r="C271" i="1"/>
  <c r="D271" i="1"/>
  <c r="E271" i="1"/>
  <c r="F271" i="1"/>
  <c r="G271" i="1"/>
  <c r="H271" i="1"/>
  <c r="I271" i="1"/>
  <c r="J271" i="1"/>
  <c r="K271" i="1"/>
  <c r="L271" i="1"/>
  <c r="M271" i="1"/>
  <c r="N271" i="1"/>
  <c r="O271" i="1"/>
  <c r="P271" i="1"/>
  <c r="A272" i="1"/>
  <c r="B272" i="1"/>
  <c r="C272" i="1"/>
  <c r="D272" i="1"/>
  <c r="E272" i="1"/>
  <c r="F272" i="1"/>
  <c r="G272" i="1"/>
  <c r="H272" i="1"/>
  <c r="I272" i="1"/>
  <c r="J272" i="1"/>
  <c r="K272" i="1"/>
  <c r="L272" i="1"/>
  <c r="M272" i="1"/>
  <c r="N272" i="1"/>
  <c r="O272" i="1"/>
  <c r="P272" i="1"/>
  <c r="A273" i="1"/>
  <c r="B273" i="1"/>
  <c r="C273" i="1"/>
  <c r="D273" i="1"/>
  <c r="E273" i="1"/>
  <c r="F273" i="1"/>
  <c r="G273" i="1"/>
  <c r="H273" i="1"/>
  <c r="I273" i="1"/>
  <c r="J273" i="1"/>
  <c r="K273" i="1"/>
  <c r="L273" i="1"/>
  <c r="M273" i="1"/>
  <c r="N273" i="1"/>
  <c r="O273" i="1"/>
  <c r="P273" i="1"/>
  <c r="A274" i="1"/>
  <c r="B274" i="1"/>
  <c r="C274" i="1"/>
  <c r="D274" i="1"/>
  <c r="E274" i="1"/>
  <c r="F274" i="1"/>
  <c r="G274" i="1"/>
  <c r="H274" i="1"/>
  <c r="I274" i="1"/>
  <c r="J274" i="1"/>
  <c r="K274" i="1"/>
  <c r="L274" i="1"/>
  <c r="M274" i="1"/>
  <c r="N274" i="1"/>
  <c r="O274" i="1"/>
  <c r="P274" i="1"/>
  <c r="A275" i="1"/>
  <c r="B275" i="1"/>
  <c r="C275" i="1"/>
  <c r="D275" i="1"/>
  <c r="E275" i="1"/>
  <c r="F275" i="1"/>
  <c r="G275" i="1"/>
  <c r="H275" i="1"/>
  <c r="I275" i="1"/>
  <c r="J275" i="1"/>
  <c r="K275" i="1"/>
  <c r="L275" i="1"/>
  <c r="M275" i="1"/>
  <c r="N275" i="1"/>
  <c r="O275" i="1"/>
  <c r="P275" i="1"/>
  <c r="A276" i="1"/>
  <c r="B276" i="1"/>
  <c r="C276" i="1"/>
  <c r="D276" i="1"/>
  <c r="E276" i="1"/>
  <c r="F276" i="1"/>
  <c r="G276" i="1"/>
  <c r="H276" i="1"/>
  <c r="I276" i="1"/>
  <c r="J276" i="1"/>
  <c r="K276" i="1"/>
  <c r="L276" i="1"/>
  <c r="M276" i="1"/>
  <c r="N276" i="1"/>
  <c r="O276" i="1"/>
  <c r="P276" i="1"/>
  <c r="A277" i="1"/>
  <c r="B277" i="1"/>
  <c r="C277" i="1"/>
  <c r="D277" i="1"/>
  <c r="E277" i="1"/>
  <c r="F277" i="1"/>
  <c r="G277" i="1"/>
  <c r="H277" i="1"/>
  <c r="I277" i="1"/>
  <c r="J277" i="1"/>
  <c r="K277" i="1"/>
  <c r="L277" i="1"/>
  <c r="M277" i="1"/>
  <c r="N277" i="1"/>
  <c r="O277" i="1"/>
  <c r="P277" i="1"/>
  <c r="A278" i="1"/>
  <c r="B278" i="1"/>
  <c r="C278" i="1"/>
  <c r="D278" i="1"/>
  <c r="E278" i="1"/>
  <c r="F278" i="1"/>
  <c r="G278" i="1"/>
  <c r="H278" i="1"/>
  <c r="I278" i="1"/>
  <c r="J278" i="1"/>
  <c r="K278" i="1"/>
  <c r="L278" i="1"/>
  <c r="M278" i="1"/>
  <c r="N278" i="1"/>
  <c r="O278" i="1"/>
  <c r="P278" i="1"/>
  <c r="A279" i="1"/>
  <c r="B279" i="1"/>
  <c r="C279" i="1"/>
  <c r="D279" i="1"/>
  <c r="E279" i="1"/>
  <c r="F279" i="1"/>
  <c r="G279" i="1"/>
  <c r="H279" i="1"/>
  <c r="I279" i="1"/>
  <c r="J279" i="1"/>
  <c r="K279" i="1"/>
  <c r="L279" i="1"/>
  <c r="M279" i="1"/>
  <c r="N279" i="1"/>
  <c r="O279" i="1"/>
  <c r="P279" i="1"/>
  <c r="A280" i="1"/>
  <c r="B280" i="1"/>
  <c r="C280" i="1"/>
  <c r="D280" i="1"/>
  <c r="E280" i="1"/>
  <c r="F280" i="1"/>
  <c r="G280" i="1"/>
  <c r="H280" i="1"/>
  <c r="I280" i="1"/>
  <c r="J280" i="1"/>
  <c r="K280" i="1"/>
  <c r="L280" i="1"/>
  <c r="M280" i="1"/>
  <c r="N280" i="1"/>
  <c r="O280" i="1"/>
  <c r="P280" i="1"/>
  <c r="A281" i="1"/>
  <c r="B281" i="1"/>
  <c r="C281" i="1"/>
  <c r="D281" i="1"/>
  <c r="E281" i="1"/>
  <c r="F281" i="1"/>
  <c r="G281" i="1"/>
  <c r="H281" i="1"/>
  <c r="I281" i="1"/>
  <c r="J281" i="1"/>
  <c r="K281" i="1"/>
  <c r="L281" i="1"/>
  <c r="M281" i="1"/>
  <c r="N281" i="1"/>
  <c r="O281" i="1"/>
  <c r="P281" i="1"/>
  <c r="A282" i="1"/>
  <c r="B282" i="1"/>
  <c r="C282" i="1"/>
  <c r="D282" i="1"/>
  <c r="E282" i="1"/>
  <c r="F282" i="1"/>
  <c r="G282" i="1"/>
  <c r="H282" i="1"/>
  <c r="I282" i="1"/>
  <c r="J282" i="1"/>
  <c r="K282" i="1"/>
  <c r="L282" i="1"/>
  <c r="M282" i="1"/>
  <c r="N282" i="1"/>
  <c r="O282" i="1"/>
  <c r="P282" i="1"/>
  <c r="A283" i="1"/>
  <c r="B283" i="1"/>
  <c r="C283" i="1"/>
  <c r="D283" i="1"/>
  <c r="E283" i="1"/>
  <c r="F283" i="1"/>
  <c r="G283" i="1"/>
  <c r="H283" i="1"/>
  <c r="I283" i="1"/>
  <c r="J283" i="1"/>
  <c r="K283" i="1"/>
  <c r="L283" i="1"/>
  <c r="M283" i="1"/>
  <c r="N283" i="1"/>
  <c r="O283" i="1"/>
  <c r="P283" i="1"/>
  <c r="A284" i="1"/>
  <c r="B284" i="1"/>
  <c r="C284" i="1"/>
  <c r="D284" i="1"/>
  <c r="E284" i="1"/>
  <c r="F284" i="1"/>
  <c r="G284" i="1"/>
  <c r="H284" i="1"/>
  <c r="I284" i="1"/>
  <c r="J284" i="1"/>
  <c r="K284" i="1"/>
  <c r="L284" i="1"/>
  <c r="M284" i="1"/>
  <c r="N284" i="1"/>
  <c r="O284" i="1"/>
  <c r="P284" i="1"/>
  <c r="A285" i="1"/>
  <c r="B285" i="1"/>
  <c r="C285" i="1"/>
  <c r="D285" i="1"/>
  <c r="E285" i="1"/>
  <c r="F285" i="1"/>
  <c r="G285" i="1"/>
  <c r="H285" i="1"/>
  <c r="I285" i="1"/>
  <c r="J285" i="1"/>
  <c r="K285" i="1"/>
  <c r="L285" i="1"/>
  <c r="M285" i="1"/>
  <c r="N285" i="1"/>
  <c r="O285" i="1"/>
  <c r="P285" i="1"/>
  <c r="A286" i="1"/>
  <c r="B286" i="1"/>
  <c r="C286" i="1"/>
  <c r="D286" i="1"/>
  <c r="E286" i="1"/>
  <c r="F286" i="1"/>
  <c r="G286" i="1"/>
  <c r="H286" i="1"/>
  <c r="I286" i="1"/>
  <c r="J286" i="1"/>
  <c r="K286" i="1"/>
  <c r="L286" i="1"/>
  <c r="M286" i="1"/>
  <c r="N286" i="1"/>
  <c r="O286" i="1"/>
  <c r="P286" i="1"/>
  <c r="A287" i="1"/>
  <c r="B287" i="1"/>
  <c r="C287" i="1"/>
  <c r="D287" i="1"/>
  <c r="E287" i="1"/>
  <c r="F287" i="1"/>
  <c r="G287" i="1"/>
  <c r="H287" i="1"/>
  <c r="I287" i="1"/>
  <c r="J287" i="1"/>
  <c r="K287" i="1"/>
  <c r="L287" i="1"/>
  <c r="M287" i="1"/>
  <c r="N287" i="1"/>
  <c r="O287" i="1"/>
  <c r="P287" i="1"/>
  <c r="A288" i="1"/>
  <c r="B288" i="1"/>
  <c r="C288" i="1"/>
  <c r="D288" i="1"/>
  <c r="E288" i="1"/>
  <c r="F288" i="1"/>
  <c r="G288" i="1"/>
  <c r="H288" i="1"/>
  <c r="I288" i="1"/>
  <c r="J288" i="1"/>
  <c r="K288" i="1"/>
  <c r="L288" i="1"/>
  <c r="M288" i="1"/>
  <c r="N288" i="1"/>
  <c r="O288" i="1"/>
  <c r="P288" i="1"/>
  <c r="A289" i="1"/>
  <c r="B289" i="1"/>
  <c r="C289" i="1"/>
  <c r="D289" i="1"/>
  <c r="E289" i="1"/>
  <c r="F289" i="1"/>
  <c r="G289" i="1"/>
  <c r="H289" i="1"/>
  <c r="I289" i="1"/>
  <c r="J289" i="1"/>
  <c r="K289" i="1"/>
  <c r="L289" i="1"/>
  <c r="M289" i="1"/>
  <c r="N289" i="1"/>
  <c r="O289" i="1"/>
  <c r="P289" i="1"/>
  <c r="A290" i="1"/>
  <c r="B290" i="1"/>
  <c r="C290" i="1"/>
  <c r="D290" i="1"/>
  <c r="E290" i="1"/>
  <c r="F290" i="1"/>
  <c r="G290" i="1"/>
  <c r="H290" i="1"/>
  <c r="I290" i="1"/>
  <c r="J290" i="1"/>
  <c r="K290" i="1"/>
  <c r="L290" i="1"/>
  <c r="M290" i="1"/>
  <c r="N290" i="1"/>
  <c r="O290" i="1"/>
  <c r="P290" i="1"/>
  <c r="A291" i="1"/>
  <c r="B291" i="1"/>
  <c r="C291" i="1"/>
  <c r="D291" i="1"/>
  <c r="E291" i="1"/>
  <c r="F291" i="1"/>
  <c r="G291" i="1"/>
  <c r="H291" i="1"/>
  <c r="I291" i="1"/>
  <c r="J291" i="1"/>
  <c r="K291" i="1"/>
  <c r="L291" i="1"/>
  <c r="M291" i="1"/>
  <c r="N291" i="1"/>
  <c r="O291" i="1"/>
  <c r="P291" i="1"/>
  <c r="A292" i="1"/>
  <c r="B292" i="1"/>
  <c r="C292" i="1"/>
  <c r="D292" i="1"/>
  <c r="E292" i="1"/>
  <c r="F292" i="1"/>
  <c r="G292" i="1"/>
  <c r="H292" i="1"/>
  <c r="I292" i="1"/>
  <c r="J292" i="1"/>
  <c r="K292" i="1"/>
  <c r="L292" i="1"/>
  <c r="M292" i="1"/>
  <c r="N292" i="1"/>
  <c r="O292" i="1"/>
  <c r="P292" i="1"/>
  <c r="A293" i="1"/>
  <c r="B293" i="1"/>
  <c r="C293" i="1"/>
  <c r="D293" i="1"/>
  <c r="E293" i="1"/>
  <c r="F293" i="1"/>
  <c r="G293" i="1"/>
  <c r="H293" i="1"/>
  <c r="I293" i="1"/>
  <c r="J293" i="1"/>
  <c r="K293" i="1"/>
  <c r="L293" i="1"/>
  <c r="M293" i="1"/>
  <c r="N293" i="1"/>
  <c r="O293" i="1"/>
  <c r="P293" i="1"/>
  <c r="A294" i="1"/>
  <c r="B294" i="1"/>
  <c r="C294" i="1"/>
  <c r="D294" i="1"/>
  <c r="E294" i="1"/>
  <c r="F294" i="1"/>
  <c r="G294" i="1"/>
  <c r="H294" i="1"/>
  <c r="I294" i="1"/>
  <c r="J294" i="1"/>
  <c r="K294" i="1"/>
  <c r="L294" i="1"/>
  <c r="M294" i="1"/>
  <c r="N294" i="1"/>
  <c r="O294" i="1"/>
  <c r="P294" i="1"/>
  <c r="A295" i="1"/>
  <c r="B295" i="1"/>
  <c r="C295" i="1"/>
  <c r="D295" i="1"/>
  <c r="E295" i="1"/>
  <c r="F295" i="1"/>
  <c r="G295" i="1"/>
  <c r="H295" i="1"/>
  <c r="I295" i="1"/>
  <c r="J295" i="1"/>
  <c r="K295" i="1"/>
  <c r="L295" i="1"/>
  <c r="M295" i="1"/>
  <c r="N295" i="1"/>
  <c r="O295" i="1"/>
  <c r="P295" i="1"/>
  <c r="A296" i="1"/>
  <c r="B296" i="1"/>
  <c r="C296" i="1"/>
  <c r="D296" i="1"/>
  <c r="E296" i="1"/>
  <c r="F296" i="1"/>
  <c r="G296" i="1"/>
  <c r="H296" i="1"/>
  <c r="I296" i="1"/>
  <c r="J296" i="1"/>
  <c r="K296" i="1"/>
  <c r="L296" i="1"/>
  <c r="M296" i="1"/>
  <c r="N296" i="1"/>
  <c r="O296" i="1"/>
  <c r="P296" i="1"/>
  <c r="A297" i="1"/>
  <c r="B297" i="1"/>
  <c r="C297" i="1"/>
  <c r="D297" i="1"/>
  <c r="E297" i="1"/>
  <c r="F297" i="1"/>
  <c r="G297" i="1"/>
  <c r="H297" i="1"/>
  <c r="I297" i="1"/>
  <c r="J297" i="1"/>
  <c r="K297" i="1"/>
  <c r="L297" i="1"/>
  <c r="M297" i="1"/>
  <c r="N297" i="1"/>
  <c r="O297" i="1"/>
  <c r="P297" i="1"/>
  <c r="A298" i="1"/>
  <c r="B298" i="1"/>
  <c r="C298" i="1"/>
  <c r="D298" i="1"/>
  <c r="E298" i="1"/>
  <c r="F298" i="1"/>
  <c r="G298" i="1"/>
  <c r="H298" i="1"/>
  <c r="I298" i="1"/>
  <c r="J298" i="1"/>
  <c r="K298" i="1"/>
  <c r="L298" i="1"/>
  <c r="M298" i="1"/>
  <c r="N298" i="1"/>
  <c r="O298" i="1"/>
  <c r="P298" i="1"/>
  <c r="A299" i="1"/>
  <c r="B299" i="1"/>
  <c r="C299" i="1"/>
  <c r="D299" i="1"/>
  <c r="E299" i="1"/>
  <c r="F299" i="1"/>
  <c r="G299" i="1"/>
  <c r="H299" i="1"/>
  <c r="I299" i="1"/>
  <c r="J299" i="1"/>
  <c r="K299" i="1"/>
  <c r="L299" i="1"/>
  <c r="M299" i="1"/>
  <c r="N299" i="1"/>
  <c r="O299" i="1"/>
  <c r="P299" i="1"/>
  <c r="A300" i="1"/>
  <c r="B300" i="1"/>
  <c r="C300" i="1"/>
  <c r="D300" i="1"/>
  <c r="E300" i="1"/>
  <c r="F300" i="1"/>
  <c r="G300" i="1"/>
  <c r="H300" i="1"/>
  <c r="I300" i="1"/>
  <c r="J300" i="1"/>
  <c r="K300" i="1"/>
  <c r="L300" i="1"/>
  <c r="M300" i="1"/>
  <c r="N300" i="1"/>
  <c r="O300" i="1"/>
  <c r="P300" i="1"/>
  <c r="A301" i="1"/>
  <c r="B301" i="1"/>
  <c r="C301" i="1"/>
  <c r="D301" i="1"/>
  <c r="E301" i="1"/>
  <c r="F301" i="1"/>
  <c r="G301" i="1"/>
  <c r="H301" i="1"/>
  <c r="I301" i="1"/>
  <c r="J301" i="1"/>
  <c r="K301" i="1"/>
  <c r="L301" i="1"/>
  <c r="M301" i="1"/>
  <c r="N301" i="1"/>
  <c r="O301" i="1"/>
  <c r="P301" i="1"/>
  <c r="A302" i="1"/>
  <c r="B302" i="1"/>
  <c r="C302" i="1"/>
  <c r="D302" i="1"/>
  <c r="E302" i="1"/>
  <c r="F302" i="1"/>
  <c r="G302" i="1"/>
  <c r="H302" i="1"/>
  <c r="I302" i="1"/>
  <c r="J302" i="1"/>
  <c r="K302" i="1"/>
  <c r="L302" i="1"/>
  <c r="M302" i="1"/>
  <c r="N302" i="1"/>
  <c r="O302" i="1"/>
  <c r="P302" i="1"/>
  <c r="A303" i="1"/>
  <c r="B303" i="1"/>
  <c r="C303" i="1"/>
  <c r="D303" i="1"/>
  <c r="E303" i="1"/>
  <c r="F303" i="1"/>
  <c r="G303" i="1"/>
  <c r="H303" i="1"/>
  <c r="I303" i="1"/>
  <c r="J303" i="1"/>
  <c r="K303" i="1"/>
  <c r="L303" i="1"/>
  <c r="M303" i="1"/>
  <c r="N303" i="1"/>
  <c r="O303" i="1"/>
  <c r="P303" i="1"/>
  <c r="A304" i="1"/>
  <c r="B304" i="1"/>
  <c r="C304" i="1"/>
  <c r="D304" i="1"/>
  <c r="E304" i="1"/>
  <c r="F304" i="1"/>
  <c r="G304" i="1"/>
  <c r="H304" i="1"/>
  <c r="I304" i="1"/>
  <c r="J304" i="1"/>
  <c r="K304" i="1"/>
  <c r="L304" i="1"/>
  <c r="M304" i="1"/>
  <c r="N304" i="1"/>
  <c r="O304" i="1"/>
  <c r="P304" i="1"/>
  <c r="A305" i="1"/>
  <c r="B305" i="1"/>
  <c r="C305" i="1"/>
  <c r="D305" i="1"/>
  <c r="E305" i="1"/>
  <c r="F305" i="1"/>
  <c r="G305" i="1"/>
  <c r="H305" i="1"/>
  <c r="I305" i="1"/>
  <c r="J305" i="1"/>
  <c r="K305" i="1"/>
  <c r="L305" i="1"/>
  <c r="M305" i="1"/>
  <c r="N305" i="1"/>
  <c r="O305" i="1"/>
  <c r="P305" i="1"/>
  <c r="A306" i="1"/>
  <c r="B306" i="1"/>
  <c r="C306" i="1"/>
  <c r="D306" i="1"/>
  <c r="E306" i="1"/>
  <c r="F306" i="1"/>
  <c r="G306" i="1"/>
  <c r="H306" i="1"/>
  <c r="I306" i="1"/>
  <c r="J306" i="1"/>
  <c r="K306" i="1"/>
  <c r="L306" i="1"/>
  <c r="M306" i="1"/>
  <c r="N306" i="1"/>
  <c r="O306" i="1"/>
  <c r="P306" i="1"/>
  <c r="A307" i="1"/>
  <c r="B307" i="1"/>
  <c r="C307" i="1"/>
  <c r="D307" i="1"/>
  <c r="E307" i="1"/>
  <c r="F307" i="1"/>
  <c r="G307" i="1"/>
  <c r="H307" i="1"/>
  <c r="I307" i="1"/>
  <c r="J307" i="1"/>
  <c r="K307" i="1"/>
  <c r="L307" i="1"/>
  <c r="M307" i="1"/>
  <c r="N307" i="1"/>
  <c r="O307" i="1"/>
  <c r="P307" i="1"/>
  <c r="A308" i="1"/>
  <c r="B308" i="1"/>
  <c r="C308" i="1"/>
  <c r="D308" i="1"/>
  <c r="E308" i="1"/>
  <c r="F308" i="1"/>
  <c r="G308" i="1"/>
  <c r="H308" i="1"/>
  <c r="I308" i="1"/>
  <c r="J308" i="1"/>
  <c r="K308" i="1"/>
  <c r="L308" i="1"/>
  <c r="M308" i="1"/>
  <c r="N308" i="1"/>
  <c r="O308" i="1"/>
  <c r="P308" i="1"/>
  <c r="A309" i="1"/>
  <c r="B309" i="1"/>
  <c r="C309" i="1"/>
  <c r="D309" i="1"/>
  <c r="E309" i="1"/>
  <c r="F309" i="1"/>
  <c r="G309" i="1"/>
  <c r="H309" i="1"/>
  <c r="I309" i="1"/>
  <c r="J309" i="1"/>
  <c r="K309" i="1"/>
  <c r="L309" i="1"/>
  <c r="M309" i="1"/>
  <c r="N309" i="1"/>
  <c r="O309" i="1"/>
  <c r="P309" i="1"/>
  <c r="A310" i="1"/>
  <c r="B310" i="1"/>
  <c r="C310" i="1"/>
  <c r="D310" i="1"/>
  <c r="E310" i="1"/>
  <c r="F310" i="1"/>
  <c r="G310" i="1"/>
  <c r="H310" i="1"/>
  <c r="I310" i="1"/>
  <c r="J310" i="1"/>
  <c r="K310" i="1"/>
  <c r="L310" i="1"/>
  <c r="M310" i="1"/>
  <c r="N310" i="1"/>
  <c r="O310" i="1"/>
  <c r="P310" i="1"/>
  <c r="A311" i="1"/>
  <c r="B311" i="1"/>
  <c r="C311" i="1"/>
  <c r="D311" i="1"/>
  <c r="E311" i="1"/>
  <c r="F311" i="1"/>
  <c r="G311" i="1"/>
  <c r="H311" i="1"/>
  <c r="I311" i="1"/>
  <c r="J311" i="1"/>
  <c r="K311" i="1"/>
  <c r="L311" i="1"/>
  <c r="M311" i="1"/>
  <c r="N311" i="1"/>
  <c r="O311" i="1"/>
  <c r="P311" i="1"/>
  <c r="A312" i="1"/>
  <c r="B312" i="1"/>
  <c r="C312" i="1"/>
  <c r="D312" i="1"/>
  <c r="E312" i="1"/>
  <c r="F312" i="1"/>
  <c r="G312" i="1"/>
  <c r="H312" i="1"/>
  <c r="I312" i="1"/>
  <c r="J312" i="1"/>
  <c r="K312" i="1"/>
  <c r="L312" i="1"/>
  <c r="M312" i="1"/>
  <c r="N312" i="1"/>
  <c r="O312" i="1"/>
  <c r="P312" i="1"/>
  <c r="A313" i="1"/>
  <c r="B313" i="1"/>
  <c r="C313" i="1"/>
  <c r="D313" i="1"/>
  <c r="E313" i="1"/>
  <c r="F313" i="1"/>
  <c r="G313" i="1"/>
  <c r="H313" i="1"/>
  <c r="I313" i="1"/>
  <c r="J313" i="1"/>
  <c r="K313" i="1"/>
  <c r="L313" i="1"/>
  <c r="M313" i="1"/>
  <c r="N313" i="1"/>
  <c r="O313" i="1"/>
  <c r="P313" i="1"/>
  <c r="A314" i="1"/>
  <c r="B314" i="1"/>
  <c r="C314" i="1"/>
  <c r="D314" i="1"/>
  <c r="E314" i="1"/>
  <c r="F314" i="1"/>
  <c r="G314" i="1"/>
  <c r="H314" i="1"/>
  <c r="I314" i="1"/>
  <c r="J314" i="1"/>
  <c r="K314" i="1"/>
  <c r="L314" i="1"/>
  <c r="M314" i="1"/>
  <c r="N314" i="1"/>
  <c r="O314" i="1"/>
  <c r="P314" i="1"/>
  <c r="A315" i="1"/>
  <c r="B315" i="1"/>
  <c r="C315" i="1"/>
  <c r="D315" i="1"/>
  <c r="E315" i="1"/>
  <c r="F315" i="1"/>
  <c r="G315" i="1"/>
  <c r="H315" i="1"/>
  <c r="I315" i="1"/>
  <c r="J315" i="1"/>
  <c r="K315" i="1"/>
  <c r="L315" i="1"/>
  <c r="M315" i="1"/>
  <c r="N315" i="1"/>
  <c r="O315" i="1"/>
  <c r="P315" i="1"/>
  <c r="A316" i="1"/>
  <c r="B316" i="1"/>
  <c r="C316" i="1"/>
  <c r="D316" i="1"/>
  <c r="E316" i="1"/>
  <c r="F316" i="1"/>
  <c r="G316" i="1"/>
  <c r="H316" i="1"/>
  <c r="I316" i="1"/>
  <c r="J316" i="1"/>
  <c r="K316" i="1"/>
  <c r="L316" i="1"/>
  <c r="M316" i="1"/>
  <c r="N316" i="1"/>
  <c r="O316" i="1"/>
  <c r="P316" i="1"/>
  <c r="A317" i="1"/>
  <c r="B317" i="1"/>
  <c r="C317" i="1"/>
  <c r="D317" i="1"/>
  <c r="E317" i="1"/>
  <c r="F317" i="1"/>
  <c r="G317" i="1"/>
  <c r="H317" i="1"/>
  <c r="I317" i="1"/>
  <c r="J317" i="1"/>
  <c r="K317" i="1"/>
  <c r="L317" i="1"/>
  <c r="M317" i="1"/>
  <c r="N317" i="1"/>
  <c r="O317" i="1"/>
  <c r="P317" i="1"/>
  <c r="A318" i="1"/>
  <c r="B318" i="1"/>
  <c r="C318" i="1"/>
  <c r="D318" i="1"/>
  <c r="E318" i="1"/>
  <c r="F318" i="1"/>
  <c r="G318" i="1"/>
  <c r="H318" i="1"/>
  <c r="I318" i="1"/>
  <c r="J318" i="1"/>
  <c r="K318" i="1"/>
  <c r="L318" i="1"/>
  <c r="M318" i="1"/>
  <c r="N318" i="1"/>
  <c r="O318" i="1"/>
  <c r="P318" i="1"/>
  <c r="A319" i="1"/>
  <c r="B319" i="1"/>
  <c r="C319" i="1"/>
  <c r="D319" i="1"/>
  <c r="E319" i="1"/>
  <c r="F319" i="1"/>
  <c r="G319" i="1"/>
  <c r="H319" i="1"/>
  <c r="I319" i="1"/>
  <c r="J319" i="1"/>
  <c r="K319" i="1"/>
  <c r="L319" i="1"/>
  <c r="M319" i="1"/>
  <c r="N319" i="1"/>
  <c r="O319" i="1"/>
  <c r="P319" i="1"/>
  <c r="A320" i="1"/>
  <c r="B320" i="1"/>
  <c r="C320" i="1"/>
  <c r="D320" i="1"/>
  <c r="E320" i="1"/>
  <c r="F320" i="1"/>
  <c r="G320" i="1"/>
  <c r="H320" i="1"/>
  <c r="I320" i="1"/>
  <c r="J320" i="1"/>
  <c r="K320" i="1"/>
  <c r="L320" i="1"/>
  <c r="M320" i="1"/>
  <c r="N320" i="1"/>
  <c r="O320" i="1"/>
  <c r="P320" i="1"/>
  <c r="A321" i="1"/>
  <c r="B321" i="1"/>
  <c r="C321" i="1"/>
  <c r="D321" i="1"/>
  <c r="E321" i="1"/>
  <c r="F321" i="1"/>
  <c r="G321" i="1"/>
  <c r="H321" i="1"/>
  <c r="I321" i="1"/>
  <c r="J321" i="1"/>
  <c r="K321" i="1"/>
  <c r="L321" i="1"/>
  <c r="M321" i="1"/>
  <c r="N321" i="1"/>
  <c r="O321" i="1"/>
  <c r="P321" i="1"/>
  <c r="A322" i="1"/>
  <c r="B322" i="1"/>
  <c r="C322" i="1"/>
  <c r="D322" i="1"/>
  <c r="E322" i="1"/>
  <c r="F322" i="1"/>
  <c r="G322" i="1"/>
  <c r="H322" i="1"/>
  <c r="I322" i="1"/>
  <c r="J322" i="1"/>
  <c r="K322" i="1"/>
  <c r="L322" i="1"/>
  <c r="M322" i="1"/>
  <c r="N322" i="1"/>
  <c r="O322" i="1"/>
  <c r="P322" i="1"/>
  <c r="A323" i="1"/>
  <c r="B323" i="1"/>
  <c r="C323" i="1"/>
  <c r="D323" i="1"/>
  <c r="E323" i="1"/>
  <c r="F323" i="1"/>
  <c r="G323" i="1"/>
  <c r="H323" i="1"/>
  <c r="I323" i="1"/>
  <c r="J323" i="1"/>
  <c r="K323" i="1"/>
  <c r="L323" i="1"/>
  <c r="M323" i="1"/>
  <c r="N323" i="1"/>
  <c r="O323" i="1"/>
  <c r="P323" i="1"/>
  <c r="A324" i="1"/>
  <c r="B324" i="1"/>
  <c r="C324" i="1"/>
  <c r="D324" i="1"/>
  <c r="E324" i="1"/>
  <c r="F324" i="1"/>
  <c r="G324" i="1"/>
  <c r="H324" i="1"/>
  <c r="I324" i="1"/>
  <c r="J324" i="1"/>
  <c r="K324" i="1"/>
  <c r="L324" i="1"/>
  <c r="M324" i="1"/>
  <c r="N324" i="1"/>
  <c r="O324" i="1"/>
  <c r="P324" i="1"/>
  <c r="A325" i="1"/>
  <c r="B325" i="1"/>
  <c r="C325" i="1"/>
  <c r="D325" i="1"/>
  <c r="E325" i="1"/>
  <c r="F325" i="1"/>
  <c r="G325" i="1"/>
  <c r="H325" i="1"/>
  <c r="I325" i="1"/>
  <c r="J325" i="1"/>
  <c r="K325" i="1"/>
  <c r="L325" i="1"/>
  <c r="M325" i="1"/>
  <c r="N325" i="1"/>
  <c r="O325" i="1"/>
  <c r="P325" i="1"/>
  <c r="A326" i="1"/>
  <c r="B326" i="1"/>
  <c r="C326" i="1"/>
  <c r="D326" i="1"/>
  <c r="E326" i="1"/>
  <c r="F326" i="1"/>
  <c r="G326" i="1"/>
  <c r="H326" i="1"/>
  <c r="I326" i="1"/>
  <c r="J326" i="1"/>
  <c r="K326" i="1"/>
  <c r="L326" i="1"/>
  <c r="M326" i="1"/>
  <c r="N326" i="1"/>
  <c r="O326" i="1"/>
  <c r="P326" i="1"/>
  <c r="A327" i="1"/>
  <c r="B327" i="1"/>
  <c r="C327" i="1"/>
  <c r="D327" i="1"/>
  <c r="E327" i="1"/>
  <c r="F327" i="1"/>
  <c r="G327" i="1"/>
  <c r="H327" i="1"/>
  <c r="I327" i="1"/>
  <c r="J327" i="1"/>
  <c r="K327" i="1"/>
  <c r="L327" i="1"/>
  <c r="M327" i="1"/>
  <c r="N327" i="1"/>
  <c r="O327" i="1"/>
  <c r="P327" i="1"/>
  <c r="A328" i="1"/>
  <c r="B328" i="1"/>
  <c r="C328" i="1"/>
  <c r="D328" i="1"/>
  <c r="E328" i="1"/>
  <c r="F328" i="1"/>
  <c r="G328" i="1"/>
  <c r="H328" i="1"/>
  <c r="I328" i="1"/>
  <c r="J328" i="1"/>
  <c r="K328" i="1"/>
  <c r="L328" i="1"/>
  <c r="M328" i="1"/>
  <c r="N328" i="1"/>
  <c r="O328" i="1"/>
  <c r="P328" i="1"/>
  <c r="A329" i="1"/>
  <c r="B329" i="1"/>
  <c r="C329" i="1"/>
  <c r="D329" i="1"/>
  <c r="E329" i="1"/>
  <c r="F329" i="1"/>
  <c r="G329" i="1"/>
  <c r="H329" i="1"/>
  <c r="I329" i="1"/>
  <c r="J329" i="1"/>
  <c r="K329" i="1"/>
  <c r="L329" i="1"/>
  <c r="M329" i="1"/>
  <c r="N329" i="1"/>
  <c r="O329" i="1"/>
  <c r="P329" i="1"/>
  <c r="A330" i="1"/>
  <c r="B330" i="1"/>
  <c r="C330" i="1"/>
  <c r="D330" i="1"/>
  <c r="E330" i="1"/>
  <c r="F330" i="1"/>
  <c r="G330" i="1"/>
  <c r="H330" i="1"/>
  <c r="I330" i="1"/>
  <c r="J330" i="1"/>
  <c r="K330" i="1"/>
  <c r="L330" i="1"/>
  <c r="M330" i="1"/>
  <c r="N330" i="1"/>
  <c r="O330" i="1"/>
  <c r="P330" i="1"/>
  <c r="A331" i="1"/>
  <c r="B331" i="1"/>
  <c r="C331" i="1"/>
  <c r="D331" i="1"/>
  <c r="E331" i="1"/>
  <c r="F331" i="1"/>
  <c r="G331" i="1"/>
  <c r="H331" i="1"/>
  <c r="I331" i="1"/>
  <c r="J331" i="1"/>
  <c r="K331" i="1"/>
  <c r="L331" i="1"/>
  <c r="M331" i="1"/>
  <c r="N331" i="1"/>
  <c r="O331" i="1"/>
  <c r="P331" i="1"/>
  <c r="A332" i="1"/>
  <c r="B332" i="1"/>
  <c r="C332" i="1"/>
  <c r="D332" i="1"/>
  <c r="E332" i="1"/>
  <c r="F332" i="1"/>
  <c r="G332" i="1"/>
  <c r="H332" i="1"/>
  <c r="I332" i="1"/>
  <c r="J332" i="1"/>
  <c r="K332" i="1"/>
  <c r="L332" i="1"/>
  <c r="M332" i="1"/>
  <c r="N332" i="1"/>
  <c r="O332" i="1"/>
  <c r="P332" i="1"/>
  <c r="A333" i="1"/>
  <c r="B333" i="1"/>
  <c r="C333" i="1"/>
  <c r="D333" i="1"/>
  <c r="E333" i="1"/>
  <c r="F333" i="1"/>
  <c r="G333" i="1"/>
  <c r="H333" i="1"/>
  <c r="I333" i="1"/>
  <c r="J333" i="1"/>
  <c r="K333" i="1"/>
  <c r="L333" i="1"/>
  <c r="M333" i="1"/>
  <c r="N333" i="1"/>
  <c r="O333" i="1"/>
  <c r="P333" i="1"/>
  <c r="A334" i="1"/>
  <c r="B334" i="1"/>
  <c r="C334" i="1"/>
  <c r="D334" i="1"/>
  <c r="E334" i="1"/>
  <c r="F334" i="1"/>
  <c r="G334" i="1"/>
  <c r="H334" i="1"/>
  <c r="I334" i="1"/>
  <c r="J334" i="1"/>
  <c r="K334" i="1"/>
  <c r="L334" i="1"/>
  <c r="M334" i="1"/>
  <c r="N334" i="1"/>
  <c r="O334" i="1"/>
  <c r="P334" i="1"/>
  <c r="A335" i="1"/>
  <c r="B335" i="1"/>
  <c r="C335" i="1"/>
  <c r="D335" i="1"/>
  <c r="E335" i="1"/>
  <c r="F335" i="1"/>
  <c r="G335" i="1"/>
  <c r="H335" i="1"/>
  <c r="I335" i="1"/>
  <c r="J335" i="1"/>
  <c r="K335" i="1"/>
  <c r="L335" i="1"/>
  <c r="M335" i="1"/>
  <c r="N335" i="1"/>
  <c r="O335" i="1"/>
  <c r="P335" i="1"/>
  <c r="A336" i="1"/>
  <c r="B336" i="1"/>
  <c r="C336" i="1"/>
  <c r="D336" i="1"/>
  <c r="E336" i="1"/>
  <c r="F336" i="1"/>
  <c r="G336" i="1"/>
  <c r="H336" i="1"/>
  <c r="I336" i="1"/>
  <c r="J336" i="1"/>
  <c r="K336" i="1"/>
  <c r="L336" i="1"/>
  <c r="M336" i="1"/>
  <c r="N336" i="1"/>
  <c r="O336" i="1"/>
  <c r="P336" i="1"/>
  <c r="A337" i="1"/>
  <c r="B337" i="1"/>
  <c r="C337" i="1"/>
  <c r="D337" i="1"/>
  <c r="E337" i="1"/>
  <c r="F337" i="1"/>
  <c r="G337" i="1"/>
  <c r="H337" i="1"/>
  <c r="I337" i="1"/>
  <c r="J337" i="1"/>
  <c r="K337" i="1"/>
  <c r="L337" i="1"/>
  <c r="M337" i="1"/>
  <c r="N337" i="1"/>
  <c r="O337" i="1"/>
  <c r="P337" i="1"/>
  <c r="A338" i="1"/>
  <c r="B338" i="1"/>
  <c r="C338" i="1"/>
  <c r="D338" i="1"/>
  <c r="E338" i="1"/>
  <c r="F338" i="1"/>
  <c r="G338" i="1"/>
  <c r="H338" i="1"/>
  <c r="I338" i="1"/>
  <c r="J338" i="1"/>
  <c r="K338" i="1"/>
  <c r="L338" i="1"/>
  <c r="M338" i="1"/>
  <c r="N338" i="1"/>
  <c r="O338" i="1"/>
  <c r="P338" i="1"/>
  <c r="A339" i="1"/>
  <c r="B339" i="1"/>
  <c r="C339" i="1"/>
  <c r="D339" i="1"/>
  <c r="E339" i="1"/>
  <c r="F339" i="1"/>
  <c r="G339" i="1"/>
  <c r="H339" i="1"/>
  <c r="I339" i="1"/>
  <c r="J339" i="1"/>
  <c r="K339" i="1"/>
  <c r="L339" i="1"/>
  <c r="M339" i="1"/>
  <c r="N339" i="1"/>
  <c r="O339" i="1"/>
  <c r="P339" i="1"/>
  <c r="A340" i="1"/>
  <c r="B340" i="1"/>
  <c r="C340" i="1"/>
  <c r="D340" i="1"/>
  <c r="E340" i="1"/>
  <c r="F340" i="1"/>
  <c r="G340" i="1"/>
  <c r="H340" i="1"/>
  <c r="I340" i="1"/>
  <c r="J340" i="1"/>
  <c r="K340" i="1"/>
  <c r="L340" i="1"/>
  <c r="M340" i="1"/>
  <c r="N340" i="1"/>
  <c r="O340" i="1"/>
  <c r="P340" i="1"/>
  <c r="A341" i="1"/>
  <c r="B341" i="1"/>
  <c r="C341" i="1"/>
  <c r="D341" i="1"/>
  <c r="E341" i="1"/>
  <c r="F341" i="1"/>
  <c r="G341" i="1"/>
  <c r="H341" i="1"/>
  <c r="I341" i="1"/>
  <c r="J341" i="1"/>
  <c r="K341" i="1"/>
  <c r="L341" i="1"/>
  <c r="M341" i="1"/>
  <c r="N341" i="1"/>
  <c r="O341" i="1"/>
  <c r="P341" i="1"/>
  <c r="A342" i="1"/>
  <c r="B342" i="1"/>
  <c r="C342" i="1"/>
  <c r="D342" i="1"/>
  <c r="E342" i="1"/>
  <c r="F342" i="1"/>
  <c r="G342" i="1"/>
  <c r="H342" i="1"/>
  <c r="I342" i="1"/>
  <c r="J342" i="1"/>
  <c r="K342" i="1"/>
  <c r="L342" i="1"/>
  <c r="M342" i="1"/>
  <c r="N342" i="1"/>
  <c r="O342" i="1"/>
  <c r="P342" i="1"/>
  <c r="A343" i="1"/>
  <c r="B343" i="1"/>
  <c r="C343" i="1"/>
  <c r="D343" i="1"/>
  <c r="E343" i="1"/>
  <c r="F343" i="1"/>
  <c r="G343" i="1"/>
  <c r="H343" i="1"/>
  <c r="I343" i="1"/>
  <c r="J343" i="1"/>
  <c r="K343" i="1"/>
  <c r="L343" i="1"/>
  <c r="M343" i="1"/>
  <c r="N343" i="1"/>
  <c r="O343" i="1"/>
  <c r="P343" i="1"/>
  <c r="A344" i="1"/>
  <c r="B344" i="1"/>
  <c r="C344" i="1"/>
  <c r="D344" i="1"/>
  <c r="E344" i="1"/>
  <c r="F344" i="1"/>
  <c r="G344" i="1"/>
  <c r="H344" i="1"/>
  <c r="I344" i="1"/>
  <c r="J344" i="1"/>
  <c r="K344" i="1"/>
  <c r="L344" i="1"/>
  <c r="M344" i="1"/>
  <c r="N344" i="1"/>
  <c r="O344" i="1"/>
  <c r="P344" i="1"/>
  <c r="A345" i="1"/>
  <c r="B345" i="1"/>
  <c r="C345" i="1"/>
  <c r="D345" i="1"/>
  <c r="E345" i="1"/>
  <c r="F345" i="1"/>
  <c r="G345" i="1"/>
  <c r="H345" i="1"/>
  <c r="I345" i="1"/>
  <c r="J345" i="1"/>
  <c r="K345" i="1"/>
  <c r="L345" i="1"/>
  <c r="M345" i="1"/>
  <c r="N345" i="1"/>
  <c r="O345" i="1"/>
  <c r="P345" i="1"/>
  <c r="A346" i="1"/>
  <c r="B346" i="1"/>
  <c r="C346" i="1"/>
  <c r="D346" i="1"/>
  <c r="E346" i="1"/>
  <c r="F346" i="1"/>
  <c r="G346" i="1"/>
  <c r="H346" i="1"/>
  <c r="I346" i="1"/>
  <c r="J346" i="1"/>
  <c r="K346" i="1"/>
  <c r="L346" i="1"/>
  <c r="M346" i="1"/>
  <c r="N346" i="1"/>
  <c r="O346" i="1"/>
  <c r="P346" i="1"/>
  <c r="A347" i="1"/>
  <c r="B347" i="1"/>
  <c r="C347" i="1"/>
  <c r="D347" i="1"/>
  <c r="E347" i="1"/>
  <c r="F347" i="1"/>
  <c r="G347" i="1"/>
  <c r="H347" i="1"/>
  <c r="I347" i="1"/>
  <c r="J347" i="1"/>
  <c r="K347" i="1"/>
  <c r="L347" i="1"/>
  <c r="M347" i="1"/>
  <c r="N347" i="1"/>
  <c r="O347" i="1"/>
  <c r="P347" i="1"/>
  <c r="A348" i="1"/>
  <c r="B348" i="1"/>
  <c r="C348" i="1"/>
  <c r="D348" i="1"/>
  <c r="E348" i="1"/>
  <c r="F348" i="1"/>
  <c r="G348" i="1"/>
  <c r="H348" i="1"/>
  <c r="I348" i="1"/>
  <c r="J348" i="1"/>
  <c r="K348" i="1"/>
  <c r="L348" i="1"/>
  <c r="M348" i="1"/>
  <c r="N348" i="1"/>
  <c r="O348" i="1"/>
  <c r="P348" i="1"/>
  <c r="A349" i="1"/>
  <c r="B349" i="1"/>
  <c r="C349" i="1"/>
  <c r="D349" i="1"/>
  <c r="E349" i="1"/>
  <c r="F349" i="1"/>
  <c r="G349" i="1"/>
  <c r="H349" i="1"/>
  <c r="I349" i="1"/>
  <c r="J349" i="1"/>
  <c r="K349" i="1"/>
  <c r="L349" i="1"/>
  <c r="M349" i="1"/>
  <c r="N349" i="1"/>
  <c r="O349" i="1"/>
  <c r="P349" i="1"/>
  <c r="A350" i="1"/>
  <c r="B350" i="1"/>
  <c r="C350" i="1"/>
  <c r="D350" i="1"/>
  <c r="E350" i="1"/>
  <c r="F350" i="1"/>
  <c r="G350" i="1"/>
  <c r="H350" i="1"/>
  <c r="I350" i="1"/>
  <c r="J350" i="1"/>
  <c r="K350" i="1"/>
  <c r="L350" i="1"/>
  <c r="M350" i="1"/>
  <c r="N350" i="1"/>
  <c r="O350" i="1"/>
  <c r="P350" i="1"/>
  <c r="A351" i="1"/>
  <c r="B351" i="1"/>
  <c r="C351" i="1"/>
  <c r="D351" i="1"/>
  <c r="E351" i="1"/>
  <c r="F351" i="1"/>
  <c r="G351" i="1"/>
  <c r="H351" i="1"/>
  <c r="I351" i="1"/>
  <c r="J351" i="1"/>
  <c r="K351" i="1"/>
  <c r="L351" i="1"/>
  <c r="M351" i="1"/>
  <c r="N351" i="1"/>
  <c r="O351" i="1"/>
  <c r="P351" i="1"/>
  <c r="A352" i="1"/>
  <c r="B352" i="1"/>
  <c r="C352" i="1"/>
  <c r="D352" i="1"/>
  <c r="E352" i="1"/>
  <c r="F352" i="1"/>
  <c r="G352" i="1"/>
  <c r="H352" i="1"/>
  <c r="I352" i="1"/>
  <c r="J352" i="1"/>
  <c r="K352" i="1"/>
  <c r="L352" i="1"/>
  <c r="M352" i="1"/>
  <c r="N352" i="1"/>
  <c r="O352" i="1"/>
  <c r="P352" i="1"/>
  <c r="A353" i="1"/>
  <c r="B353" i="1"/>
  <c r="C353" i="1"/>
  <c r="D353" i="1"/>
  <c r="E353" i="1"/>
  <c r="F353" i="1"/>
  <c r="G353" i="1"/>
  <c r="H353" i="1"/>
  <c r="I353" i="1"/>
  <c r="J353" i="1"/>
  <c r="K353" i="1"/>
  <c r="L353" i="1"/>
  <c r="M353" i="1"/>
  <c r="N353" i="1"/>
  <c r="O353" i="1"/>
  <c r="P353" i="1"/>
  <c r="A354" i="1"/>
  <c r="B354" i="1"/>
  <c r="C354" i="1"/>
  <c r="D354" i="1"/>
  <c r="E354" i="1"/>
  <c r="F354" i="1"/>
  <c r="G354" i="1"/>
  <c r="H354" i="1"/>
  <c r="I354" i="1"/>
  <c r="J354" i="1"/>
  <c r="K354" i="1"/>
  <c r="L354" i="1"/>
  <c r="M354" i="1"/>
  <c r="N354" i="1"/>
  <c r="O354" i="1"/>
  <c r="P354" i="1"/>
  <c r="A355" i="1"/>
  <c r="B355" i="1"/>
  <c r="C355" i="1"/>
  <c r="D355" i="1"/>
  <c r="E355" i="1"/>
  <c r="F355" i="1"/>
  <c r="G355" i="1"/>
  <c r="H355" i="1"/>
  <c r="I355" i="1"/>
  <c r="J355" i="1"/>
  <c r="K355" i="1"/>
  <c r="L355" i="1"/>
  <c r="M355" i="1"/>
  <c r="N355" i="1"/>
  <c r="O355" i="1"/>
  <c r="P355" i="1"/>
  <c r="A356" i="1"/>
  <c r="B356" i="1"/>
  <c r="C356" i="1"/>
  <c r="D356" i="1"/>
  <c r="E356" i="1"/>
  <c r="F356" i="1"/>
  <c r="G356" i="1"/>
  <c r="H356" i="1"/>
  <c r="I356" i="1"/>
  <c r="J356" i="1"/>
  <c r="K356" i="1"/>
  <c r="L356" i="1"/>
  <c r="M356" i="1"/>
  <c r="N356" i="1"/>
  <c r="O356" i="1"/>
  <c r="P356" i="1"/>
  <c r="A357" i="1"/>
  <c r="B357" i="1"/>
  <c r="C357" i="1"/>
  <c r="D357" i="1"/>
  <c r="E357" i="1"/>
  <c r="F357" i="1"/>
  <c r="G357" i="1"/>
  <c r="H357" i="1"/>
  <c r="I357" i="1"/>
  <c r="J357" i="1"/>
  <c r="K357" i="1"/>
  <c r="L357" i="1"/>
  <c r="M357" i="1"/>
  <c r="N357" i="1"/>
  <c r="O357" i="1"/>
  <c r="P357" i="1"/>
  <c r="A358" i="1"/>
  <c r="B358" i="1"/>
  <c r="C358" i="1"/>
  <c r="D358" i="1"/>
  <c r="E358" i="1"/>
  <c r="F358" i="1"/>
  <c r="G358" i="1"/>
  <c r="H358" i="1"/>
  <c r="I358" i="1"/>
  <c r="J358" i="1"/>
  <c r="K358" i="1"/>
  <c r="L358" i="1"/>
  <c r="M358" i="1"/>
  <c r="N358" i="1"/>
  <c r="O358" i="1"/>
  <c r="P358" i="1"/>
  <c r="A359" i="1"/>
  <c r="B359" i="1"/>
  <c r="C359" i="1"/>
  <c r="D359" i="1"/>
  <c r="E359" i="1"/>
  <c r="F359" i="1"/>
  <c r="G359" i="1"/>
  <c r="H359" i="1"/>
  <c r="I359" i="1"/>
  <c r="J359" i="1"/>
  <c r="K359" i="1"/>
  <c r="L359" i="1"/>
  <c r="M359" i="1"/>
  <c r="N359" i="1"/>
  <c r="O359" i="1"/>
  <c r="P359" i="1"/>
  <c r="A360" i="1"/>
  <c r="B360" i="1"/>
  <c r="C360" i="1"/>
  <c r="D360" i="1"/>
  <c r="E360" i="1"/>
  <c r="F360" i="1"/>
  <c r="G360" i="1"/>
  <c r="H360" i="1"/>
  <c r="I360" i="1"/>
  <c r="J360" i="1"/>
  <c r="K360" i="1"/>
  <c r="L360" i="1"/>
  <c r="M360" i="1"/>
  <c r="N360" i="1"/>
  <c r="O360" i="1"/>
  <c r="P360" i="1"/>
  <c r="A361" i="1"/>
  <c r="B361" i="1"/>
  <c r="C361" i="1"/>
  <c r="D361" i="1"/>
  <c r="E361" i="1"/>
  <c r="F361" i="1"/>
  <c r="G361" i="1"/>
  <c r="H361" i="1"/>
  <c r="I361" i="1"/>
  <c r="J361" i="1"/>
  <c r="K361" i="1"/>
  <c r="L361" i="1"/>
  <c r="M361" i="1"/>
  <c r="N361" i="1"/>
  <c r="O361" i="1"/>
  <c r="P361" i="1"/>
  <c r="A362" i="1"/>
  <c r="B362" i="1"/>
  <c r="C362" i="1"/>
  <c r="D362" i="1"/>
  <c r="E362" i="1"/>
  <c r="F362" i="1"/>
  <c r="G362" i="1"/>
  <c r="H362" i="1"/>
  <c r="I362" i="1"/>
  <c r="J362" i="1"/>
  <c r="K362" i="1"/>
  <c r="L362" i="1"/>
  <c r="M362" i="1"/>
  <c r="N362" i="1"/>
  <c r="O362" i="1"/>
  <c r="P362" i="1"/>
  <c r="A363" i="1"/>
  <c r="B363" i="1"/>
  <c r="C363" i="1"/>
  <c r="D363" i="1"/>
  <c r="E363" i="1"/>
  <c r="F363" i="1"/>
  <c r="G363" i="1"/>
  <c r="H363" i="1"/>
  <c r="I363" i="1"/>
  <c r="J363" i="1"/>
  <c r="K363" i="1"/>
  <c r="L363" i="1"/>
  <c r="M363" i="1"/>
  <c r="N363" i="1"/>
  <c r="O363" i="1"/>
  <c r="P363" i="1"/>
  <c r="A364" i="1"/>
  <c r="B364" i="1"/>
  <c r="C364" i="1"/>
  <c r="D364" i="1"/>
  <c r="E364" i="1"/>
  <c r="F364" i="1"/>
  <c r="G364" i="1"/>
  <c r="H364" i="1"/>
  <c r="I364" i="1"/>
  <c r="J364" i="1"/>
  <c r="K364" i="1"/>
  <c r="L364" i="1"/>
  <c r="M364" i="1"/>
  <c r="N364" i="1"/>
  <c r="O364" i="1"/>
  <c r="P364" i="1"/>
  <c r="A365" i="1"/>
  <c r="B365" i="1"/>
  <c r="C365" i="1"/>
  <c r="D365" i="1"/>
  <c r="E365" i="1"/>
  <c r="F365" i="1"/>
  <c r="G365" i="1"/>
  <c r="H365" i="1"/>
  <c r="I365" i="1"/>
  <c r="J365" i="1"/>
  <c r="K365" i="1"/>
  <c r="L365" i="1"/>
  <c r="M365" i="1"/>
  <c r="N365" i="1"/>
  <c r="O365" i="1"/>
  <c r="P365" i="1"/>
  <c r="A366" i="1"/>
  <c r="B366" i="1"/>
  <c r="C366" i="1"/>
  <c r="D366" i="1"/>
  <c r="E366" i="1"/>
  <c r="F366" i="1"/>
  <c r="G366" i="1"/>
  <c r="H366" i="1"/>
  <c r="I366" i="1"/>
  <c r="J366" i="1"/>
  <c r="K366" i="1"/>
  <c r="L366" i="1"/>
  <c r="M366" i="1"/>
  <c r="N366" i="1"/>
  <c r="O366" i="1"/>
  <c r="P366" i="1"/>
  <c r="A367" i="1"/>
  <c r="B367" i="1"/>
  <c r="C367" i="1"/>
  <c r="D367" i="1"/>
  <c r="E367" i="1"/>
  <c r="F367" i="1"/>
  <c r="G367" i="1"/>
  <c r="H367" i="1"/>
  <c r="I367" i="1"/>
  <c r="J367" i="1"/>
  <c r="K367" i="1"/>
  <c r="L367" i="1"/>
  <c r="M367" i="1"/>
  <c r="N367" i="1"/>
  <c r="O367" i="1"/>
  <c r="P367" i="1"/>
  <c r="A368" i="1"/>
  <c r="B368" i="1"/>
  <c r="C368" i="1"/>
  <c r="D368" i="1"/>
  <c r="E368" i="1"/>
  <c r="F368" i="1"/>
  <c r="G368" i="1"/>
  <c r="H368" i="1"/>
  <c r="I368" i="1"/>
  <c r="J368" i="1"/>
  <c r="K368" i="1"/>
  <c r="L368" i="1"/>
  <c r="M368" i="1"/>
  <c r="N368" i="1"/>
  <c r="O368" i="1"/>
  <c r="P368" i="1"/>
  <c r="A369" i="1"/>
  <c r="B369" i="1"/>
  <c r="C369" i="1"/>
  <c r="D369" i="1"/>
  <c r="E369" i="1"/>
  <c r="F369" i="1"/>
  <c r="G369" i="1"/>
  <c r="H369" i="1"/>
  <c r="I369" i="1"/>
  <c r="J369" i="1"/>
  <c r="K369" i="1"/>
  <c r="L369" i="1"/>
  <c r="M369" i="1"/>
  <c r="N369" i="1"/>
  <c r="O369" i="1"/>
  <c r="P369" i="1"/>
  <c r="A370" i="1"/>
  <c r="B370" i="1"/>
  <c r="C370" i="1"/>
  <c r="D370" i="1"/>
  <c r="E370" i="1"/>
  <c r="F370" i="1"/>
  <c r="G370" i="1"/>
  <c r="H370" i="1"/>
  <c r="I370" i="1"/>
  <c r="J370" i="1"/>
  <c r="K370" i="1"/>
  <c r="L370" i="1"/>
  <c r="M370" i="1"/>
  <c r="N370" i="1"/>
  <c r="O370" i="1"/>
  <c r="P370" i="1"/>
  <c r="A371" i="1"/>
  <c r="B371" i="1"/>
  <c r="C371" i="1"/>
  <c r="D371" i="1"/>
  <c r="E371" i="1"/>
  <c r="F371" i="1"/>
  <c r="G371" i="1"/>
  <c r="H371" i="1"/>
  <c r="I371" i="1"/>
  <c r="J371" i="1"/>
  <c r="K371" i="1"/>
  <c r="L371" i="1"/>
  <c r="M371" i="1"/>
  <c r="N371" i="1"/>
  <c r="O371" i="1"/>
  <c r="P371" i="1"/>
  <c r="A372" i="1"/>
  <c r="B372" i="1"/>
  <c r="C372" i="1"/>
  <c r="D372" i="1"/>
  <c r="E372" i="1"/>
  <c r="F372" i="1"/>
  <c r="G372" i="1"/>
  <c r="H372" i="1"/>
  <c r="I372" i="1"/>
  <c r="J372" i="1"/>
  <c r="K372" i="1"/>
  <c r="L372" i="1"/>
  <c r="M372" i="1"/>
  <c r="N372" i="1"/>
  <c r="O372" i="1"/>
  <c r="P372" i="1"/>
  <c r="A373" i="1"/>
  <c r="B373" i="1"/>
  <c r="C373" i="1"/>
  <c r="D373" i="1"/>
  <c r="E373" i="1"/>
  <c r="F373" i="1"/>
  <c r="G373" i="1"/>
  <c r="H373" i="1"/>
  <c r="I373" i="1"/>
  <c r="J373" i="1"/>
  <c r="K373" i="1"/>
  <c r="L373" i="1"/>
  <c r="M373" i="1"/>
  <c r="N373" i="1"/>
  <c r="O373" i="1"/>
  <c r="P373" i="1"/>
  <c r="A374" i="1"/>
  <c r="B374" i="1"/>
  <c r="C374" i="1"/>
  <c r="D374" i="1"/>
  <c r="E374" i="1"/>
  <c r="F374" i="1"/>
  <c r="G374" i="1"/>
  <c r="H374" i="1"/>
  <c r="I374" i="1"/>
  <c r="J374" i="1"/>
  <c r="K374" i="1"/>
  <c r="L374" i="1"/>
  <c r="M374" i="1"/>
  <c r="N374" i="1"/>
  <c r="O374" i="1"/>
  <c r="P374" i="1"/>
  <c r="A375" i="1"/>
  <c r="B375" i="1"/>
  <c r="C375" i="1"/>
  <c r="D375" i="1"/>
  <c r="E375" i="1"/>
  <c r="F375" i="1"/>
  <c r="G375" i="1"/>
  <c r="H375" i="1"/>
  <c r="I375" i="1"/>
  <c r="J375" i="1"/>
  <c r="K375" i="1"/>
  <c r="L375" i="1"/>
  <c r="M375" i="1"/>
  <c r="N375" i="1"/>
  <c r="O375" i="1"/>
  <c r="P375" i="1"/>
  <c r="A376" i="1"/>
  <c r="B376" i="1"/>
  <c r="C376" i="1"/>
  <c r="D376" i="1"/>
  <c r="E376" i="1"/>
  <c r="F376" i="1"/>
  <c r="G376" i="1"/>
  <c r="H376" i="1"/>
  <c r="I376" i="1"/>
  <c r="J376" i="1"/>
  <c r="K376" i="1"/>
  <c r="L376" i="1"/>
  <c r="M376" i="1"/>
  <c r="N376" i="1"/>
  <c r="O376" i="1"/>
  <c r="P376" i="1"/>
  <c r="A377" i="1"/>
  <c r="B377" i="1"/>
  <c r="C377" i="1"/>
  <c r="D377" i="1"/>
  <c r="E377" i="1"/>
  <c r="F377" i="1"/>
  <c r="G377" i="1"/>
  <c r="H377" i="1"/>
  <c r="I377" i="1"/>
  <c r="J377" i="1"/>
  <c r="K377" i="1"/>
  <c r="L377" i="1"/>
  <c r="M377" i="1"/>
  <c r="N377" i="1"/>
  <c r="O377" i="1"/>
  <c r="P377" i="1"/>
  <c r="A378" i="1"/>
  <c r="B378" i="1"/>
  <c r="C378" i="1"/>
  <c r="D378" i="1"/>
  <c r="E378" i="1"/>
  <c r="F378" i="1"/>
  <c r="G378" i="1"/>
  <c r="H378" i="1"/>
  <c r="I378" i="1"/>
  <c r="J378" i="1"/>
  <c r="K378" i="1"/>
  <c r="L378" i="1"/>
  <c r="M378" i="1"/>
  <c r="N378" i="1"/>
  <c r="O378" i="1"/>
  <c r="P378" i="1"/>
  <c r="A379" i="1"/>
  <c r="B379" i="1"/>
  <c r="C379" i="1"/>
  <c r="D379" i="1"/>
  <c r="E379" i="1"/>
  <c r="F379" i="1"/>
  <c r="G379" i="1"/>
  <c r="H379" i="1"/>
  <c r="I379" i="1"/>
  <c r="J379" i="1"/>
  <c r="K379" i="1"/>
  <c r="L379" i="1"/>
  <c r="M379" i="1"/>
  <c r="N379" i="1"/>
  <c r="O379" i="1"/>
  <c r="P379" i="1"/>
  <c r="A380" i="1"/>
  <c r="B380" i="1"/>
  <c r="C380" i="1"/>
  <c r="D380" i="1"/>
  <c r="E380" i="1"/>
  <c r="F380" i="1"/>
  <c r="G380" i="1"/>
  <c r="H380" i="1"/>
  <c r="I380" i="1"/>
  <c r="J380" i="1"/>
  <c r="K380" i="1"/>
  <c r="L380" i="1"/>
  <c r="M380" i="1"/>
  <c r="N380" i="1"/>
  <c r="O380" i="1"/>
  <c r="P380" i="1"/>
  <c r="A381" i="1"/>
  <c r="B381" i="1"/>
  <c r="C381" i="1"/>
  <c r="D381" i="1"/>
  <c r="E381" i="1"/>
  <c r="F381" i="1"/>
  <c r="G381" i="1"/>
  <c r="H381" i="1"/>
  <c r="I381" i="1"/>
  <c r="J381" i="1"/>
  <c r="K381" i="1"/>
  <c r="L381" i="1"/>
  <c r="M381" i="1"/>
  <c r="N381" i="1"/>
  <c r="O381" i="1"/>
  <c r="P381" i="1"/>
  <c r="A382" i="1"/>
  <c r="B382" i="1"/>
  <c r="C382" i="1"/>
  <c r="D382" i="1"/>
  <c r="E382" i="1"/>
  <c r="F382" i="1"/>
  <c r="G382" i="1"/>
  <c r="H382" i="1"/>
  <c r="I382" i="1"/>
  <c r="J382" i="1"/>
  <c r="K382" i="1"/>
  <c r="L382" i="1"/>
  <c r="M382" i="1"/>
  <c r="N382" i="1"/>
  <c r="O382" i="1"/>
  <c r="P382" i="1"/>
  <c r="A383" i="1"/>
  <c r="B383" i="1"/>
  <c r="C383" i="1"/>
  <c r="D383" i="1"/>
  <c r="E383" i="1"/>
  <c r="F383" i="1"/>
  <c r="G383" i="1"/>
  <c r="H383" i="1"/>
  <c r="I383" i="1"/>
  <c r="J383" i="1"/>
  <c r="K383" i="1"/>
  <c r="L383" i="1"/>
  <c r="M383" i="1"/>
  <c r="N383" i="1"/>
  <c r="O383" i="1"/>
  <c r="P383" i="1"/>
  <c r="A384" i="1"/>
  <c r="B384" i="1"/>
  <c r="C384" i="1"/>
  <c r="D384" i="1"/>
  <c r="E384" i="1"/>
  <c r="F384" i="1"/>
  <c r="G384" i="1"/>
  <c r="H384" i="1"/>
  <c r="I384" i="1"/>
  <c r="J384" i="1"/>
  <c r="K384" i="1"/>
  <c r="L384" i="1"/>
  <c r="M384" i="1"/>
  <c r="N384" i="1"/>
  <c r="O384" i="1"/>
  <c r="P384" i="1"/>
  <c r="A385" i="1"/>
  <c r="B385" i="1"/>
  <c r="C385" i="1"/>
  <c r="D385" i="1"/>
  <c r="E385" i="1"/>
  <c r="F385" i="1"/>
  <c r="G385" i="1"/>
  <c r="H385" i="1"/>
  <c r="I385" i="1"/>
  <c r="J385" i="1"/>
  <c r="K385" i="1"/>
  <c r="L385" i="1"/>
  <c r="M385" i="1"/>
  <c r="N385" i="1"/>
  <c r="O385" i="1"/>
  <c r="P385" i="1"/>
  <c r="A386" i="1"/>
  <c r="B386" i="1"/>
  <c r="C386" i="1"/>
  <c r="D386" i="1"/>
  <c r="E386" i="1"/>
  <c r="F386" i="1"/>
  <c r="G386" i="1"/>
  <c r="H386" i="1"/>
  <c r="I386" i="1"/>
  <c r="J386" i="1"/>
  <c r="K386" i="1"/>
  <c r="L386" i="1"/>
  <c r="M386" i="1"/>
  <c r="N386" i="1"/>
  <c r="O386" i="1"/>
  <c r="P386" i="1"/>
  <c r="A387" i="1"/>
  <c r="B387" i="1"/>
  <c r="C387" i="1"/>
  <c r="D387" i="1"/>
  <c r="E387" i="1"/>
  <c r="F387" i="1"/>
  <c r="G387" i="1"/>
  <c r="H387" i="1"/>
  <c r="I387" i="1"/>
  <c r="J387" i="1"/>
  <c r="K387" i="1"/>
  <c r="L387" i="1"/>
  <c r="M387" i="1"/>
  <c r="N387" i="1"/>
  <c r="O387" i="1"/>
  <c r="P387" i="1"/>
  <c r="A388" i="1"/>
  <c r="B388" i="1"/>
  <c r="C388" i="1"/>
  <c r="D388" i="1"/>
  <c r="E388" i="1"/>
  <c r="F388" i="1"/>
  <c r="G388" i="1"/>
  <c r="H388" i="1"/>
  <c r="I388" i="1"/>
  <c r="J388" i="1"/>
  <c r="K388" i="1"/>
  <c r="L388" i="1"/>
  <c r="M388" i="1"/>
  <c r="N388" i="1"/>
  <c r="O388" i="1"/>
  <c r="P388" i="1"/>
  <c r="A389" i="1"/>
  <c r="B389" i="1"/>
  <c r="C389" i="1"/>
  <c r="D389" i="1"/>
  <c r="E389" i="1"/>
  <c r="F389" i="1"/>
  <c r="G389" i="1"/>
  <c r="H389" i="1"/>
  <c r="I389" i="1"/>
  <c r="J389" i="1"/>
  <c r="K389" i="1"/>
  <c r="L389" i="1"/>
  <c r="M389" i="1"/>
  <c r="N389" i="1"/>
  <c r="O389" i="1"/>
  <c r="P389" i="1"/>
</calcChain>
</file>

<file path=xl/sharedStrings.xml><?xml version="1.0" encoding="utf-8"?>
<sst xmlns="http://schemas.openxmlformats.org/spreadsheetml/2006/main" count="52" uniqueCount="19">
  <si>
    <t>币种</t>
  </si>
  <si>
    <t>证券名称</t>
  </si>
  <si>
    <t>成交日期</t>
  </si>
  <si>
    <t>成交价格</t>
  </si>
  <si>
    <t>成交数量</t>
  </si>
  <si>
    <t>发生金额</t>
  </si>
  <si>
    <t>资金余额</t>
  </si>
  <si>
    <t>剩余数量</t>
  </si>
  <si>
    <t>合同编号</t>
  </si>
  <si>
    <t>业务名称</t>
  </si>
  <si>
    <t>手续费</t>
  </si>
  <si>
    <t>印花税</t>
  </si>
  <si>
    <t>过户费</t>
  </si>
  <si>
    <t>结算费</t>
  </si>
  <si>
    <t>证券代码</t>
  </si>
  <si>
    <t>股东代码</t>
  </si>
  <si>
    <t xml:space="preserve">   </t>
    <phoneticPr fontId="18" type="noConversion"/>
  </si>
  <si>
    <t>中国人保</t>
    <phoneticPr fontId="18" type="noConversion"/>
  </si>
  <si>
    <t>证券买入((青农商行)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</si>
</sst>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89"/>
  <sheetViews>
    <sheetView topLeftCell="A298" workbookViewId="0">
      <selection activeCell="A389" sqref="A389"/>
    </sheetView>
  </sheetViews>
  <sheetFormatPr defaultRowHeight="13.8" x14ac:dyDescent="0.25"/>
  <cols>
    <col min="6" max="6" width="17.21875" customWidth="1"/>
    <col min="7" max="7" width="15.5546875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t="str">
        <f t="shared" ref="A2:A65" si="0">"人民币"</f>
        <v>人民币</v>
      </c>
      <c r="B2" t="str">
        <f>" "</f>
        <v xml:space="preserve"> </v>
      </c>
      <c r="C2" t="str">
        <f>"20170227"</f>
        <v>20170227</v>
      </c>
      <c r="D2" t="str">
        <f>"---"</f>
        <v>---</v>
      </c>
      <c r="E2" t="str">
        <f>"---"</f>
        <v>---</v>
      </c>
      <c r="F2" t="str">
        <f>"19000.00"</f>
        <v>19000.00</v>
      </c>
      <c r="G2" t="str">
        <f>"19000.50"</f>
        <v>19000.50</v>
      </c>
      <c r="H2" t="str">
        <f>"---"</f>
        <v>---</v>
      </c>
      <c r="I2" t="str">
        <f>"---"</f>
        <v>---</v>
      </c>
      <c r="J2" t="str">
        <f>"银行转存"</f>
        <v>银行转存</v>
      </c>
      <c r="K2" t="str">
        <f t="shared" ref="K2:P2" si="1">"---"</f>
        <v>---</v>
      </c>
      <c r="L2" t="str">
        <f t="shared" si="1"/>
        <v>---</v>
      </c>
      <c r="M2" t="str">
        <f t="shared" si="1"/>
        <v>---</v>
      </c>
      <c r="N2" t="str">
        <f t="shared" si="1"/>
        <v>---</v>
      </c>
      <c r="O2" t="str">
        <f t="shared" si="1"/>
        <v>---</v>
      </c>
      <c r="P2" t="str">
        <f t="shared" si="1"/>
        <v>---</v>
      </c>
    </row>
    <row r="3" spans="1:16" x14ac:dyDescent="0.25">
      <c r="A3" t="str">
        <f t="shared" si="0"/>
        <v>人民币</v>
      </c>
      <c r="B3" t="str">
        <f>"东北制药"</f>
        <v>东北制药</v>
      </c>
      <c r="C3" t="str">
        <f>"20170227"</f>
        <v>20170227</v>
      </c>
      <c r="D3" t="str">
        <f>"11.250"</f>
        <v>11.250</v>
      </c>
      <c r="E3" t="str">
        <f>"200.00"</f>
        <v>200.00</v>
      </c>
      <c r="F3" t="str">
        <f>"-2255.00"</f>
        <v>-2255.00</v>
      </c>
      <c r="G3" t="str">
        <f>"16745.50"</f>
        <v>16745.50</v>
      </c>
      <c r="H3" t="str">
        <f>"200.00"</f>
        <v>200.00</v>
      </c>
      <c r="I3" t="str">
        <f>"2"</f>
        <v>2</v>
      </c>
      <c r="J3" t="str">
        <f>"证券买入(东北制药)"</f>
        <v>证券买入(东北制药)</v>
      </c>
      <c r="K3" t="str">
        <f t="shared" ref="K3:K9" si="2">"5.00"</f>
        <v>5.00</v>
      </c>
      <c r="L3" t="str">
        <f t="shared" ref="L3:N7" si="3">"0.00"</f>
        <v>0.00</v>
      </c>
      <c r="M3" t="str">
        <f t="shared" si="3"/>
        <v>0.00</v>
      </c>
      <c r="N3" t="str">
        <f t="shared" si="3"/>
        <v>0.00</v>
      </c>
      <c r="O3" t="str">
        <f>"000597"</f>
        <v>000597</v>
      </c>
      <c r="P3" t="str">
        <f t="shared" ref="P3:P9" si="4">"0153613480"</f>
        <v>0153613480</v>
      </c>
    </row>
    <row r="4" spans="1:16" x14ac:dyDescent="0.25">
      <c r="A4" t="str">
        <f t="shared" si="0"/>
        <v>人民币</v>
      </c>
      <c r="B4" t="str">
        <f>"东北制药"</f>
        <v>东北制药</v>
      </c>
      <c r="C4" t="str">
        <f>"20170227"</f>
        <v>20170227</v>
      </c>
      <c r="D4" t="str">
        <f>"11.200"</f>
        <v>11.200</v>
      </c>
      <c r="E4" t="str">
        <f>"300.00"</f>
        <v>300.00</v>
      </c>
      <c r="F4" t="str">
        <f>"-3365.00"</f>
        <v>-3365.00</v>
      </c>
      <c r="G4" t="str">
        <f>"13380.50"</f>
        <v>13380.50</v>
      </c>
      <c r="H4" t="str">
        <f>"500.00"</f>
        <v>500.00</v>
      </c>
      <c r="I4" t="str">
        <f>"5"</f>
        <v>5</v>
      </c>
      <c r="J4" t="str">
        <f>"证券买入(东北制药)"</f>
        <v>证券买入(东北制药)</v>
      </c>
      <c r="K4" t="str">
        <f t="shared" si="2"/>
        <v>5.00</v>
      </c>
      <c r="L4" t="str">
        <f t="shared" si="3"/>
        <v>0.00</v>
      </c>
      <c r="M4" t="str">
        <f t="shared" si="3"/>
        <v>0.00</v>
      </c>
      <c r="N4" t="str">
        <f t="shared" si="3"/>
        <v>0.00</v>
      </c>
      <c r="O4" t="str">
        <f>"000597"</f>
        <v>000597</v>
      </c>
      <c r="P4" t="str">
        <f t="shared" si="4"/>
        <v>0153613480</v>
      </c>
    </row>
    <row r="5" spans="1:16" x14ac:dyDescent="0.25">
      <c r="A5" t="str">
        <f t="shared" si="0"/>
        <v>人民币</v>
      </c>
      <c r="B5" t="str">
        <f>"东北制药"</f>
        <v>东北制药</v>
      </c>
      <c r="C5" t="str">
        <f>"20170228"</f>
        <v>20170228</v>
      </c>
      <c r="D5" t="str">
        <f>"11.050"</f>
        <v>11.050</v>
      </c>
      <c r="E5" t="str">
        <f>"500.00"</f>
        <v>500.00</v>
      </c>
      <c r="F5" t="str">
        <f>"-5530.00"</f>
        <v>-5530.00</v>
      </c>
      <c r="G5" t="str">
        <f>"7850.50"</f>
        <v>7850.50</v>
      </c>
      <c r="H5" t="str">
        <f>"1000.00"</f>
        <v>1000.00</v>
      </c>
      <c r="I5" t="str">
        <f>"1"</f>
        <v>1</v>
      </c>
      <c r="J5" t="str">
        <f>"证券买入(东北制药)"</f>
        <v>证券买入(东北制药)</v>
      </c>
      <c r="K5" t="str">
        <f t="shared" si="2"/>
        <v>5.00</v>
      </c>
      <c r="L5" t="str">
        <f t="shared" si="3"/>
        <v>0.00</v>
      </c>
      <c r="M5" t="str">
        <f t="shared" si="3"/>
        <v>0.00</v>
      </c>
      <c r="N5" t="str">
        <f t="shared" si="3"/>
        <v>0.00</v>
      </c>
      <c r="O5" t="str">
        <f>"000597"</f>
        <v>000597</v>
      </c>
      <c r="P5" t="str">
        <f t="shared" si="4"/>
        <v>0153613480</v>
      </c>
    </row>
    <row r="6" spans="1:16" x14ac:dyDescent="0.25">
      <c r="A6" t="str">
        <f t="shared" si="0"/>
        <v>人民币</v>
      </c>
      <c r="B6" t="str">
        <f>"*ST舜船"</f>
        <v>*ST舜船</v>
      </c>
      <c r="C6" t="str">
        <f>"20170301"</f>
        <v>20170301</v>
      </c>
      <c r="D6" t="str">
        <f>"11.810"</f>
        <v>11.810</v>
      </c>
      <c r="E6" t="str">
        <f>"200.00"</f>
        <v>200.00</v>
      </c>
      <c r="F6" t="str">
        <f>"-2367.00"</f>
        <v>-2367.00</v>
      </c>
      <c r="G6" t="str">
        <f>"5483.50"</f>
        <v>5483.50</v>
      </c>
      <c r="H6" t="str">
        <f>"200.00"</f>
        <v>200.00</v>
      </c>
      <c r="I6" t="str">
        <f>"5"</f>
        <v>5</v>
      </c>
      <c r="J6" t="str">
        <f>"证券买入(*ST舜船)"</f>
        <v>证券买入(*ST舜船)</v>
      </c>
      <c r="K6" t="str">
        <f t="shared" si="2"/>
        <v>5.00</v>
      </c>
      <c r="L6" t="str">
        <f t="shared" si="3"/>
        <v>0.00</v>
      </c>
      <c r="M6" t="str">
        <f t="shared" si="3"/>
        <v>0.00</v>
      </c>
      <c r="N6" t="str">
        <f t="shared" si="3"/>
        <v>0.00</v>
      </c>
      <c r="O6" t="str">
        <f>"002608"</f>
        <v>002608</v>
      </c>
      <c r="P6" t="str">
        <f t="shared" si="4"/>
        <v>0153613480</v>
      </c>
    </row>
    <row r="7" spans="1:16" x14ac:dyDescent="0.25">
      <c r="A7" t="str">
        <f t="shared" si="0"/>
        <v>人民币</v>
      </c>
      <c r="B7" t="str">
        <f>"*ST舜船"</f>
        <v>*ST舜船</v>
      </c>
      <c r="C7" t="str">
        <f>"20170301"</f>
        <v>20170301</v>
      </c>
      <c r="D7" t="str">
        <f>"11.600"</f>
        <v>11.600</v>
      </c>
      <c r="E7" t="str">
        <f>"200.00"</f>
        <v>200.00</v>
      </c>
      <c r="F7" t="str">
        <f>"-2325.00"</f>
        <v>-2325.00</v>
      </c>
      <c r="G7" t="str">
        <f>"3158.50"</f>
        <v>3158.50</v>
      </c>
      <c r="H7" t="str">
        <f>"400.00"</f>
        <v>400.00</v>
      </c>
      <c r="I7" t="str">
        <f>"8"</f>
        <v>8</v>
      </c>
      <c r="J7" t="str">
        <f>"证券买入(*ST舜船)"</f>
        <v>证券买入(*ST舜船)</v>
      </c>
      <c r="K7" t="str">
        <f t="shared" si="2"/>
        <v>5.00</v>
      </c>
      <c r="L7" t="str">
        <f t="shared" si="3"/>
        <v>0.00</v>
      </c>
      <c r="M7" t="str">
        <f t="shared" si="3"/>
        <v>0.00</v>
      </c>
      <c r="N7" t="str">
        <f t="shared" si="3"/>
        <v>0.00</v>
      </c>
      <c r="O7" t="str">
        <f>"002608"</f>
        <v>002608</v>
      </c>
      <c r="P7" t="str">
        <f t="shared" si="4"/>
        <v>0153613480</v>
      </c>
    </row>
    <row r="8" spans="1:16" x14ac:dyDescent="0.25">
      <c r="A8" t="str">
        <f t="shared" si="0"/>
        <v>人民币</v>
      </c>
      <c r="B8" t="str">
        <f>"*ST舜船"</f>
        <v>*ST舜船</v>
      </c>
      <c r="C8" t="str">
        <f>"20170302"</f>
        <v>20170302</v>
      </c>
      <c r="D8" t="str">
        <f>"12.480"</f>
        <v>12.480</v>
      </c>
      <c r="E8" t="str">
        <f>"-400.00"</f>
        <v>-400.00</v>
      </c>
      <c r="F8" t="str">
        <f>"4982.01"</f>
        <v>4982.01</v>
      </c>
      <c r="G8" t="str">
        <f>"8140.51"</f>
        <v>8140.51</v>
      </c>
      <c r="H8" t="str">
        <f>"0.00"</f>
        <v>0.00</v>
      </c>
      <c r="I8" t="str">
        <f>"13"</f>
        <v>13</v>
      </c>
      <c r="J8" t="str">
        <f>"证券卖出(*ST舜船)"</f>
        <v>证券卖出(*ST舜船)</v>
      </c>
      <c r="K8" t="str">
        <f t="shared" si="2"/>
        <v>5.00</v>
      </c>
      <c r="L8" t="str">
        <f>"4.99"</f>
        <v>4.99</v>
      </c>
      <c r="M8" t="str">
        <f>"0.00"</f>
        <v>0.00</v>
      </c>
      <c r="N8" t="str">
        <f>"0.00"</f>
        <v>0.00</v>
      </c>
      <c r="O8" t="str">
        <f>"002608"</f>
        <v>002608</v>
      </c>
      <c r="P8" t="str">
        <f t="shared" si="4"/>
        <v>0153613480</v>
      </c>
    </row>
    <row r="9" spans="1:16" x14ac:dyDescent="0.25">
      <c r="A9" t="str">
        <f t="shared" si="0"/>
        <v>人民币</v>
      </c>
      <c r="B9" t="str">
        <f>"合肥城建"</f>
        <v>合肥城建</v>
      </c>
      <c r="C9" t="str">
        <f>"20170302"</f>
        <v>20170302</v>
      </c>
      <c r="D9" t="str">
        <f>"17.380"</f>
        <v>17.380</v>
      </c>
      <c r="E9" t="str">
        <f>"300.00"</f>
        <v>300.00</v>
      </c>
      <c r="F9" t="str">
        <f>"-5219.00"</f>
        <v>-5219.00</v>
      </c>
      <c r="G9" t="str">
        <f>"2921.51"</f>
        <v>2921.51</v>
      </c>
      <c r="H9" t="str">
        <f>"300.00"</f>
        <v>300.00</v>
      </c>
      <c r="I9" t="str">
        <f>"16"</f>
        <v>16</v>
      </c>
      <c r="J9" t="str">
        <f>"证券买入(合肥城建)"</f>
        <v>证券买入(合肥城建)</v>
      </c>
      <c r="K9" t="str">
        <f t="shared" si="2"/>
        <v>5.00</v>
      </c>
      <c r="L9" t="str">
        <f>"0.00"</f>
        <v>0.00</v>
      </c>
      <c r="M9" t="str">
        <f>"0.00"</f>
        <v>0.00</v>
      </c>
      <c r="N9" t="str">
        <f>"0.00"</f>
        <v>0.00</v>
      </c>
      <c r="O9" t="str">
        <f>"002208"</f>
        <v>002208</v>
      </c>
      <c r="P9" t="str">
        <f t="shared" si="4"/>
        <v>0153613480</v>
      </c>
    </row>
    <row r="10" spans="1:16" x14ac:dyDescent="0.25">
      <c r="A10" t="str">
        <f t="shared" si="0"/>
        <v>人民币</v>
      </c>
      <c r="B10" t="str">
        <f>" "</f>
        <v xml:space="preserve"> </v>
      </c>
      <c r="C10" t="str">
        <f>"20170303"</f>
        <v>20170303</v>
      </c>
      <c r="D10" t="str">
        <f>"---"</f>
        <v>---</v>
      </c>
      <c r="E10" t="str">
        <f>"---"</f>
        <v>---</v>
      </c>
      <c r="F10" t="str">
        <f>"9000.00"</f>
        <v>9000.00</v>
      </c>
      <c r="G10" t="str">
        <f>"11921.51"</f>
        <v>11921.51</v>
      </c>
      <c r="H10" t="str">
        <f>"---"</f>
        <v>---</v>
      </c>
      <c r="I10" t="str">
        <f>"---"</f>
        <v>---</v>
      </c>
      <c r="J10" t="str">
        <f>"银行转存"</f>
        <v>银行转存</v>
      </c>
      <c r="K10" t="str">
        <f t="shared" ref="K10:P10" si="5">"---"</f>
        <v>---</v>
      </c>
      <c r="L10" t="str">
        <f t="shared" si="5"/>
        <v>---</v>
      </c>
      <c r="M10" t="str">
        <f t="shared" si="5"/>
        <v>---</v>
      </c>
      <c r="N10" t="str">
        <f t="shared" si="5"/>
        <v>---</v>
      </c>
      <c r="O10" t="str">
        <f t="shared" si="5"/>
        <v>---</v>
      </c>
      <c r="P10" t="str">
        <f t="shared" si="5"/>
        <v>---</v>
      </c>
    </row>
    <row r="11" spans="1:16" x14ac:dyDescent="0.25">
      <c r="A11" t="str">
        <f t="shared" si="0"/>
        <v>人民币</v>
      </c>
      <c r="B11" t="str">
        <f>"合肥城建"</f>
        <v>合肥城建</v>
      </c>
      <c r="C11" t="str">
        <f>"20170303"</f>
        <v>20170303</v>
      </c>
      <c r="D11" t="str">
        <f>"17.380"</f>
        <v>17.380</v>
      </c>
      <c r="E11" t="str">
        <f>"300.00"</f>
        <v>300.00</v>
      </c>
      <c r="F11" t="str">
        <f>"-5219.00"</f>
        <v>-5219.00</v>
      </c>
      <c r="G11" t="str">
        <f>"6702.51"</f>
        <v>6702.51</v>
      </c>
      <c r="H11" t="str">
        <f>"600.00"</f>
        <v>600.00</v>
      </c>
      <c r="I11" t="str">
        <f>"23"</f>
        <v>23</v>
      </c>
      <c r="J11" t="str">
        <f>"证券买入(合肥城建)"</f>
        <v>证券买入(合肥城建)</v>
      </c>
      <c r="K11" t="str">
        <f t="shared" ref="K11:K17" si="6">"5.00"</f>
        <v>5.00</v>
      </c>
      <c r="L11" t="str">
        <f t="shared" ref="L11:N12" si="7">"0.00"</f>
        <v>0.00</v>
      </c>
      <c r="M11" t="str">
        <f t="shared" si="7"/>
        <v>0.00</v>
      </c>
      <c r="N11" t="str">
        <f t="shared" si="7"/>
        <v>0.00</v>
      </c>
      <c r="O11" t="str">
        <f>"002208"</f>
        <v>002208</v>
      </c>
      <c r="P11" t="str">
        <f>"0153613480"</f>
        <v>0153613480</v>
      </c>
    </row>
    <row r="12" spans="1:16" x14ac:dyDescent="0.25">
      <c r="A12" t="str">
        <f t="shared" si="0"/>
        <v>人民币</v>
      </c>
      <c r="B12" t="str">
        <f>"合肥城建"</f>
        <v>合肥城建</v>
      </c>
      <c r="C12" t="str">
        <f>"20170303"</f>
        <v>20170303</v>
      </c>
      <c r="D12" t="str">
        <f>"17.100"</f>
        <v>17.100</v>
      </c>
      <c r="E12" t="str">
        <f>"300.00"</f>
        <v>300.00</v>
      </c>
      <c r="F12" t="str">
        <f>"-5135.00"</f>
        <v>-5135.00</v>
      </c>
      <c r="G12" t="str">
        <f>"1567.51"</f>
        <v>1567.51</v>
      </c>
      <c r="H12" t="str">
        <f>"900.00"</f>
        <v>900.00</v>
      </c>
      <c r="I12" t="str">
        <f>"26"</f>
        <v>26</v>
      </c>
      <c r="J12" t="str">
        <f>"证券买入(合肥城建)"</f>
        <v>证券买入(合肥城建)</v>
      </c>
      <c r="K12" t="str">
        <f t="shared" si="6"/>
        <v>5.00</v>
      </c>
      <c r="L12" t="str">
        <f t="shared" si="7"/>
        <v>0.00</v>
      </c>
      <c r="M12" t="str">
        <f t="shared" si="7"/>
        <v>0.00</v>
      </c>
      <c r="N12" t="str">
        <f t="shared" si="7"/>
        <v>0.00</v>
      </c>
      <c r="O12" t="str">
        <f>"002208"</f>
        <v>002208</v>
      </c>
      <c r="P12" t="str">
        <f>"0153613480"</f>
        <v>0153613480</v>
      </c>
    </row>
    <row r="13" spans="1:16" x14ac:dyDescent="0.25">
      <c r="A13" t="str">
        <f t="shared" si="0"/>
        <v>人民币</v>
      </c>
      <c r="B13" t="str">
        <f>"均胜电子"</f>
        <v>均胜电子</v>
      </c>
      <c r="C13" t="str">
        <f>"20170307"</f>
        <v>20170307</v>
      </c>
      <c r="D13" t="str">
        <f>"31.980"</f>
        <v>31.980</v>
      </c>
      <c r="E13" t="str">
        <f>"200.00"</f>
        <v>200.00</v>
      </c>
      <c r="F13" t="str">
        <f>"-6401.13"</f>
        <v>-6401.13</v>
      </c>
      <c r="G13" t="str">
        <f>"-4833.62"</f>
        <v>-4833.62</v>
      </c>
      <c r="H13" t="str">
        <f>"200.00"</f>
        <v>200.00</v>
      </c>
      <c r="I13" t="str">
        <f>"37"</f>
        <v>37</v>
      </c>
      <c r="J13" t="str">
        <f>"证券买入(均胜电子)"</f>
        <v>证券买入(均胜电子)</v>
      </c>
      <c r="K13" t="str">
        <f t="shared" si="6"/>
        <v>5.00</v>
      </c>
      <c r="L13" t="str">
        <f>"0.00"</f>
        <v>0.00</v>
      </c>
      <c r="M13" t="str">
        <f>"0.13"</f>
        <v>0.13</v>
      </c>
      <c r="N13" t="str">
        <f t="shared" ref="N13:N19" si="8">"0.00"</f>
        <v>0.00</v>
      </c>
      <c r="O13" t="str">
        <f>"600699"</f>
        <v>600699</v>
      </c>
      <c r="P13" t="str">
        <f>"A400948245"</f>
        <v>A400948245</v>
      </c>
    </row>
    <row r="14" spans="1:16" x14ac:dyDescent="0.25">
      <c r="A14" t="str">
        <f t="shared" si="0"/>
        <v>人民币</v>
      </c>
      <c r="B14" t="str">
        <f>"东北制药"</f>
        <v>东北制药</v>
      </c>
      <c r="C14" t="str">
        <f>"20170307"</f>
        <v>20170307</v>
      </c>
      <c r="D14" t="str">
        <f>"11.170"</f>
        <v>11.170</v>
      </c>
      <c r="E14" t="str">
        <f>"-1000.00"</f>
        <v>-1000.00</v>
      </c>
      <c r="F14" t="str">
        <f>"11153.83"</f>
        <v>11153.83</v>
      </c>
      <c r="G14" t="str">
        <f>"6320.21"</f>
        <v>6320.21</v>
      </c>
      <c r="H14" t="str">
        <f>"0.00"</f>
        <v>0.00</v>
      </c>
      <c r="I14" t="str">
        <f>"34"</f>
        <v>34</v>
      </c>
      <c r="J14" t="str">
        <f>"证券卖出(东北制药)"</f>
        <v>证券卖出(东北制药)</v>
      </c>
      <c r="K14" t="str">
        <f t="shared" si="6"/>
        <v>5.00</v>
      </c>
      <c r="L14" t="str">
        <f>"11.17"</f>
        <v>11.17</v>
      </c>
      <c r="M14" t="str">
        <f>"0.00"</f>
        <v>0.00</v>
      </c>
      <c r="N14" t="str">
        <f t="shared" si="8"/>
        <v>0.00</v>
      </c>
      <c r="O14" t="str">
        <f>"000597"</f>
        <v>000597</v>
      </c>
      <c r="P14" t="str">
        <f>"0153613480"</f>
        <v>0153613480</v>
      </c>
    </row>
    <row r="15" spans="1:16" x14ac:dyDescent="0.25">
      <c r="A15" t="str">
        <f t="shared" si="0"/>
        <v>人民币</v>
      </c>
      <c r="B15" t="str">
        <f>"合肥城建"</f>
        <v>合肥城建</v>
      </c>
      <c r="C15" t="str">
        <f>"20170307"</f>
        <v>20170307</v>
      </c>
      <c r="D15" t="str">
        <f>"17.080"</f>
        <v>17.080</v>
      </c>
      <c r="E15" t="str">
        <f>"300.00"</f>
        <v>300.00</v>
      </c>
      <c r="F15" t="str">
        <f>"-5129.00"</f>
        <v>-5129.00</v>
      </c>
      <c r="G15" t="str">
        <f>"1191.21"</f>
        <v>1191.21</v>
      </c>
      <c r="H15" t="str">
        <f>"1200.00"</f>
        <v>1200.00</v>
      </c>
      <c r="I15" t="str">
        <f>"40"</f>
        <v>40</v>
      </c>
      <c r="J15" t="str">
        <f>"证券买入(合肥城建)"</f>
        <v>证券买入(合肥城建)</v>
      </c>
      <c r="K15" t="str">
        <f t="shared" si="6"/>
        <v>5.00</v>
      </c>
      <c r="L15" t="str">
        <f>"0.00"</f>
        <v>0.00</v>
      </c>
      <c r="M15" t="str">
        <f>"0.00"</f>
        <v>0.00</v>
      </c>
      <c r="N15" t="str">
        <f t="shared" si="8"/>
        <v>0.00</v>
      </c>
      <c r="O15" t="str">
        <f>"002208"</f>
        <v>002208</v>
      </c>
      <c r="P15" t="str">
        <f>"0153613480"</f>
        <v>0153613480</v>
      </c>
    </row>
    <row r="16" spans="1:16" x14ac:dyDescent="0.25">
      <c r="A16" t="str">
        <f t="shared" si="0"/>
        <v>人民币</v>
      </c>
      <c r="B16" t="str">
        <f>"均胜电子"</f>
        <v>均胜电子</v>
      </c>
      <c r="C16" t="str">
        <f>"20170314"</f>
        <v>20170314</v>
      </c>
      <c r="D16" t="str">
        <f>"32.900"</f>
        <v>32.900</v>
      </c>
      <c r="E16" t="str">
        <f>"-200.00"</f>
        <v>-200.00</v>
      </c>
      <c r="F16" t="str">
        <f>"6568.29"</f>
        <v>6568.29</v>
      </c>
      <c r="G16" t="str">
        <f>"7759.50"</f>
        <v>7759.50</v>
      </c>
      <c r="H16" t="str">
        <f>"0.00"</f>
        <v>0.00</v>
      </c>
      <c r="I16" t="str">
        <f>"46"</f>
        <v>46</v>
      </c>
      <c r="J16" t="str">
        <f>"证券卖出(均胜电子)"</f>
        <v>证券卖出(均胜电子)</v>
      </c>
      <c r="K16" t="str">
        <f t="shared" si="6"/>
        <v>5.00</v>
      </c>
      <c r="L16" t="str">
        <f>"6.58"</f>
        <v>6.58</v>
      </c>
      <c r="M16" t="str">
        <f>"0.13"</f>
        <v>0.13</v>
      </c>
      <c r="N16" t="str">
        <f t="shared" si="8"/>
        <v>0.00</v>
      </c>
      <c r="O16" t="str">
        <f>"600699"</f>
        <v>600699</v>
      </c>
      <c r="P16" t="str">
        <f>"A400948245"</f>
        <v>A400948245</v>
      </c>
    </row>
    <row r="17" spans="1:16" x14ac:dyDescent="0.25">
      <c r="A17" t="str">
        <f t="shared" si="0"/>
        <v>人民币</v>
      </c>
      <c r="B17" t="str">
        <f>"合肥城建"</f>
        <v>合肥城建</v>
      </c>
      <c r="C17" t="str">
        <f>"20170315"</f>
        <v>20170315</v>
      </c>
      <c r="D17" t="str">
        <f>"16.820"</f>
        <v>16.820</v>
      </c>
      <c r="E17" t="str">
        <f>"400.00"</f>
        <v>400.00</v>
      </c>
      <c r="F17" t="str">
        <f>"-6733.00"</f>
        <v>-6733.00</v>
      </c>
      <c r="G17" t="str">
        <f>"1026.50"</f>
        <v>1026.50</v>
      </c>
      <c r="H17" t="str">
        <f>"1600.00"</f>
        <v>1600.00</v>
      </c>
      <c r="I17" t="str">
        <f>"54"</f>
        <v>54</v>
      </c>
      <c r="J17" t="str">
        <f>"证券买入(合肥城建)"</f>
        <v>证券买入(合肥城建)</v>
      </c>
      <c r="K17" t="str">
        <f t="shared" si="6"/>
        <v>5.00</v>
      </c>
      <c r="L17" t="str">
        <f t="shared" ref="L17:M19" si="9">"0.00"</f>
        <v>0.00</v>
      </c>
      <c r="M17" t="str">
        <f t="shared" si="9"/>
        <v>0.00</v>
      </c>
      <c r="N17" t="str">
        <f t="shared" si="8"/>
        <v>0.00</v>
      </c>
      <c r="O17" t="str">
        <f>"002208"</f>
        <v>002208</v>
      </c>
      <c r="P17" t="str">
        <f>"0153613480"</f>
        <v>0153613480</v>
      </c>
    </row>
    <row r="18" spans="1:16" x14ac:dyDescent="0.25">
      <c r="A18" t="str">
        <f t="shared" si="0"/>
        <v>人民币</v>
      </c>
      <c r="B18" t="str">
        <f>"快意电梯"</f>
        <v>快意电梯</v>
      </c>
      <c r="C18" t="str">
        <f>"20170315"</f>
        <v>20170315</v>
      </c>
      <c r="D18" t="str">
        <f>"0.000"</f>
        <v>0.000</v>
      </c>
      <c r="E18" t="str">
        <f>"2.00"</f>
        <v>2.00</v>
      </c>
      <c r="F18" t="str">
        <f>"0.00"</f>
        <v>0.00</v>
      </c>
      <c r="G18" t="str">
        <f>"1026.50"</f>
        <v>1026.50</v>
      </c>
      <c r="H18" t="str">
        <f>"0.00"</f>
        <v>0.00</v>
      </c>
      <c r="I18" t="str">
        <f>"50"</f>
        <v>50</v>
      </c>
      <c r="J18" t="str">
        <f>"申购配号(快意电梯)"</f>
        <v>申购配号(快意电梯)</v>
      </c>
      <c r="K18" t="str">
        <f>"0.00"</f>
        <v>0.00</v>
      </c>
      <c r="L18" t="str">
        <f t="shared" si="9"/>
        <v>0.00</v>
      </c>
      <c r="M18" t="str">
        <f t="shared" si="9"/>
        <v>0.00</v>
      </c>
      <c r="N18" t="str">
        <f t="shared" si="8"/>
        <v>0.00</v>
      </c>
      <c r="O18" t="str">
        <f>"002774"</f>
        <v>002774</v>
      </c>
      <c r="P18" t="str">
        <f>"0153613480"</f>
        <v>0153613480</v>
      </c>
    </row>
    <row r="19" spans="1:16" x14ac:dyDescent="0.25">
      <c r="A19" t="str">
        <f t="shared" si="0"/>
        <v>人民币</v>
      </c>
      <c r="B19" t="str">
        <f>"力盛赛车"</f>
        <v>力盛赛车</v>
      </c>
      <c r="C19" t="str">
        <f>"20170315"</f>
        <v>20170315</v>
      </c>
      <c r="D19" t="str">
        <f>"0.000"</f>
        <v>0.000</v>
      </c>
      <c r="E19" t="str">
        <f>"2.00"</f>
        <v>2.00</v>
      </c>
      <c r="F19" t="str">
        <f>"0.00"</f>
        <v>0.00</v>
      </c>
      <c r="G19" t="str">
        <f>"1026.50"</f>
        <v>1026.50</v>
      </c>
      <c r="H19" t="str">
        <f>"0.00"</f>
        <v>0.00</v>
      </c>
      <c r="I19" t="str">
        <f>"52"</f>
        <v>52</v>
      </c>
      <c r="J19" t="str">
        <f>"申购配号(力盛赛车)"</f>
        <v>申购配号(力盛赛车)</v>
      </c>
      <c r="K19" t="str">
        <f>"0.00"</f>
        <v>0.00</v>
      </c>
      <c r="L19" t="str">
        <f t="shared" si="9"/>
        <v>0.00</v>
      </c>
      <c r="M19" t="str">
        <f t="shared" si="9"/>
        <v>0.00</v>
      </c>
      <c r="N19" t="str">
        <f t="shared" si="8"/>
        <v>0.00</v>
      </c>
      <c r="O19" t="str">
        <f>"002858"</f>
        <v>002858</v>
      </c>
      <c r="P19" t="str">
        <f>"0153613480"</f>
        <v>0153613480</v>
      </c>
    </row>
    <row r="20" spans="1:16" x14ac:dyDescent="0.25">
      <c r="A20" t="str">
        <f t="shared" si="0"/>
        <v>人民币</v>
      </c>
      <c r="B20" t="str">
        <f>" "</f>
        <v xml:space="preserve"> </v>
      </c>
      <c r="C20" t="str">
        <f>"20170320"</f>
        <v>20170320</v>
      </c>
      <c r="D20" t="str">
        <f>"---"</f>
        <v>---</v>
      </c>
      <c r="E20" t="str">
        <f>"---"</f>
        <v>---</v>
      </c>
      <c r="F20" t="str">
        <f>"0.53"</f>
        <v>0.53</v>
      </c>
      <c r="G20" t="str">
        <f>"1027.03"</f>
        <v>1027.03</v>
      </c>
      <c r="H20" t="str">
        <f>"---"</f>
        <v>---</v>
      </c>
      <c r="I20" t="str">
        <f>"---"</f>
        <v>---</v>
      </c>
      <c r="J20" t="str">
        <f>"批量利息归本"</f>
        <v>批量利息归本</v>
      </c>
      <c r="K20" t="str">
        <f t="shared" ref="K20:P21" si="10">"---"</f>
        <v>---</v>
      </c>
      <c r="L20" t="str">
        <f t="shared" si="10"/>
        <v>---</v>
      </c>
      <c r="M20" t="str">
        <f t="shared" si="10"/>
        <v>---</v>
      </c>
      <c r="N20" t="str">
        <f t="shared" si="10"/>
        <v>---</v>
      </c>
      <c r="O20" t="str">
        <f t="shared" si="10"/>
        <v>---</v>
      </c>
      <c r="P20" t="str">
        <f t="shared" si="10"/>
        <v>---</v>
      </c>
    </row>
    <row r="21" spans="1:16" x14ac:dyDescent="0.25">
      <c r="A21" t="str">
        <f t="shared" si="0"/>
        <v>人民币</v>
      </c>
      <c r="B21" t="str">
        <f>" "</f>
        <v xml:space="preserve"> </v>
      </c>
      <c r="C21" t="str">
        <f>"20170322"</f>
        <v>20170322</v>
      </c>
      <c r="D21" t="str">
        <f>"---"</f>
        <v>---</v>
      </c>
      <c r="E21" t="str">
        <f>"---"</f>
        <v>---</v>
      </c>
      <c r="F21" t="str">
        <f>"8000.00"</f>
        <v>8000.00</v>
      </c>
      <c r="G21" t="str">
        <f>"9027.03"</f>
        <v>9027.03</v>
      </c>
      <c r="H21" t="str">
        <f>"---"</f>
        <v>---</v>
      </c>
      <c r="I21" t="str">
        <f>"---"</f>
        <v>---</v>
      </c>
      <c r="J21" t="str">
        <f>"银行转存"</f>
        <v>银行转存</v>
      </c>
      <c r="K21" t="str">
        <f t="shared" si="10"/>
        <v>---</v>
      </c>
      <c r="L21" t="str">
        <f t="shared" si="10"/>
        <v>---</v>
      </c>
      <c r="M21" t="str">
        <f t="shared" si="10"/>
        <v>---</v>
      </c>
      <c r="N21" t="str">
        <f t="shared" si="10"/>
        <v>---</v>
      </c>
      <c r="O21" t="str">
        <f t="shared" si="10"/>
        <v>---</v>
      </c>
      <c r="P21" t="str">
        <f t="shared" si="10"/>
        <v>---</v>
      </c>
    </row>
    <row r="22" spans="1:16" x14ac:dyDescent="0.25">
      <c r="A22" t="str">
        <f t="shared" si="0"/>
        <v>人民币</v>
      </c>
      <c r="B22" t="str">
        <f>"合肥城建"</f>
        <v>合肥城建</v>
      </c>
      <c r="C22" t="str">
        <f>"20170322"</f>
        <v>20170322</v>
      </c>
      <c r="D22" t="str">
        <f>"16.300"</f>
        <v>16.300</v>
      </c>
      <c r="E22" t="str">
        <f>"500.00"</f>
        <v>500.00</v>
      </c>
      <c r="F22" t="str">
        <f>"-8155.00"</f>
        <v>-8155.00</v>
      </c>
      <c r="G22" t="str">
        <f>"872.03"</f>
        <v>872.03</v>
      </c>
      <c r="H22" t="str">
        <f>"2100.00"</f>
        <v>2100.00</v>
      </c>
      <c r="I22" t="str">
        <f>"65"</f>
        <v>65</v>
      </c>
      <c r="J22" t="str">
        <f>"证券买入(合肥城建)"</f>
        <v>证券买入(合肥城建)</v>
      </c>
      <c r="K22" t="str">
        <f>"5.00"</f>
        <v>5.00</v>
      </c>
      <c r="L22" t="str">
        <f t="shared" ref="L22:N23" si="11">"0.00"</f>
        <v>0.00</v>
      </c>
      <c r="M22" t="str">
        <f t="shared" si="11"/>
        <v>0.00</v>
      </c>
      <c r="N22" t="str">
        <f t="shared" si="11"/>
        <v>0.00</v>
      </c>
      <c r="O22" t="str">
        <f>"002208"</f>
        <v>002208</v>
      </c>
      <c r="P22" t="str">
        <f t="shared" ref="P22:P31" si="12">"0153613480"</f>
        <v>0153613480</v>
      </c>
    </row>
    <row r="23" spans="1:16" x14ac:dyDescent="0.25">
      <c r="A23" t="str">
        <f t="shared" si="0"/>
        <v>人民币</v>
      </c>
      <c r="B23" t="str">
        <f>"达安股份"</f>
        <v>达安股份</v>
      </c>
      <c r="C23" t="str">
        <f>"20170323"</f>
        <v>20170323</v>
      </c>
      <c r="D23" t="str">
        <f>"0.000"</f>
        <v>0.000</v>
      </c>
      <c r="E23" t="str">
        <f>"3.00"</f>
        <v>3.00</v>
      </c>
      <c r="F23" t="str">
        <f>"0.00"</f>
        <v>0.00</v>
      </c>
      <c r="G23" t="str">
        <f>"872.03"</f>
        <v>872.03</v>
      </c>
      <c r="H23" t="str">
        <f>"0.00"</f>
        <v>0.00</v>
      </c>
      <c r="I23" t="str">
        <f>"69"</f>
        <v>69</v>
      </c>
      <c r="J23" t="str">
        <f>"申购配号(达安股份)"</f>
        <v>申购配号(达安股份)</v>
      </c>
      <c r="K23" t="str">
        <f>"0.00"</f>
        <v>0.00</v>
      </c>
      <c r="L23" t="str">
        <f t="shared" si="11"/>
        <v>0.00</v>
      </c>
      <c r="M23" t="str">
        <f t="shared" si="11"/>
        <v>0.00</v>
      </c>
      <c r="N23" t="str">
        <f t="shared" si="11"/>
        <v>0.00</v>
      </c>
      <c r="O23" t="str">
        <f>"300635"</f>
        <v>300635</v>
      </c>
      <c r="P23" t="str">
        <f t="shared" si="12"/>
        <v>0153613480</v>
      </c>
    </row>
    <row r="24" spans="1:16" x14ac:dyDescent="0.25">
      <c r="A24" t="str">
        <f t="shared" si="0"/>
        <v>人民币</v>
      </c>
      <c r="B24" t="str">
        <f>"合肥城建"</f>
        <v>合肥城建</v>
      </c>
      <c r="C24" t="str">
        <f>"20170324"</f>
        <v>20170324</v>
      </c>
      <c r="D24" t="str">
        <f>"17.480"</f>
        <v>17.480</v>
      </c>
      <c r="E24" t="str">
        <f>"-500.00"</f>
        <v>-500.00</v>
      </c>
      <c r="F24" t="str">
        <f>"8726.26"</f>
        <v>8726.26</v>
      </c>
      <c r="G24" t="str">
        <f>"9598.29"</f>
        <v>9598.29</v>
      </c>
      <c r="H24" t="str">
        <f>"1600.00"</f>
        <v>1600.00</v>
      </c>
      <c r="I24" t="str">
        <f>"74"</f>
        <v>74</v>
      </c>
      <c r="J24" t="str">
        <f>"证券卖出(合肥城建)"</f>
        <v>证券卖出(合肥城建)</v>
      </c>
      <c r="K24" t="str">
        <f>"5.00"</f>
        <v>5.00</v>
      </c>
      <c r="L24" t="str">
        <f>"8.74"</f>
        <v>8.74</v>
      </c>
      <c r="M24" t="str">
        <f t="shared" ref="M24:N31" si="13">"0.00"</f>
        <v>0.00</v>
      </c>
      <c r="N24" t="str">
        <f t="shared" si="13"/>
        <v>0.00</v>
      </c>
      <c r="O24" t="str">
        <f>"002208"</f>
        <v>002208</v>
      </c>
      <c r="P24" t="str">
        <f t="shared" si="12"/>
        <v>0153613480</v>
      </c>
    </row>
    <row r="25" spans="1:16" x14ac:dyDescent="0.25">
      <c r="A25" t="str">
        <f t="shared" si="0"/>
        <v>人民币</v>
      </c>
      <c r="B25" t="str">
        <f>"合肥城建"</f>
        <v>合肥城建</v>
      </c>
      <c r="C25" t="str">
        <f>"20170327"</f>
        <v>20170327</v>
      </c>
      <c r="D25" t="str">
        <f>"16.830"</f>
        <v>16.830</v>
      </c>
      <c r="E25" t="str">
        <f>"400.00"</f>
        <v>400.00</v>
      </c>
      <c r="F25" t="str">
        <f>"-6737.00"</f>
        <v>-6737.00</v>
      </c>
      <c r="G25" t="str">
        <f>"2861.29"</f>
        <v>2861.29</v>
      </c>
      <c r="H25" t="str">
        <f>"2000.00"</f>
        <v>2000.00</v>
      </c>
      <c r="I25" t="str">
        <f>"78"</f>
        <v>78</v>
      </c>
      <c r="J25" t="str">
        <f>"证券买入(合肥城建)"</f>
        <v>证券买入(合肥城建)</v>
      </c>
      <c r="K25" t="str">
        <f>"5.00"</f>
        <v>5.00</v>
      </c>
      <c r="L25" t="str">
        <f t="shared" ref="L25:L31" si="14">"0.00"</f>
        <v>0.00</v>
      </c>
      <c r="M25" t="str">
        <f t="shared" si="13"/>
        <v>0.00</v>
      </c>
      <c r="N25" t="str">
        <f t="shared" si="13"/>
        <v>0.00</v>
      </c>
      <c r="O25" t="str">
        <f>"002208"</f>
        <v>002208</v>
      </c>
      <c r="P25" t="str">
        <f t="shared" si="12"/>
        <v>0153613480</v>
      </c>
    </row>
    <row r="26" spans="1:16" x14ac:dyDescent="0.25">
      <c r="A26" t="str">
        <f t="shared" si="0"/>
        <v>人民币</v>
      </c>
      <c r="B26" t="str">
        <f>"广和通"</f>
        <v>广和通</v>
      </c>
      <c r="C26" t="str">
        <f>"20170327"</f>
        <v>20170327</v>
      </c>
      <c r="D26" t="str">
        <f>"0.000"</f>
        <v>0.000</v>
      </c>
      <c r="E26" t="str">
        <f>"4.00"</f>
        <v>4.00</v>
      </c>
      <c r="F26" t="str">
        <f>"0.00"</f>
        <v>0.00</v>
      </c>
      <c r="G26" t="str">
        <f>"2861.29"</f>
        <v>2861.29</v>
      </c>
      <c r="H26" t="str">
        <f>"0.00"</f>
        <v>0.00</v>
      </c>
      <c r="I26" t="str">
        <f>"81"</f>
        <v>81</v>
      </c>
      <c r="J26" t="str">
        <f>"申购配号(广和通)"</f>
        <v>申购配号(广和通)</v>
      </c>
      <c r="K26" t="str">
        <f>"0.00"</f>
        <v>0.00</v>
      </c>
      <c r="L26" t="str">
        <f t="shared" si="14"/>
        <v>0.00</v>
      </c>
      <c r="M26" t="str">
        <f t="shared" si="13"/>
        <v>0.00</v>
      </c>
      <c r="N26" t="str">
        <f t="shared" si="13"/>
        <v>0.00</v>
      </c>
      <c r="O26" t="str">
        <f>"300638"</f>
        <v>300638</v>
      </c>
      <c r="P26" t="str">
        <f t="shared" si="12"/>
        <v>0153613480</v>
      </c>
    </row>
    <row r="27" spans="1:16" x14ac:dyDescent="0.25">
      <c r="A27" t="str">
        <f t="shared" si="0"/>
        <v>人民币</v>
      </c>
      <c r="B27" t="str">
        <f>"星帅尔"</f>
        <v>星帅尔</v>
      </c>
      <c r="C27" t="str">
        <f>"20170329"</f>
        <v>20170329</v>
      </c>
      <c r="D27" t="str">
        <f>"0.000"</f>
        <v>0.000</v>
      </c>
      <c r="E27" t="str">
        <f>"4.00"</f>
        <v>4.00</v>
      </c>
      <c r="F27" t="str">
        <f>"0.00"</f>
        <v>0.00</v>
      </c>
      <c r="G27" t="str">
        <f>"2861.29"</f>
        <v>2861.29</v>
      </c>
      <c r="H27" t="str">
        <f>"0.00"</f>
        <v>0.00</v>
      </c>
      <c r="I27" t="str">
        <f>"85"</f>
        <v>85</v>
      </c>
      <c r="J27" t="str">
        <f>"申购配号(星帅尔)"</f>
        <v>申购配号(星帅尔)</v>
      </c>
      <c r="K27" t="str">
        <f>"0.00"</f>
        <v>0.00</v>
      </c>
      <c r="L27" t="str">
        <f t="shared" si="14"/>
        <v>0.00</v>
      </c>
      <c r="M27" t="str">
        <f t="shared" si="13"/>
        <v>0.00</v>
      </c>
      <c r="N27" t="str">
        <f t="shared" si="13"/>
        <v>0.00</v>
      </c>
      <c r="O27" t="str">
        <f>"002860"</f>
        <v>002860</v>
      </c>
      <c r="P27" t="str">
        <f t="shared" si="12"/>
        <v>0153613480</v>
      </c>
    </row>
    <row r="28" spans="1:16" x14ac:dyDescent="0.25">
      <c r="A28" t="str">
        <f t="shared" si="0"/>
        <v>人民币</v>
      </c>
      <c r="B28" t="str">
        <f>"实丰文化"</f>
        <v>实丰文化</v>
      </c>
      <c r="C28" t="str">
        <f>"20170329"</f>
        <v>20170329</v>
      </c>
      <c r="D28" t="str">
        <f>"0.000"</f>
        <v>0.000</v>
      </c>
      <c r="E28" t="str">
        <f>"4.00"</f>
        <v>4.00</v>
      </c>
      <c r="F28" t="str">
        <f>"0.00"</f>
        <v>0.00</v>
      </c>
      <c r="G28" t="str">
        <f>"2861.29"</f>
        <v>2861.29</v>
      </c>
      <c r="H28" t="str">
        <f>"0.00"</f>
        <v>0.00</v>
      </c>
      <c r="I28" t="str">
        <f>"87"</f>
        <v>87</v>
      </c>
      <c r="J28" t="str">
        <f>"申购配号(实丰文化)"</f>
        <v>申购配号(实丰文化)</v>
      </c>
      <c r="K28" t="str">
        <f>"0.00"</f>
        <v>0.00</v>
      </c>
      <c r="L28" t="str">
        <f t="shared" si="14"/>
        <v>0.00</v>
      </c>
      <c r="M28" t="str">
        <f t="shared" si="13"/>
        <v>0.00</v>
      </c>
      <c r="N28" t="str">
        <f t="shared" si="13"/>
        <v>0.00</v>
      </c>
      <c r="O28" t="str">
        <f>"002862"</f>
        <v>002862</v>
      </c>
      <c r="P28" t="str">
        <f t="shared" si="12"/>
        <v>0153613480</v>
      </c>
    </row>
    <row r="29" spans="1:16" x14ac:dyDescent="0.25">
      <c r="A29" t="str">
        <f t="shared" si="0"/>
        <v>人民币</v>
      </c>
      <c r="B29" t="str">
        <f>"合肥城建"</f>
        <v>合肥城建</v>
      </c>
      <c r="C29" t="str">
        <f>"20170330"</f>
        <v>20170330</v>
      </c>
      <c r="D29" t="str">
        <f>"16.180"</f>
        <v>16.180</v>
      </c>
      <c r="E29" t="str">
        <f>"100.00"</f>
        <v>100.00</v>
      </c>
      <c r="F29" t="str">
        <f>"-1623.00"</f>
        <v>-1623.00</v>
      </c>
      <c r="G29" t="str">
        <f>"1238.29"</f>
        <v>1238.29</v>
      </c>
      <c r="H29" t="str">
        <f>"2100.00"</f>
        <v>2100.00</v>
      </c>
      <c r="I29" t="str">
        <f>"99"</f>
        <v>99</v>
      </c>
      <c r="J29" t="str">
        <f>"证券买入(合肥城建)"</f>
        <v>证券买入(合肥城建)</v>
      </c>
      <c r="K29" t="str">
        <f>"5.00"</f>
        <v>5.00</v>
      </c>
      <c r="L29" t="str">
        <f t="shared" si="14"/>
        <v>0.00</v>
      </c>
      <c r="M29" t="str">
        <f t="shared" si="13"/>
        <v>0.00</v>
      </c>
      <c r="N29" t="str">
        <f t="shared" si="13"/>
        <v>0.00</v>
      </c>
      <c r="O29" t="str">
        <f>"002208"</f>
        <v>002208</v>
      </c>
      <c r="P29" t="str">
        <f t="shared" si="12"/>
        <v>0153613480</v>
      </c>
    </row>
    <row r="30" spans="1:16" x14ac:dyDescent="0.25">
      <c r="A30" t="str">
        <f t="shared" si="0"/>
        <v>人民币</v>
      </c>
      <c r="B30" t="str">
        <f>"扬帆新材"</f>
        <v>扬帆新材</v>
      </c>
      <c r="C30" t="str">
        <f>"20170330"</f>
        <v>20170330</v>
      </c>
      <c r="D30" t="str">
        <f>"0.000"</f>
        <v>0.000</v>
      </c>
      <c r="E30" t="str">
        <f>"5.00"</f>
        <v>5.00</v>
      </c>
      <c r="F30" t="str">
        <f>"0.00"</f>
        <v>0.00</v>
      </c>
      <c r="G30" t="str">
        <f>"1238.29"</f>
        <v>1238.29</v>
      </c>
      <c r="H30" t="str">
        <f>"0.00"</f>
        <v>0.00</v>
      </c>
      <c r="I30" t="str">
        <f>"91"</f>
        <v>91</v>
      </c>
      <c r="J30" t="str">
        <f>"申购配号(扬帆新材)"</f>
        <v>申购配号(扬帆新材)</v>
      </c>
      <c r="K30" t="str">
        <f>"0.00"</f>
        <v>0.00</v>
      </c>
      <c r="L30" t="str">
        <f t="shared" si="14"/>
        <v>0.00</v>
      </c>
      <c r="M30" t="str">
        <f t="shared" si="13"/>
        <v>0.00</v>
      </c>
      <c r="N30" t="str">
        <f t="shared" si="13"/>
        <v>0.00</v>
      </c>
      <c r="O30" t="str">
        <f>"300637"</f>
        <v>300637</v>
      </c>
      <c r="P30" t="str">
        <f t="shared" si="12"/>
        <v>0153613480</v>
      </c>
    </row>
    <row r="31" spans="1:16" x14ac:dyDescent="0.25">
      <c r="A31" t="str">
        <f t="shared" si="0"/>
        <v>人民币</v>
      </c>
      <c r="B31" t="str">
        <f>"凯普生物"</f>
        <v>凯普生物</v>
      </c>
      <c r="C31" t="str">
        <f>"20170330"</f>
        <v>20170330</v>
      </c>
      <c r="D31" t="str">
        <f>"0.000"</f>
        <v>0.000</v>
      </c>
      <c r="E31" t="str">
        <f>"5.00"</f>
        <v>5.00</v>
      </c>
      <c r="F31" t="str">
        <f>"0.00"</f>
        <v>0.00</v>
      </c>
      <c r="G31" t="str">
        <f>"1238.29"</f>
        <v>1238.29</v>
      </c>
      <c r="H31" t="str">
        <f>"0.00"</f>
        <v>0.00</v>
      </c>
      <c r="I31" t="str">
        <f>"93"</f>
        <v>93</v>
      </c>
      <c r="J31" t="str">
        <f>"申购配号(凯普生物)"</f>
        <v>申购配号(凯普生物)</v>
      </c>
      <c r="K31" t="str">
        <f>"0.00"</f>
        <v>0.00</v>
      </c>
      <c r="L31" t="str">
        <f t="shared" si="14"/>
        <v>0.00</v>
      </c>
      <c r="M31" t="str">
        <f t="shared" si="13"/>
        <v>0.00</v>
      </c>
      <c r="N31" t="str">
        <f t="shared" si="13"/>
        <v>0.00</v>
      </c>
      <c r="O31" t="str">
        <f>"300639"</f>
        <v>300639</v>
      </c>
      <c r="P31" t="str">
        <f t="shared" si="12"/>
        <v>0153613480</v>
      </c>
    </row>
    <row r="32" spans="1:16" x14ac:dyDescent="0.25">
      <c r="A32" t="str">
        <f t="shared" si="0"/>
        <v>人民币</v>
      </c>
      <c r="B32" t="str">
        <f>" "</f>
        <v xml:space="preserve"> </v>
      </c>
      <c r="C32" t="str">
        <f>"20170331"</f>
        <v>20170331</v>
      </c>
      <c r="D32" t="str">
        <f>"---"</f>
        <v>---</v>
      </c>
      <c r="E32" t="str">
        <f>"---"</f>
        <v>---</v>
      </c>
      <c r="F32" t="str">
        <f>"6000.00"</f>
        <v>6000.00</v>
      </c>
      <c r="G32" t="str">
        <f>"7238.29"</f>
        <v>7238.29</v>
      </c>
      <c r="H32" t="str">
        <f>"---"</f>
        <v>---</v>
      </c>
      <c r="I32" t="str">
        <f>"---"</f>
        <v>---</v>
      </c>
      <c r="J32" t="str">
        <f>"银行转存"</f>
        <v>银行转存</v>
      </c>
      <c r="K32" t="str">
        <f t="shared" ref="K32:P32" si="15">"---"</f>
        <v>---</v>
      </c>
      <c r="L32" t="str">
        <f t="shared" si="15"/>
        <v>---</v>
      </c>
      <c r="M32" t="str">
        <f t="shared" si="15"/>
        <v>---</v>
      </c>
      <c r="N32" t="str">
        <f t="shared" si="15"/>
        <v>---</v>
      </c>
      <c r="O32" t="str">
        <f t="shared" si="15"/>
        <v>---</v>
      </c>
      <c r="P32" t="str">
        <f t="shared" si="15"/>
        <v>---</v>
      </c>
    </row>
    <row r="33" spans="1:16" x14ac:dyDescent="0.25">
      <c r="A33" t="str">
        <f t="shared" si="0"/>
        <v>人民币</v>
      </c>
      <c r="B33" t="str">
        <f>"合肥城建"</f>
        <v>合肥城建</v>
      </c>
      <c r="C33" t="str">
        <f>"20170331"</f>
        <v>20170331</v>
      </c>
      <c r="D33" t="str">
        <f>"15.880"</f>
        <v>15.880</v>
      </c>
      <c r="E33" t="str">
        <f>"400.00"</f>
        <v>400.00</v>
      </c>
      <c r="F33" t="str">
        <f>"-6357.00"</f>
        <v>-6357.00</v>
      </c>
      <c r="G33" t="str">
        <f t="shared" ref="G33:G38" si="16">"881.29"</f>
        <v>881.29</v>
      </c>
      <c r="H33" t="str">
        <f>"2500.00"</f>
        <v>2500.00</v>
      </c>
      <c r="I33" t="str">
        <f>"119"</f>
        <v>119</v>
      </c>
      <c r="J33" t="str">
        <f>"证券买入(合肥城建)"</f>
        <v>证券买入(合肥城建)</v>
      </c>
      <c r="K33" t="str">
        <f>"5.00"</f>
        <v>5.00</v>
      </c>
      <c r="L33" t="str">
        <f t="shared" ref="L33:N38" si="17">"0.00"</f>
        <v>0.00</v>
      </c>
      <c r="M33" t="str">
        <f t="shared" si="17"/>
        <v>0.00</v>
      </c>
      <c r="N33" t="str">
        <f t="shared" si="17"/>
        <v>0.00</v>
      </c>
      <c r="O33" t="str">
        <f>"002208"</f>
        <v>002208</v>
      </c>
      <c r="P33" t="str">
        <f t="shared" ref="P33:P38" si="18">"0153613480"</f>
        <v>0153613480</v>
      </c>
    </row>
    <row r="34" spans="1:16" x14ac:dyDescent="0.25">
      <c r="A34" t="str">
        <f t="shared" si="0"/>
        <v>人民币</v>
      </c>
      <c r="B34" t="str">
        <f>"瀛通通讯"</f>
        <v>瀛通通讯</v>
      </c>
      <c r="C34" t="str">
        <f>"20170331"</f>
        <v>20170331</v>
      </c>
      <c r="D34" t="str">
        <f>"0.000"</f>
        <v>0.000</v>
      </c>
      <c r="E34" t="str">
        <f>"5.00"</f>
        <v>5.00</v>
      </c>
      <c r="F34" t="str">
        <f>"0.00"</f>
        <v>0.00</v>
      </c>
      <c r="G34" t="str">
        <f t="shared" si="16"/>
        <v>881.29</v>
      </c>
      <c r="H34" t="str">
        <f>"0.00"</f>
        <v>0.00</v>
      </c>
      <c r="I34" t="str">
        <f>"109"</f>
        <v>109</v>
      </c>
      <c r="J34" t="str">
        <f>"申购配号(瀛通通讯)"</f>
        <v>申购配号(瀛通通讯)</v>
      </c>
      <c r="K34" t="str">
        <f>"0.00"</f>
        <v>0.00</v>
      </c>
      <c r="L34" t="str">
        <f t="shared" si="17"/>
        <v>0.00</v>
      </c>
      <c r="M34" t="str">
        <f t="shared" si="17"/>
        <v>0.00</v>
      </c>
      <c r="N34" t="str">
        <f t="shared" si="17"/>
        <v>0.00</v>
      </c>
      <c r="O34" t="str">
        <f>"002861"</f>
        <v>002861</v>
      </c>
      <c r="P34" t="str">
        <f t="shared" si="18"/>
        <v>0153613480</v>
      </c>
    </row>
    <row r="35" spans="1:16" x14ac:dyDescent="0.25">
      <c r="A35" t="str">
        <f t="shared" si="0"/>
        <v>人民币</v>
      </c>
      <c r="B35" t="str">
        <f>"德艺文创"</f>
        <v>德艺文创</v>
      </c>
      <c r="C35" t="str">
        <f>"20170405"</f>
        <v>20170405</v>
      </c>
      <c r="D35" t="str">
        <f>"0.000"</f>
        <v>0.000</v>
      </c>
      <c r="E35" t="str">
        <f>"5.00"</f>
        <v>5.00</v>
      </c>
      <c r="F35" t="str">
        <f>"0.00"</f>
        <v>0.00</v>
      </c>
      <c r="G35" t="str">
        <f t="shared" si="16"/>
        <v>881.29</v>
      </c>
      <c r="H35" t="str">
        <f>"0.00"</f>
        <v>0.00</v>
      </c>
      <c r="I35" t="str">
        <f>"126"</f>
        <v>126</v>
      </c>
      <c r="J35" t="str">
        <f>"申购配号(德艺文创)"</f>
        <v>申购配号(德艺文创)</v>
      </c>
      <c r="K35" t="str">
        <f>"0.00"</f>
        <v>0.00</v>
      </c>
      <c r="L35" t="str">
        <f t="shared" si="17"/>
        <v>0.00</v>
      </c>
      <c r="M35" t="str">
        <f t="shared" si="17"/>
        <v>0.00</v>
      </c>
      <c r="N35" t="str">
        <f t="shared" si="17"/>
        <v>0.00</v>
      </c>
      <c r="O35" t="str">
        <f>"300640"</f>
        <v>300640</v>
      </c>
      <c r="P35" t="str">
        <f t="shared" si="18"/>
        <v>0153613480</v>
      </c>
    </row>
    <row r="36" spans="1:16" x14ac:dyDescent="0.25">
      <c r="A36" t="str">
        <f t="shared" si="0"/>
        <v>人民币</v>
      </c>
      <c r="B36" t="str">
        <f>"长川科技"</f>
        <v>长川科技</v>
      </c>
      <c r="C36" t="str">
        <f>"20170405"</f>
        <v>20170405</v>
      </c>
      <c r="D36" t="str">
        <f>"0.000"</f>
        <v>0.000</v>
      </c>
      <c r="E36" t="str">
        <f>"5.00"</f>
        <v>5.00</v>
      </c>
      <c r="F36" t="str">
        <f>"0.00"</f>
        <v>0.00</v>
      </c>
      <c r="G36" t="str">
        <f t="shared" si="16"/>
        <v>881.29</v>
      </c>
      <c r="H36" t="str">
        <f>"0.00"</f>
        <v>0.00</v>
      </c>
      <c r="I36" t="str">
        <f>"124"</f>
        <v>124</v>
      </c>
      <c r="J36" t="str">
        <f>"申购配号(长川科技)"</f>
        <v>申购配号(长川科技)</v>
      </c>
      <c r="K36" t="str">
        <f>"0.00"</f>
        <v>0.00</v>
      </c>
      <c r="L36" t="str">
        <f t="shared" si="17"/>
        <v>0.00</v>
      </c>
      <c r="M36" t="str">
        <f t="shared" si="17"/>
        <v>0.00</v>
      </c>
      <c r="N36" t="str">
        <f t="shared" si="17"/>
        <v>0.00</v>
      </c>
      <c r="O36" t="str">
        <f>"300604"</f>
        <v>300604</v>
      </c>
      <c r="P36" t="str">
        <f t="shared" si="18"/>
        <v>0153613480</v>
      </c>
    </row>
    <row r="37" spans="1:16" x14ac:dyDescent="0.25">
      <c r="A37" t="str">
        <f t="shared" si="0"/>
        <v>人民币</v>
      </c>
      <c r="B37" t="str">
        <f>"今飞凯达"</f>
        <v>今飞凯达</v>
      </c>
      <c r="C37" t="str">
        <f>"20170406"</f>
        <v>20170406</v>
      </c>
      <c r="D37" t="str">
        <f>"0.000"</f>
        <v>0.000</v>
      </c>
      <c r="E37" t="str">
        <f>"5.00"</f>
        <v>5.00</v>
      </c>
      <c r="F37" t="str">
        <f>"0.00"</f>
        <v>0.00</v>
      </c>
      <c r="G37" t="str">
        <f t="shared" si="16"/>
        <v>881.29</v>
      </c>
      <c r="H37" t="str">
        <f>"0.00"</f>
        <v>0.00</v>
      </c>
      <c r="I37" t="str">
        <f>"130"</f>
        <v>130</v>
      </c>
      <c r="J37" t="str">
        <f>"申购配号(今飞凯达)"</f>
        <v>申购配号(今飞凯达)</v>
      </c>
      <c r="K37" t="str">
        <f>"0.00"</f>
        <v>0.00</v>
      </c>
      <c r="L37" t="str">
        <f t="shared" si="17"/>
        <v>0.00</v>
      </c>
      <c r="M37" t="str">
        <f t="shared" si="17"/>
        <v>0.00</v>
      </c>
      <c r="N37" t="str">
        <f t="shared" si="17"/>
        <v>0.00</v>
      </c>
      <c r="O37" t="str">
        <f>"002863"</f>
        <v>002863</v>
      </c>
      <c r="P37" t="str">
        <f t="shared" si="18"/>
        <v>0153613480</v>
      </c>
    </row>
    <row r="38" spans="1:16" x14ac:dyDescent="0.25">
      <c r="A38" t="str">
        <f t="shared" si="0"/>
        <v>人民币</v>
      </c>
      <c r="B38" t="str">
        <f>"正丹股份"</f>
        <v>正丹股份</v>
      </c>
      <c r="C38" t="str">
        <f>"20170406"</f>
        <v>20170406</v>
      </c>
      <c r="D38" t="str">
        <f>"0.000"</f>
        <v>0.000</v>
      </c>
      <c r="E38" t="str">
        <f>"5.00"</f>
        <v>5.00</v>
      </c>
      <c r="F38" t="str">
        <f>"0.00"</f>
        <v>0.00</v>
      </c>
      <c r="G38" t="str">
        <f t="shared" si="16"/>
        <v>881.29</v>
      </c>
      <c r="H38" t="str">
        <f>"0.00"</f>
        <v>0.00</v>
      </c>
      <c r="I38" t="str">
        <f>"132"</f>
        <v>132</v>
      </c>
      <c r="J38" t="str">
        <f>"申购配号(正丹股份)"</f>
        <v>申购配号(正丹股份)</v>
      </c>
      <c r="K38" t="str">
        <f>"0.00"</f>
        <v>0.00</v>
      </c>
      <c r="L38" t="str">
        <f t="shared" si="17"/>
        <v>0.00</v>
      </c>
      <c r="M38" t="str">
        <f t="shared" si="17"/>
        <v>0.00</v>
      </c>
      <c r="N38" t="str">
        <f t="shared" si="17"/>
        <v>0.00</v>
      </c>
      <c r="O38" t="str">
        <f>"300641"</f>
        <v>300641</v>
      </c>
      <c r="P38" t="str">
        <f t="shared" si="18"/>
        <v>0153613480</v>
      </c>
    </row>
    <row r="39" spans="1:16" x14ac:dyDescent="0.25">
      <c r="A39" t="str">
        <f t="shared" si="0"/>
        <v>人民币</v>
      </c>
      <c r="B39" t="str">
        <f>"中直股份"</f>
        <v>中直股份</v>
      </c>
      <c r="C39" t="str">
        <f>"20170410"</f>
        <v>20170410</v>
      </c>
      <c r="D39" t="str">
        <f>"51.900"</f>
        <v>51.900</v>
      </c>
      <c r="E39" t="str">
        <f>"200.00"</f>
        <v>200.00</v>
      </c>
      <c r="F39" t="str">
        <f>"-10385.21"</f>
        <v>-10385.21</v>
      </c>
      <c r="G39" t="str">
        <f>"-9503.92"</f>
        <v>-9503.92</v>
      </c>
      <c r="H39" t="str">
        <f>"200.00"</f>
        <v>200.00</v>
      </c>
      <c r="I39" t="str">
        <f>"139"</f>
        <v>139</v>
      </c>
      <c r="J39" t="str">
        <f>"证券买入(中直股份)"</f>
        <v>证券买入(中直股份)</v>
      </c>
      <c r="K39" t="str">
        <f>"5.00"</f>
        <v>5.00</v>
      </c>
      <c r="L39" t="str">
        <f>"0.00"</f>
        <v>0.00</v>
      </c>
      <c r="M39" t="str">
        <f>"0.21"</f>
        <v>0.21</v>
      </c>
      <c r="N39" t="str">
        <f>"0.00"</f>
        <v>0.00</v>
      </c>
      <c r="O39" t="str">
        <f>"600038"</f>
        <v>600038</v>
      </c>
      <c r="P39" t="str">
        <f>"A400948245"</f>
        <v>A400948245</v>
      </c>
    </row>
    <row r="40" spans="1:16" x14ac:dyDescent="0.25">
      <c r="A40" t="str">
        <f t="shared" si="0"/>
        <v>人民币</v>
      </c>
      <c r="B40" t="str">
        <f>"合肥城建"</f>
        <v>合肥城建</v>
      </c>
      <c r="C40" t="str">
        <f>"20170410"</f>
        <v>20170410</v>
      </c>
      <c r="D40" t="str">
        <f>"15.800"</f>
        <v>15.800</v>
      </c>
      <c r="E40" t="str">
        <f>"-700.00"</f>
        <v>-700.00</v>
      </c>
      <c r="F40" t="str">
        <f>"11043.94"</f>
        <v>11043.94</v>
      </c>
      <c r="G40" t="str">
        <f>"1540.02"</f>
        <v>1540.02</v>
      </c>
      <c r="H40" t="str">
        <f>"1800.00"</f>
        <v>1800.00</v>
      </c>
      <c r="I40" t="str">
        <f>"136"</f>
        <v>136</v>
      </c>
      <c r="J40" t="str">
        <f>"证券卖出(合肥城建)"</f>
        <v>证券卖出(合肥城建)</v>
      </c>
      <c r="K40" t="str">
        <f>"5.00"</f>
        <v>5.00</v>
      </c>
      <c r="L40" t="str">
        <f>"11.06"</f>
        <v>11.06</v>
      </c>
      <c r="M40" t="str">
        <f>"0.00"</f>
        <v>0.00</v>
      </c>
      <c r="N40" t="str">
        <f>"0.00"</f>
        <v>0.00</v>
      </c>
      <c r="O40" t="str">
        <f>"002208"</f>
        <v>002208</v>
      </c>
      <c r="P40" t="str">
        <f>"0153613480"</f>
        <v>0153613480</v>
      </c>
    </row>
    <row r="41" spans="1:16" x14ac:dyDescent="0.25">
      <c r="A41" t="str">
        <f t="shared" si="0"/>
        <v>人民币</v>
      </c>
      <c r="B41" t="str">
        <f>" "</f>
        <v xml:space="preserve"> </v>
      </c>
      <c r="C41" t="str">
        <f>"20170411"</f>
        <v>20170411</v>
      </c>
      <c r="D41" t="str">
        <f>"---"</f>
        <v>---</v>
      </c>
      <c r="E41" t="str">
        <f>"---"</f>
        <v>---</v>
      </c>
      <c r="F41" t="str">
        <f>"-1000.00"</f>
        <v>-1000.00</v>
      </c>
      <c r="G41" t="str">
        <f>"540.02"</f>
        <v>540.02</v>
      </c>
      <c r="H41" t="str">
        <f>"---"</f>
        <v>---</v>
      </c>
      <c r="I41" t="str">
        <f>"---"</f>
        <v>---</v>
      </c>
      <c r="J41" t="str">
        <f>"银行转取"</f>
        <v>银行转取</v>
      </c>
      <c r="K41" t="str">
        <f t="shared" ref="K41:P41" si="19">"---"</f>
        <v>---</v>
      </c>
      <c r="L41" t="str">
        <f t="shared" si="19"/>
        <v>---</v>
      </c>
      <c r="M41" t="str">
        <f t="shared" si="19"/>
        <v>---</v>
      </c>
      <c r="N41" t="str">
        <f t="shared" si="19"/>
        <v>---</v>
      </c>
      <c r="O41" t="str">
        <f t="shared" si="19"/>
        <v>---</v>
      </c>
      <c r="P41" t="str">
        <f t="shared" si="19"/>
        <v>---</v>
      </c>
    </row>
    <row r="42" spans="1:16" x14ac:dyDescent="0.25">
      <c r="A42" t="str">
        <f t="shared" si="0"/>
        <v>人民币</v>
      </c>
      <c r="B42" t="str">
        <f>"中直股份"</f>
        <v>中直股份</v>
      </c>
      <c r="C42" t="str">
        <f>"20170411"</f>
        <v>20170411</v>
      </c>
      <c r="D42" t="str">
        <f>"53.600"</f>
        <v>53.600</v>
      </c>
      <c r="E42" t="str">
        <f>"-100.00"</f>
        <v>-100.00</v>
      </c>
      <c r="F42" t="str">
        <f>"5349.53"</f>
        <v>5349.53</v>
      </c>
      <c r="G42" t="str">
        <f>"5889.55"</f>
        <v>5889.55</v>
      </c>
      <c r="H42" t="str">
        <f>"100.00"</f>
        <v>100.00</v>
      </c>
      <c r="I42" t="str">
        <f>"7"</f>
        <v>7</v>
      </c>
      <c r="J42" t="str">
        <f>"证券卖出(中直股份)"</f>
        <v>证券卖出(中直股份)</v>
      </c>
      <c r="K42" t="str">
        <f>"5.00"</f>
        <v>5.00</v>
      </c>
      <c r="L42" t="str">
        <f>"5.36"</f>
        <v>5.36</v>
      </c>
      <c r="M42" t="str">
        <f>"0.11"</f>
        <v>0.11</v>
      </c>
      <c r="N42" t="str">
        <f>"0.00"</f>
        <v>0.00</v>
      </c>
      <c r="O42" t="str">
        <f>"600038"</f>
        <v>600038</v>
      </c>
      <c r="P42" t="str">
        <f>"A400948245"</f>
        <v>A400948245</v>
      </c>
    </row>
    <row r="43" spans="1:16" x14ac:dyDescent="0.25">
      <c r="A43" t="str">
        <f t="shared" si="0"/>
        <v>人民币</v>
      </c>
      <c r="B43" t="str">
        <f>"中直股份"</f>
        <v>中直股份</v>
      </c>
      <c r="C43" t="str">
        <f>"20170411"</f>
        <v>20170411</v>
      </c>
      <c r="D43" t="str">
        <f>"53.950"</f>
        <v>53.950</v>
      </c>
      <c r="E43" t="str">
        <f>"-100.00"</f>
        <v>-100.00</v>
      </c>
      <c r="F43" t="str">
        <f>"5384.49"</f>
        <v>5384.49</v>
      </c>
      <c r="G43" t="str">
        <f>"11274.04"</f>
        <v>11274.04</v>
      </c>
      <c r="H43" t="str">
        <f>"0.00"</f>
        <v>0.00</v>
      </c>
      <c r="I43" t="str">
        <f>"13"</f>
        <v>13</v>
      </c>
      <c r="J43" t="str">
        <f>"证券卖出(中直股份)"</f>
        <v>证券卖出(中直股份)</v>
      </c>
      <c r="K43" t="str">
        <f>"5.00"</f>
        <v>5.00</v>
      </c>
      <c r="L43" t="str">
        <f>"5.40"</f>
        <v>5.40</v>
      </c>
      <c r="M43" t="str">
        <f>"0.11"</f>
        <v>0.11</v>
      </c>
      <c r="N43" t="str">
        <f>"0.00"</f>
        <v>0.00</v>
      </c>
      <c r="O43" t="str">
        <f>"600038"</f>
        <v>600038</v>
      </c>
      <c r="P43" t="str">
        <f>"A400948245"</f>
        <v>A400948245</v>
      </c>
    </row>
    <row r="44" spans="1:16" x14ac:dyDescent="0.25">
      <c r="A44" t="str">
        <f t="shared" si="0"/>
        <v>人民币</v>
      </c>
      <c r="B44" t="str">
        <f>"西藏天路"</f>
        <v>西藏天路</v>
      </c>
      <c r="C44" t="str">
        <f>"20170411"</f>
        <v>20170411</v>
      </c>
      <c r="D44" t="str">
        <f>"12.980"</f>
        <v>12.980</v>
      </c>
      <c r="E44" t="str">
        <f>"400.00"</f>
        <v>400.00</v>
      </c>
      <c r="F44" t="str">
        <f>"-5197.10"</f>
        <v>-5197.10</v>
      </c>
      <c r="G44" t="str">
        <f>"6076.94"</f>
        <v>6076.94</v>
      </c>
      <c r="H44" t="str">
        <f>"400.00"</f>
        <v>400.00</v>
      </c>
      <c r="I44" t="str">
        <f>"16"</f>
        <v>16</v>
      </c>
      <c r="J44" t="str">
        <f>"证券买入(西藏天路)"</f>
        <v>证券买入(西藏天路)</v>
      </c>
      <c r="K44" t="str">
        <f>"5.00"</f>
        <v>5.00</v>
      </c>
      <c r="L44" t="str">
        <f>"0.00"</f>
        <v>0.00</v>
      </c>
      <c r="M44" t="str">
        <f>"0.10"</f>
        <v>0.10</v>
      </c>
      <c r="N44" t="str">
        <f>"0.00"</f>
        <v>0.00</v>
      </c>
      <c r="O44" t="str">
        <f>"600326"</f>
        <v>600326</v>
      </c>
      <c r="P44" t="str">
        <f>"A400948245"</f>
        <v>A400948245</v>
      </c>
    </row>
    <row r="45" spans="1:16" x14ac:dyDescent="0.25">
      <c r="A45" t="str">
        <f t="shared" si="0"/>
        <v>人民币</v>
      </c>
      <c r="B45" t="str">
        <f>"三超新材"</f>
        <v>三超新材</v>
      </c>
      <c r="C45" t="str">
        <f>"20170411"</f>
        <v>20170411</v>
      </c>
      <c r="D45" t="str">
        <f>"0.000"</f>
        <v>0.000</v>
      </c>
      <c r="E45" t="str">
        <f>"6.00"</f>
        <v>6.00</v>
      </c>
      <c r="F45" t="str">
        <f>"0.00"</f>
        <v>0.00</v>
      </c>
      <c r="G45" t="str">
        <f>"6076.94"</f>
        <v>6076.94</v>
      </c>
      <c r="H45" t="str">
        <f>"0.00"</f>
        <v>0.00</v>
      </c>
      <c r="I45" t="str">
        <f>"1"</f>
        <v>1</v>
      </c>
      <c r="J45" t="str">
        <f>"申购配号(三超新材)"</f>
        <v>申购配号(三超新材)</v>
      </c>
      <c r="K45" t="str">
        <f>"0.00"</f>
        <v>0.00</v>
      </c>
      <c r="L45" t="str">
        <f>"0.00"</f>
        <v>0.00</v>
      </c>
      <c r="M45" t="str">
        <f>"0.00"</f>
        <v>0.00</v>
      </c>
      <c r="N45" t="str">
        <f>"0.00"</f>
        <v>0.00</v>
      </c>
      <c r="O45" t="str">
        <f>"300554"</f>
        <v>300554</v>
      </c>
      <c r="P45" t="str">
        <f>"0153613480"</f>
        <v>0153613480</v>
      </c>
    </row>
    <row r="46" spans="1:16" x14ac:dyDescent="0.25">
      <c r="A46" t="str">
        <f t="shared" si="0"/>
        <v>人民币</v>
      </c>
      <c r="B46" t="str">
        <f>" "</f>
        <v xml:space="preserve"> </v>
      </c>
      <c r="C46" t="str">
        <f>"20170412"</f>
        <v>20170412</v>
      </c>
      <c r="D46" t="str">
        <f>"---"</f>
        <v>---</v>
      </c>
      <c r="E46" t="str">
        <f>"---"</f>
        <v>---</v>
      </c>
      <c r="F46" t="str">
        <f>"-5000.00"</f>
        <v>-5000.00</v>
      </c>
      <c r="G46" t="str">
        <f>"1076.94"</f>
        <v>1076.94</v>
      </c>
      <c r="H46" t="str">
        <f>"---"</f>
        <v>---</v>
      </c>
      <c r="I46" t="str">
        <f>"---"</f>
        <v>---</v>
      </c>
      <c r="J46" t="str">
        <f>"银行转取"</f>
        <v>银行转取</v>
      </c>
      <c r="K46" t="str">
        <f t="shared" ref="K46:P47" si="20">"---"</f>
        <v>---</v>
      </c>
      <c r="L46" t="str">
        <f t="shared" si="20"/>
        <v>---</v>
      </c>
      <c r="M46" t="str">
        <f t="shared" si="20"/>
        <v>---</v>
      </c>
      <c r="N46" t="str">
        <f t="shared" si="20"/>
        <v>---</v>
      </c>
      <c r="O46" t="str">
        <f t="shared" si="20"/>
        <v>---</v>
      </c>
      <c r="P46" t="str">
        <f t="shared" si="20"/>
        <v>---</v>
      </c>
    </row>
    <row r="47" spans="1:16" x14ac:dyDescent="0.25">
      <c r="A47" t="str">
        <f t="shared" si="0"/>
        <v>人民币</v>
      </c>
      <c r="B47" t="str">
        <f>" "</f>
        <v xml:space="preserve"> </v>
      </c>
      <c r="C47" t="str">
        <f>"20170412"</f>
        <v>20170412</v>
      </c>
      <c r="D47" t="str">
        <f>"---"</f>
        <v>---</v>
      </c>
      <c r="E47" t="str">
        <f>"---"</f>
        <v>---</v>
      </c>
      <c r="F47" t="str">
        <f>"-1000.00"</f>
        <v>-1000.00</v>
      </c>
      <c r="G47" t="str">
        <f>"76.94"</f>
        <v>76.94</v>
      </c>
      <c r="H47" t="str">
        <f>"---"</f>
        <v>---</v>
      </c>
      <c r="I47" t="str">
        <f>"---"</f>
        <v>---</v>
      </c>
      <c r="J47" t="str">
        <f>"银行转取"</f>
        <v>银行转取</v>
      </c>
      <c r="K47" t="str">
        <f t="shared" si="20"/>
        <v>---</v>
      </c>
      <c r="L47" t="str">
        <f t="shared" si="20"/>
        <v>---</v>
      </c>
      <c r="M47" t="str">
        <f t="shared" si="20"/>
        <v>---</v>
      </c>
      <c r="N47" t="str">
        <f t="shared" si="20"/>
        <v>---</v>
      </c>
      <c r="O47" t="str">
        <f t="shared" si="20"/>
        <v>---</v>
      </c>
      <c r="P47" t="str">
        <f t="shared" si="20"/>
        <v>---</v>
      </c>
    </row>
    <row r="48" spans="1:16" x14ac:dyDescent="0.25">
      <c r="A48" t="str">
        <f t="shared" si="0"/>
        <v>人民币</v>
      </c>
      <c r="B48" t="str">
        <f>"透景生命"</f>
        <v>透景生命</v>
      </c>
      <c r="C48" t="str">
        <f>"20170412"</f>
        <v>20170412</v>
      </c>
      <c r="D48" t="str">
        <f>"0.000"</f>
        <v>0.000</v>
      </c>
      <c r="E48" t="str">
        <f>"6.00"</f>
        <v>6.00</v>
      </c>
      <c r="F48" t="str">
        <f>"0.00"</f>
        <v>0.00</v>
      </c>
      <c r="G48" t="str">
        <f>"76.94"</f>
        <v>76.94</v>
      </c>
      <c r="H48" t="str">
        <f>"0.00"</f>
        <v>0.00</v>
      </c>
      <c r="I48" t="str">
        <f>"25"</f>
        <v>25</v>
      </c>
      <c r="J48" t="str">
        <f>"申购配号(透景生命)"</f>
        <v>申购配号(透景生命)</v>
      </c>
      <c r="K48" t="str">
        <f t="shared" ref="K48:N49" si="21">"0.00"</f>
        <v>0.00</v>
      </c>
      <c r="L48" t="str">
        <f t="shared" si="21"/>
        <v>0.00</v>
      </c>
      <c r="M48" t="str">
        <f t="shared" si="21"/>
        <v>0.00</v>
      </c>
      <c r="N48" t="str">
        <f t="shared" si="21"/>
        <v>0.00</v>
      </c>
      <c r="O48" t="str">
        <f>"300642"</f>
        <v>300642</v>
      </c>
      <c r="P48" t="str">
        <f>"0153613480"</f>
        <v>0153613480</v>
      </c>
    </row>
    <row r="49" spans="1:16" x14ac:dyDescent="0.25">
      <c r="A49" t="str">
        <f t="shared" si="0"/>
        <v>人民币</v>
      </c>
      <c r="B49" t="str">
        <f>"正元智慧"</f>
        <v>正元智慧</v>
      </c>
      <c r="C49" t="str">
        <f>"20170412"</f>
        <v>20170412</v>
      </c>
      <c r="D49" t="str">
        <f>"0.000"</f>
        <v>0.000</v>
      </c>
      <c r="E49" t="str">
        <f>"6.00"</f>
        <v>6.00</v>
      </c>
      <c r="F49" t="str">
        <f>"0.00"</f>
        <v>0.00</v>
      </c>
      <c r="G49" t="str">
        <f>"76.94"</f>
        <v>76.94</v>
      </c>
      <c r="H49" t="str">
        <f>"0.00"</f>
        <v>0.00</v>
      </c>
      <c r="I49" t="str">
        <f>"27"</f>
        <v>27</v>
      </c>
      <c r="J49" t="str">
        <f>"申购配号(正元智慧)"</f>
        <v>申购配号(正元智慧)</v>
      </c>
      <c r="K49" t="str">
        <f t="shared" si="21"/>
        <v>0.00</v>
      </c>
      <c r="L49" t="str">
        <f t="shared" si="21"/>
        <v>0.00</v>
      </c>
      <c r="M49" t="str">
        <f t="shared" si="21"/>
        <v>0.00</v>
      </c>
      <c r="N49" t="str">
        <f t="shared" si="21"/>
        <v>0.00</v>
      </c>
      <c r="O49" t="str">
        <f>"300645"</f>
        <v>300645</v>
      </c>
      <c r="P49" t="str">
        <f>"0153613480"</f>
        <v>0153613480</v>
      </c>
    </row>
    <row r="50" spans="1:16" x14ac:dyDescent="0.25">
      <c r="A50" t="str">
        <f t="shared" si="0"/>
        <v>人民币</v>
      </c>
      <c r="B50" t="str">
        <f>" "</f>
        <v xml:space="preserve"> </v>
      </c>
      <c r="C50" t="str">
        <f>"20170414"</f>
        <v>20170414</v>
      </c>
      <c r="D50" t="str">
        <f>"---"</f>
        <v>---</v>
      </c>
      <c r="E50" t="str">
        <f>"---"</f>
        <v>---</v>
      </c>
      <c r="F50" t="str">
        <f>"15000.00"</f>
        <v>15000.00</v>
      </c>
      <c r="G50" t="str">
        <f>"15076.94"</f>
        <v>15076.94</v>
      </c>
      <c r="H50" t="str">
        <f>"---"</f>
        <v>---</v>
      </c>
      <c r="I50" t="str">
        <f>"---"</f>
        <v>---</v>
      </c>
      <c r="J50" t="str">
        <f>"银行转存"</f>
        <v>银行转存</v>
      </c>
      <c r="K50" t="str">
        <f t="shared" ref="K50:P50" si="22">"---"</f>
        <v>---</v>
      </c>
      <c r="L50" t="str">
        <f t="shared" si="22"/>
        <v>---</v>
      </c>
      <c r="M50" t="str">
        <f t="shared" si="22"/>
        <v>---</v>
      </c>
      <c r="N50" t="str">
        <f t="shared" si="22"/>
        <v>---</v>
      </c>
      <c r="O50" t="str">
        <f t="shared" si="22"/>
        <v>---</v>
      </c>
      <c r="P50" t="str">
        <f t="shared" si="22"/>
        <v>---</v>
      </c>
    </row>
    <row r="51" spans="1:16" x14ac:dyDescent="0.25">
      <c r="A51" t="str">
        <f t="shared" si="0"/>
        <v>人民币</v>
      </c>
      <c r="B51" t="str">
        <f>"西藏天路"</f>
        <v>西藏天路</v>
      </c>
      <c r="C51" t="str">
        <f>"20170414"</f>
        <v>20170414</v>
      </c>
      <c r="D51" t="str">
        <f>"11.850"</f>
        <v>11.850</v>
      </c>
      <c r="E51" t="str">
        <f>"400.00"</f>
        <v>400.00</v>
      </c>
      <c r="F51" t="str">
        <f>"-4745.09"</f>
        <v>-4745.09</v>
      </c>
      <c r="G51" t="str">
        <f>"10331.85"</f>
        <v>10331.85</v>
      </c>
      <c r="H51" t="str">
        <f>"800.00"</f>
        <v>800.00</v>
      </c>
      <c r="I51" t="str">
        <f>"39"</f>
        <v>39</v>
      </c>
      <c r="J51" t="str">
        <f>"证券买入(西藏天路)"</f>
        <v>证券买入(西藏天路)</v>
      </c>
      <c r="K51" t="str">
        <f>"5.00"</f>
        <v>5.00</v>
      </c>
      <c r="L51" t="str">
        <f>"0.00"</f>
        <v>0.00</v>
      </c>
      <c r="M51" t="str">
        <f>"0.09"</f>
        <v>0.09</v>
      </c>
      <c r="N51" t="str">
        <f>"0.00"</f>
        <v>0.00</v>
      </c>
      <c r="O51" t="str">
        <f>"600326"</f>
        <v>600326</v>
      </c>
      <c r="P51" t="str">
        <f>"A400948245"</f>
        <v>A400948245</v>
      </c>
    </row>
    <row r="52" spans="1:16" x14ac:dyDescent="0.25">
      <c r="A52" t="str">
        <f t="shared" si="0"/>
        <v>人民币</v>
      </c>
      <c r="B52" t="str">
        <f>"西藏天路"</f>
        <v>西藏天路</v>
      </c>
      <c r="C52" t="str">
        <f>"20170414"</f>
        <v>20170414</v>
      </c>
      <c r="D52" t="str">
        <f>"11.650"</f>
        <v>11.650</v>
      </c>
      <c r="E52" t="str">
        <f>"400.00"</f>
        <v>400.00</v>
      </c>
      <c r="F52" t="str">
        <f>"-4665.09"</f>
        <v>-4665.09</v>
      </c>
      <c r="G52" t="str">
        <f>"5666.76"</f>
        <v>5666.76</v>
      </c>
      <c r="H52" t="str">
        <f>"1200.00"</f>
        <v>1200.00</v>
      </c>
      <c r="I52" t="str">
        <f>"42"</f>
        <v>42</v>
      </c>
      <c r="J52" t="str">
        <f>"证券买入(西藏天路)"</f>
        <v>证券买入(西藏天路)</v>
      </c>
      <c r="K52" t="str">
        <f>"5.00"</f>
        <v>5.00</v>
      </c>
      <c r="L52" t="str">
        <f>"0.00"</f>
        <v>0.00</v>
      </c>
      <c r="M52" t="str">
        <f>"0.09"</f>
        <v>0.09</v>
      </c>
      <c r="N52" t="str">
        <f>"0.00"</f>
        <v>0.00</v>
      </c>
      <c r="O52" t="str">
        <f>"600326"</f>
        <v>600326</v>
      </c>
      <c r="P52" t="str">
        <f>"A400948245"</f>
        <v>A400948245</v>
      </c>
    </row>
    <row r="53" spans="1:16" x14ac:dyDescent="0.25">
      <c r="A53" t="str">
        <f t="shared" si="0"/>
        <v>人民币</v>
      </c>
      <c r="B53" t="str">
        <f>"钧达股份"</f>
        <v>钧达股份</v>
      </c>
      <c r="C53" t="str">
        <f>"20170414"</f>
        <v>20170414</v>
      </c>
      <c r="D53" t="str">
        <f>"0.000"</f>
        <v>0.000</v>
      </c>
      <c r="E53" t="str">
        <f>"6.00"</f>
        <v>6.00</v>
      </c>
      <c r="F53" t="str">
        <f>"0.00"</f>
        <v>0.00</v>
      </c>
      <c r="G53" t="str">
        <f>"5666.76"</f>
        <v>5666.76</v>
      </c>
      <c r="H53" t="str">
        <f>"0.00"</f>
        <v>0.00</v>
      </c>
      <c r="I53" t="str">
        <f>"32"</f>
        <v>32</v>
      </c>
      <c r="J53" t="str">
        <f>"申购配号(钧达股份)"</f>
        <v>申购配号(钧达股份)</v>
      </c>
      <c r="K53" t="str">
        <f>"0.00"</f>
        <v>0.00</v>
      </c>
      <c r="L53" t="str">
        <f>"0.00"</f>
        <v>0.00</v>
      </c>
      <c r="M53" t="str">
        <f>"0.00"</f>
        <v>0.00</v>
      </c>
      <c r="N53" t="str">
        <f>"0.00"</f>
        <v>0.00</v>
      </c>
      <c r="O53" t="str">
        <f>"002865"</f>
        <v>002865</v>
      </c>
      <c r="P53" t="str">
        <f>"0153613480"</f>
        <v>0153613480</v>
      </c>
    </row>
    <row r="54" spans="1:16" x14ac:dyDescent="0.25">
      <c r="A54" t="str">
        <f t="shared" si="0"/>
        <v>人民币</v>
      </c>
      <c r="B54" t="str">
        <f>"传艺科技"</f>
        <v>传艺科技</v>
      </c>
      <c r="C54" t="str">
        <f>"20170417"</f>
        <v>20170417</v>
      </c>
      <c r="D54" t="str">
        <f>"0.000"</f>
        <v>0.000</v>
      </c>
      <c r="E54" t="str">
        <f>"6.00"</f>
        <v>6.00</v>
      </c>
      <c r="F54" t="str">
        <f>"0.00"</f>
        <v>0.00</v>
      </c>
      <c r="G54" t="str">
        <f>"5666.76"</f>
        <v>5666.76</v>
      </c>
      <c r="H54" t="str">
        <f>"0.00"</f>
        <v>0.00</v>
      </c>
      <c r="I54" t="str">
        <f>"48"</f>
        <v>48</v>
      </c>
      <c r="J54" t="str">
        <f>"申购配号(传艺科技)"</f>
        <v>申购配号(传艺科技)</v>
      </c>
      <c r="K54" t="str">
        <f>"0.00"</f>
        <v>0.00</v>
      </c>
      <c r="L54" t="str">
        <f>"0.00"</f>
        <v>0.00</v>
      </c>
      <c r="M54" t="str">
        <f>"0.00"</f>
        <v>0.00</v>
      </c>
      <c r="N54" t="str">
        <f>"0.00"</f>
        <v>0.00</v>
      </c>
      <c r="O54" t="str">
        <f>"002866"</f>
        <v>002866</v>
      </c>
      <c r="P54" t="str">
        <f>"0153613480"</f>
        <v>0153613480</v>
      </c>
    </row>
    <row r="55" spans="1:16" x14ac:dyDescent="0.25">
      <c r="A55" t="str">
        <f t="shared" si="0"/>
        <v>人民币</v>
      </c>
      <c r="B55" t="str">
        <f>"友讯达"</f>
        <v>友讯达</v>
      </c>
      <c r="C55" t="str">
        <f>"20170417"</f>
        <v>20170417</v>
      </c>
      <c r="D55" t="str">
        <f>"0.000"</f>
        <v>0.000</v>
      </c>
      <c r="E55" t="str">
        <f>"6.00"</f>
        <v>6.00</v>
      </c>
      <c r="F55" t="str">
        <f>"0.00"</f>
        <v>0.00</v>
      </c>
      <c r="G55" t="str">
        <f>"5666.76"</f>
        <v>5666.76</v>
      </c>
      <c r="H55" t="str">
        <f>"0.00"</f>
        <v>0.00</v>
      </c>
      <c r="I55" t="str">
        <f>"50"</f>
        <v>50</v>
      </c>
      <c r="J55" t="str">
        <f>"申购配号(友讯达)"</f>
        <v>申购配号(友讯达)</v>
      </c>
      <c r="K55" t="str">
        <f>"0.00"</f>
        <v>0.00</v>
      </c>
      <c r="L55" t="str">
        <f>"0.00"</f>
        <v>0.00</v>
      </c>
      <c r="M55" t="str">
        <f>"0.00"</f>
        <v>0.00</v>
      </c>
      <c r="N55" t="str">
        <f>"0.00"</f>
        <v>0.00</v>
      </c>
      <c r="O55" t="str">
        <f>"300514"</f>
        <v>300514</v>
      </c>
      <c r="P55" t="str">
        <f>"0153613480"</f>
        <v>0153613480</v>
      </c>
    </row>
    <row r="56" spans="1:16" x14ac:dyDescent="0.25">
      <c r="A56" t="str">
        <f t="shared" si="0"/>
        <v>人民币</v>
      </c>
      <c r="B56" t="str">
        <f>" "</f>
        <v xml:space="preserve"> </v>
      </c>
      <c r="C56" t="str">
        <f>"20170418"</f>
        <v>20170418</v>
      </c>
      <c r="D56" t="str">
        <f>"---"</f>
        <v>---</v>
      </c>
      <c r="E56" t="str">
        <f>"---"</f>
        <v>---</v>
      </c>
      <c r="F56" t="str">
        <f>"-5500.00"</f>
        <v>-5500.00</v>
      </c>
      <c r="G56" t="str">
        <f>"166.76"</f>
        <v>166.76</v>
      </c>
      <c r="H56" t="str">
        <f>"---"</f>
        <v>---</v>
      </c>
      <c r="I56" t="str">
        <f>"---"</f>
        <v>---</v>
      </c>
      <c r="J56" t="str">
        <f>"银行转取"</f>
        <v>银行转取</v>
      </c>
      <c r="K56" t="str">
        <f t="shared" ref="K56:P56" si="23">"---"</f>
        <v>---</v>
      </c>
      <c r="L56" t="str">
        <f t="shared" si="23"/>
        <v>---</v>
      </c>
      <c r="M56" t="str">
        <f t="shared" si="23"/>
        <v>---</v>
      </c>
      <c r="N56" t="str">
        <f t="shared" si="23"/>
        <v>---</v>
      </c>
      <c r="O56" t="str">
        <f t="shared" si="23"/>
        <v>---</v>
      </c>
      <c r="P56" t="str">
        <f t="shared" si="23"/>
        <v>---</v>
      </c>
    </row>
    <row r="57" spans="1:16" x14ac:dyDescent="0.25">
      <c r="A57" t="str">
        <f t="shared" si="0"/>
        <v>人民币</v>
      </c>
      <c r="B57" t="str">
        <f>"周大生"</f>
        <v>周大生</v>
      </c>
      <c r="C57" t="str">
        <f>"20170418"</f>
        <v>20170418</v>
      </c>
      <c r="D57" t="str">
        <f>"0.000"</f>
        <v>0.000</v>
      </c>
      <c r="E57" t="str">
        <f>"6.00"</f>
        <v>6.00</v>
      </c>
      <c r="F57" t="str">
        <f>"0.00"</f>
        <v>0.00</v>
      </c>
      <c r="G57" t="str">
        <f>"166.76"</f>
        <v>166.76</v>
      </c>
      <c r="H57" t="str">
        <f>"0.00"</f>
        <v>0.00</v>
      </c>
      <c r="I57" t="str">
        <f>"55"</f>
        <v>55</v>
      </c>
      <c r="J57" t="str">
        <f>"申购配号(周大生)"</f>
        <v>申购配号(周大生)</v>
      </c>
      <c r="K57" t="str">
        <f>"0.00"</f>
        <v>0.00</v>
      </c>
      <c r="L57" t="str">
        <f>"0.00"</f>
        <v>0.00</v>
      </c>
      <c r="M57" t="str">
        <f>"0.00"</f>
        <v>0.00</v>
      </c>
      <c r="N57" t="str">
        <f>"0.00"</f>
        <v>0.00</v>
      </c>
      <c r="O57" t="str">
        <f>"002867"</f>
        <v>002867</v>
      </c>
      <c r="P57" t="str">
        <f>"0153613480"</f>
        <v>0153613480</v>
      </c>
    </row>
    <row r="58" spans="1:16" x14ac:dyDescent="0.25">
      <c r="A58" t="str">
        <f t="shared" si="0"/>
        <v>人民币</v>
      </c>
      <c r="B58" t="str">
        <f t="shared" ref="B58:B63" si="24">"西藏天路"</f>
        <v>西藏天路</v>
      </c>
      <c r="C58" t="str">
        <f>"20170420"</f>
        <v>20170420</v>
      </c>
      <c r="D58" t="str">
        <f>"12.300"</f>
        <v>12.300</v>
      </c>
      <c r="E58" t="str">
        <f>"-400.00"</f>
        <v>-400.00</v>
      </c>
      <c r="F58" t="str">
        <f>"4909.98"</f>
        <v>4909.98</v>
      </c>
      <c r="G58" t="str">
        <f>"5076.74"</f>
        <v>5076.74</v>
      </c>
      <c r="H58" t="str">
        <f>"800.00"</f>
        <v>800.00</v>
      </c>
      <c r="I58" t="str">
        <f>"58"</f>
        <v>58</v>
      </c>
      <c r="J58" t="str">
        <f>"证券卖出(西藏天路)"</f>
        <v>证券卖出(西藏天路)</v>
      </c>
      <c r="K58" t="str">
        <f t="shared" ref="K58:K63" si="25">"5.00"</f>
        <v>5.00</v>
      </c>
      <c r="L58" t="str">
        <f>"4.92"</f>
        <v>4.92</v>
      </c>
      <c r="M58" t="str">
        <f>"0.10"</f>
        <v>0.10</v>
      </c>
      <c r="N58" t="str">
        <f t="shared" ref="N58:N65" si="26">"0.00"</f>
        <v>0.00</v>
      </c>
      <c r="O58" t="str">
        <f t="shared" ref="O58:O63" si="27">"600326"</f>
        <v>600326</v>
      </c>
      <c r="P58" t="str">
        <f t="shared" ref="P58:P63" si="28">"A400948245"</f>
        <v>A400948245</v>
      </c>
    </row>
    <row r="59" spans="1:16" x14ac:dyDescent="0.25">
      <c r="A59" t="str">
        <f t="shared" si="0"/>
        <v>人民币</v>
      </c>
      <c r="B59" t="str">
        <f t="shared" si="24"/>
        <v>西藏天路</v>
      </c>
      <c r="C59" t="str">
        <f>"20170420"</f>
        <v>20170420</v>
      </c>
      <c r="D59" t="str">
        <f>"12.610"</f>
        <v>12.610</v>
      </c>
      <c r="E59" t="str">
        <f>"-400.00"</f>
        <v>-400.00</v>
      </c>
      <c r="F59" t="str">
        <f>"5033.86"</f>
        <v>5033.86</v>
      </c>
      <c r="G59" t="str">
        <f>"10110.60"</f>
        <v>10110.60</v>
      </c>
      <c r="H59" t="str">
        <f>"400.00"</f>
        <v>400.00</v>
      </c>
      <c r="I59" t="str">
        <f>"61"</f>
        <v>61</v>
      </c>
      <c r="J59" t="str">
        <f>"证券卖出(西藏天路)"</f>
        <v>证券卖出(西藏天路)</v>
      </c>
      <c r="K59" t="str">
        <f t="shared" si="25"/>
        <v>5.00</v>
      </c>
      <c r="L59" t="str">
        <f>"5.04"</f>
        <v>5.04</v>
      </c>
      <c r="M59" t="str">
        <f>"0.10"</f>
        <v>0.10</v>
      </c>
      <c r="N59" t="str">
        <f t="shared" si="26"/>
        <v>0.00</v>
      </c>
      <c r="O59" t="str">
        <f t="shared" si="27"/>
        <v>600326</v>
      </c>
      <c r="P59" t="str">
        <f t="shared" si="28"/>
        <v>A400948245</v>
      </c>
    </row>
    <row r="60" spans="1:16" x14ac:dyDescent="0.25">
      <c r="A60" t="str">
        <f t="shared" si="0"/>
        <v>人民币</v>
      </c>
      <c r="B60" t="str">
        <f t="shared" si="24"/>
        <v>西藏天路</v>
      </c>
      <c r="C60" t="str">
        <f>"20170420"</f>
        <v>20170420</v>
      </c>
      <c r="D60" t="str">
        <f>"12.700"</f>
        <v>12.700</v>
      </c>
      <c r="E60" t="str">
        <f>"-400.00"</f>
        <v>-400.00</v>
      </c>
      <c r="F60" t="str">
        <f>"5069.82"</f>
        <v>5069.82</v>
      </c>
      <c r="G60" t="str">
        <f>"15180.42"</f>
        <v>15180.42</v>
      </c>
      <c r="H60" t="str">
        <f>"0.00"</f>
        <v>0.00</v>
      </c>
      <c r="I60" t="str">
        <f>"64"</f>
        <v>64</v>
      </c>
      <c r="J60" t="str">
        <f>"证券卖出(西藏天路)"</f>
        <v>证券卖出(西藏天路)</v>
      </c>
      <c r="K60" t="str">
        <f t="shared" si="25"/>
        <v>5.00</v>
      </c>
      <c r="L60" t="str">
        <f>"5.08"</f>
        <v>5.08</v>
      </c>
      <c r="M60" t="str">
        <f>"0.10"</f>
        <v>0.10</v>
      </c>
      <c r="N60" t="str">
        <f t="shared" si="26"/>
        <v>0.00</v>
      </c>
      <c r="O60" t="str">
        <f t="shared" si="27"/>
        <v>600326</v>
      </c>
      <c r="P60" t="str">
        <f t="shared" si="28"/>
        <v>A400948245</v>
      </c>
    </row>
    <row r="61" spans="1:16" x14ac:dyDescent="0.25">
      <c r="A61" t="str">
        <f t="shared" si="0"/>
        <v>人民币</v>
      </c>
      <c r="B61" t="str">
        <f t="shared" si="24"/>
        <v>西藏天路</v>
      </c>
      <c r="C61" t="str">
        <f>"20170421"</f>
        <v>20170421</v>
      </c>
      <c r="D61" t="str">
        <f>"12.730"</f>
        <v>12.730</v>
      </c>
      <c r="E61" t="str">
        <f>"400.00"</f>
        <v>400.00</v>
      </c>
      <c r="F61" t="str">
        <f>"-5097.10"</f>
        <v>-5097.10</v>
      </c>
      <c r="G61" t="str">
        <f>"10083.32"</f>
        <v>10083.32</v>
      </c>
      <c r="H61" t="str">
        <f>"400.00"</f>
        <v>400.00</v>
      </c>
      <c r="I61" t="str">
        <f>"74"</f>
        <v>74</v>
      </c>
      <c r="J61" t="str">
        <f>"证券买入(西藏天路)"</f>
        <v>证券买入(西藏天路)</v>
      </c>
      <c r="K61" t="str">
        <f t="shared" si="25"/>
        <v>5.00</v>
      </c>
      <c r="L61" t="str">
        <f>"0.00"</f>
        <v>0.00</v>
      </c>
      <c r="M61" t="str">
        <f>"0.10"</f>
        <v>0.10</v>
      </c>
      <c r="N61" t="str">
        <f t="shared" si="26"/>
        <v>0.00</v>
      </c>
      <c r="O61" t="str">
        <f t="shared" si="27"/>
        <v>600326</v>
      </c>
      <c r="P61" t="str">
        <f t="shared" si="28"/>
        <v>A400948245</v>
      </c>
    </row>
    <row r="62" spans="1:16" x14ac:dyDescent="0.25">
      <c r="A62" t="str">
        <f t="shared" si="0"/>
        <v>人民币</v>
      </c>
      <c r="B62" t="str">
        <f t="shared" si="24"/>
        <v>西藏天路</v>
      </c>
      <c r="C62" t="str">
        <f>"20170421"</f>
        <v>20170421</v>
      </c>
      <c r="D62" t="str">
        <f>"12.740"</f>
        <v>12.740</v>
      </c>
      <c r="E62" t="str">
        <f>"400.00"</f>
        <v>400.00</v>
      </c>
      <c r="F62" t="str">
        <f>"-5101.10"</f>
        <v>-5101.10</v>
      </c>
      <c r="G62" t="str">
        <f>"4982.22"</f>
        <v>4982.22</v>
      </c>
      <c r="H62" t="str">
        <f>"800.00"</f>
        <v>800.00</v>
      </c>
      <c r="I62" t="str">
        <f>"77"</f>
        <v>77</v>
      </c>
      <c r="J62" t="str">
        <f>"证券买入(西藏天路)"</f>
        <v>证券买入(西藏天路)</v>
      </c>
      <c r="K62" t="str">
        <f t="shared" si="25"/>
        <v>5.00</v>
      </c>
      <c r="L62" t="str">
        <f>"0.00"</f>
        <v>0.00</v>
      </c>
      <c r="M62" t="str">
        <f>"0.10"</f>
        <v>0.10</v>
      </c>
      <c r="N62" t="str">
        <f t="shared" si="26"/>
        <v>0.00</v>
      </c>
      <c r="O62" t="str">
        <f t="shared" si="27"/>
        <v>600326</v>
      </c>
      <c r="P62" t="str">
        <f t="shared" si="28"/>
        <v>A400948245</v>
      </c>
    </row>
    <row r="63" spans="1:16" x14ac:dyDescent="0.25">
      <c r="A63" t="str">
        <f t="shared" si="0"/>
        <v>人民币</v>
      </c>
      <c r="B63" t="str">
        <f t="shared" si="24"/>
        <v>西藏天路</v>
      </c>
      <c r="C63" t="str">
        <f>"20170421"</f>
        <v>20170421</v>
      </c>
      <c r="D63" t="str">
        <f>"12.640"</f>
        <v>12.640</v>
      </c>
      <c r="E63" t="str">
        <f>"300.00"</f>
        <v>300.00</v>
      </c>
      <c r="F63" t="str">
        <f>"-3797.08"</f>
        <v>-3797.08</v>
      </c>
      <c r="G63" t="str">
        <f>"1185.14"</f>
        <v>1185.14</v>
      </c>
      <c r="H63" t="str">
        <f>"1100.00"</f>
        <v>1100.00</v>
      </c>
      <c r="I63" t="str">
        <f>"80"</f>
        <v>80</v>
      </c>
      <c r="J63" t="str">
        <f>"证券买入(西藏天路)"</f>
        <v>证券买入(西藏天路)</v>
      </c>
      <c r="K63" t="str">
        <f t="shared" si="25"/>
        <v>5.00</v>
      </c>
      <c r="L63" t="str">
        <f>"0.00"</f>
        <v>0.00</v>
      </c>
      <c r="M63" t="str">
        <f>"0.08"</f>
        <v>0.08</v>
      </c>
      <c r="N63" t="str">
        <f t="shared" si="26"/>
        <v>0.00</v>
      </c>
      <c r="O63" t="str">
        <f t="shared" si="27"/>
        <v>600326</v>
      </c>
      <c r="P63" t="str">
        <f t="shared" si="28"/>
        <v>A400948245</v>
      </c>
    </row>
    <row r="64" spans="1:16" x14ac:dyDescent="0.25">
      <c r="A64" t="str">
        <f t="shared" si="0"/>
        <v>人民币</v>
      </c>
      <c r="B64" t="str">
        <f>"太龙照明"</f>
        <v>太龙照明</v>
      </c>
      <c r="C64" t="str">
        <f>"20170421"</f>
        <v>20170421</v>
      </c>
      <c r="D64" t="str">
        <f>"0.000"</f>
        <v>0.000</v>
      </c>
      <c r="E64" t="str">
        <f>"6.00"</f>
        <v>6.00</v>
      </c>
      <c r="F64" t="str">
        <f>"0.00"</f>
        <v>0.00</v>
      </c>
      <c r="G64" t="str">
        <f>"1185.14"</f>
        <v>1185.14</v>
      </c>
      <c r="H64" t="str">
        <f>"0.00"</f>
        <v>0.00</v>
      </c>
      <c r="I64" t="str">
        <f>"85"</f>
        <v>85</v>
      </c>
      <c r="J64" t="str">
        <f>"申购配号(太龙照明)"</f>
        <v>申购配号(太龙照明)</v>
      </c>
      <c r="K64" t="str">
        <f>"0.00"</f>
        <v>0.00</v>
      </c>
      <c r="L64" t="str">
        <f>"0.00"</f>
        <v>0.00</v>
      </c>
      <c r="M64" t="str">
        <f>"0.00"</f>
        <v>0.00</v>
      </c>
      <c r="N64" t="str">
        <f t="shared" si="26"/>
        <v>0.00</v>
      </c>
      <c r="O64" t="str">
        <f>"300650"</f>
        <v>300650</v>
      </c>
      <c r="P64" t="str">
        <f>"0153613480"</f>
        <v>0153613480</v>
      </c>
    </row>
    <row r="65" spans="1:16" x14ac:dyDescent="0.25">
      <c r="A65" t="str">
        <f t="shared" si="0"/>
        <v>人民币</v>
      </c>
      <c r="B65" t="str">
        <f>"万通智控"</f>
        <v>万通智控</v>
      </c>
      <c r="C65" t="str">
        <f>"20170421"</f>
        <v>20170421</v>
      </c>
      <c r="D65" t="str">
        <f>"0.000"</f>
        <v>0.000</v>
      </c>
      <c r="E65" t="str">
        <f>"6.00"</f>
        <v>6.00</v>
      </c>
      <c r="F65" t="str">
        <f>"0.00"</f>
        <v>0.00</v>
      </c>
      <c r="G65" t="str">
        <f>"1185.14"</f>
        <v>1185.14</v>
      </c>
      <c r="H65" t="str">
        <f>"0.00"</f>
        <v>0.00</v>
      </c>
      <c r="I65" t="str">
        <f>"83"</f>
        <v>83</v>
      </c>
      <c r="J65" t="str">
        <f>"申购配号(万通智控)"</f>
        <v>申购配号(万通智控)</v>
      </c>
      <c r="K65" t="str">
        <f>"0.00"</f>
        <v>0.00</v>
      </c>
      <c r="L65" t="str">
        <f>"0.00"</f>
        <v>0.00</v>
      </c>
      <c r="M65" t="str">
        <f>"0.00"</f>
        <v>0.00</v>
      </c>
      <c r="N65" t="str">
        <f t="shared" si="26"/>
        <v>0.00</v>
      </c>
      <c r="O65" t="str">
        <f>"300643"</f>
        <v>300643</v>
      </c>
      <c r="P65" t="str">
        <f>"0153613480"</f>
        <v>0153613480</v>
      </c>
    </row>
    <row r="66" spans="1:16" x14ac:dyDescent="0.25">
      <c r="A66" t="str">
        <f t="shared" ref="A66:A129" si="29">"人民币"</f>
        <v>人民币</v>
      </c>
      <c r="B66" t="str">
        <f>" "</f>
        <v xml:space="preserve"> </v>
      </c>
      <c r="C66" t="str">
        <f>"20170425"</f>
        <v>20170425</v>
      </c>
      <c r="D66" t="str">
        <f>"---"</f>
        <v>---</v>
      </c>
      <c r="E66" t="str">
        <f>"---"</f>
        <v>---</v>
      </c>
      <c r="F66" t="str">
        <f>"9500.00"</f>
        <v>9500.00</v>
      </c>
      <c r="G66" t="str">
        <f>"10685.14"</f>
        <v>10685.14</v>
      </c>
      <c r="H66" t="str">
        <f>"---"</f>
        <v>---</v>
      </c>
      <c r="I66" t="str">
        <f>"---"</f>
        <v>---</v>
      </c>
      <c r="J66" t="str">
        <f>"银行转存"</f>
        <v>银行转存</v>
      </c>
      <c r="K66" t="str">
        <f t="shared" ref="K66:P66" si="30">"---"</f>
        <v>---</v>
      </c>
      <c r="L66" t="str">
        <f t="shared" si="30"/>
        <v>---</v>
      </c>
      <c r="M66" t="str">
        <f t="shared" si="30"/>
        <v>---</v>
      </c>
      <c r="N66" t="str">
        <f t="shared" si="30"/>
        <v>---</v>
      </c>
      <c r="O66" t="str">
        <f t="shared" si="30"/>
        <v>---</v>
      </c>
      <c r="P66" t="str">
        <f t="shared" si="30"/>
        <v>---</v>
      </c>
    </row>
    <row r="67" spans="1:16" x14ac:dyDescent="0.25">
      <c r="A67" t="str">
        <f t="shared" si="29"/>
        <v>人民币</v>
      </c>
      <c r="B67" t="str">
        <f>"西藏天路"</f>
        <v>西藏天路</v>
      </c>
      <c r="C67" t="str">
        <f>"20170425"</f>
        <v>20170425</v>
      </c>
      <c r="D67" t="str">
        <f>"11.700"</f>
        <v>11.700</v>
      </c>
      <c r="E67" t="str">
        <f>"400.00"</f>
        <v>400.00</v>
      </c>
      <c r="F67" t="str">
        <f>"-4685.09"</f>
        <v>-4685.09</v>
      </c>
      <c r="G67" t="str">
        <f>"6000.05"</f>
        <v>6000.05</v>
      </c>
      <c r="H67" t="str">
        <f>"1500.00"</f>
        <v>1500.00</v>
      </c>
      <c r="I67" t="str">
        <f>"93"</f>
        <v>93</v>
      </c>
      <c r="J67" t="str">
        <f>"证券买入(西藏天路)"</f>
        <v>证券买入(西藏天路)</v>
      </c>
      <c r="K67" t="str">
        <f>"5.00"</f>
        <v>5.00</v>
      </c>
      <c r="L67" t="str">
        <f>"0.00"</f>
        <v>0.00</v>
      </c>
      <c r="M67" t="str">
        <f>"0.09"</f>
        <v>0.09</v>
      </c>
      <c r="N67" t="str">
        <f>"0.00"</f>
        <v>0.00</v>
      </c>
      <c r="O67" t="str">
        <f>"600326"</f>
        <v>600326</v>
      </c>
      <c r="P67" t="str">
        <f>"A400948245"</f>
        <v>A400948245</v>
      </c>
    </row>
    <row r="68" spans="1:16" x14ac:dyDescent="0.25">
      <c r="A68" t="str">
        <f t="shared" si="29"/>
        <v>人民币</v>
      </c>
      <c r="B68" t="str">
        <f>"西藏天路"</f>
        <v>西藏天路</v>
      </c>
      <c r="C68" t="str">
        <f>"20170426"</f>
        <v>20170426</v>
      </c>
      <c r="D68" t="str">
        <f>"12.870"</f>
        <v>12.870</v>
      </c>
      <c r="E68" t="str">
        <f>"-800.00"</f>
        <v>-800.00</v>
      </c>
      <c r="F68" t="str">
        <f>"10280.49"</f>
        <v>10280.49</v>
      </c>
      <c r="G68" t="str">
        <f>"16280.54"</f>
        <v>16280.54</v>
      </c>
      <c r="H68" t="str">
        <f>"700.00"</f>
        <v>700.00</v>
      </c>
      <c r="I68" t="str">
        <f>"97"</f>
        <v>97</v>
      </c>
      <c r="J68" t="str">
        <f>"证券卖出(西藏天路)"</f>
        <v>证券卖出(西藏天路)</v>
      </c>
      <c r="K68" t="str">
        <f>"5.00"</f>
        <v>5.00</v>
      </c>
      <c r="L68" t="str">
        <f>"10.30"</f>
        <v>10.30</v>
      </c>
      <c r="M68" t="str">
        <f>"0.21"</f>
        <v>0.21</v>
      </c>
      <c r="N68" t="str">
        <f>"0.00"</f>
        <v>0.00</v>
      </c>
      <c r="O68" t="str">
        <f>"600326"</f>
        <v>600326</v>
      </c>
      <c r="P68" t="str">
        <f>"A400948245"</f>
        <v>A400948245</v>
      </c>
    </row>
    <row r="69" spans="1:16" x14ac:dyDescent="0.25">
      <c r="A69" t="str">
        <f t="shared" si="29"/>
        <v>人民币</v>
      </c>
      <c r="B69" t="str">
        <f>"西藏天路"</f>
        <v>西藏天路</v>
      </c>
      <c r="C69" t="str">
        <f>"20170426"</f>
        <v>20170426</v>
      </c>
      <c r="D69" t="str">
        <f>"12.700"</f>
        <v>12.700</v>
      </c>
      <c r="E69" t="str">
        <f>"-300.00"</f>
        <v>-300.00</v>
      </c>
      <c r="F69" t="str">
        <f>"3801.11"</f>
        <v>3801.11</v>
      </c>
      <c r="G69" t="str">
        <f>"20081.65"</f>
        <v>20081.65</v>
      </c>
      <c r="H69" t="str">
        <f>"400.00"</f>
        <v>400.00</v>
      </c>
      <c r="I69" t="str">
        <f>"103"</f>
        <v>103</v>
      </c>
      <c r="J69" t="str">
        <f>"证券卖出(西藏天路)"</f>
        <v>证券卖出(西藏天路)</v>
      </c>
      <c r="K69" t="str">
        <f>"5.00"</f>
        <v>5.00</v>
      </c>
      <c r="L69" t="str">
        <f>"3.81"</f>
        <v>3.81</v>
      </c>
      <c r="M69" t="str">
        <f>"0.08"</f>
        <v>0.08</v>
      </c>
      <c r="N69" t="str">
        <f>"0.00"</f>
        <v>0.00</v>
      </c>
      <c r="O69" t="str">
        <f>"600326"</f>
        <v>600326</v>
      </c>
      <c r="P69" t="str">
        <f>"A400948245"</f>
        <v>A400948245</v>
      </c>
    </row>
    <row r="70" spans="1:16" x14ac:dyDescent="0.25">
      <c r="A70" t="str">
        <f t="shared" si="29"/>
        <v>人民币</v>
      </c>
      <c r="B70" t="str">
        <f>"西藏天路"</f>
        <v>西藏天路</v>
      </c>
      <c r="C70" t="str">
        <f>"20170426"</f>
        <v>20170426</v>
      </c>
      <c r="D70" t="str">
        <f>"12.870"</f>
        <v>12.870</v>
      </c>
      <c r="E70" t="str">
        <f>"-400.00"</f>
        <v>-400.00</v>
      </c>
      <c r="F70" t="str">
        <f>"5137.75"</f>
        <v>5137.75</v>
      </c>
      <c r="G70" t="str">
        <f>"25219.40"</f>
        <v>25219.40</v>
      </c>
      <c r="H70" t="str">
        <f>"0.00"</f>
        <v>0.00</v>
      </c>
      <c r="I70" t="str">
        <f>"106"</f>
        <v>106</v>
      </c>
      <c r="J70" t="str">
        <f>"证券卖出(西藏天路)"</f>
        <v>证券卖出(西藏天路)</v>
      </c>
      <c r="K70" t="str">
        <f>"5.00"</f>
        <v>5.00</v>
      </c>
      <c r="L70" t="str">
        <f>"5.15"</f>
        <v>5.15</v>
      </c>
      <c r="M70" t="str">
        <f>"0.10"</f>
        <v>0.10</v>
      </c>
      <c r="N70" t="str">
        <f>"0.00"</f>
        <v>0.00</v>
      </c>
      <c r="O70" t="str">
        <f>"600326"</f>
        <v>600326</v>
      </c>
      <c r="P70" t="str">
        <f>"A400948245"</f>
        <v>A400948245</v>
      </c>
    </row>
    <row r="71" spans="1:16" x14ac:dyDescent="0.25">
      <c r="A71" t="str">
        <f t="shared" si="29"/>
        <v>人民币</v>
      </c>
      <c r="B71" t="str">
        <f>" "</f>
        <v xml:space="preserve"> </v>
      </c>
      <c r="C71" t="str">
        <f>"20170427"</f>
        <v>20170427</v>
      </c>
      <c r="D71" t="str">
        <f>"---"</f>
        <v>---</v>
      </c>
      <c r="E71" t="str">
        <f>"---"</f>
        <v>---</v>
      </c>
      <c r="F71" t="str">
        <f>"-2000.00"</f>
        <v>-2000.00</v>
      </c>
      <c r="G71" t="str">
        <f>"23219.40"</f>
        <v>23219.40</v>
      </c>
      <c r="H71" t="str">
        <f>"---"</f>
        <v>---</v>
      </c>
      <c r="I71" t="str">
        <f>"---"</f>
        <v>---</v>
      </c>
      <c r="J71" t="str">
        <f>"银行转取"</f>
        <v>银行转取</v>
      </c>
      <c r="K71" t="str">
        <f t="shared" ref="K71:P71" si="31">"---"</f>
        <v>---</v>
      </c>
      <c r="L71" t="str">
        <f t="shared" si="31"/>
        <v>---</v>
      </c>
      <c r="M71" t="str">
        <f t="shared" si="31"/>
        <v>---</v>
      </c>
      <c r="N71" t="str">
        <f t="shared" si="31"/>
        <v>---</v>
      </c>
      <c r="O71" t="str">
        <f t="shared" si="31"/>
        <v>---</v>
      </c>
      <c r="P71" t="str">
        <f t="shared" si="31"/>
        <v>---</v>
      </c>
    </row>
    <row r="72" spans="1:16" x14ac:dyDescent="0.25">
      <c r="A72" t="str">
        <f t="shared" si="29"/>
        <v>人民币</v>
      </c>
      <c r="B72" t="str">
        <f>"西部建设"</f>
        <v>西部建设</v>
      </c>
      <c r="C72" t="str">
        <f>"20170427"</f>
        <v>20170427</v>
      </c>
      <c r="D72" t="str">
        <f>"23.220"</f>
        <v>23.220</v>
      </c>
      <c r="E72" t="str">
        <f>"300.00"</f>
        <v>300.00</v>
      </c>
      <c r="F72" t="str">
        <f>"-6971.00"</f>
        <v>-6971.00</v>
      </c>
      <c r="G72" t="str">
        <f>"16248.40"</f>
        <v>16248.40</v>
      </c>
      <c r="H72" t="str">
        <f>"300.00"</f>
        <v>300.00</v>
      </c>
      <c r="I72" t="str">
        <f>"112"</f>
        <v>112</v>
      </c>
      <c r="J72" t="str">
        <f>"证券买入(西部建设)"</f>
        <v>证券买入(西部建设)</v>
      </c>
      <c r="K72" t="str">
        <f>"5.00"</f>
        <v>5.00</v>
      </c>
      <c r="L72" t="str">
        <f t="shared" ref="L72:N73" si="32">"0.00"</f>
        <v>0.00</v>
      </c>
      <c r="M72" t="str">
        <f t="shared" si="32"/>
        <v>0.00</v>
      </c>
      <c r="N72" t="str">
        <f t="shared" si="32"/>
        <v>0.00</v>
      </c>
      <c r="O72" t="str">
        <f>"002302"</f>
        <v>002302</v>
      </c>
      <c r="P72" t="str">
        <f t="shared" ref="P72:P81" si="33">"0153613480"</f>
        <v>0153613480</v>
      </c>
    </row>
    <row r="73" spans="1:16" x14ac:dyDescent="0.25">
      <c r="A73" t="str">
        <f t="shared" si="29"/>
        <v>人民币</v>
      </c>
      <c r="B73" t="str">
        <f>"西部建设"</f>
        <v>西部建设</v>
      </c>
      <c r="C73" t="str">
        <f>"20170427"</f>
        <v>20170427</v>
      </c>
      <c r="D73" t="str">
        <f>"23.000"</f>
        <v>23.000</v>
      </c>
      <c r="E73" t="str">
        <f>"300.00"</f>
        <v>300.00</v>
      </c>
      <c r="F73" t="str">
        <f>"-6905.00"</f>
        <v>-6905.00</v>
      </c>
      <c r="G73" t="str">
        <f>"9343.40"</f>
        <v>9343.40</v>
      </c>
      <c r="H73" t="str">
        <f>"600.00"</f>
        <v>600.00</v>
      </c>
      <c r="I73" t="str">
        <f>"115"</f>
        <v>115</v>
      </c>
      <c r="J73" t="str">
        <f>"证券买入(西部建设)"</f>
        <v>证券买入(西部建设)</v>
      </c>
      <c r="K73" t="str">
        <f>"5.00"</f>
        <v>5.00</v>
      </c>
      <c r="L73" t="str">
        <f t="shared" si="32"/>
        <v>0.00</v>
      </c>
      <c r="M73" t="str">
        <f t="shared" si="32"/>
        <v>0.00</v>
      </c>
      <c r="N73" t="str">
        <f t="shared" si="32"/>
        <v>0.00</v>
      </c>
      <c r="O73" t="str">
        <f>"002302"</f>
        <v>002302</v>
      </c>
      <c r="P73" t="str">
        <f t="shared" si="33"/>
        <v>0153613480</v>
      </c>
    </row>
    <row r="74" spans="1:16" x14ac:dyDescent="0.25">
      <c r="A74" t="str">
        <f t="shared" si="29"/>
        <v>人民币</v>
      </c>
      <c r="B74" t="str">
        <f>"西部建设"</f>
        <v>西部建设</v>
      </c>
      <c r="C74" t="str">
        <f>"20170502"</f>
        <v>20170502</v>
      </c>
      <c r="D74" t="str">
        <f>"24.500"</f>
        <v>24.500</v>
      </c>
      <c r="E74" t="str">
        <f>"-600.00"</f>
        <v>-600.00</v>
      </c>
      <c r="F74" t="str">
        <f>"14680.30"</f>
        <v>14680.30</v>
      </c>
      <c r="G74" t="str">
        <f>"24023.70"</f>
        <v>24023.70</v>
      </c>
      <c r="H74" t="str">
        <f>"0.00"</f>
        <v>0.00</v>
      </c>
      <c r="I74" t="str">
        <f>"124"</f>
        <v>124</v>
      </c>
      <c r="J74" t="str">
        <f>"证券卖出(西部建设)"</f>
        <v>证券卖出(西部建设)</v>
      </c>
      <c r="K74" t="str">
        <f>"5.00"</f>
        <v>5.00</v>
      </c>
      <c r="L74" t="str">
        <f>"14.70"</f>
        <v>14.70</v>
      </c>
      <c r="M74" t="str">
        <f t="shared" ref="M74:N81" si="34">"0.00"</f>
        <v>0.00</v>
      </c>
      <c r="N74" t="str">
        <f t="shared" si="34"/>
        <v>0.00</v>
      </c>
      <c r="O74" t="str">
        <f>"002302"</f>
        <v>002302</v>
      </c>
      <c r="P74" t="str">
        <f t="shared" si="33"/>
        <v>0153613480</v>
      </c>
    </row>
    <row r="75" spans="1:16" x14ac:dyDescent="0.25">
      <c r="A75" t="str">
        <f t="shared" si="29"/>
        <v>人民币</v>
      </c>
      <c r="B75" t="str">
        <f>"金溢科技"</f>
        <v>金溢科技</v>
      </c>
      <c r="C75" t="str">
        <f>"20170502"</f>
        <v>20170502</v>
      </c>
      <c r="D75" t="str">
        <f>"0.000"</f>
        <v>0.000</v>
      </c>
      <c r="E75" t="str">
        <f>"6.00"</f>
        <v>6.00</v>
      </c>
      <c r="F75" t="str">
        <f>"0.00"</f>
        <v>0.00</v>
      </c>
      <c r="G75" t="str">
        <f>"24023.70"</f>
        <v>24023.70</v>
      </c>
      <c r="H75" t="str">
        <f>"0.00"</f>
        <v>0.00</v>
      </c>
      <c r="I75" t="str">
        <f>" "</f>
        <v xml:space="preserve"> </v>
      </c>
      <c r="J75" t="str">
        <f>"申购配号(金溢科技)"</f>
        <v>申购配号(金溢科技)</v>
      </c>
      <c r="K75" t="str">
        <f>"0.00"</f>
        <v>0.00</v>
      </c>
      <c r="L75" t="str">
        <f>"0.00"</f>
        <v>0.00</v>
      </c>
      <c r="M75" t="str">
        <f t="shared" si="34"/>
        <v>0.00</v>
      </c>
      <c r="N75" t="str">
        <f t="shared" si="34"/>
        <v>0.00</v>
      </c>
      <c r="O75" t="str">
        <f>"002869"</f>
        <v>002869</v>
      </c>
      <c r="P75" t="str">
        <f t="shared" si="33"/>
        <v>0153613480</v>
      </c>
    </row>
    <row r="76" spans="1:16" x14ac:dyDescent="0.25">
      <c r="A76" t="str">
        <f t="shared" si="29"/>
        <v>人民币</v>
      </c>
      <c r="B76" t="str">
        <f>"伟隆股份"</f>
        <v>伟隆股份</v>
      </c>
      <c r="C76" t="str">
        <f>"20170502"</f>
        <v>20170502</v>
      </c>
      <c r="D76" t="str">
        <f>"0.000"</f>
        <v>0.000</v>
      </c>
      <c r="E76" t="str">
        <f>"6.00"</f>
        <v>6.00</v>
      </c>
      <c r="F76" t="str">
        <f>"0.00"</f>
        <v>0.00</v>
      </c>
      <c r="G76" t="str">
        <f>"24023.70"</f>
        <v>24023.70</v>
      </c>
      <c r="H76" t="str">
        <f>"0.00"</f>
        <v>0.00</v>
      </c>
      <c r="I76" t="str">
        <f>" "</f>
        <v xml:space="preserve"> </v>
      </c>
      <c r="J76" t="str">
        <f>"申购配号(伟隆股份)"</f>
        <v>申购配号(伟隆股份)</v>
      </c>
      <c r="K76" t="str">
        <f>"0.00"</f>
        <v>0.00</v>
      </c>
      <c r="L76" t="str">
        <f>"0.00"</f>
        <v>0.00</v>
      </c>
      <c r="M76" t="str">
        <f t="shared" si="34"/>
        <v>0.00</v>
      </c>
      <c r="N76" t="str">
        <f t="shared" si="34"/>
        <v>0.00</v>
      </c>
      <c r="O76" t="str">
        <f>"002871"</f>
        <v>002871</v>
      </c>
      <c r="P76" t="str">
        <f t="shared" si="33"/>
        <v>0153613480</v>
      </c>
    </row>
    <row r="77" spans="1:16" x14ac:dyDescent="0.25">
      <c r="A77" t="str">
        <f t="shared" si="29"/>
        <v>人民币</v>
      </c>
      <c r="B77" t="str">
        <f>"冀东水泥"</f>
        <v>冀东水泥</v>
      </c>
      <c r="C77" t="str">
        <f>"20170503"</f>
        <v>20170503</v>
      </c>
      <c r="D77" t="str">
        <f>"21.070"</f>
        <v>21.070</v>
      </c>
      <c r="E77" t="str">
        <f>"400.00"</f>
        <v>400.00</v>
      </c>
      <c r="F77" t="str">
        <f>"-8433.00"</f>
        <v>-8433.00</v>
      </c>
      <c r="G77" t="str">
        <f>"15590.70"</f>
        <v>15590.70</v>
      </c>
      <c r="H77" t="str">
        <f>"400.00"</f>
        <v>400.00</v>
      </c>
      <c r="I77" t="str">
        <f>"136"</f>
        <v>136</v>
      </c>
      <c r="J77" t="str">
        <f>"证券买入(冀东水泥)"</f>
        <v>证券买入(冀东水泥)</v>
      </c>
      <c r="K77" t="str">
        <f>"5.00"</f>
        <v>5.00</v>
      </c>
      <c r="L77" t="str">
        <f>"0.00"</f>
        <v>0.00</v>
      </c>
      <c r="M77" t="str">
        <f t="shared" si="34"/>
        <v>0.00</v>
      </c>
      <c r="N77" t="str">
        <f t="shared" si="34"/>
        <v>0.00</v>
      </c>
      <c r="O77" t="str">
        <f>"000401"</f>
        <v>000401</v>
      </c>
      <c r="P77" t="str">
        <f t="shared" si="33"/>
        <v>0153613480</v>
      </c>
    </row>
    <row r="78" spans="1:16" x14ac:dyDescent="0.25">
      <c r="A78" t="str">
        <f t="shared" si="29"/>
        <v>人民币</v>
      </c>
      <c r="B78" t="str">
        <f>"冀东水泥"</f>
        <v>冀东水泥</v>
      </c>
      <c r="C78" t="str">
        <f>"20170503"</f>
        <v>20170503</v>
      </c>
      <c r="D78" t="str">
        <f>"21.200"</f>
        <v>21.200</v>
      </c>
      <c r="E78" t="str">
        <f>"300.00"</f>
        <v>300.00</v>
      </c>
      <c r="F78" t="str">
        <f>"-6365.00"</f>
        <v>-6365.00</v>
      </c>
      <c r="G78" t="str">
        <f>"9225.70"</f>
        <v>9225.70</v>
      </c>
      <c r="H78" t="str">
        <f>"700.00"</f>
        <v>700.00</v>
      </c>
      <c r="I78" t="str">
        <f>"143"</f>
        <v>143</v>
      </c>
      <c r="J78" t="str">
        <f>"证券买入(冀东水泥)"</f>
        <v>证券买入(冀东水泥)</v>
      </c>
      <c r="K78" t="str">
        <f>"5.00"</f>
        <v>5.00</v>
      </c>
      <c r="L78" t="str">
        <f>"0.00"</f>
        <v>0.00</v>
      </c>
      <c r="M78" t="str">
        <f t="shared" si="34"/>
        <v>0.00</v>
      </c>
      <c r="N78" t="str">
        <f t="shared" si="34"/>
        <v>0.00</v>
      </c>
      <c r="O78" t="str">
        <f>"000401"</f>
        <v>000401</v>
      </c>
      <c r="P78" t="str">
        <f t="shared" si="33"/>
        <v>0153613480</v>
      </c>
    </row>
    <row r="79" spans="1:16" x14ac:dyDescent="0.25">
      <c r="A79" t="str">
        <f t="shared" si="29"/>
        <v>人民币</v>
      </c>
      <c r="B79" t="str">
        <f>"冀东水泥"</f>
        <v>冀东水泥</v>
      </c>
      <c r="C79" t="str">
        <f>"20170503"</f>
        <v>20170503</v>
      </c>
      <c r="D79" t="str">
        <f>"20.800"</f>
        <v>20.800</v>
      </c>
      <c r="E79" t="str">
        <f>"200.00"</f>
        <v>200.00</v>
      </c>
      <c r="F79" t="str">
        <f>"-4165.00"</f>
        <v>-4165.00</v>
      </c>
      <c r="G79" t="str">
        <f>"5060.70"</f>
        <v>5060.70</v>
      </c>
      <c r="H79" t="str">
        <f>"900.00"</f>
        <v>900.00</v>
      </c>
      <c r="I79" t="str">
        <f>"146"</f>
        <v>146</v>
      </c>
      <c r="J79" t="str">
        <f>"证券买入(冀东水泥)"</f>
        <v>证券买入(冀东水泥)</v>
      </c>
      <c r="K79" t="str">
        <f>"5.00"</f>
        <v>5.00</v>
      </c>
      <c r="L79" t="str">
        <f>"0.00"</f>
        <v>0.00</v>
      </c>
      <c r="M79" t="str">
        <f t="shared" si="34"/>
        <v>0.00</v>
      </c>
      <c r="N79" t="str">
        <f t="shared" si="34"/>
        <v>0.00</v>
      </c>
      <c r="O79" t="str">
        <f>"000401"</f>
        <v>000401</v>
      </c>
      <c r="P79" t="str">
        <f t="shared" si="33"/>
        <v>0153613480</v>
      </c>
    </row>
    <row r="80" spans="1:16" x14ac:dyDescent="0.25">
      <c r="A80" t="str">
        <f t="shared" si="29"/>
        <v>人民币</v>
      </c>
      <c r="B80" t="str">
        <f>"正海生物"</f>
        <v>正海生物</v>
      </c>
      <c r="C80" t="str">
        <f>"20170503"</f>
        <v>20170503</v>
      </c>
      <c r="D80" t="str">
        <f>"0.000"</f>
        <v>0.000</v>
      </c>
      <c r="E80" t="str">
        <f>"6.00"</f>
        <v>6.00</v>
      </c>
      <c r="F80" t="str">
        <f>"0.00"</f>
        <v>0.00</v>
      </c>
      <c r="G80" t="str">
        <f>"5060.70"</f>
        <v>5060.70</v>
      </c>
      <c r="H80" t="str">
        <f>"0.00"</f>
        <v>0.00</v>
      </c>
      <c r="I80" t="str">
        <f>" "</f>
        <v xml:space="preserve"> </v>
      </c>
      <c r="J80" t="str">
        <f>"申购配号(正海生物)"</f>
        <v>申购配号(正海生物)</v>
      </c>
      <c r="K80" t="str">
        <f>"0.00"</f>
        <v>0.00</v>
      </c>
      <c r="L80" t="str">
        <f>"0.00"</f>
        <v>0.00</v>
      </c>
      <c r="M80" t="str">
        <f t="shared" si="34"/>
        <v>0.00</v>
      </c>
      <c r="N80" t="str">
        <f t="shared" si="34"/>
        <v>0.00</v>
      </c>
      <c r="O80" t="str">
        <f>"300653"</f>
        <v>300653</v>
      </c>
      <c r="P80" t="str">
        <f t="shared" si="33"/>
        <v>0153613480</v>
      </c>
    </row>
    <row r="81" spans="1:16" x14ac:dyDescent="0.25">
      <c r="A81" t="str">
        <f t="shared" si="29"/>
        <v>人民币</v>
      </c>
      <c r="B81" t="str">
        <f>"香山股份"</f>
        <v>香山股份</v>
      </c>
      <c r="C81" t="str">
        <f>"20170504"</f>
        <v>20170504</v>
      </c>
      <c r="D81" t="str">
        <f>"0.000"</f>
        <v>0.000</v>
      </c>
      <c r="E81" t="str">
        <f>"6.00"</f>
        <v>6.00</v>
      </c>
      <c r="F81" t="str">
        <f>"0.00"</f>
        <v>0.00</v>
      </c>
      <c r="G81" t="str">
        <f>"5060.70"</f>
        <v>5060.70</v>
      </c>
      <c r="H81" t="str">
        <f>"0.00"</f>
        <v>0.00</v>
      </c>
      <c r="I81" t="str">
        <f>"153"</f>
        <v>153</v>
      </c>
      <c r="J81" t="str">
        <f>"申购配号(香山股份)"</f>
        <v>申购配号(香山股份)</v>
      </c>
      <c r="K81" t="str">
        <f>"0.00"</f>
        <v>0.00</v>
      </c>
      <c r="L81" t="str">
        <f>"0.00"</f>
        <v>0.00</v>
      </c>
      <c r="M81" t="str">
        <f t="shared" si="34"/>
        <v>0.00</v>
      </c>
      <c r="N81" t="str">
        <f t="shared" si="34"/>
        <v>0.00</v>
      </c>
      <c r="O81" t="str">
        <f>"002870"</f>
        <v>002870</v>
      </c>
      <c r="P81" t="str">
        <f t="shared" si="33"/>
        <v>0153613480</v>
      </c>
    </row>
    <row r="82" spans="1:16" x14ac:dyDescent="0.25">
      <c r="A82" t="str">
        <f t="shared" si="29"/>
        <v>人民币</v>
      </c>
      <c r="B82" t="str">
        <f>" "</f>
        <v xml:space="preserve"> </v>
      </c>
      <c r="C82" t="str">
        <f>"20170508"</f>
        <v>20170508</v>
      </c>
      <c r="D82" t="str">
        <f>"---"</f>
        <v>---</v>
      </c>
      <c r="E82" t="str">
        <f>"---"</f>
        <v>---</v>
      </c>
      <c r="F82" t="str">
        <f>"9000.00"</f>
        <v>9000.00</v>
      </c>
      <c r="G82" t="str">
        <f>"14060.70"</f>
        <v>14060.70</v>
      </c>
      <c r="H82" t="str">
        <f>"---"</f>
        <v>---</v>
      </c>
      <c r="I82" t="str">
        <f>"---"</f>
        <v>---</v>
      </c>
      <c r="J82" t="str">
        <f>"银行转存"</f>
        <v>银行转存</v>
      </c>
      <c r="K82" t="str">
        <f t="shared" ref="K82:P82" si="35">"---"</f>
        <v>---</v>
      </c>
      <c r="L82" t="str">
        <f t="shared" si="35"/>
        <v>---</v>
      </c>
      <c r="M82" t="str">
        <f t="shared" si="35"/>
        <v>---</v>
      </c>
      <c r="N82" t="str">
        <f t="shared" si="35"/>
        <v>---</v>
      </c>
      <c r="O82" t="str">
        <f t="shared" si="35"/>
        <v>---</v>
      </c>
      <c r="P82" t="str">
        <f t="shared" si="35"/>
        <v>---</v>
      </c>
    </row>
    <row r="83" spans="1:16" x14ac:dyDescent="0.25">
      <c r="A83" t="str">
        <f t="shared" si="29"/>
        <v>人民币</v>
      </c>
      <c r="B83" t="str">
        <f>"冀东水泥"</f>
        <v>冀东水泥</v>
      </c>
      <c r="C83" t="str">
        <f>"20170508"</f>
        <v>20170508</v>
      </c>
      <c r="D83" t="str">
        <f>"18.970"</f>
        <v>18.970</v>
      </c>
      <c r="E83" t="str">
        <f>"300.00"</f>
        <v>300.00</v>
      </c>
      <c r="F83" t="str">
        <f>"-5696.00"</f>
        <v>-5696.00</v>
      </c>
      <c r="G83" t="str">
        <f>"8364.70"</f>
        <v>8364.70</v>
      </c>
      <c r="H83" t="str">
        <f>"1200.00"</f>
        <v>1200.00</v>
      </c>
      <c r="I83" t="str">
        <f>"159"</f>
        <v>159</v>
      </c>
      <c r="J83" t="str">
        <f>"证券买入(冀东水泥)"</f>
        <v>证券买入(冀东水泥)</v>
      </c>
      <c r="K83" t="str">
        <f>"5.00"</f>
        <v>5.00</v>
      </c>
      <c r="L83" t="str">
        <f t="shared" ref="L83:N86" si="36">"0.00"</f>
        <v>0.00</v>
      </c>
      <c r="M83" t="str">
        <f t="shared" si="36"/>
        <v>0.00</v>
      </c>
      <c r="N83" t="str">
        <f t="shared" si="36"/>
        <v>0.00</v>
      </c>
      <c r="O83" t="str">
        <f>"000401"</f>
        <v>000401</v>
      </c>
      <c r="P83" t="str">
        <f>"0153613480"</f>
        <v>0153613480</v>
      </c>
    </row>
    <row r="84" spans="1:16" x14ac:dyDescent="0.25">
      <c r="A84" t="str">
        <f t="shared" si="29"/>
        <v>人民币</v>
      </c>
      <c r="B84" t="str">
        <f>"新天药业"</f>
        <v>新天药业</v>
      </c>
      <c r="C84" t="str">
        <f>"20170508"</f>
        <v>20170508</v>
      </c>
      <c r="D84" t="str">
        <f>"0.000"</f>
        <v>0.000</v>
      </c>
      <c r="E84" t="str">
        <f>"6.00"</f>
        <v>6.00</v>
      </c>
      <c r="F84" t="str">
        <f>"0.00"</f>
        <v>0.00</v>
      </c>
      <c r="G84" t="str">
        <f>"8364.70"</f>
        <v>8364.70</v>
      </c>
      <c r="H84" t="str">
        <f>"0.00"</f>
        <v>0.00</v>
      </c>
      <c r="I84" t="str">
        <f>"157"</f>
        <v>157</v>
      </c>
      <c r="J84" t="str">
        <f>"申购配号(新天药业)"</f>
        <v>申购配号(新天药业)</v>
      </c>
      <c r="K84" t="str">
        <f>"0.00"</f>
        <v>0.00</v>
      </c>
      <c r="L84" t="str">
        <f t="shared" si="36"/>
        <v>0.00</v>
      </c>
      <c r="M84" t="str">
        <f t="shared" si="36"/>
        <v>0.00</v>
      </c>
      <c r="N84" t="str">
        <f t="shared" si="36"/>
        <v>0.00</v>
      </c>
      <c r="O84" t="str">
        <f>"002873"</f>
        <v>002873</v>
      </c>
      <c r="P84" t="str">
        <f>"0153613480"</f>
        <v>0153613480</v>
      </c>
    </row>
    <row r="85" spans="1:16" x14ac:dyDescent="0.25">
      <c r="A85" t="str">
        <f t="shared" si="29"/>
        <v>人民币</v>
      </c>
      <c r="B85" t="str">
        <f>"冀东水泥"</f>
        <v>冀东水泥</v>
      </c>
      <c r="C85" t="str">
        <f>"20170509"</f>
        <v>20170509</v>
      </c>
      <c r="D85" t="str">
        <f>"17.810"</f>
        <v>17.810</v>
      </c>
      <c r="E85" t="str">
        <f>"400.00"</f>
        <v>400.00</v>
      </c>
      <c r="F85" t="str">
        <f>"-7129.00"</f>
        <v>-7129.00</v>
      </c>
      <c r="G85" t="str">
        <f>"1235.70"</f>
        <v>1235.70</v>
      </c>
      <c r="H85" t="str">
        <f>"1600.00"</f>
        <v>1600.00</v>
      </c>
      <c r="I85" t="str">
        <f>"165"</f>
        <v>165</v>
      </c>
      <c r="J85" t="str">
        <f>"证券买入(冀东水泥)"</f>
        <v>证券买入(冀东水泥)</v>
      </c>
      <c r="K85" t="str">
        <f>"5.00"</f>
        <v>5.00</v>
      </c>
      <c r="L85" t="str">
        <f t="shared" si="36"/>
        <v>0.00</v>
      </c>
      <c r="M85" t="str">
        <f t="shared" si="36"/>
        <v>0.00</v>
      </c>
      <c r="N85" t="str">
        <f t="shared" si="36"/>
        <v>0.00</v>
      </c>
      <c r="O85" t="str">
        <f>"000401"</f>
        <v>000401</v>
      </c>
      <c r="P85" t="str">
        <f>"0153613480"</f>
        <v>0153613480</v>
      </c>
    </row>
    <row r="86" spans="1:16" x14ac:dyDescent="0.25">
      <c r="A86" t="str">
        <f t="shared" si="29"/>
        <v>人民币</v>
      </c>
      <c r="B86" t="str">
        <f>"民德电子"</f>
        <v>民德电子</v>
      </c>
      <c r="C86" t="str">
        <f>"20170509"</f>
        <v>20170509</v>
      </c>
      <c r="D86" t="str">
        <f>"0.000"</f>
        <v>0.000</v>
      </c>
      <c r="E86" t="str">
        <f>"6.00"</f>
        <v>6.00</v>
      </c>
      <c r="F86" t="str">
        <f>"0.00"</f>
        <v>0.00</v>
      </c>
      <c r="G86" t="str">
        <f>"1235.70"</f>
        <v>1235.70</v>
      </c>
      <c r="H86" t="str">
        <f>"0.00"</f>
        <v>0.00</v>
      </c>
      <c r="I86" t="str">
        <f>"168"</f>
        <v>168</v>
      </c>
      <c r="J86" t="str">
        <f>"申购配号(民德电子)"</f>
        <v>申购配号(民德电子)</v>
      </c>
      <c r="K86" t="str">
        <f>"0.00"</f>
        <v>0.00</v>
      </c>
      <c r="L86" t="str">
        <f t="shared" si="36"/>
        <v>0.00</v>
      </c>
      <c r="M86" t="str">
        <f t="shared" si="36"/>
        <v>0.00</v>
      </c>
      <c r="N86" t="str">
        <f t="shared" si="36"/>
        <v>0.00</v>
      </c>
      <c r="O86" t="str">
        <f>"300656"</f>
        <v>300656</v>
      </c>
      <c r="P86" t="str">
        <f>"0153613480"</f>
        <v>0153613480</v>
      </c>
    </row>
    <row r="87" spans="1:16" x14ac:dyDescent="0.25">
      <c r="A87" t="str">
        <f t="shared" si="29"/>
        <v>人民币</v>
      </c>
      <c r="B87" t="str">
        <f>" "</f>
        <v xml:space="preserve"> </v>
      </c>
      <c r="C87" t="str">
        <f>"20170510"</f>
        <v>20170510</v>
      </c>
      <c r="D87" t="str">
        <f>"---"</f>
        <v>---</v>
      </c>
      <c r="E87" t="str">
        <f>"---"</f>
        <v>---</v>
      </c>
      <c r="F87" t="str">
        <f>"-1000.00"</f>
        <v>-1000.00</v>
      </c>
      <c r="G87" t="str">
        <f>"235.70"</f>
        <v>235.70</v>
      </c>
      <c r="H87" t="str">
        <f>"---"</f>
        <v>---</v>
      </c>
      <c r="I87" t="str">
        <f>"---"</f>
        <v>---</v>
      </c>
      <c r="J87" t="str">
        <f>"银行转取"</f>
        <v>银行转取</v>
      </c>
      <c r="K87" t="str">
        <f t="shared" ref="K87:P87" si="37">"---"</f>
        <v>---</v>
      </c>
      <c r="L87" t="str">
        <f t="shared" si="37"/>
        <v>---</v>
      </c>
      <c r="M87" t="str">
        <f t="shared" si="37"/>
        <v>---</v>
      </c>
      <c r="N87" t="str">
        <f t="shared" si="37"/>
        <v>---</v>
      </c>
      <c r="O87" t="str">
        <f t="shared" si="37"/>
        <v>---</v>
      </c>
      <c r="P87" t="str">
        <f t="shared" si="37"/>
        <v>---</v>
      </c>
    </row>
    <row r="88" spans="1:16" x14ac:dyDescent="0.25">
      <c r="A88" t="str">
        <f t="shared" si="29"/>
        <v>人民币</v>
      </c>
      <c r="B88" t="str">
        <f>"天圣制药"</f>
        <v>天圣制药</v>
      </c>
      <c r="C88" t="str">
        <f>"20170510"</f>
        <v>20170510</v>
      </c>
      <c r="D88" t="str">
        <f>"0.000"</f>
        <v>0.000</v>
      </c>
      <c r="E88" t="str">
        <f>"6.00"</f>
        <v>6.00</v>
      </c>
      <c r="F88" t="str">
        <f>"0.00"</f>
        <v>0.00</v>
      </c>
      <c r="G88" t="str">
        <f>"235.70"</f>
        <v>235.70</v>
      </c>
      <c r="H88" t="str">
        <f>"0.00"</f>
        <v>0.00</v>
      </c>
      <c r="I88" t="str">
        <f>"175"</f>
        <v>175</v>
      </c>
      <c r="J88" t="str">
        <f>"申购配号(天圣制药)"</f>
        <v>申购配号(天圣制药)</v>
      </c>
      <c r="K88" t="str">
        <f t="shared" ref="K88:N90" si="38">"0.00"</f>
        <v>0.00</v>
      </c>
      <c r="L88" t="str">
        <f t="shared" si="38"/>
        <v>0.00</v>
      </c>
      <c r="M88" t="str">
        <f t="shared" si="38"/>
        <v>0.00</v>
      </c>
      <c r="N88" t="str">
        <f t="shared" si="38"/>
        <v>0.00</v>
      </c>
      <c r="O88" t="str">
        <f>"002872"</f>
        <v>002872</v>
      </c>
      <c r="P88" t="str">
        <f>"0153613480"</f>
        <v>0153613480</v>
      </c>
    </row>
    <row r="89" spans="1:16" x14ac:dyDescent="0.25">
      <c r="A89" t="str">
        <f t="shared" si="29"/>
        <v>人民币</v>
      </c>
      <c r="B89" t="str">
        <f>"晶瑞股份"</f>
        <v>晶瑞股份</v>
      </c>
      <c r="C89" t="str">
        <f>"20170511"</f>
        <v>20170511</v>
      </c>
      <c r="D89" t="str">
        <f>"0.000"</f>
        <v>0.000</v>
      </c>
      <c r="E89" t="str">
        <f>"6.00"</f>
        <v>6.00</v>
      </c>
      <c r="F89" t="str">
        <f>"0.00"</f>
        <v>0.00</v>
      </c>
      <c r="G89" t="str">
        <f>"235.70"</f>
        <v>235.70</v>
      </c>
      <c r="H89" t="str">
        <f>"0.00"</f>
        <v>0.00</v>
      </c>
      <c r="I89" t="str">
        <f>"184"</f>
        <v>184</v>
      </c>
      <c r="J89" t="str">
        <f>"申购配号(晶瑞股份)"</f>
        <v>申购配号(晶瑞股份)</v>
      </c>
      <c r="K89" t="str">
        <f t="shared" si="38"/>
        <v>0.00</v>
      </c>
      <c r="L89" t="str">
        <f t="shared" si="38"/>
        <v>0.00</v>
      </c>
      <c r="M89" t="str">
        <f t="shared" si="38"/>
        <v>0.00</v>
      </c>
      <c r="N89" t="str">
        <f t="shared" si="38"/>
        <v>0.00</v>
      </c>
      <c r="O89" t="str">
        <f>"300655"</f>
        <v>300655</v>
      </c>
      <c r="P89" t="str">
        <f>"0153613480"</f>
        <v>0153613480</v>
      </c>
    </row>
    <row r="90" spans="1:16" x14ac:dyDescent="0.25">
      <c r="A90" t="str">
        <f t="shared" si="29"/>
        <v>人民币</v>
      </c>
      <c r="B90" t="str">
        <f>"弘信电子"</f>
        <v>弘信电子</v>
      </c>
      <c r="C90" t="str">
        <f>"20170512"</f>
        <v>20170512</v>
      </c>
      <c r="D90" t="str">
        <f>"0.000"</f>
        <v>0.000</v>
      </c>
      <c r="E90" t="str">
        <f>"6.00"</f>
        <v>6.00</v>
      </c>
      <c r="F90" t="str">
        <f>"0.00"</f>
        <v>0.00</v>
      </c>
      <c r="G90" t="str">
        <f>"235.70"</f>
        <v>235.70</v>
      </c>
      <c r="H90" t="str">
        <f>"0.00"</f>
        <v>0.00</v>
      </c>
      <c r="I90" t="str">
        <f>"187"</f>
        <v>187</v>
      </c>
      <c r="J90" t="str">
        <f>"申购配号(弘信电子)"</f>
        <v>申购配号(弘信电子)</v>
      </c>
      <c r="K90" t="str">
        <f t="shared" si="38"/>
        <v>0.00</v>
      </c>
      <c r="L90" t="str">
        <f t="shared" si="38"/>
        <v>0.00</v>
      </c>
      <c r="M90" t="str">
        <f t="shared" si="38"/>
        <v>0.00</v>
      </c>
      <c r="N90" t="str">
        <f t="shared" si="38"/>
        <v>0.00</v>
      </c>
      <c r="O90" t="str">
        <f>"300657"</f>
        <v>300657</v>
      </c>
      <c r="P90" t="str">
        <f>"0153613480"</f>
        <v>0153613480</v>
      </c>
    </row>
    <row r="91" spans="1:16" x14ac:dyDescent="0.25">
      <c r="A91" t="str">
        <f t="shared" si="29"/>
        <v>人民币</v>
      </c>
      <c r="B91" t="str">
        <f>" "</f>
        <v xml:space="preserve"> </v>
      </c>
      <c r="C91" t="str">
        <f>"20170516"</f>
        <v>20170516</v>
      </c>
      <c r="D91" t="str">
        <f>"---"</f>
        <v>---</v>
      </c>
      <c r="E91" t="str">
        <f>"---"</f>
        <v>---</v>
      </c>
      <c r="F91" t="str">
        <f>"9000.00"</f>
        <v>9000.00</v>
      </c>
      <c r="G91" t="str">
        <f>"9235.70"</f>
        <v>9235.70</v>
      </c>
      <c r="H91" t="str">
        <f>"---"</f>
        <v>---</v>
      </c>
      <c r="I91" t="str">
        <f>"---"</f>
        <v>---</v>
      </c>
      <c r="J91" t="str">
        <f>"银行转存"</f>
        <v>银行转存</v>
      </c>
      <c r="K91" t="str">
        <f t="shared" ref="K91:P91" si="39">"---"</f>
        <v>---</v>
      </c>
      <c r="L91" t="str">
        <f t="shared" si="39"/>
        <v>---</v>
      </c>
      <c r="M91" t="str">
        <f t="shared" si="39"/>
        <v>---</v>
      </c>
      <c r="N91" t="str">
        <f t="shared" si="39"/>
        <v>---</v>
      </c>
      <c r="O91" t="str">
        <f t="shared" si="39"/>
        <v>---</v>
      </c>
      <c r="P91" t="str">
        <f t="shared" si="39"/>
        <v>---</v>
      </c>
    </row>
    <row r="92" spans="1:16" x14ac:dyDescent="0.25">
      <c r="A92" t="str">
        <f t="shared" si="29"/>
        <v>人民币</v>
      </c>
      <c r="B92" t="str">
        <f>"三利谱"</f>
        <v>三利谱</v>
      </c>
      <c r="C92" t="str">
        <f>"20170516"</f>
        <v>20170516</v>
      </c>
      <c r="D92" t="str">
        <f>"0.000"</f>
        <v>0.000</v>
      </c>
      <c r="E92" t="str">
        <f>"7.00"</f>
        <v>7.00</v>
      </c>
      <c r="F92" t="str">
        <f>"0.00"</f>
        <v>0.00</v>
      </c>
      <c r="G92" t="str">
        <f>"9235.70"</f>
        <v>9235.70</v>
      </c>
      <c r="H92" t="str">
        <f>"0.00"</f>
        <v>0.00</v>
      </c>
      <c r="I92" t="str">
        <f>"198"</f>
        <v>198</v>
      </c>
      <c r="J92" t="str">
        <f>"申购配号(三利谱)"</f>
        <v>申购配号(三利谱)</v>
      </c>
      <c r="K92" t="str">
        <f>"0.00"</f>
        <v>0.00</v>
      </c>
      <c r="L92" t="str">
        <f>"0.00"</f>
        <v>0.00</v>
      </c>
      <c r="M92" t="str">
        <f>"0.00"</f>
        <v>0.00</v>
      </c>
      <c r="N92" t="str">
        <f>"0.00"</f>
        <v>0.00</v>
      </c>
      <c r="O92" t="str">
        <f>"002876"</f>
        <v>002876</v>
      </c>
      <c r="P92" t="str">
        <f>"0153613480"</f>
        <v>0153613480</v>
      </c>
    </row>
    <row r="93" spans="1:16" x14ac:dyDescent="0.25">
      <c r="A93" t="str">
        <f t="shared" si="29"/>
        <v>人民币</v>
      </c>
      <c r="B93" t="str">
        <f>"西部建设"</f>
        <v>西部建设</v>
      </c>
      <c r="C93" t="str">
        <f>"20170517"</f>
        <v>20170517</v>
      </c>
      <c r="D93" t="str">
        <f>"19.500"</f>
        <v>19.500</v>
      </c>
      <c r="E93" t="str">
        <f>"300.00"</f>
        <v>300.00</v>
      </c>
      <c r="F93" t="str">
        <f>"-5855.00"</f>
        <v>-5855.00</v>
      </c>
      <c r="G93" t="str">
        <f>"3380.70"</f>
        <v>3380.70</v>
      </c>
      <c r="H93" t="str">
        <f>"300.00"</f>
        <v>300.00</v>
      </c>
      <c r="I93" t="str">
        <f>"206"</f>
        <v>206</v>
      </c>
      <c r="J93" t="str">
        <f>"证券买入(西部建设)"</f>
        <v>证券买入(西部建设)</v>
      </c>
      <c r="K93" t="str">
        <f>"5.00"</f>
        <v>5.00</v>
      </c>
      <c r="L93" t="str">
        <f>"0.00"</f>
        <v>0.00</v>
      </c>
      <c r="M93" t="str">
        <f>"0.00"</f>
        <v>0.00</v>
      </c>
      <c r="N93" t="str">
        <f>"0.00"</f>
        <v>0.00</v>
      </c>
      <c r="O93" t="str">
        <f>"002302"</f>
        <v>002302</v>
      </c>
      <c r="P93" t="str">
        <f>"0153613480"</f>
        <v>0153613480</v>
      </c>
    </row>
    <row r="94" spans="1:16" x14ac:dyDescent="0.25">
      <c r="A94" t="str">
        <f t="shared" si="29"/>
        <v>人民币</v>
      </c>
      <c r="B94" t="str">
        <f>"冀东水泥"</f>
        <v>冀东水泥</v>
      </c>
      <c r="C94" t="str">
        <f>"20170517"</f>
        <v>20170517</v>
      </c>
      <c r="D94" t="str">
        <f>"18.850"</f>
        <v>18.850</v>
      </c>
      <c r="E94" t="str">
        <f>"-400.00"</f>
        <v>-400.00</v>
      </c>
      <c r="F94" t="str">
        <f>"7527.46"</f>
        <v>7527.46</v>
      </c>
      <c r="G94" t="str">
        <f>"10908.16"</f>
        <v>10908.16</v>
      </c>
      <c r="H94" t="str">
        <f>"1200.00"</f>
        <v>1200.00</v>
      </c>
      <c r="I94" t="str">
        <f>"209"</f>
        <v>209</v>
      </c>
      <c r="J94" t="str">
        <f>"证券卖出(冀东水泥)"</f>
        <v>证券卖出(冀东水泥)</v>
      </c>
      <c r="K94" t="str">
        <f>"5.00"</f>
        <v>5.00</v>
      </c>
      <c r="L94" t="str">
        <f>"7.54"</f>
        <v>7.54</v>
      </c>
      <c r="M94" t="str">
        <f t="shared" ref="M94:N96" si="40">"0.00"</f>
        <v>0.00</v>
      </c>
      <c r="N94" t="str">
        <f t="shared" si="40"/>
        <v>0.00</v>
      </c>
      <c r="O94" t="str">
        <f>"000401"</f>
        <v>000401</v>
      </c>
      <c r="P94" t="str">
        <f>"0153613480"</f>
        <v>0153613480</v>
      </c>
    </row>
    <row r="95" spans="1:16" x14ac:dyDescent="0.25">
      <c r="A95" t="str">
        <f t="shared" si="29"/>
        <v>人民币</v>
      </c>
      <c r="B95" t="str">
        <f>"延江股份"</f>
        <v>延江股份</v>
      </c>
      <c r="C95" t="str">
        <f>"20170517"</f>
        <v>20170517</v>
      </c>
      <c r="D95" t="str">
        <f>"0.000"</f>
        <v>0.000</v>
      </c>
      <c r="E95" t="str">
        <f>"7.00"</f>
        <v>7.00</v>
      </c>
      <c r="F95" t="str">
        <f>"0.00"</f>
        <v>0.00</v>
      </c>
      <c r="G95" t="str">
        <f>"10908.16"</f>
        <v>10908.16</v>
      </c>
      <c r="H95" t="str">
        <f>"0.00"</f>
        <v>0.00</v>
      </c>
      <c r="I95" t="str">
        <f>"212"</f>
        <v>212</v>
      </c>
      <c r="J95" t="str">
        <f>"申购配号(延江股份)"</f>
        <v>申购配号(延江股份)</v>
      </c>
      <c r="K95" t="str">
        <f>"0.00"</f>
        <v>0.00</v>
      </c>
      <c r="L95" t="str">
        <f>"0.00"</f>
        <v>0.00</v>
      </c>
      <c r="M95" t="str">
        <f t="shared" si="40"/>
        <v>0.00</v>
      </c>
      <c r="N95" t="str">
        <f t="shared" si="40"/>
        <v>0.00</v>
      </c>
      <c r="O95" t="str">
        <f>"300658"</f>
        <v>300658</v>
      </c>
      <c r="P95" t="str">
        <f>"0153613480"</f>
        <v>0153613480</v>
      </c>
    </row>
    <row r="96" spans="1:16" x14ac:dyDescent="0.25">
      <c r="A96" t="str">
        <f t="shared" si="29"/>
        <v>人民币</v>
      </c>
      <c r="B96" t="str">
        <f>"中孚信息"</f>
        <v>中孚信息</v>
      </c>
      <c r="C96" t="str">
        <f>"20170517"</f>
        <v>20170517</v>
      </c>
      <c r="D96" t="str">
        <f>"0.000"</f>
        <v>0.000</v>
      </c>
      <c r="E96" t="str">
        <f>"7.00"</f>
        <v>7.00</v>
      </c>
      <c r="F96" t="str">
        <f>"0.00"</f>
        <v>0.00</v>
      </c>
      <c r="G96" t="str">
        <f>"10908.16"</f>
        <v>10908.16</v>
      </c>
      <c r="H96" t="str">
        <f>"0.00"</f>
        <v>0.00</v>
      </c>
      <c r="I96" t="str">
        <f>"214"</f>
        <v>214</v>
      </c>
      <c r="J96" t="str">
        <f>"申购配号(中孚信息)"</f>
        <v>申购配号(中孚信息)</v>
      </c>
      <c r="K96" t="str">
        <f>"0.00"</f>
        <v>0.00</v>
      </c>
      <c r="L96" t="str">
        <f>"0.00"</f>
        <v>0.00</v>
      </c>
      <c r="M96" t="str">
        <f t="shared" si="40"/>
        <v>0.00</v>
      </c>
      <c r="N96" t="str">
        <f t="shared" si="40"/>
        <v>0.00</v>
      </c>
      <c r="O96" t="str">
        <f>"300659"</f>
        <v>300659</v>
      </c>
      <c r="P96" t="str">
        <f>"0153613480"</f>
        <v>0153613480</v>
      </c>
    </row>
    <row r="97" spans="1:16" x14ac:dyDescent="0.25">
      <c r="A97" t="str">
        <f t="shared" si="29"/>
        <v>人民币</v>
      </c>
      <c r="B97" t="str">
        <f>" "</f>
        <v xml:space="preserve"> </v>
      </c>
      <c r="C97" t="str">
        <f>"20170518"</f>
        <v>20170518</v>
      </c>
      <c r="D97" t="str">
        <f>"---"</f>
        <v>---</v>
      </c>
      <c r="E97" t="str">
        <f>"---"</f>
        <v>---</v>
      </c>
      <c r="F97" t="str">
        <f>"-3000.00"</f>
        <v>-3000.00</v>
      </c>
      <c r="G97" t="str">
        <f>"7908.16"</f>
        <v>7908.16</v>
      </c>
      <c r="H97" t="str">
        <f>"---"</f>
        <v>---</v>
      </c>
      <c r="I97" t="str">
        <f>"---"</f>
        <v>---</v>
      </c>
      <c r="J97" t="str">
        <f>"银行转取"</f>
        <v>银行转取</v>
      </c>
      <c r="K97" t="str">
        <f t="shared" ref="K97:P97" si="41">"---"</f>
        <v>---</v>
      </c>
      <c r="L97" t="str">
        <f t="shared" si="41"/>
        <v>---</v>
      </c>
      <c r="M97" t="str">
        <f t="shared" si="41"/>
        <v>---</v>
      </c>
      <c r="N97" t="str">
        <f t="shared" si="41"/>
        <v>---</v>
      </c>
      <c r="O97" t="str">
        <f t="shared" si="41"/>
        <v>---</v>
      </c>
      <c r="P97" t="str">
        <f t="shared" si="41"/>
        <v>---</v>
      </c>
    </row>
    <row r="98" spans="1:16" x14ac:dyDescent="0.25">
      <c r="A98" t="str">
        <f t="shared" si="29"/>
        <v>人民币</v>
      </c>
      <c r="B98" t="str">
        <f>"西部建设"</f>
        <v>西部建设</v>
      </c>
      <c r="C98" t="str">
        <f>"20170518"</f>
        <v>20170518</v>
      </c>
      <c r="D98" t="str">
        <f>"18.700"</f>
        <v>18.700</v>
      </c>
      <c r="E98" t="str">
        <f>"200.00"</f>
        <v>200.00</v>
      </c>
      <c r="F98" t="str">
        <f>"-3745.00"</f>
        <v>-3745.00</v>
      </c>
      <c r="G98" t="str">
        <f>"4163.16"</f>
        <v>4163.16</v>
      </c>
      <c r="H98" t="str">
        <f>"500.00"</f>
        <v>500.00</v>
      </c>
      <c r="I98" t="str">
        <f>"224"</f>
        <v>224</v>
      </c>
      <c r="J98" t="str">
        <f>"证券买入(西部建设)"</f>
        <v>证券买入(西部建设)</v>
      </c>
      <c r="K98" t="str">
        <f>"5.00"</f>
        <v>5.00</v>
      </c>
      <c r="L98" t="str">
        <f t="shared" ref="L98:N102" si="42">"0.00"</f>
        <v>0.00</v>
      </c>
      <c r="M98" t="str">
        <f t="shared" si="42"/>
        <v>0.00</v>
      </c>
      <c r="N98" t="str">
        <f t="shared" si="42"/>
        <v>0.00</v>
      </c>
      <c r="O98" t="str">
        <f>"002302"</f>
        <v>002302</v>
      </c>
      <c r="P98" t="str">
        <f>"0153613480"</f>
        <v>0153613480</v>
      </c>
    </row>
    <row r="99" spans="1:16" x14ac:dyDescent="0.25">
      <c r="A99" t="str">
        <f t="shared" si="29"/>
        <v>人民币</v>
      </c>
      <c r="B99" t="str">
        <f>"西部建设"</f>
        <v>西部建设</v>
      </c>
      <c r="C99" t="str">
        <f>"20170518"</f>
        <v>20170518</v>
      </c>
      <c r="D99" t="str">
        <f>"18.440"</f>
        <v>18.440</v>
      </c>
      <c r="E99" t="str">
        <f>"200.00"</f>
        <v>200.00</v>
      </c>
      <c r="F99" t="str">
        <f>"-3693.00"</f>
        <v>-3693.00</v>
      </c>
      <c r="G99" t="str">
        <f>"470.16"</f>
        <v>470.16</v>
      </c>
      <c r="H99" t="str">
        <f>"700.00"</f>
        <v>700.00</v>
      </c>
      <c r="I99" t="str">
        <f>"230"</f>
        <v>230</v>
      </c>
      <c r="J99" t="str">
        <f>"证券买入(西部建设)"</f>
        <v>证券买入(西部建设)</v>
      </c>
      <c r="K99" t="str">
        <f>"5.00"</f>
        <v>5.00</v>
      </c>
      <c r="L99" t="str">
        <f t="shared" si="42"/>
        <v>0.00</v>
      </c>
      <c r="M99" t="str">
        <f t="shared" si="42"/>
        <v>0.00</v>
      </c>
      <c r="N99" t="str">
        <f t="shared" si="42"/>
        <v>0.00</v>
      </c>
      <c r="O99" t="str">
        <f>"002302"</f>
        <v>002302</v>
      </c>
      <c r="P99" t="str">
        <f>"0153613480"</f>
        <v>0153613480</v>
      </c>
    </row>
    <row r="100" spans="1:16" x14ac:dyDescent="0.25">
      <c r="A100" t="str">
        <f t="shared" si="29"/>
        <v>人民币</v>
      </c>
      <c r="B100" t="str">
        <f>"智能自控"</f>
        <v>智能自控</v>
      </c>
      <c r="C100" t="str">
        <f>"20170523"</f>
        <v>20170523</v>
      </c>
      <c r="D100" t="str">
        <f>"0.000"</f>
        <v>0.000</v>
      </c>
      <c r="E100" t="str">
        <f>"8.00"</f>
        <v>8.00</v>
      </c>
      <c r="F100" t="str">
        <f>"0.00"</f>
        <v>0.00</v>
      </c>
      <c r="G100" t="str">
        <f>"470.16"</f>
        <v>470.16</v>
      </c>
      <c r="H100" t="str">
        <f>"0.00"</f>
        <v>0.00</v>
      </c>
      <c r="I100" t="str">
        <f>"237"</f>
        <v>237</v>
      </c>
      <c r="J100" t="str">
        <f>"申购配号(智能自控)"</f>
        <v>申购配号(智能自控)</v>
      </c>
      <c r="K100" t="str">
        <f>"0.00"</f>
        <v>0.00</v>
      </c>
      <c r="L100" t="str">
        <f t="shared" si="42"/>
        <v>0.00</v>
      </c>
      <c r="M100" t="str">
        <f t="shared" si="42"/>
        <v>0.00</v>
      </c>
      <c r="N100" t="str">
        <f t="shared" si="42"/>
        <v>0.00</v>
      </c>
      <c r="O100" t="str">
        <f>"002877"</f>
        <v>002877</v>
      </c>
      <c r="P100" t="str">
        <f>"0153613480"</f>
        <v>0153613480</v>
      </c>
    </row>
    <row r="101" spans="1:16" x14ac:dyDescent="0.25">
      <c r="A101" t="str">
        <f t="shared" si="29"/>
        <v>人民币</v>
      </c>
      <c r="B101" t="str">
        <f>"飞鹿股份"</f>
        <v>飞鹿股份</v>
      </c>
      <c r="C101" t="str">
        <f>"20170531"</f>
        <v>20170531</v>
      </c>
      <c r="D101" t="str">
        <f>"0.000"</f>
        <v>0.000</v>
      </c>
      <c r="E101" t="str">
        <f>"9.00"</f>
        <v>9.00</v>
      </c>
      <c r="F101" t="str">
        <f>"0.00"</f>
        <v>0.00</v>
      </c>
      <c r="G101" t="str">
        <f>"470.16"</f>
        <v>470.16</v>
      </c>
      <c r="H101" t="str">
        <f>"0.00"</f>
        <v>0.00</v>
      </c>
      <c r="I101" t="str">
        <f>"1"</f>
        <v>1</v>
      </c>
      <c r="J101" t="str">
        <f>"申购配号(飞鹿股份)"</f>
        <v>申购配号(飞鹿股份)</v>
      </c>
      <c r="K101" t="str">
        <f>"0.00"</f>
        <v>0.00</v>
      </c>
      <c r="L101" t="str">
        <f t="shared" si="42"/>
        <v>0.00</v>
      </c>
      <c r="M101" t="str">
        <f t="shared" si="42"/>
        <v>0.00</v>
      </c>
      <c r="N101" t="str">
        <f t="shared" si="42"/>
        <v>0.00</v>
      </c>
      <c r="O101" t="str">
        <f>"300665"</f>
        <v>300665</v>
      </c>
      <c r="P101" t="str">
        <f>"0153613480"</f>
        <v>0153613480</v>
      </c>
    </row>
    <row r="102" spans="1:16" x14ac:dyDescent="0.25">
      <c r="A102" t="str">
        <f t="shared" si="29"/>
        <v>人民币</v>
      </c>
      <c r="B102" t="str">
        <f>"江丰电子"</f>
        <v>江丰电子</v>
      </c>
      <c r="C102" t="str">
        <f>"20170605"</f>
        <v>20170605</v>
      </c>
      <c r="D102" t="str">
        <f>"0.000"</f>
        <v>0.000</v>
      </c>
      <c r="E102" t="str">
        <f>"10.00"</f>
        <v>10.00</v>
      </c>
      <c r="F102" t="str">
        <f>"0.00"</f>
        <v>0.00</v>
      </c>
      <c r="G102" t="str">
        <f>"470.16"</f>
        <v>470.16</v>
      </c>
      <c r="H102" t="str">
        <f>"0.00"</f>
        <v>0.00</v>
      </c>
      <c r="I102" t="str">
        <f>"6"</f>
        <v>6</v>
      </c>
      <c r="J102" t="str">
        <f>"申购配号(江丰电子)"</f>
        <v>申购配号(江丰电子)</v>
      </c>
      <c r="K102" t="str">
        <f>"0.00"</f>
        <v>0.00</v>
      </c>
      <c r="L102" t="str">
        <f t="shared" si="42"/>
        <v>0.00</v>
      </c>
      <c r="M102" t="str">
        <f t="shared" si="42"/>
        <v>0.00</v>
      </c>
      <c r="N102" t="str">
        <f t="shared" si="42"/>
        <v>0.00</v>
      </c>
      <c r="O102" t="str">
        <f>"300666"</f>
        <v>300666</v>
      </c>
      <c r="P102" t="str">
        <f>"0153613480"</f>
        <v>0153613480</v>
      </c>
    </row>
    <row r="103" spans="1:16" x14ac:dyDescent="0.25">
      <c r="A103" t="str">
        <f t="shared" si="29"/>
        <v>人民币</v>
      </c>
      <c r="B103" t="str">
        <f>" "</f>
        <v xml:space="preserve"> </v>
      </c>
      <c r="C103" t="str">
        <f>"20170606"</f>
        <v>20170606</v>
      </c>
      <c r="D103" t="str">
        <f>"---"</f>
        <v>---</v>
      </c>
      <c r="E103" t="str">
        <f>"---"</f>
        <v>---</v>
      </c>
      <c r="F103" t="str">
        <f>"4990.00"</f>
        <v>4990.00</v>
      </c>
      <c r="G103" t="str">
        <f>"5460.16"</f>
        <v>5460.16</v>
      </c>
      <c r="H103" t="str">
        <f>"---"</f>
        <v>---</v>
      </c>
      <c r="I103" t="str">
        <f>"---"</f>
        <v>---</v>
      </c>
      <c r="J103" t="str">
        <f>"银行转存"</f>
        <v>银行转存</v>
      </c>
      <c r="K103" t="str">
        <f t="shared" ref="K103:P103" si="43">"---"</f>
        <v>---</v>
      </c>
      <c r="L103" t="str">
        <f t="shared" si="43"/>
        <v>---</v>
      </c>
      <c r="M103" t="str">
        <f t="shared" si="43"/>
        <v>---</v>
      </c>
      <c r="N103" t="str">
        <f t="shared" si="43"/>
        <v>---</v>
      </c>
      <c r="O103" t="str">
        <f t="shared" si="43"/>
        <v>---</v>
      </c>
      <c r="P103" t="str">
        <f t="shared" si="43"/>
        <v>---</v>
      </c>
    </row>
    <row r="104" spans="1:16" x14ac:dyDescent="0.25">
      <c r="A104" t="str">
        <f t="shared" si="29"/>
        <v>人民币</v>
      </c>
      <c r="B104" t="str">
        <f>"冀东水泥"</f>
        <v>冀东水泥</v>
      </c>
      <c r="C104" t="str">
        <f>"20170606"</f>
        <v>20170606</v>
      </c>
      <c r="D104" t="str">
        <f>"16.140"</f>
        <v>16.140</v>
      </c>
      <c r="E104" t="str">
        <f>"300.00"</f>
        <v>300.00</v>
      </c>
      <c r="F104" t="str">
        <f>"-4847.00"</f>
        <v>-4847.00</v>
      </c>
      <c r="G104" t="str">
        <f>"613.16"</f>
        <v>613.16</v>
      </c>
      <c r="H104" t="str">
        <f>"1500.00"</f>
        <v>1500.00</v>
      </c>
      <c r="I104" t="str">
        <f>"18"</f>
        <v>18</v>
      </c>
      <c r="J104" t="str">
        <f>"证券买入(冀东水泥)"</f>
        <v>证券买入(冀东水泥)</v>
      </c>
      <c r="K104" t="str">
        <f>"5.00"</f>
        <v>5.00</v>
      </c>
      <c r="L104" t="str">
        <f t="shared" ref="L104:N105" si="44">"0.00"</f>
        <v>0.00</v>
      </c>
      <c r="M104" t="str">
        <f t="shared" si="44"/>
        <v>0.00</v>
      </c>
      <c r="N104" t="str">
        <f t="shared" si="44"/>
        <v>0.00</v>
      </c>
      <c r="O104" t="str">
        <f>"000401"</f>
        <v>000401</v>
      </c>
      <c r="P104" t="str">
        <f>"0153613480"</f>
        <v>0153613480</v>
      </c>
    </row>
    <row r="105" spans="1:16" x14ac:dyDescent="0.25">
      <c r="A105" t="str">
        <f t="shared" si="29"/>
        <v>人民币</v>
      </c>
      <c r="B105" t="str">
        <f>"杰恩设计"</f>
        <v>杰恩设计</v>
      </c>
      <c r="C105" t="str">
        <f>"20170606"</f>
        <v>20170606</v>
      </c>
      <c r="D105" t="str">
        <f>"0.000"</f>
        <v>0.000</v>
      </c>
      <c r="E105" t="str">
        <f>"10.00"</f>
        <v>10.00</v>
      </c>
      <c r="F105" t="str">
        <f>"0.00"</f>
        <v>0.00</v>
      </c>
      <c r="G105" t="str">
        <f>"613.16"</f>
        <v>613.16</v>
      </c>
      <c r="H105" t="str">
        <f>"0.00"</f>
        <v>0.00</v>
      </c>
      <c r="I105" t="str">
        <f>"16"</f>
        <v>16</v>
      </c>
      <c r="J105" t="str">
        <f>"申购配号(杰恩设计)"</f>
        <v>申购配号(杰恩设计)</v>
      </c>
      <c r="K105" t="str">
        <f>"0.00"</f>
        <v>0.00</v>
      </c>
      <c r="L105" t="str">
        <f t="shared" si="44"/>
        <v>0.00</v>
      </c>
      <c r="M105" t="str">
        <f t="shared" si="44"/>
        <v>0.00</v>
      </c>
      <c r="N105" t="str">
        <f t="shared" si="44"/>
        <v>0.00</v>
      </c>
      <c r="O105" t="str">
        <f>"300668"</f>
        <v>300668</v>
      </c>
      <c r="P105" t="str">
        <f>"0153613480"</f>
        <v>0153613480</v>
      </c>
    </row>
    <row r="106" spans="1:16" x14ac:dyDescent="0.25">
      <c r="A106" t="str">
        <f t="shared" si="29"/>
        <v>人民币</v>
      </c>
      <c r="B106" t="str">
        <f>"西部建设"</f>
        <v>西部建设</v>
      </c>
      <c r="C106" t="str">
        <f>"20170606"</f>
        <v>20170606</v>
      </c>
      <c r="D106" t="str">
        <f>"0.000"</f>
        <v>0.000</v>
      </c>
      <c r="E106" t="str">
        <f>"0.00"</f>
        <v>0.00</v>
      </c>
      <c r="F106" t="str">
        <f>"45.50"</f>
        <v>45.50</v>
      </c>
      <c r="G106" t="str">
        <f>"658.66"</f>
        <v>658.66</v>
      </c>
      <c r="H106" t="str">
        <f>"700.00"</f>
        <v>700.00</v>
      </c>
      <c r="I106" t="str">
        <f>"---"</f>
        <v>---</v>
      </c>
      <c r="J106" t="str">
        <f>"股息入帐(西部建设)"</f>
        <v>股息入帐(西部建设)</v>
      </c>
      <c r="K106" t="str">
        <f>"---"</f>
        <v>---</v>
      </c>
      <c r="L106" t="str">
        <f>"---"</f>
        <v>---</v>
      </c>
      <c r="M106" t="str">
        <f>"---"</f>
        <v>---</v>
      </c>
      <c r="N106" t="str">
        <f>"---"</f>
        <v>---</v>
      </c>
      <c r="O106" t="str">
        <f>"002302"</f>
        <v>002302</v>
      </c>
      <c r="P106" t="str">
        <f>"0153613480"</f>
        <v>0153613480</v>
      </c>
    </row>
    <row r="107" spans="1:16" x14ac:dyDescent="0.25">
      <c r="A107" t="str">
        <f t="shared" si="29"/>
        <v>人民币</v>
      </c>
      <c r="B107" t="str">
        <f>"冀东水泥"</f>
        <v>冀东水泥</v>
      </c>
      <c r="C107" t="str">
        <f>"20170607"</f>
        <v>20170607</v>
      </c>
      <c r="D107" t="str">
        <f>"16.560"</f>
        <v>16.560</v>
      </c>
      <c r="E107" t="str">
        <f>"-300.00"</f>
        <v>-300.00</v>
      </c>
      <c r="F107" t="str">
        <f>"4958.03"</f>
        <v>4958.03</v>
      </c>
      <c r="G107" t="str">
        <f>"5616.69"</f>
        <v>5616.69</v>
      </c>
      <c r="H107" t="str">
        <f>"1200.00"</f>
        <v>1200.00</v>
      </c>
      <c r="I107" t="str">
        <f>"37"</f>
        <v>37</v>
      </c>
      <c r="J107" t="str">
        <f>"证券卖出(冀东水泥)"</f>
        <v>证券卖出(冀东水泥)</v>
      </c>
      <c r="K107" t="str">
        <f>"5.00"</f>
        <v>5.00</v>
      </c>
      <c r="L107" t="str">
        <f>"4.97"</f>
        <v>4.97</v>
      </c>
      <c r="M107" t="str">
        <f>"0.00"</f>
        <v>0.00</v>
      </c>
      <c r="N107" t="str">
        <f>"0.00"</f>
        <v>0.00</v>
      </c>
      <c r="O107" t="str">
        <f>"000401"</f>
        <v>000401</v>
      </c>
      <c r="P107" t="str">
        <f>"0153613480"</f>
        <v>0153613480</v>
      </c>
    </row>
    <row r="108" spans="1:16" x14ac:dyDescent="0.25">
      <c r="A108" t="str">
        <f t="shared" si="29"/>
        <v>人民币</v>
      </c>
      <c r="B108" t="str">
        <f>"必创科技"</f>
        <v>必创科技</v>
      </c>
      <c r="C108" t="str">
        <f>"20170607"</f>
        <v>20170607</v>
      </c>
      <c r="D108" t="str">
        <f>"0.000"</f>
        <v>0.000</v>
      </c>
      <c r="E108" t="str">
        <f>"10.00"</f>
        <v>10.00</v>
      </c>
      <c r="F108" t="str">
        <f>"0.00"</f>
        <v>0.00</v>
      </c>
      <c r="G108" t="str">
        <f>"5616.69"</f>
        <v>5616.69</v>
      </c>
      <c r="H108" t="str">
        <f>"0.00"</f>
        <v>0.00</v>
      </c>
      <c r="I108" t="str">
        <f>"25"</f>
        <v>25</v>
      </c>
      <c r="J108" t="str">
        <f>"申购配号(必创科技)"</f>
        <v>申购配号(必创科技)</v>
      </c>
      <c r="K108" t="str">
        <f>"0.00"</f>
        <v>0.00</v>
      </c>
      <c r="L108" t="str">
        <f>"0.00"</f>
        <v>0.00</v>
      </c>
      <c r="M108" t="str">
        <f>"0.00"</f>
        <v>0.00</v>
      </c>
      <c r="N108" t="str">
        <f>"0.00"</f>
        <v>0.00</v>
      </c>
      <c r="O108" t="str">
        <f>"300667"</f>
        <v>300667</v>
      </c>
      <c r="P108" t="str">
        <f>"0153613480"</f>
        <v>0153613480</v>
      </c>
    </row>
    <row r="109" spans="1:16" x14ac:dyDescent="0.25">
      <c r="A109" t="str">
        <f t="shared" si="29"/>
        <v>人民币</v>
      </c>
      <c r="B109" t="str">
        <f>" "</f>
        <v xml:space="preserve"> </v>
      </c>
      <c r="C109" t="str">
        <f>"20170608"</f>
        <v>20170608</v>
      </c>
      <c r="D109" t="str">
        <f>"---"</f>
        <v>---</v>
      </c>
      <c r="E109" t="str">
        <f>"---"</f>
        <v>---</v>
      </c>
      <c r="F109" t="str">
        <f>"-5000.00"</f>
        <v>-5000.00</v>
      </c>
      <c r="G109" t="str">
        <f>"616.69"</f>
        <v>616.69</v>
      </c>
      <c r="H109" t="str">
        <f>"---"</f>
        <v>---</v>
      </c>
      <c r="I109" t="str">
        <f>"---"</f>
        <v>---</v>
      </c>
      <c r="J109" t="str">
        <f>"银行转取"</f>
        <v>银行转取</v>
      </c>
      <c r="K109" t="str">
        <f t="shared" ref="K109:P109" si="45">"---"</f>
        <v>---</v>
      </c>
      <c r="L109" t="str">
        <f t="shared" si="45"/>
        <v>---</v>
      </c>
      <c r="M109" t="str">
        <f t="shared" si="45"/>
        <v>---</v>
      </c>
      <c r="N109" t="str">
        <f t="shared" si="45"/>
        <v>---</v>
      </c>
      <c r="O109" t="str">
        <f t="shared" si="45"/>
        <v>---</v>
      </c>
      <c r="P109" t="str">
        <f t="shared" si="45"/>
        <v>---</v>
      </c>
    </row>
    <row r="110" spans="1:16" x14ac:dyDescent="0.25">
      <c r="A110" t="str">
        <f t="shared" si="29"/>
        <v>人民币</v>
      </c>
      <c r="B110" t="str">
        <f>"金龙羽"</f>
        <v>金龙羽</v>
      </c>
      <c r="C110" t="str">
        <f>"20170613"</f>
        <v>20170613</v>
      </c>
      <c r="D110" t="str">
        <f>"0.000"</f>
        <v>0.000</v>
      </c>
      <c r="E110" t="str">
        <f>"10.00"</f>
        <v>10.00</v>
      </c>
      <c r="F110" t="str">
        <f>"0.00"</f>
        <v>0.00</v>
      </c>
      <c r="G110" t="str">
        <f>"616.69"</f>
        <v>616.69</v>
      </c>
      <c r="H110" t="str">
        <f>"0.00"</f>
        <v>0.00</v>
      </c>
      <c r="I110" t="str">
        <f>"43"</f>
        <v>43</v>
      </c>
      <c r="J110" t="str">
        <f>"申购配号(金龙羽)"</f>
        <v>申购配号(金龙羽)</v>
      </c>
      <c r="K110" t="str">
        <f t="shared" ref="K110:N112" si="46">"0.00"</f>
        <v>0.00</v>
      </c>
      <c r="L110" t="str">
        <f t="shared" si="46"/>
        <v>0.00</v>
      </c>
      <c r="M110" t="str">
        <f t="shared" si="46"/>
        <v>0.00</v>
      </c>
      <c r="N110" t="str">
        <f t="shared" si="46"/>
        <v>0.00</v>
      </c>
      <c r="O110" t="str">
        <f>"002882"</f>
        <v>002882</v>
      </c>
      <c r="P110" t="str">
        <f t="shared" ref="P110:P119" si="47">"0153613480"</f>
        <v>0153613480</v>
      </c>
    </row>
    <row r="111" spans="1:16" x14ac:dyDescent="0.25">
      <c r="A111" t="str">
        <f t="shared" si="29"/>
        <v>人民币</v>
      </c>
      <c r="B111" t="str">
        <f>"沃特股份"</f>
        <v>沃特股份</v>
      </c>
      <c r="C111" t="str">
        <f>"20170614"</f>
        <v>20170614</v>
      </c>
      <c r="D111" t="str">
        <f>"0.000"</f>
        <v>0.000</v>
      </c>
      <c r="E111" t="str">
        <f>"10.00"</f>
        <v>10.00</v>
      </c>
      <c r="F111" t="str">
        <f>"0.00"</f>
        <v>0.00</v>
      </c>
      <c r="G111" t="str">
        <f>"616.69"</f>
        <v>616.69</v>
      </c>
      <c r="H111" t="str">
        <f>"0.00"</f>
        <v>0.00</v>
      </c>
      <c r="I111" t="str">
        <f>"48"</f>
        <v>48</v>
      </c>
      <c r="J111" t="str">
        <f>"申购配号(沃特股份)"</f>
        <v>申购配号(沃特股份)</v>
      </c>
      <c r="K111" t="str">
        <f t="shared" si="46"/>
        <v>0.00</v>
      </c>
      <c r="L111" t="str">
        <f t="shared" si="46"/>
        <v>0.00</v>
      </c>
      <c r="M111" t="str">
        <f t="shared" si="46"/>
        <v>0.00</v>
      </c>
      <c r="N111" t="str">
        <f t="shared" si="46"/>
        <v>0.00</v>
      </c>
      <c r="O111" t="str">
        <f>"002886"</f>
        <v>002886</v>
      </c>
      <c r="P111" t="str">
        <f t="shared" si="47"/>
        <v>0153613480</v>
      </c>
    </row>
    <row r="112" spans="1:16" x14ac:dyDescent="0.25">
      <c r="A112" t="str">
        <f t="shared" si="29"/>
        <v>人民币</v>
      </c>
      <c r="B112" t="str">
        <f>"京泉华"</f>
        <v>京泉华</v>
      </c>
      <c r="C112" t="str">
        <f>"20170615"</f>
        <v>20170615</v>
      </c>
      <c r="D112" t="str">
        <f>"0.000"</f>
        <v>0.000</v>
      </c>
      <c r="E112" t="str">
        <f>"10.00"</f>
        <v>10.00</v>
      </c>
      <c r="F112" t="str">
        <f>"0.00"</f>
        <v>0.00</v>
      </c>
      <c r="G112" t="str">
        <f>"616.69"</f>
        <v>616.69</v>
      </c>
      <c r="H112" t="str">
        <f>"0.00"</f>
        <v>0.00</v>
      </c>
      <c r="I112" t="str">
        <f>"51"</f>
        <v>51</v>
      </c>
      <c r="J112" t="str">
        <f>"申购配号(京泉华)"</f>
        <v>申购配号(京泉华)</v>
      </c>
      <c r="K112" t="str">
        <f t="shared" si="46"/>
        <v>0.00</v>
      </c>
      <c r="L112" t="str">
        <f t="shared" si="46"/>
        <v>0.00</v>
      </c>
      <c r="M112" t="str">
        <f t="shared" si="46"/>
        <v>0.00</v>
      </c>
      <c r="N112" t="str">
        <f t="shared" si="46"/>
        <v>0.00</v>
      </c>
      <c r="O112" t="str">
        <f>"002885"</f>
        <v>002885</v>
      </c>
      <c r="P112" t="str">
        <f t="shared" si="47"/>
        <v>0153613480</v>
      </c>
    </row>
    <row r="113" spans="1:16" x14ac:dyDescent="0.25">
      <c r="A113" t="str">
        <f t="shared" si="29"/>
        <v>人民币</v>
      </c>
      <c r="B113" t="str">
        <f>"西部建设"</f>
        <v>西部建设</v>
      </c>
      <c r="C113" t="str">
        <f t="shared" ref="C113:C118" si="48">"20170616"</f>
        <v>20170616</v>
      </c>
      <c r="D113" t="str">
        <f>"19.740"</f>
        <v>19.740</v>
      </c>
      <c r="E113" t="str">
        <f>"-300.00"</f>
        <v>-300.00</v>
      </c>
      <c r="F113" t="str">
        <f>"5911.08"</f>
        <v>5911.08</v>
      </c>
      <c r="G113" t="str">
        <f>"6527.77"</f>
        <v>6527.77</v>
      </c>
      <c r="H113" t="str">
        <f>"400.00"</f>
        <v>400.00</v>
      </c>
      <c r="I113" t="str">
        <f>"54"</f>
        <v>54</v>
      </c>
      <c r="J113" t="str">
        <f>"证券卖出(西部建设)"</f>
        <v>证券卖出(西部建设)</v>
      </c>
      <c r="K113" t="str">
        <f t="shared" ref="K113:K118" si="49">"5.00"</f>
        <v>5.00</v>
      </c>
      <c r="L113" t="str">
        <f>"5.92"</f>
        <v>5.92</v>
      </c>
      <c r="M113" t="str">
        <f t="shared" ref="M113:N118" si="50">"0.00"</f>
        <v>0.00</v>
      </c>
      <c r="N113" t="str">
        <f t="shared" si="50"/>
        <v>0.00</v>
      </c>
      <c r="O113" t="str">
        <f>"002302"</f>
        <v>002302</v>
      </c>
      <c r="P113" t="str">
        <f t="shared" si="47"/>
        <v>0153613480</v>
      </c>
    </row>
    <row r="114" spans="1:16" x14ac:dyDescent="0.25">
      <c r="A114" t="str">
        <f t="shared" si="29"/>
        <v>人民币</v>
      </c>
      <c r="B114" t="str">
        <f>"西部建设"</f>
        <v>西部建设</v>
      </c>
      <c r="C114" t="str">
        <f t="shared" si="48"/>
        <v>20170616</v>
      </c>
      <c r="D114" t="str">
        <f>"19.800"</f>
        <v>19.800</v>
      </c>
      <c r="E114" t="str">
        <f>"-200.00"</f>
        <v>-200.00</v>
      </c>
      <c r="F114" t="str">
        <f>"3951.04"</f>
        <v>3951.04</v>
      </c>
      <c r="G114" t="str">
        <f>"10478.81"</f>
        <v>10478.81</v>
      </c>
      <c r="H114" t="str">
        <f>"200.00"</f>
        <v>200.00</v>
      </c>
      <c r="I114" t="str">
        <f>"56"</f>
        <v>56</v>
      </c>
      <c r="J114" t="str">
        <f>"证券卖出(西部建设)"</f>
        <v>证券卖出(西部建设)</v>
      </c>
      <c r="K114" t="str">
        <f t="shared" si="49"/>
        <v>5.00</v>
      </c>
      <c r="L114" t="str">
        <f>"3.96"</f>
        <v>3.96</v>
      </c>
      <c r="M114" t="str">
        <f t="shared" si="50"/>
        <v>0.00</v>
      </c>
      <c r="N114" t="str">
        <f t="shared" si="50"/>
        <v>0.00</v>
      </c>
      <c r="O114" t="str">
        <f>"002302"</f>
        <v>002302</v>
      </c>
      <c r="P114" t="str">
        <f t="shared" si="47"/>
        <v>0153613480</v>
      </c>
    </row>
    <row r="115" spans="1:16" x14ac:dyDescent="0.25">
      <c r="A115" t="str">
        <f t="shared" si="29"/>
        <v>人民币</v>
      </c>
      <c r="B115" t="str">
        <f>"西部建设"</f>
        <v>西部建设</v>
      </c>
      <c r="C115" t="str">
        <f t="shared" si="48"/>
        <v>20170616</v>
      </c>
      <c r="D115" t="str">
        <f>"19.400"</f>
        <v>19.400</v>
      </c>
      <c r="E115" t="str">
        <f>"-200.00"</f>
        <v>-200.00</v>
      </c>
      <c r="F115" t="str">
        <f>"3871.12"</f>
        <v>3871.12</v>
      </c>
      <c r="G115" t="str">
        <f>"14349.93"</f>
        <v>14349.93</v>
      </c>
      <c r="H115" t="str">
        <f>"0.00"</f>
        <v>0.00</v>
      </c>
      <c r="I115" t="str">
        <f>"66"</f>
        <v>66</v>
      </c>
      <c r="J115" t="str">
        <f>"证券卖出(西部建设)"</f>
        <v>证券卖出(西部建设)</v>
      </c>
      <c r="K115" t="str">
        <f t="shared" si="49"/>
        <v>5.00</v>
      </c>
      <c r="L115" t="str">
        <f>"3.88"</f>
        <v>3.88</v>
      </c>
      <c r="M115" t="str">
        <f t="shared" si="50"/>
        <v>0.00</v>
      </c>
      <c r="N115" t="str">
        <f t="shared" si="50"/>
        <v>0.00</v>
      </c>
      <c r="O115" t="str">
        <f>"002302"</f>
        <v>002302</v>
      </c>
      <c r="P115" t="str">
        <f t="shared" si="47"/>
        <v>0153613480</v>
      </c>
    </row>
    <row r="116" spans="1:16" x14ac:dyDescent="0.25">
      <c r="A116" t="str">
        <f t="shared" si="29"/>
        <v>人民币</v>
      </c>
      <c r="B116" t="str">
        <f>"汉钟精机"</f>
        <v>汉钟精机</v>
      </c>
      <c r="C116" t="str">
        <f t="shared" si="48"/>
        <v>20170616</v>
      </c>
      <c r="D116" t="str">
        <f>"16.530"</f>
        <v>16.530</v>
      </c>
      <c r="E116" t="str">
        <f>"300.00"</f>
        <v>300.00</v>
      </c>
      <c r="F116" t="str">
        <f>"-4964.00"</f>
        <v>-4964.00</v>
      </c>
      <c r="G116" t="str">
        <f>"9385.93"</f>
        <v>9385.93</v>
      </c>
      <c r="H116" t="str">
        <f>"300.00"</f>
        <v>300.00</v>
      </c>
      <c r="I116" t="str">
        <f>"79"</f>
        <v>79</v>
      </c>
      <c r="J116" t="str">
        <f>"证券买入(汉钟精机)"</f>
        <v>证券买入(汉钟精机)</v>
      </c>
      <c r="K116" t="str">
        <f t="shared" si="49"/>
        <v>5.00</v>
      </c>
      <c r="L116" t="str">
        <f>"0.00"</f>
        <v>0.00</v>
      </c>
      <c r="M116" t="str">
        <f t="shared" si="50"/>
        <v>0.00</v>
      </c>
      <c r="N116" t="str">
        <f t="shared" si="50"/>
        <v>0.00</v>
      </c>
      <c r="O116" t="str">
        <f>"002158"</f>
        <v>002158</v>
      </c>
      <c r="P116" t="str">
        <f t="shared" si="47"/>
        <v>0153613480</v>
      </c>
    </row>
    <row r="117" spans="1:16" x14ac:dyDescent="0.25">
      <c r="A117" t="str">
        <f t="shared" si="29"/>
        <v>人民币</v>
      </c>
      <c r="B117" t="str">
        <f>"汉钟精机"</f>
        <v>汉钟精机</v>
      </c>
      <c r="C117" t="str">
        <f t="shared" si="48"/>
        <v>20170616</v>
      </c>
      <c r="D117" t="str">
        <f>"16.530"</f>
        <v>16.530</v>
      </c>
      <c r="E117" t="str">
        <f>"200.00"</f>
        <v>200.00</v>
      </c>
      <c r="F117" t="str">
        <f>"-3311.00"</f>
        <v>-3311.00</v>
      </c>
      <c r="G117" t="str">
        <f>"6074.93"</f>
        <v>6074.93</v>
      </c>
      <c r="H117" t="str">
        <f>"500.00"</f>
        <v>500.00</v>
      </c>
      <c r="I117" t="str">
        <f>"82"</f>
        <v>82</v>
      </c>
      <c r="J117" t="str">
        <f>"证券买入(汉钟精机)"</f>
        <v>证券买入(汉钟精机)</v>
      </c>
      <c r="K117" t="str">
        <f t="shared" si="49"/>
        <v>5.00</v>
      </c>
      <c r="L117" t="str">
        <f>"0.00"</f>
        <v>0.00</v>
      </c>
      <c r="M117" t="str">
        <f t="shared" si="50"/>
        <v>0.00</v>
      </c>
      <c r="N117" t="str">
        <f t="shared" si="50"/>
        <v>0.00</v>
      </c>
      <c r="O117" t="str">
        <f>"002158"</f>
        <v>002158</v>
      </c>
      <c r="P117" t="str">
        <f t="shared" si="47"/>
        <v>0153613480</v>
      </c>
    </row>
    <row r="118" spans="1:16" x14ac:dyDescent="0.25">
      <c r="A118" t="str">
        <f t="shared" si="29"/>
        <v>人民币</v>
      </c>
      <c r="B118" t="str">
        <f>"冀东水泥"</f>
        <v>冀东水泥</v>
      </c>
      <c r="C118" t="str">
        <f t="shared" si="48"/>
        <v>20170616</v>
      </c>
      <c r="D118" t="str">
        <f>"16.300"</f>
        <v>16.300</v>
      </c>
      <c r="E118" t="str">
        <f>"-500.00"</f>
        <v>-500.00</v>
      </c>
      <c r="F118" t="str">
        <f>"8136.85"</f>
        <v>8136.85</v>
      </c>
      <c r="G118" t="str">
        <f>"14211.78"</f>
        <v>14211.78</v>
      </c>
      <c r="H118" t="str">
        <f>"700.00"</f>
        <v>700.00</v>
      </c>
      <c r="I118" t="str">
        <f>"69"</f>
        <v>69</v>
      </c>
      <c r="J118" t="str">
        <f>"证券卖出(冀东水泥)"</f>
        <v>证券卖出(冀东水泥)</v>
      </c>
      <c r="K118" t="str">
        <f t="shared" si="49"/>
        <v>5.00</v>
      </c>
      <c r="L118" t="str">
        <f>"8.15"</f>
        <v>8.15</v>
      </c>
      <c r="M118" t="str">
        <f t="shared" si="50"/>
        <v>0.00</v>
      </c>
      <c r="N118" t="str">
        <f t="shared" si="50"/>
        <v>0.00</v>
      </c>
      <c r="O118" t="str">
        <f>"000401"</f>
        <v>000401</v>
      </c>
      <c r="P118" t="str">
        <f t="shared" si="47"/>
        <v>0153613480</v>
      </c>
    </row>
    <row r="119" spans="1:16" x14ac:dyDescent="0.25">
      <c r="A119" t="str">
        <f t="shared" si="29"/>
        <v>人民币</v>
      </c>
      <c r="B119" t="str">
        <f>"西部建设"</f>
        <v>西部建设</v>
      </c>
      <c r="C119" t="str">
        <f>"20170619"</f>
        <v>20170619</v>
      </c>
      <c r="D119" t="str">
        <f>"0.000"</f>
        <v>0.000</v>
      </c>
      <c r="E119" t="str">
        <f>"0.00"</f>
        <v>0.00</v>
      </c>
      <c r="F119" t="str">
        <f>"-9.10"</f>
        <v>-9.10</v>
      </c>
      <c r="G119" t="str">
        <f>"14202.68"</f>
        <v>14202.68</v>
      </c>
      <c r="H119" t="str">
        <f>"0.00"</f>
        <v>0.00</v>
      </c>
      <c r="I119" t="str">
        <f>"---"</f>
        <v>---</v>
      </c>
      <c r="J119" t="str">
        <f>"红利差异税扣税(西部建设)"</f>
        <v>红利差异税扣税(西部建设)</v>
      </c>
      <c r="K119" t="str">
        <f t="shared" ref="K119:N120" si="51">"---"</f>
        <v>---</v>
      </c>
      <c r="L119" t="str">
        <f t="shared" si="51"/>
        <v>---</v>
      </c>
      <c r="M119" t="str">
        <f t="shared" si="51"/>
        <v>---</v>
      </c>
      <c r="N119" t="str">
        <f t="shared" si="51"/>
        <v>---</v>
      </c>
      <c r="O119" t="str">
        <f>"002302"</f>
        <v>002302</v>
      </c>
      <c r="P119" t="str">
        <f t="shared" si="47"/>
        <v>0153613480</v>
      </c>
    </row>
    <row r="120" spans="1:16" x14ac:dyDescent="0.25">
      <c r="A120" t="str">
        <f t="shared" si="29"/>
        <v>人民币</v>
      </c>
      <c r="B120" t="str">
        <f>" "</f>
        <v xml:space="preserve"> </v>
      </c>
      <c r="C120" t="str">
        <f>"20170619"</f>
        <v>20170619</v>
      </c>
      <c r="D120" t="str">
        <f>"---"</f>
        <v>---</v>
      </c>
      <c r="E120" t="str">
        <f>"---"</f>
        <v>---</v>
      </c>
      <c r="F120" t="str">
        <f>"-10000.00"</f>
        <v>-10000.00</v>
      </c>
      <c r="G120" t="str">
        <f>"4202.68"</f>
        <v>4202.68</v>
      </c>
      <c r="H120" t="str">
        <f>"---"</f>
        <v>---</v>
      </c>
      <c r="I120" t="str">
        <f>"---"</f>
        <v>---</v>
      </c>
      <c r="J120" t="str">
        <f>"银行转取"</f>
        <v>银行转取</v>
      </c>
      <c r="K120" t="str">
        <f t="shared" si="51"/>
        <v>---</v>
      </c>
      <c r="L120" t="str">
        <f t="shared" si="51"/>
        <v>---</v>
      </c>
      <c r="M120" t="str">
        <f t="shared" si="51"/>
        <v>---</v>
      </c>
      <c r="N120" t="str">
        <f t="shared" si="51"/>
        <v>---</v>
      </c>
      <c r="O120" t="str">
        <f>"---"</f>
        <v>---</v>
      </c>
      <c r="P120" t="str">
        <f>"---"</f>
        <v>---</v>
      </c>
    </row>
    <row r="121" spans="1:16" x14ac:dyDescent="0.25">
      <c r="A121" t="str">
        <f t="shared" si="29"/>
        <v>人民币</v>
      </c>
      <c r="B121" t="str">
        <f>"汉钟精机"</f>
        <v>汉钟精机</v>
      </c>
      <c r="C121" t="str">
        <f>"20170619"</f>
        <v>20170619</v>
      </c>
      <c r="D121" t="str">
        <f>"17.470"</f>
        <v>17.470</v>
      </c>
      <c r="E121" t="str">
        <f>"-300.00"</f>
        <v>-300.00</v>
      </c>
      <c r="F121" t="str">
        <f>"5230.76"</f>
        <v>5230.76</v>
      </c>
      <c r="G121" t="str">
        <f>"9433.44"</f>
        <v>9433.44</v>
      </c>
      <c r="H121" t="str">
        <f>"200.00"</f>
        <v>200.00</v>
      </c>
      <c r="I121" t="str">
        <f>"95"</f>
        <v>95</v>
      </c>
      <c r="J121" t="str">
        <f>"证券卖出(汉钟精机)"</f>
        <v>证券卖出(汉钟精机)</v>
      </c>
      <c r="K121" t="str">
        <f>"5.00"</f>
        <v>5.00</v>
      </c>
      <c r="L121" t="str">
        <f>"5.24"</f>
        <v>5.24</v>
      </c>
      <c r="M121" t="str">
        <f>"0.00"</f>
        <v>0.00</v>
      </c>
      <c r="N121" t="str">
        <f>"0.00"</f>
        <v>0.00</v>
      </c>
      <c r="O121" t="str">
        <f>"002158"</f>
        <v>002158</v>
      </c>
      <c r="P121" t="str">
        <f>"0153613480"</f>
        <v>0153613480</v>
      </c>
    </row>
    <row r="122" spans="1:16" x14ac:dyDescent="0.25">
      <c r="A122" t="str">
        <f t="shared" si="29"/>
        <v>人民币</v>
      </c>
      <c r="B122" t="str">
        <f>"汉钟精机"</f>
        <v>汉钟精机</v>
      </c>
      <c r="C122" t="str">
        <f>"20170619"</f>
        <v>20170619</v>
      </c>
      <c r="D122" t="str">
        <f>"16.930"</f>
        <v>16.930</v>
      </c>
      <c r="E122" t="str">
        <f>"200.00"</f>
        <v>200.00</v>
      </c>
      <c r="F122" t="str">
        <f>"-3391.00"</f>
        <v>-3391.00</v>
      </c>
      <c r="G122" t="str">
        <f>"6042.44"</f>
        <v>6042.44</v>
      </c>
      <c r="H122" t="str">
        <f>"400.00"</f>
        <v>400.00</v>
      </c>
      <c r="I122" t="str">
        <f>"99"</f>
        <v>99</v>
      </c>
      <c r="J122" t="str">
        <f>"证券买入(汉钟精机)"</f>
        <v>证券买入(汉钟精机)</v>
      </c>
      <c r="K122" t="str">
        <f>"5.00"</f>
        <v>5.00</v>
      </c>
      <c r="L122" t="str">
        <f>"0.00"</f>
        <v>0.00</v>
      </c>
      <c r="M122" t="str">
        <f>"0.00"</f>
        <v>0.00</v>
      </c>
      <c r="N122" t="str">
        <f>"0.00"</f>
        <v>0.00</v>
      </c>
      <c r="O122" t="str">
        <f>"002158"</f>
        <v>002158</v>
      </c>
      <c r="P122" t="str">
        <f>"0153613480"</f>
        <v>0153613480</v>
      </c>
    </row>
    <row r="123" spans="1:16" x14ac:dyDescent="0.25">
      <c r="A123" t="str">
        <f t="shared" si="29"/>
        <v>人民币</v>
      </c>
      <c r="B123" t="str">
        <f>" "</f>
        <v xml:space="preserve"> </v>
      </c>
      <c r="C123" t="str">
        <f>"20170620"</f>
        <v>20170620</v>
      </c>
      <c r="D123" t="str">
        <f>"---"</f>
        <v>---</v>
      </c>
      <c r="E123" t="str">
        <f>"---"</f>
        <v>---</v>
      </c>
      <c r="F123" t="str">
        <f>"3.20"</f>
        <v>3.20</v>
      </c>
      <c r="G123" t="str">
        <f>"6045.64"</f>
        <v>6045.64</v>
      </c>
      <c r="H123" t="str">
        <f>"---"</f>
        <v>---</v>
      </c>
      <c r="I123" t="str">
        <f>"---"</f>
        <v>---</v>
      </c>
      <c r="J123" t="str">
        <f>"批量利息归本"</f>
        <v>批量利息归本</v>
      </c>
      <c r="K123" t="str">
        <f t="shared" ref="K123:P123" si="52">"---"</f>
        <v>---</v>
      </c>
      <c r="L123" t="str">
        <f t="shared" si="52"/>
        <v>---</v>
      </c>
      <c r="M123" t="str">
        <f t="shared" si="52"/>
        <v>---</v>
      </c>
      <c r="N123" t="str">
        <f t="shared" si="52"/>
        <v>---</v>
      </c>
      <c r="O123" t="str">
        <f t="shared" si="52"/>
        <v>---</v>
      </c>
      <c r="P123" t="str">
        <f t="shared" si="52"/>
        <v>---</v>
      </c>
    </row>
    <row r="124" spans="1:16" x14ac:dyDescent="0.25">
      <c r="A124" t="str">
        <f t="shared" si="29"/>
        <v>人民币</v>
      </c>
      <c r="B124" t="str">
        <f>"汉钟精机"</f>
        <v>汉钟精机</v>
      </c>
      <c r="C124" t="str">
        <f>"20170620"</f>
        <v>20170620</v>
      </c>
      <c r="D124" t="str">
        <f>"18.400"</f>
        <v>18.400</v>
      </c>
      <c r="E124" t="str">
        <f>"-400.00"</f>
        <v>-400.00</v>
      </c>
      <c r="F124" t="str">
        <f>"7347.64"</f>
        <v>7347.64</v>
      </c>
      <c r="G124" t="str">
        <f>"13393.28"</f>
        <v>13393.28</v>
      </c>
      <c r="H124" t="str">
        <f>"0.00"</f>
        <v>0.00</v>
      </c>
      <c r="I124" t="str">
        <f>"104"</f>
        <v>104</v>
      </c>
      <c r="J124" t="str">
        <f>"证券卖出(汉钟精机)"</f>
        <v>证券卖出(汉钟精机)</v>
      </c>
      <c r="K124" t="str">
        <f t="shared" ref="K124:K137" si="53">"5.00"</f>
        <v>5.00</v>
      </c>
      <c r="L124" t="str">
        <f>"7.36"</f>
        <v>7.36</v>
      </c>
      <c r="M124" t="str">
        <f>"0.00"</f>
        <v>0.00</v>
      </c>
      <c r="N124" t="str">
        <f>"0.00"</f>
        <v>0.00</v>
      </c>
      <c r="O124" t="str">
        <f>"002158"</f>
        <v>002158</v>
      </c>
      <c r="P124" t="str">
        <f>"0153613480"</f>
        <v>0153613480</v>
      </c>
    </row>
    <row r="125" spans="1:16" x14ac:dyDescent="0.25">
      <c r="A125" t="str">
        <f t="shared" si="29"/>
        <v>人民币</v>
      </c>
      <c r="B125" t="str">
        <f>"银龙股份"</f>
        <v>银龙股份</v>
      </c>
      <c r="C125" t="str">
        <f>"20170621"</f>
        <v>20170621</v>
      </c>
      <c r="D125" t="str">
        <f>"21.930"</f>
        <v>21.930</v>
      </c>
      <c r="E125" t="str">
        <f>"200.00"</f>
        <v>200.00</v>
      </c>
      <c r="F125" t="str">
        <f>"-4391.09"</f>
        <v>-4391.09</v>
      </c>
      <c r="G125" t="str">
        <f>"9002.19"</f>
        <v>9002.19</v>
      </c>
      <c r="H125" t="str">
        <f>"200.00"</f>
        <v>200.00</v>
      </c>
      <c r="I125" t="str">
        <f>"109"</f>
        <v>109</v>
      </c>
      <c r="J125" t="str">
        <f>"证券买入(银龙股份)"</f>
        <v>证券买入(银龙股份)</v>
      </c>
      <c r="K125" t="str">
        <f t="shared" si="53"/>
        <v>5.00</v>
      </c>
      <c r="L125" t="str">
        <f>"0.00"</f>
        <v>0.00</v>
      </c>
      <c r="M125" t="str">
        <f>"0.09"</f>
        <v>0.09</v>
      </c>
      <c r="N125" t="str">
        <f t="shared" ref="N125:N143" si="54">"0.00"</f>
        <v>0.00</v>
      </c>
      <c r="O125" t="str">
        <f>"603969"</f>
        <v>603969</v>
      </c>
      <c r="P125" t="str">
        <f>"A400948245"</f>
        <v>A400948245</v>
      </c>
    </row>
    <row r="126" spans="1:16" x14ac:dyDescent="0.25">
      <c r="A126" t="str">
        <f t="shared" si="29"/>
        <v>人民币</v>
      </c>
      <c r="B126" t="str">
        <f>"银龙股份"</f>
        <v>银龙股份</v>
      </c>
      <c r="C126" t="str">
        <f>"20170622"</f>
        <v>20170622</v>
      </c>
      <c r="D126" t="str">
        <f>"21.700"</f>
        <v>21.700</v>
      </c>
      <c r="E126" t="str">
        <f>"100.00"</f>
        <v>100.00</v>
      </c>
      <c r="F126" t="str">
        <f>"-2175.04"</f>
        <v>-2175.04</v>
      </c>
      <c r="G126" t="str">
        <f>"6827.15"</f>
        <v>6827.15</v>
      </c>
      <c r="H126" t="str">
        <f>"300.00"</f>
        <v>300.00</v>
      </c>
      <c r="I126" t="str">
        <f>"131"</f>
        <v>131</v>
      </c>
      <c r="J126" t="str">
        <f>"证券买入(银龙股份)"</f>
        <v>证券买入(银龙股份)</v>
      </c>
      <c r="K126" t="str">
        <f t="shared" si="53"/>
        <v>5.00</v>
      </c>
      <c r="L126" t="str">
        <f>"0.00"</f>
        <v>0.00</v>
      </c>
      <c r="M126" t="str">
        <f>"0.04"</f>
        <v>0.04</v>
      </c>
      <c r="N126" t="str">
        <f t="shared" si="54"/>
        <v>0.00</v>
      </c>
      <c r="O126" t="str">
        <f>"603969"</f>
        <v>603969</v>
      </c>
      <c r="P126" t="str">
        <f>"A400948245"</f>
        <v>A400948245</v>
      </c>
    </row>
    <row r="127" spans="1:16" x14ac:dyDescent="0.25">
      <c r="A127" t="str">
        <f t="shared" si="29"/>
        <v>人民币</v>
      </c>
      <c r="B127" t="str">
        <f>"太空板业"</f>
        <v>太空板业</v>
      </c>
      <c r="C127" t="str">
        <f>"20170622"</f>
        <v>20170622</v>
      </c>
      <c r="D127" t="str">
        <f>"20.870"</f>
        <v>20.870</v>
      </c>
      <c r="E127" t="str">
        <f>"200.00"</f>
        <v>200.00</v>
      </c>
      <c r="F127" t="str">
        <f>"-4179.00"</f>
        <v>-4179.00</v>
      </c>
      <c r="G127" t="str">
        <f>"2648.15"</f>
        <v>2648.15</v>
      </c>
      <c r="H127" t="str">
        <f>"200.00"</f>
        <v>200.00</v>
      </c>
      <c r="I127" t="str">
        <f>"113"</f>
        <v>113</v>
      </c>
      <c r="J127" t="str">
        <f>"证券买入(太空板业)"</f>
        <v>证券买入(太空板业)</v>
      </c>
      <c r="K127" t="str">
        <f t="shared" si="53"/>
        <v>5.00</v>
      </c>
      <c r="L127" t="str">
        <f>"0.00"</f>
        <v>0.00</v>
      </c>
      <c r="M127" t="str">
        <f t="shared" ref="M127:M143" si="55">"0.00"</f>
        <v>0.00</v>
      </c>
      <c r="N127" t="str">
        <f t="shared" si="54"/>
        <v>0.00</v>
      </c>
      <c r="O127" t="str">
        <f>"300344"</f>
        <v>300344</v>
      </c>
      <c r="P127" t="str">
        <f t="shared" ref="P127:P146" si="56">"0153613480"</f>
        <v>0153613480</v>
      </c>
    </row>
    <row r="128" spans="1:16" x14ac:dyDescent="0.25">
      <c r="A128" t="str">
        <f t="shared" si="29"/>
        <v>人民币</v>
      </c>
      <c r="B128" t="str">
        <f>"太空板业"</f>
        <v>太空板业</v>
      </c>
      <c r="C128" t="str">
        <f>"20170622"</f>
        <v>20170622</v>
      </c>
      <c r="D128" t="str">
        <f>"20.790"</f>
        <v>20.790</v>
      </c>
      <c r="E128" t="str">
        <f>"200.00"</f>
        <v>200.00</v>
      </c>
      <c r="F128" t="str">
        <f>"-4163.00"</f>
        <v>-4163.00</v>
      </c>
      <c r="G128" t="str">
        <f>"-1514.85"</f>
        <v>-1514.85</v>
      </c>
      <c r="H128" t="str">
        <f>"400.00"</f>
        <v>400.00</v>
      </c>
      <c r="I128" t="str">
        <f>"124"</f>
        <v>124</v>
      </c>
      <c r="J128" t="str">
        <f>"证券买入(太空板业)"</f>
        <v>证券买入(太空板业)</v>
      </c>
      <c r="K128" t="str">
        <f t="shared" si="53"/>
        <v>5.00</v>
      </c>
      <c r="L128" t="str">
        <f>"0.00"</f>
        <v>0.00</v>
      </c>
      <c r="M128" t="str">
        <f t="shared" si="55"/>
        <v>0.00</v>
      </c>
      <c r="N128" t="str">
        <f t="shared" si="54"/>
        <v>0.00</v>
      </c>
      <c r="O128" t="str">
        <f>"300344"</f>
        <v>300344</v>
      </c>
      <c r="P128" t="str">
        <f t="shared" si="56"/>
        <v>0153613480</v>
      </c>
    </row>
    <row r="129" spans="1:16" x14ac:dyDescent="0.25">
      <c r="A129" t="str">
        <f t="shared" si="29"/>
        <v>人民币</v>
      </c>
      <c r="B129" t="str">
        <f>"太空板业"</f>
        <v>太空板业</v>
      </c>
      <c r="C129" t="str">
        <f>"20170622"</f>
        <v>20170622</v>
      </c>
      <c r="D129" t="str">
        <f>"20.730"</f>
        <v>20.730</v>
      </c>
      <c r="E129" t="str">
        <f>"200.00"</f>
        <v>200.00</v>
      </c>
      <c r="F129" t="str">
        <f>"-4151.00"</f>
        <v>-4151.00</v>
      </c>
      <c r="G129" t="str">
        <f>"-5665.85"</f>
        <v>-5665.85</v>
      </c>
      <c r="H129" t="str">
        <f>"600.00"</f>
        <v>600.00</v>
      </c>
      <c r="I129" t="str">
        <f>"122"</f>
        <v>122</v>
      </c>
      <c r="J129" t="str">
        <f>"证券买入(太空板业)"</f>
        <v>证券买入(太空板业)</v>
      </c>
      <c r="K129" t="str">
        <f t="shared" si="53"/>
        <v>5.00</v>
      </c>
      <c r="L129" t="str">
        <f>"0.00"</f>
        <v>0.00</v>
      </c>
      <c r="M129" t="str">
        <f t="shared" si="55"/>
        <v>0.00</v>
      </c>
      <c r="N129" t="str">
        <f t="shared" si="54"/>
        <v>0.00</v>
      </c>
      <c r="O129" t="str">
        <f>"300344"</f>
        <v>300344</v>
      </c>
      <c r="P129" t="str">
        <f t="shared" si="56"/>
        <v>0153613480</v>
      </c>
    </row>
    <row r="130" spans="1:16" x14ac:dyDescent="0.25">
      <c r="A130" t="str">
        <f t="shared" ref="A130:A193" si="57">"人民币"</f>
        <v>人民币</v>
      </c>
      <c r="B130" t="str">
        <f>"合肥城建"</f>
        <v>合肥城建</v>
      </c>
      <c r="C130" t="str">
        <f>"20170622"</f>
        <v>20170622</v>
      </c>
      <c r="D130" t="str">
        <f>"12.390"</f>
        <v>12.390</v>
      </c>
      <c r="E130" t="str">
        <f>"-500.00"</f>
        <v>-500.00</v>
      </c>
      <c r="F130" t="str">
        <f>"6183.80"</f>
        <v>6183.80</v>
      </c>
      <c r="G130" t="str">
        <f>"517.95"</f>
        <v>517.95</v>
      </c>
      <c r="H130" t="str">
        <f>"1300.00"</f>
        <v>1300.00</v>
      </c>
      <c r="I130" t="str">
        <f>"119"</f>
        <v>119</v>
      </c>
      <c r="J130" t="str">
        <f>"证券卖出(合肥城建)"</f>
        <v>证券卖出(合肥城建)</v>
      </c>
      <c r="K130" t="str">
        <f t="shared" si="53"/>
        <v>5.00</v>
      </c>
      <c r="L130" t="str">
        <f>"6.20"</f>
        <v>6.20</v>
      </c>
      <c r="M130" t="str">
        <f t="shared" si="55"/>
        <v>0.00</v>
      </c>
      <c r="N130" t="str">
        <f t="shared" si="54"/>
        <v>0.00</v>
      </c>
      <c r="O130" t="str">
        <f>"002208"</f>
        <v>002208</v>
      </c>
      <c r="P130" t="str">
        <f t="shared" si="56"/>
        <v>0153613480</v>
      </c>
    </row>
    <row r="131" spans="1:16" x14ac:dyDescent="0.25">
      <c r="A131" t="str">
        <f t="shared" si="57"/>
        <v>人民币</v>
      </c>
      <c r="B131" t="str">
        <f>"冀东水泥"</f>
        <v>冀东水泥</v>
      </c>
      <c r="C131" t="str">
        <f t="shared" ref="C131:C138" si="58">"20170623"</f>
        <v>20170623</v>
      </c>
      <c r="D131" t="str">
        <f>"15.800"</f>
        <v>15.800</v>
      </c>
      <c r="E131" t="str">
        <f>"-300.00"</f>
        <v>-300.00</v>
      </c>
      <c r="F131" t="str">
        <f>"4730.26"</f>
        <v>4730.26</v>
      </c>
      <c r="G131" t="str">
        <f>"5248.21"</f>
        <v>5248.21</v>
      </c>
      <c r="H131" t="str">
        <f>"400.00"</f>
        <v>400.00</v>
      </c>
      <c r="I131" t="str">
        <f>"139"</f>
        <v>139</v>
      </c>
      <c r="J131" t="str">
        <f>"证券卖出(冀东水泥)"</f>
        <v>证券卖出(冀东水泥)</v>
      </c>
      <c r="K131" t="str">
        <f t="shared" si="53"/>
        <v>5.00</v>
      </c>
      <c r="L131" t="str">
        <f>"4.74"</f>
        <v>4.74</v>
      </c>
      <c r="M131" t="str">
        <f t="shared" si="55"/>
        <v>0.00</v>
      </c>
      <c r="N131" t="str">
        <f t="shared" si="54"/>
        <v>0.00</v>
      </c>
      <c r="O131" t="str">
        <f>"000401"</f>
        <v>000401</v>
      </c>
      <c r="P131" t="str">
        <f t="shared" si="56"/>
        <v>0153613480</v>
      </c>
    </row>
    <row r="132" spans="1:16" x14ac:dyDescent="0.25">
      <c r="A132" t="str">
        <f t="shared" si="57"/>
        <v>人民币</v>
      </c>
      <c r="B132" t="str">
        <f>"冀东水泥"</f>
        <v>冀东水泥</v>
      </c>
      <c r="C132" t="str">
        <f t="shared" si="58"/>
        <v>20170623</v>
      </c>
      <c r="D132" t="str">
        <f>"15.740"</f>
        <v>15.740</v>
      </c>
      <c r="E132" t="str">
        <f>"-300.00"</f>
        <v>-300.00</v>
      </c>
      <c r="F132" t="str">
        <f>"4712.28"</f>
        <v>4712.28</v>
      </c>
      <c r="G132" t="str">
        <f>"9960.49"</f>
        <v>9960.49</v>
      </c>
      <c r="H132" t="str">
        <f>"100.00"</f>
        <v>100.00</v>
      </c>
      <c r="I132" t="str">
        <f>"145"</f>
        <v>145</v>
      </c>
      <c r="J132" t="str">
        <f>"证券卖出(冀东水泥)"</f>
        <v>证券卖出(冀东水泥)</v>
      </c>
      <c r="K132" t="str">
        <f t="shared" si="53"/>
        <v>5.00</v>
      </c>
      <c r="L132" t="str">
        <f>"4.72"</f>
        <v>4.72</v>
      </c>
      <c r="M132" t="str">
        <f t="shared" si="55"/>
        <v>0.00</v>
      </c>
      <c r="N132" t="str">
        <f t="shared" si="54"/>
        <v>0.00</v>
      </c>
      <c r="O132" t="str">
        <f>"000401"</f>
        <v>000401</v>
      </c>
      <c r="P132" t="str">
        <f t="shared" si="56"/>
        <v>0153613480</v>
      </c>
    </row>
    <row r="133" spans="1:16" x14ac:dyDescent="0.25">
      <c r="A133" t="str">
        <f t="shared" si="57"/>
        <v>人民币</v>
      </c>
      <c r="B133" t="str">
        <f>"冀东水泥"</f>
        <v>冀东水泥</v>
      </c>
      <c r="C133" t="str">
        <f t="shared" si="58"/>
        <v>20170623</v>
      </c>
      <c r="D133" t="str">
        <f>"15.700"</f>
        <v>15.700</v>
      </c>
      <c r="E133" t="str">
        <f>"-100.00"</f>
        <v>-100.00</v>
      </c>
      <c r="F133" t="str">
        <f>"1563.43"</f>
        <v>1563.43</v>
      </c>
      <c r="G133" t="str">
        <f>"11523.92"</f>
        <v>11523.92</v>
      </c>
      <c r="H133" t="str">
        <f>"0.00"</f>
        <v>0.00</v>
      </c>
      <c r="I133" t="str">
        <f>"163"</f>
        <v>163</v>
      </c>
      <c r="J133" t="str">
        <f>"证券卖出(冀东水泥)"</f>
        <v>证券卖出(冀东水泥)</v>
      </c>
      <c r="K133" t="str">
        <f t="shared" si="53"/>
        <v>5.00</v>
      </c>
      <c r="L133" t="str">
        <f>"1.57"</f>
        <v>1.57</v>
      </c>
      <c r="M133" t="str">
        <f t="shared" si="55"/>
        <v>0.00</v>
      </c>
      <c r="N133" t="str">
        <f t="shared" si="54"/>
        <v>0.00</v>
      </c>
      <c r="O133" t="str">
        <f>"000401"</f>
        <v>000401</v>
      </c>
      <c r="P133" t="str">
        <f t="shared" si="56"/>
        <v>0153613480</v>
      </c>
    </row>
    <row r="134" spans="1:16" x14ac:dyDescent="0.25">
      <c r="A134" t="str">
        <f t="shared" si="57"/>
        <v>人民币</v>
      </c>
      <c r="B134" t="str">
        <f>"汉钟精机"</f>
        <v>汉钟精机</v>
      </c>
      <c r="C134" t="str">
        <f t="shared" si="58"/>
        <v>20170623</v>
      </c>
      <c r="D134" t="str">
        <f>"18.000"</f>
        <v>18.000</v>
      </c>
      <c r="E134" t="str">
        <f>"200.00"</f>
        <v>200.00</v>
      </c>
      <c r="F134" t="str">
        <f>"-3605.00"</f>
        <v>-3605.00</v>
      </c>
      <c r="G134" t="str">
        <f>"7918.92"</f>
        <v>7918.92</v>
      </c>
      <c r="H134" t="str">
        <f>"200.00"</f>
        <v>200.00</v>
      </c>
      <c r="I134" t="str">
        <f>"142"</f>
        <v>142</v>
      </c>
      <c r="J134" t="str">
        <f>"证券买入(汉钟精机)"</f>
        <v>证券买入(汉钟精机)</v>
      </c>
      <c r="K134" t="str">
        <f t="shared" si="53"/>
        <v>5.00</v>
      </c>
      <c r="L134" t="str">
        <f>"0.00"</f>
        <v>0.00</v>
      </c>
      <c r="M134" t="str">
        <f t="shared" si="55"/>
        <v>0.00</v>
      </c>
      <c r="N134" t="str">
        <f t="shared" si="54"/>
        <v>0.00</v>
      </c>
      <c r="O134" t="str">
        <f>"002158"</f>
        <v>002158</v>
      </c>
      <c r="P134" t="str">
        <f t="shared" si="56"/>
        <v>0153613480</v>
      </c>
    </row>
    <row r="135" spans="1:16" x14ac:dyDescent="0.25">
      <c r="A135" t="str">
        <f t="shared" si="57"/>
        <v>人民币</v>
      </c>
      <c r="B135" t="str">
        <f>"汉钟精机"</f>
        <v>汉钟精机</v>
      </c>
      <c r="C135" t="str">
        <f t="shared" si="58"/>
        <v>20170623</v>
      </c>
      <c r="D135" t="str">
        <f>"17.990"</f>
        <v>17.990</v>
      </c>
      <c r="E135" t="str">
        <f>"100.00"</f>
        <v>100.00</v>
      </c>
      <c r="F135" t="str">
        <f>"-1804.00"</f>
        <v>-1804.00</v>
      </c>
      <c r="G135" t="str">
        <f>"6114.92"</f>
        <v>6114.92</v>
      </c>
      <c r="H135" t="str">
        <f>"300.00"</f>
        <v>300.00</v>
      </c>
      <c r="I135" t="str">
        <f>"154"</f>
        <v>154</v>
      </c>
      <c r="J135" t="str">
        <f>"证券买入(汉钟精机)"</f>
        <v>证券买入(汉钟精机)</v>
      </c>
      <c r="K135" t="str">
        <f t="shared" si="53"/>
        <v>5.00</v>
      </c>
      <c r="L135" t="str">
        <f>"0.00"</f>
        <v>0.00</v>
      </c>
      <c r="M135" t="str">
        <f t="shared" si="55"/>
        <v>0.00</v>
      </c>
      <c r="N135" t="str">
        <f t="shared" si="54"/>
        <v>0.00</v>
      </c>
      <c r="O135" t="str">
        <f>"002158"</f>
        <v>002158</v>
      </c>
      <c r="P135" t="str">
        <f t="shared" si="56"/>
        <v>0153613480</v>
      </c>
    </row>
    <row r="136" spans="1:16" x14ac:dyDescent="0.25">
      <c r="A136" t="str">
        <f t="shared" si="57"/>
        <v>人民币</v>
      </c>
      <c r="B136" t="str">
        <f>"汉钟精机"</f>
        <v>汉钟精机</v>
      </c>
      <c r="C136" t="str">
        <f t="shared" si="58"/>
        <v>20170623</v>
      </c>
      <c r="D136" t="str">
        <f>"17.980"</f>
        <v>17.980</v>
      </c>
      <c r="E136" t="str">
        <f>"200.00"</f>
        <v>200.00</v>
      </c>
      <c r="F136" t="str">
        <f>"-3601.00"</f>
        <v>-3601.00</v>
      </c>
      <c r="G136" t="str">
        <f>"2513.92"</f>
        <v>2513.92</v>
      </c>
      <c r="H136" t="str">
        <f>"500.00"</f>
        <v>500.00</v>
      </c>
      <c r="I136" t="str">
        <f>"160"</f>
        <v>160</v>
      </c>
      <c r="J136" t="str">
        <f>"证券买入(汉钟精机)"</f>
        <v>证券买入(汉钟精机)</v>
      </c>
      <c r="K136" t="str">
        <f t="shared" si="53"/>
        <v>5.00</v>
      </c>
      <c r="L136" t="str">
        <f>"0.00"</f>
        <v>0.00</v>
      </c>
      <c r="M136" t="str">
        <f t="shared" si="55"/>
        <v>0.00</v>
      </c>
      <c r="N136" t="str">
        <f t="shared" si="54"/>
        <v>0.00</v>
      </c>
      <c r="O136" t="str">
        <f>"002158"</f>
        <v>002158</v>
      </c>
      <c r="P136" t="str">
        <f t="shared" si="56"/>
        <v>0153613480</v>
      </c>
    </row>
    <row r="137" spans="1:16" x14ac:dyDescent="0.25">
      <c r="A137" t="str">
        <f t="shared" si="57"/>
        <v>人民币</v>
      </c>
      <c r="B137" t="str">
        <f>"汉钟精机"</f>
        <v>汉钟精机</v>
      </c>
      <c r="C137" t="str">
        <f t="shared" si="58"/>
        <v>20170623</v>
      </c>
      <c r="D137" t="str">
        <f>"17.930"</f>
        <v>17.930</v>
      </c>
      <c r="E137" t="str">
        <f>"100.00"</f>
        <v>100.00</v>
      </c>
      <c r="F137" t="str">
        <f>"-1798.00"</f>
        <v>-1798.00</v>
      </c>
      <c r="G137" t="str">
        <f>"715.92"</f>
        <v>715.92</v>
      </c>
      <c r="H137" t="str">
        <f>"600.00"</f>
        <v>600.00</v>
      </c>
      <c r="I137" t="str">
        <f>"171"</f>
        <v>171</v>
      </c>
      <c r="J137" t="str">
        <f>"证券买入(汉钟精机)"</f>
        <v>证券买入(汉钟精机)</v>
      </c>
      <c r="K137" t="str">
        <f t="shared" si="53"/>
        <v>5.00</v>
      </c>
      <c r="L137" t="str">
        <f>"0.00"</f>
        <v>0.00</v>
      </c>
      <c r="M137" t="str">
        <f t="shared" si="55"/>
        <v>0.00</v>
      </c>
      <c r="N137" t="str">
        <f t="shared" si="54"/>
        <v>0.00</v>
      </c>
      <c r="O137" t="str">
        <f>"002158"</f>
        <v>002158</v>
      </c>
      <c r="P137" t="str">
        <f t="shared" si="56"/>
        <v>0153613480</v>
      </c>
    </row>
    <row r="138" spans="1:16" x14ac:dyDescent="0.25">
      <c r="A138" t="str">
        <f t="shared" si="57"/>
        <v>人民币</v>
      </c>
      <c r="B138" t="str">
        <f>"富满电子"</f>
        <v>富满电子</v>
      </c>
      <c r="C138" t="str">
        <f t="shared" si="58"/>
        <v>20170623</v>
      </c>
      <c r="D138" t="str">
        <f>"0.000"</f>
        <v>0.000</v>
      </c>
      <c r="E138" t="str">
        <f>"10.00"</f>
        <v>10.00</v>
      </c>
      <c r="F138" t="str">
        <f>"0.00"</f>
        <v>0.00</v>
      </c>
      <c r="G138" t="str">
        <f>"715.92"</f>
        <v>715.92</v>
      </c>
      <c r="H138" t="str">
        <f>"0.00"</f>
        <v>0.00</v>
      </c>
      <c r="I138" t="str">
        <f>"168"</f>
        <v>168</v>
      </c>
      <c r="J138" t="str">
        <f>"申购配号(富满电子)"</f>
        <v>申购配号(富满电子)</v>
      </c>
      <c r="K138" t="str">
        <f>"0.00"</f>
        <v>0.00</v>
      </c>
      <c r="L138" t="str">
        <f>"0.00"</f>
        <v>0.00</v>
      </c>
      <c r="M138" t="str">
        <f t="shared" si="55"/>
        <v>0.00</v>
      </c>
      <c r="N138" t="str">
        <f t="shared" si="54"/>
        <v>0.00</v>
      </c>
      <c r="O138" t="str">
        <f>"300671"</f>
        <v>300671</v>
      </c>
      <c r="P138" t="str">
        <f t="shared" si="56"/>
        <v>0153613480</v>
      </c>
    </row>
    <row r="139" spans="1:16" x14ac:dyDescent="0.25">
      <c r="A139" t="str">
        <f t="shared" si="57"/>
        <v>人民币</v>
      </c>
      <c r="B139" t="str">
        <f>"汉钟精机"</f>
        <v>汉钟精机</v>
      </c>
      <c r="C139" t="str">
        <f>"20170626"</f>
        <v>20170626</v>
      </c>
      <c r="D139" t="str">
        <f>"19.390"</f>
        <v>19.390</v>
      </c>
      <c r="E139" t="str">
        <f>"-500.00"</f>
        <v>-500.00</v>
      </c>
      <c r="F139" t="str">
        <f>"9680.30"</f>
        <v>9680.30</v>
      </c>
      <c r="G139" t="str">
        <f>"10396.22"</f>
        <v>10396.22</v>
      </c>
      <c r="H139" t="str">
        <f>"100.00"</f>
        <v>100.00</v>
      </c>
      <c r="I139" t="str">
        <f>"183"</f>
        <v>183</v>
      </c>
      <c r="J139" t="str">
        <f>"证券卖出(汉钟精机)"</f>
        <v>证券卖出(汉钟精机)</v>
      </c>
      <c r="K139" t="str">
        <f>"5.00"</f>
        <v>5.00</v>
      </c>
      <c r="L139" t="str">
        <f>"9.70"</f>
        <v>9.70</v>
      </c>
      <c r="M139" t="str">
        <f t="shared" si="55"/>
        <v>0.00</v>
      </c>
      <c r="N139" t="str">
        <f t="shared" si="54"/>
        <v>0.00</v>
      </c>
      <c r="O139" t="str">
        <f>"002158"</f>
        <v>002158</v>
      </c>
      <c r="P139" t="str">
        <f t="shared" si="56"/>
        <v>0153613480</v>
      </c>
    </row>
    <row r="140" spans="1:16" x14ac:dyDescent="0.25">
      <c r="A140" t="str">
        <f t="shared" si="57"/>
        <v>人民币</v>
      </c>
      <c r="B140" t="str">
        <f>"汉钟精机"</f>
        <v>汉钟精机</v>
      </c>
      <c r="C140" t="str">
        <f>"20170626"</f>
        <v>20170626</v>
      </c>
      <c r="D140" t="str">
        <f>"19.090"</f>
        <v>19.090</v>
      </c>
      <c r="E140" t="str">
        <f>"100.00"</f>
        <v>100.00</v>
      </c>
      <c r="F140" t="str">
        <f>"-1914.00"</f>
        <v>-1914.00</v>
      </c>
      <c r="G140" t="str">
        <f>"8482.22"</f>
        <v>8482.22</v>
      </c>
      <c r="H140" t="str">
        <f>"200.00"</f>
        <v>200.00</v>
      </c>
      <c r="I140" t="str">
        <f>"189"</f>
        <v>189</v>
      </c>
      <c r="J140" t="str">
        <f>"证券买入(汉钟精机)"</f>
        <v>证券买入(汉钟精机)</v>
      </c>
      <c r="K140" t="str">
        <f>"5.00"</f>
        <v>5.00</v>
      </c>
      <c r="L140" t="str">
        <f>"0.00"</f>
        <v>0.00</v>
      </c>
      <c r="M140" t="str">
        <f t="shared" si="55"/>
        <v>0.00</v>
      </c>
      <c r="N140" t="str">
        <f t="shared" si="54"/>
        <v>0.00</v>
      </c>
      <c r="O140" t="str">
        <f>"002158"</f>
        <v>002158</v>
      </c>
      <c r="P140" t="str">
        <f t="shared" si="56"/>
        <v>0153613480</v>
      </c>
    </row>
    <row r="141" spans="1:16" x14ac:dyDescent="0.25">
      <c r="A141" t="str">
        <f t="shared" si="57"/>
        <v>人民币</v>
      </c>
      <c r="B141" t="str">
        <f>"汉钟精机"</f>
        <v>汉钟精机</v>
      </c>
      <c r="C141" t="str">
        <f>"20170627"</f>
        <v>20170627</v>
      </c>
      <c r="D141" t="str">
        <f>"18.500"</f>
        <v>18.500</v>
      </c>
      <c r="E141" t="str">
        <f>"200.00"</f>
        <v>200.00</v>
      </c>
      <c r="F141" t="str">
        <f>"-3705.00"</f>
        <v>-3705.00</v>
      </c>
      <c r="G141" t="str">
        <f>"4777.22"</f>
        <v>4777.22</v>
      </c>
      <c r="H141" t="str">
        <f>"400.00"</f>
        <v>400.00</v>
      </c>
      <c r="I141" t="str">
        <f>"202"</f>
        <v>202</v>
      </c>
      <c r="J141" t="str">
        <f>"证券买入(汉钟精机)"</f>
        <v>证券买入(汉钟精机)</v>
      </c>
      <c r="K141" t="str">
        <f>"5.00"</f>
        <v>5.00</v>
      </c>
      <c r="L141" t="str">
        <f>"0.00"</f>
        <v>0.00</v>
      </c>
      <c r="M141" t="str">
        <f t="shared" si="55"/>
        <v>0.00</v>
      </c>
      <c r="N141" t="str">
        <f t="shared" si="54"/>
        <v>0.00</v>
      </c>
      <c r="O141" t="str">
        <f>"002158"</f>
        <v>002158</v>
      </c>
      <c r="P141" t="str">
        <f t="shared" si="56"/>
        <v>0153613480</v>
      </c>
    </row>
    <row r="142" spans="1:16" x14ac:dyDescent="0.25">
      <c r="A142" t="str">
        <f t="shared" si="57"/>
        <v>人民币</v>
      </c>
      <c r="B142" t="str">
        <f>"汉钟精机"</f>
        <v>汉钟精机</v>
      </c>
      <c r="C142" t="str">
        <f>"20170627"</f>
        <v>20170627</v>
      </c>
      <c r="D142" t="str">
        <f>"18.300"</f>
        <v>18.300</v>
      </c>
      <c r="E142" t="str">
        <f>"200.00"</f>
        <v>200.00</v>
      </c>
      <c r="F142" t="str">
        <f>"-3665.00"</f>
        <v>-3665.00</v>
      </c>
      <c r="G142" t="str">
        <f>"1112.22"</f>
        <v>1112.22</v>
      </c>
      <c r="H142" t="str">
        <f>"600.00"</f>
        <v>600.00</v>
      </c>
      <c r="I142" t="str">
        <f>"208"</f>
        <v>208</v>
      </c>
      <c r="J142" t="str">
        <f>"证券买入(汉钟精机)"</f>
        <v>证券买入(汉钟精机)</v>
      </c>
      <c r="K142" t="str">
        <f>"5.00"</f>
        <v>5.00</v>
      </c>
      <c r="L142" t="str">
        <f>"0.00"</f>
        <v>0.00</v>
      </c>
      <c r="M142" t="str">
        <f t="shared" si="55"/>
        <v>0.00</v>
      </c>
      <c r="N142" t="str">
        <f t="shared" si="54"/>
        <v>0.00</v>
      </c>
      <c r="O142" t="str">
        <f>"002158"</f>
        <v>002158</v>
      </c>
      <c r="P142" t="str">
        <f t="shared" si="56"/>
        <v>0153613480</v>
      </c>
    </row>
    <row r="143" spans="1:16" x14ac:dyDescent="0.25">
      <c r="A143" t="str">
        <f t="shared" si="57"/>
        <v>人民币</v>
      </c>
      <c r="B143" t="str">
        <f>"太空板业"</f>
        <v>太空板业</v>
      </c>
      <c r="C143" t="str">
        <f>"20170627"</f>
        <v>20170627</v>
      </c>
      <c r="D143" t="str">
        <f>"0.000"</f>
        <v>0.000</v>
      </c>
      <c r="E143" t="str">
        <f>"240.00"</f>
        <v>240.00</v>
      </c>
      <c r="F143" t="str">
        <f>"0.00"</f>
        <v>0.00</v>
      </c>
      <c r="G143" t="str">
        <f>"1112.22"</f>
        <v>1112.22</v>
      </c>
      <c r="H143" t="str">
        <f>"840.00"</f>
        <v>840.00</v>
      </c>
      <c r="I143" t="str">
        <f>" "</f>
        <v xml:space="preserve"> </v>
      </c>
      <c r="J143" t="str">
        <f>"红股入帐(太空板业)"</f>
        <v>红股入帐(太空板业)</v>
      </c>
      <c r="K143" t="str">
        <f>"0.00"</f>
        <v>0.00</v>
      </c>
      <c r="L143" t="str">
        <f>"0.00"</f>
        <v>0.00</v>
      </c>
      <c r="M143" t="str">
        <f t="shared" si="55"/>
        <v>0.00</v>
      </c>
      <c r="N143" t="str">
        <f t="shared" si="54"/>
        <v>0.00</v>
      </c>
      <c r="O143" t="str">
        <f>"300344"</f>
        <v>300344</v>
      </c>
      <c r="P143" t="str">
        <f t="shared" si="56"/>
        <v>0153613480</v>
      </c>
    </row>
    <row r="144" spans="1:16" x14ac:dyDescent="0.25">
      <c r="A144" t="str">
        <f t="shared" si="57"/>
        <v>人民币</v>
      </c>
      <c r="B144" t="str">
        <f>"太空板业"</f>
        <v>太空板业</v>
      </c>
      <c r="C144" t="str">
        <f>"20170627"</f>
        <v>20170627</v>
      </c>
      <c r="D144" t="str">
        <f>"0.000"</f>
        <v>0.000</v>
      </c>
      <c r="E144" t="str">
        <f>"0.00"</f>
        <v>0.00</v>
      </c>
      <c r="F144" t="str">
        <f>"12.00"</f>
        <v>12.00</v>
      </c>
      <c r="G144" t="str">
        <f>"1124.22"</f>
        <v>1124.22</v>
      </c>
      <c r="H144" t="str">
        <f>"840.00"</f>
        <v>840.00</v>
      </c>
      <c r="I144" t="str">
        <f>"---"</f>
        <v>---</v>
      </c>
      <c r="J144" t="str">
        <f>"股息入帐(太空板业)"</f>
        <v>股息入帐(太空板业)</v>
      </c>
      <c r="K144" t="str">
        <f>"---"</f>
        <v>---</v>
      </c>
      <c r="L144" t="str">
        <f>"---"</f>
        <v>---</v>
      </c>
      <c r="M144" t="str">
        <f>"---"</f>
        <v>---</v>
      </c>
      <c r="N144" t="str">
        <f>"---"</f>
        <v>---</v>
      </c>
      <c r="O144" t="str">
        <f>"300344"</f>
        <v>300344</v>
      </c>
      <c r="P144" t="str">
        <f t="shared" si="56"/>
        <v>0153613480</v>
      </c>
    </row>
    <row r="145" spans="1:16" x14ac:dyDescent="0.25">
      <c r="A145" t="str">
        <f t="shared" si="57"/>
        <v>人民币</v>
      </c>
      <c r="B145" t="str">
        <f>"汉钟精机"</f>
        <v>汉钟精机</v>
      </c>
      <c r="C145" t="str">
        <f>"20170628"</f>
        <v>20170628</v>
      </c>
      <c r="D145" t="str">
        <f>"18.720"</f>
        <v>18.720</v>
      </c>
      <c r="E145" t="str">
        <f>"-200.00"</f>
        <v>-200.00</v>
      </c>
      <c r="F145" t="str">
        <f>"3735.26"</f>
        <v>3735.26</v>
      </c>
      <c r="G145" t="str">
        <f>"4859.48"</f>
        <v>4859.48</v>
      </c>
      <c r="H145" t="str">
        <f>"400.00"</f>
        <v>400.00</v>
      </c>
      <c r="I145" t="str">
        <f>"217"</f>
        <v>217</v>
      </c>
      <c r="J145" t="str">
        <f>"证券卖出(汉钟精机)"</f>
        <v>证券卖出(汉钟精机)</v>
      </c>
      <c r="K145" t="str">
        <f>"5.00"</f>
        <v>5.00</v>
      </c>
      <c r="L145" t="str">
        <f>"3.74"</f>
        <v>3.74</v>
      </c>
      <c r="M145" t="str">
        <f>"0.00"</f>
        <v>0.00</v>
      </c>
      <c r="N145" t="str">
        <f>"0.00"</f>
        <v>0.00</v>
      </c>
      <c r="O145" t="str">
        <f>"002158"</f>
        <v>002158</v>
      </c>
      <c r="P145" t="str">
        <f t="shared" si="56"/>
        <v>0153613480</v>
      </c>
    </row>
    <row r="146" spans="1:16" x14ac:dyDescent="0.25">
      <c r="A146" t="str">
        <f t="shared" si="57"/>
        <v>人民币</v>
      </c>
      <c r="B146" t="str">
        <f>"国科微"</f>
        <v>国科微</v>
      </c>
      <c r="C146" t="str">
        <f>"20170628"</f>
        <v>20170628</v>
      </c>
      <c r="D146" t="str">
        <f>"0.000"</f>
        <v>0.000</v>
      </c>
      <c r="E146" t="str">
        <f>"9.00"</f>
        <v>9.00</v>
      </c>
      <c r="F146" t="str">
        <f>"0.00"</f>
        <v>0.00</v>
      </c>
      <c r="G146" t="str">
        <f>"4859.48"</f>
        <v>4859.48</v>
      </c>
      <c r="H146" t="str">
        <f>"0.00"</f>
        <v>0.00</v>
      </c>
      <c r="I146" t="str">
        <f>"215"</f>
        <v>215</v>
      </c>
      <c r="J146" t="str">
        <f>"申购配号(国科微)"</f>
        <v>申购配号(国科微)</v>
      </c>
      <c r="K146" t="str">
        <f>"0.00"</f>
        <v>0.00</v>
      </c>
      <c r="L146" t="str">
        <f>"0.00"</f>
        <v>0.00</v>
      </c>
      <c r="M146" t="str">
        <f>"0.00"</f>
        <v>0.00</v>
      </c>
      <c r="N146" t="str">
        <f>"0.00"</f>
        <v>0.00</v>
      </c>
      <c r="O146" t="str">
        <f>"300672"</f>
        <v>300672</v>
      </c>
      <c r="P146" t="str">
        <f t="shared" si="56"/>
        <v>0153613480</v>
      </c>
    </row>
    <row r="147" spans="1:16" x14ac:dyDescent="0.25">
      <c r="A147" t="str">
        <f t="shared" si="57"/>
        <v>人民币</v>
      </c>
      <c r="B147" t="str">
        <f>" "</f>
        <v xml:space="preserve"> </v>
      </c>
      <c r="C147" t="str">
        <f>"20170629"</f>
        <v>20170629</v>
      </c>
      <c r="D147" t="str">
        <f>"---"</f>
        <v>---</v>
      </c>
      <c r="E147" t="str">
        <f>"---"</f>
        <v>---</v>
      </c>
      <c r="F147" t="str">
        <f>"-4800.00"</f>
        <v>-4800.00</v>
      </c>
      <c r="G147" t="str">
        <f>"59.48"</f>
        <v>59.48</v>
      </c>
      <c r="H147" t="str">
        <f>"---"</f>
        <v>---</v>
      </c>
      <c r="I147" t="str">
        <f>"---"</f>
        <v>---</v>
      </c>
      <c r="J147" t="str">
        <f>"银行转取"</f>
        <v>银行转取</v>
      </c>
      <c r="K147" t="str">
        <f t="shared" ref="K147:P147" si="59">"---"</f>
        <v>---</v>
      </c>
      <c r="L147" t="str">
        <f t="shared" si="59"/>
        <v>---</v>
      </c>
      <c r="M147" t="str">
        <f t="shared" si="59"/>
        <v>---</v>
      </c>
      <c r="N147" t="str">
        <f t="shared" si="59"/>
        <v>---</v>
      </c>
      <c r="O147" t="str">
        <f t="shared" si="59"/>
        <v>---</v>
      </c>
      <c r="P147" t="str">
        <f t="shared" si="59"/>
        <v>---</v>
      </c>
    </row>
    <row r="148" spans="1:16" x14ac:dyDescent="0.25">
      <c r="A148" t="str">
        <f t="shared" si="57"/>
        <v>人民币</v>
      </c>
      <c r="B148" t="str">
        <f>"凌霄泵业"</f>
        <v>凌霄泵业</v>
      </c>
      <c r="C148" t="str">
        <f>"20170629"</f>
        <v>20170629</v>
      </c>
      <c r="D148" t="str">
        <f>"0.000"</f>
        <v>0.000</v>
      </c>
      <c r="E148" t="str">
        <f>"9.00"</f>
        <v>9.00</v>
      </c>
      <c r="F148" t="str">
        <f>"0.00"</f>
        <v>0.00</v>
      </c>
      <c r="G148" t="str">
        <f>"59.48"</f>
        <v>59.48</v>
      </c>
      <c r="H148" t="str">
        <f>"0.00"</f>
        <v>0.00</v>
      </c>
      <c r="I148" t="str">
        <f>"230"</f>
        <v>230</v>
      </c>
      <c r="J148" t="str">
        <f>"申购配号(凌霄泵业)"</f>
        <v>申购配号(凌霄泵业)</v>
      </c>
      <c r="K148" t="str">
        <f>"0.00"</f>
        <v>0.00</v>
      </c>
      <c r="L148" t="str">
        <f>"0.00"</f>
        <v>0.00</v>
      </c>
      <c r="M148" t="str">
        <f>"0.00"</f>
        <v>0.00</v>
      </c>
      <c r="N148" t="str">
        <f>"0.00"</f>
        <v>0.00</v>
      </c>
      <c r="O148" t="str">
        <f>"002884"</f>
        <v>002884</v>
      </c>
      <c r="P148" t="str">
        <f t="shared" ref="P148:P153" si="60">"0153613480"</f>
        <v>0153613480</v>
      </c>
    </row>
    <row r="149" spans="1:16" x14ac:dyDescent="0.25">
      <c r="A149" t="str">
        <f t="shared" si="57"/>
        <v>人民币</v>
      </c>
      <c r="B149" t="str">
        <f>"汉钟精机"</f>
        <v>汉钟精机</v>
      </c>
      <c r="C149" t="str">
        <f>"20170630"</f>
        <v>20170630</v>
      </c>
      <c r="D149" t="str">
        <f>"17.820"</f>
        <v>17.820</v>
      </c>
      <c r="E149" t="str">
        <f>"200.00"</f>
        <v>200.00</v>
      </c>
      <c r="F149" t="str">
        <f>"-3569.00"</f>
        <v>-3569.00</v>
      </c>
      <c r="G149" t="str">
        <f>"-3509.52"</f>
        <v>-3509.52</v>
      </c>
      <c r="H149" t="str">
        <f>"600.00"</f>
        <v>600.00</v>
      </c>
      <c r="I149" t="str">
        <f>"240"</f>
        <v>240</v>
      </c>
      <c r="J149" t="str">
        <f>"证券买入(汉钟精机)"</f>
        <v>证券买入(汉钟精机)</v>
      </c>
      <c r="K149" t="str">
        <f>"5.00"</f>
        <v>5.00</v>
      </c>
      <c r="L149" t="str">
        <f>"0.00"</f>
        <v>0.00</v>
      </c>
      <c r="M149" t="str">
        <f>"0.00"</f>
        <v>0.00</v>
      </c>
      <c r="N149" t="str">
        <f>"0.00"</f>
        <v>0.00</v>
      </c>
      <c r="O149" t="str">
        <f>"002158"</f>
        <v>002158</v>
      </c>
      <c r="P149" t="str">
        <f t="shared" si="60"/>
        <v>0153613480</v>
      </c>
    </row>
    <row r="150" spans="1:16" x14ac:dyDescent="0.25">
      <c r="A150" t="str">
        <f t="shared" si="57"/>
        <v>人民币</v>
      </c>
      <c r="B150" t="str">
        <f>"合肥城建"</f>
        <v>合肥城建</v>
      </c>
      <c r="C150" t="str">
        <f>"20170630"</f>
        <v>20170630</v>
      </c>
      <c r="D150" t="str">
        <f>"13.040"</f>
        <v>13.040</v>
      </c>
      <c r="E150" t="str">
        <f>"-500.00"</f>
        <v>-500.00</v>
      </c>
      <c r="F150" t="str">
        <f>"6508.48"</f>
        <v>6508.48</v>
      </c>
      <c r="G150" t="str">
        <f>"2998.96"</f>
        <v>2998.96</v>
      </c>
      <c r="H150" t="str">
        <f>"800.00"</f>
        <v>800.00</v>
      </c>
      <c r="I150" t="str">
        <f>"234"</f>
        <v>234</v>
      </c>
      <c r="J150" t="str">
        <f>"证券卖出(合肥城建)"</f>
        <v>证券卖出(合肥城建)</v>
      </c>
      <c r="K150" t="str">
        <f>"5.00"</f>
        <v>5.00</v>
      </c>
      <c r="L150" t="str">
        <f>"6.52"</f>
        <v>6.52</v>
      </c>
      <c r="M150" t="str">
        <f t="shared" ref="M150:N153" si="61">"0.00"</f>
        <v>0.00</v>
      </c>
      <c r="N150" t="str">
        <f t="shared" si="61"/>
        <v>0.00</v>
      </c>
      <c r="O150" t="str">
        <f>"002208"</f>
        <v>002208</v>
      </c>
      <c r="P150" t="str">
        <f t="shared" si="60"/>
        <v>0153613480</v>
      </c>
    </row>
    <row r="151" spans="1:16" x14ac:dyDescent="0.25">
      <c r="A151" t="str">
        <f t="shared" si="57"/>
        <v>人民币</v>
      </c>
      <c r="B151" t="str">
        <f>"太空板业"</f>
        <v>太空板业</v>
      </c>
      <c r="C151" t="str">
        <f>"20170703"</f>
        <v>20170703</v>
      </c>
      <c r="D151" t="str">
        <f>"14.150"</f>
        <v>14.150</v>
      </c>
      <c r="E151" t="str">
        <f>"200.00"</f>
        <v>200.00</v>
      </c>
      <c r="F151" t="str">
        <f>"-2835.00"</f>
        <v>-2835.00</v>
      </c>
      <c r="G151" t="str">
        <f>"163.96"</f>
        <v>163.96</v>
      </c>
      <c r="H151" t="str">
        <f>"1040.00"</f>
        <v>1040.00</v>
      </c>
      <c r="I151" t="str">
        <f>"248"</f>
        <v>248</v>
      </c>
      <c r="J151" t="str">
        <f>"证券买入(太空板业)"</f>
        <v>证券买入(太空板业)</v>
      </c>
      <c r="K151" t="str">
        <f>"5.00"</f>
        <v>5.00</v>
      </c>
      <c r="L151" t="str">
        <f>"0.00"</f>
        <v>0.00</v>
      </c>
      <c r="M151" t="str">
        <f t="shared" si="61"/>
        <v>0.00</v>
      </c>
      <c r="N151" t="str">
        <f t="shared" si="61"/>
        <v>0.00</v>
      </c>
      <c r="O151" t="str">
        <f>"300344"</f>
        <v>300344</v>
      </c>
      <c r="P151" t="str">
        <f t="shared" si="60"/>
        <v>0153613480</v>
      </c>
    </row>
    <row r="152" spans="1:16" x14ac:dyDescent="0.25">
      <c r="A152" t="str">
        <f t="shared" si="57"/>
        <v>人民币</v>
      </c>
      <c r="B152" t="str">
        <f>"汉钟精机"</f>
        <v>汉钟精机</v>
      </c>
      <c r="C152" t="str">
        <f>"20170704"</f>
        <v>20170704</v>
      </c>
      <c r="D152" t="str">
        <f>"18.830"</f>
        <v>18.830</v>
      </c>
      <c r="E152" t="str">
        <f>"-200.00"</f>
        <v>-200.00</v>
      </c>
      <c r="F152" t="str">
        <f>"3757.23"</f>
        <v>3757.23</v>
      </c>
      <c r="G152" t="str">
        <f>"3921.19"</f>
        <v>3921.19</v>
      </c>
      <c r="H152" t="str">
        <f>"400.00"</f>
        <v>400.00</v>
      </c>
      <c r="I152" t="str">
        <f>"3"</f>
        <v>3</v>
      </c>
      <c r="J152" t="str">
        <f>"证券卖出(汉钟精机)"</f>
        <v>证券卖出(汉钟精机)</v>
      </c>
      <c r="K152" t="str">
        <f>"5.00"</f>
        <v>5.00</v>
      </c>
      <c r="L152" t="str">
        <f>"3.77"</f>
        <v>3.77</v>
      </c>
      <c r="M152" t="str">
        <f t="shared" si="61"/>
        <v>0.00</v>
      </c>
      <c r="N152" t="str">
        <f t="shared" si="61"/>
        <v>0.00</v>
      </c>
      <c r="O152" t="str">
        <f>"002158"</f>
        <v>002158</v>
      </c>
      <c r="P152" t="str">
        <f t="shared" si="60"/>
        <v>0153613480</v>
      </c>
    </row>
    <row r="153" spans="1:16" x14ac:dyDescent="0.25">
      <c r="A153" t="str">
        <f t="shared" si="57"/>
        <v>人民币</v>
      </c>
      <c r="B153" t="str">
        <f>"汉钟精机"</f>
        <v>汉钟精机</v>
      </c>
      <c r="C153" t="str">
        <f>"20170705"</f>
        <v>20170705</v>
      </c>
      <c r="D153" t="str">
        <f>"18.300"</f>
        <v>18.300</v>
      </c>
      <c r="E153" t="str">
        <f>"-400.00"</f>
        <v>-400.00</v>
      </c>
      <c r="F153" t="str">
        <f>"7307.68"</f>
        <v>7307.68</v>
      </c>
      <c r="G153" t="str">
        <f>"11228.87"</f>
        <v>11228.87</v>
      </c>
      <c r="H153" t="str">
        <f>"0.00"</f>
        <v>0.00</v>
      </c>
      <c r="I153" t="str">
        <f>"8"</f>
        <v>8</v>
      </c>
      <c r="J153" t="str">
        <f>"证券卖出(汉钟精机)"</f>
        <v>证券卖出(汉钟精机)</v>
      </c>
      <c r="K153" t="str">
        <f>"5.00"</f>
        <v>5.00</v>
      </c>
      <c r="L153" t="str">
        <f>"7.32"</f>
        <v>7.32</v>
      </c>
      <c r="M153" t="str">
        <f t="shared" si="61"/>
        <v>0.00</v>
      </c>
      <c r="N153" t="str">
        <f t="shared" si="61"/>
        <v>0.00</v>
      </c>
      <c r="O153" t="str">
        <f>"002158"</f>
        <v>002158</v>
      </c>
      <c r="P153" t="str">
        <f t="shared" si="60"/>
        <v>0153613480</v>
      </c>
    </row>
    <row r="154" spans="1:16" x14ac:dyDescent="0.25">
      <c r="A154" t="str">
        <f t="shared" si="57"/>
        <v>人民币</v>
      </c>
      <c r="B154" t="str">
        <f>" "</f>
        <v xml:space="preserve"> </v>
      </c>
      <c r="C154" t="str">
        <f t="shared" ref="C154:C161" si="62">"20170706"</f>
        <v>20170706</v>
      </c>
      <c r="D154" t="str">
        <f>"---"</f>
        <v>---</v>
      </c>
      <c r="E154" t="str">
        <f>"---"</f>
        <v>---</v>
      </c>
      <c r="F154" t="str">
        <f>"-3200.00"</f>
        <v>-3200.00</v>
      </c>
      <c r="G154" t="str">
        <f>"8028.87"</f>
        <v>8028.87</v>
      </c>
      <c r="H154" t="str">
        <f>"---"</f>
        <v>---</v>
      </c>
      <c r="I154" t="str">
        <f>"---"</f>
        <v>---</v>
      </c>
      <c r="J154" t="str">
        <f>"银行转取"</f>
        <v>银行转取</v>
      </c>
      <c r="K154" t="str">
        <f t="shared" ref="K154:P154" si="63">"---"</f>
        <v>---</v>
      </c>
      <c r="L154" t="str">
        <f t="shared" si="63"/>
        <v>---</v>
      </c>
      <c r="M154" t="str">
        <f t="shared" si="63"/>
        <v>---</v>
      </c>
      <c r="N154" t="str">
        <f t="shared" si="63"/>
        <v>---</v>
      </c>
      <c r="O154" t="str">
        <f t="shared" si="63"/>
        <v>---</v>
      </c>
      <c r="P154" t="str">
        <f t="shared" si="63"/>
        <v>---</v>
      </c>
    </row>
    <row r="155" spans="1:16" x14ac:dyDescent="0.25">
      <c r="A155" t="str">
        <f t="shared" si="57"/>
        <v>人民币</v>
      </c>
      <c r="B155" t="str">
        <f>"科大智能"</f>
        <v>科大智能</v>
      </c>
      <c r="C155" t="str">
        <f t="shared" si="62"/>
        <v>20170706</v>
      </c>
      <c r="D155" t="str">
        <f>"23.570"</f>
        <v>23.570</v>
      </c>
      <c r="E155" t="str">
        <f>"200.00"</f>
        <v>200.00</v>
      </c>
      <c r="F155" t="str">
        <f>"-4719.00"</f>
        <v>-4719.00</v>
      </c>
      <c r="G155" t="str">
        <f>"3309.87"</f>
        <v>3309.87</v>
      </c>
      <c r="H155" t="str">
        <f>"200.00"</f>
        <v>200.00</v>
      </c>
      <c r="I155" t="str">
        <f>"12"</f>
        <v>12</v>
      </c>
      <c r="J155" t="str">
        <f>"证券买入(科大智能)"</f>
        <v>证券买入(科大智能)</v>
      </c>
      <c r="K155" t="str">
        <f t="shared" ref="K155:K161" si="64">"5.00"</f>
        <v>5.00</v>
      </c>
      <c r="L155" t="str">
        <f t="shared" ref="L155:N159" si="65">"0.00"</f>
        <v>0.00</v>
      </c>
      <c r="M155" t="str">
        <f t="shared" si="65"/>
        <v>0.00</v>
      </c>
      <c r="N155" t="str">
        <f t="shared" si="65"/>
        <v>0.00</v>
      </c>
      <c r="O155" t="str">
        <f>"300222"</f>
        <v>300222</v>
      </c>
      <c r="P155" t="str">
        <f t="shared" ref="P155:P161" si="66">"0153613480"</f>
        <v>0153613480</v>
      </c>
    </row>
    <row r="156" spans="1:16" x14ac:dyDescent="0.25">
      <c r="A156" t="str">
        <f t="shared" si="57"/>
        <v>人民币</v>
      </c>
      <c r="B156" t="str">
        <f>"科大智能"</f>
        <v>科大智能</v>
      </c>
      <c r="C156" t="str">
        <f t="shared" si="62"/>
        <v>20170706</v>
      </c>
      <c r="D156" t="str">
        <f>"23.550"</f>
        <v>23.550</v>
      </c>
      <c r="E156" t="str">
        <f>"200.00"</f>
        <v>200.00</v>
      </c>
      <c r="F156" t="str">
        <f>"-4715.00"</f>
        <v>-4715.00</v>
      </c>
      <c r="G156" t="str">
        <f>"-1405.13"</f>
        <v>-1405.13</v>
      </c>
      <c r="H156" t="str">
        <f>"400.00"</f>
        <v>400.00</v>
      </c>
      <c r="I156" t="str">
        <f>"18"</f>
        <v>18</v>
      </c>
      <c r="J156" t="str">
        <f>"证券买入(科大智能)"</f>
        <v>证券买入(科大智能)</v>
      </c>
      <c r="K156" t="str">
        <f t="shared" si="64"/>
        <v>5.00</v>
      </c>
      <c r="L156" t="str">
        <f t="shared" si="65"/>
        <v>0.00</v>
      </c>
      <c r="M156" t="str">
        <f t="shared" si="65"/>
        <v>0.00</v>
      </c>
      <c r="N156" t="str">
        <f t="shared" si="65"/>
        <v>0.00</v>
      </c>
      <c r="O156" t="str">
        <f>"300222"</f>
        <v>300222</v>
      </c>
      <c r="P156" t="str">
        <f t="shared" si="66"/>
        <v>0153613480</v>
      </c>
    </row>
    <row r="157" spans="1:16" x14ac:dyDescent="0.25">
      <c r="A157" t="str">
        <f t="shared" si="57"/>
        <v>人民币</v>
      </c>
      <c r="B157" t="str">
        <f>"科大智能"</f>
        <v>科大智能</v>
      </c>
      <c r="C157" t="str">
        <f t="shared" si="62"/>
        <v>20170706</v>
      </c>
      <c r="D157" t="str">
        <f>"22.970"</f>
        <v>22.970</v>
      </c>
      <c r="E157" t="str">
        <f>"100.00"</f>
        <v>100.00</v>
      </c>
      <c r="F157" t="str">
        <f>"-2302.00"</f>
        <v>-2302.00</v>
      </c>
      <c r="G157" t="str">
        <f>"-3707.13"</f>
        <v>-3707.13</v>
      </c>
      <c r="H157" t="str">
        <f>"500.00"</f>
        <v>500.00</v>
      </c>
      <c r="I157" t="str">
        <f>"21"</f>
        <v>21</v>
      </c>
      <c r="J157" t="str">
        <f>"证券买入(科大智能)"</f>
        <v>证券买入(科大智能)</v>
      </c>
      <c r="K157" t="str">
        <f t="shared" si="64"/>
        <v>5.00</v>
      </c>
      <c r="L157" t="str">
        <f t="shared" si="65"/>
        <v>0.00</v>
      </c>
      <c r="M157" t="str">
        <f t="shared" si="65"/>
        <v>0.00</v>
      </c>
      <c r="N157" t="str">
        <f t="shared" si="65"/>
        <v>0.00</v>
      </c>
      <c r="O157" t="str">
        <f>"300222"</f>
        <v>300222</v>
      </c>
      <c r="P157" t="str">
        <f t="shared" si="66"/>
        <v>0153613480</v>
      </c>
    </row>
    <row r="158" spans="1:16" x14ac:dyDescent="0.25">
      <c r="A158" t="str">
        <f t="shared" si="57"/>
        <v>人民币</v>
      </c>
      <c r="B158" t="str">
        <f>"科大智能"</f>
        <v>科大智能</v>
      </c>
      <c r="C158" t="str">
        <f t="shared" si="62"/>
        <v>20170706</v>
      </c>
      <c r="D158" t="str">
        <f>"22.960"</f>
        <v>22.960</v>
      </c>
      <c r="E158" t="str">
        <f>"100.00"</f>
        <v>100.00</v>
      </c>
      <c r="F158" t="str">
        <f>"-2301.00"</f>
        <v>-2301.00</v>
      </c>
      <c r="G158" t="str">
        <f>"-6008.13"</f>
        <v>-6008.13</v>
      </c>
      <c r="H158" t="str">
        <f>"600.00"</f>
        <v>600.00</v>
      </c>
      <c r="I158" t="str">
        <f>"24"</f>
        <v>24</v>
      </c>
      <c r="J158" t="str">
        <f>"证券买入(科大智能)"</f>
        <v>证券买入(科大智能)</v>
      </c>
      <c r="K158" t="str">
        <f t="shared" si="64"/>
        <v>5.00</v>
      </c>
      <c r="L158" t="str">
        <f t="shared" si="65"/>
        <v>0.00</v>
      </c>
      <c r="M158" t="str">
        <f t="shared" si="65"/>
        <v>0.00</v>
      </c>
      <c r="N158" t="str">
        <f t="shared" si="65"/>
        <v>0.00</v>
      </c>
      <c r="O158" t="str">
        <f>"300222"</f>
        <v>300222</v>
      </c>
      <c r="P158" t="str">
        <f t="shared" si="66"/>
        <v>0153613480</v>
      </c>
    </row>
    <row r="159" spans="1:16" x14ac:dyDescent="0.25">
      <c r="A159" t="str">
        <f t="shared" si="57"/>
        <v>人民币</v>
      </c>
      <c r="B159" t="str">
        <f>"科大智能"</f>
        <v>科大智能</v>
      </c>
      <c r="C159" t="str">
        <f t="shared" si="62"/>
        <v>20170706</v>
      </c>
      <c r="D159" t="str">
        <f>"23.040"</f>
        <v>23.040</v>
      </c>
      <c r="E159" t="str">
        <f>"100.00"</f>
        <v>100.00</v>
      </c>
      <c r="F159" t="str">
        <f>"-2309.00"</f>
        <v>-2309.00</v>
      </c>
      <c r="G159" t="str">
        <f>"-8317.13"</f>
        <v>-8317.13</v>
      </c>
      <c r="H159" t="str">
        <f>"700.00"</f>
        <v>700.00</v>
      </c>
      <c r="I159" t="str">
        <f>"31"</f>
        <v>31</v>
      </c>
      <c r="J159" t="str">
        <f>"证券买入(科大智能)"</f>
        <v>证券买入(科大智能)</v>
      </c>
      <c r="K159" t="str">
        <f t="shared" si="64"/>
        <v>5.00</v>
      </c>
      <c r="L159" t="str">
        <f t="shared" si="65"/>
        <v>0.00</v>
      </c>
      <c r="M159" t="str">
        <f t="shared" si="65"/>
        <v>0.00</v>
      </c>
      <c r="N159" t="str">
        <f t="shared" si="65"/>
        <v>0.00</v>
      </c>
      <c r="O159" t="str">
        <f>"300222"</f>
        <v>300222</v>
      </c>
      <c r="P159" t="str">
        <f t="shared" si="66"/>
        <v>0153613480</v>
      </c>
    </row>
    <row r="160" spans="1:16" x14ac:dyDescent="0.25">
      <c r="A160" t="str">
        <f t="shared" si="57"/>
        <v>人民币</v>
      </c>
      <c r="B160" t="str">
        <f>"合肥城建"</f>
        <v>合肥城建</v>
      </c>
      <c r="C160" t="str">
        <f t="shared" si="62"/>
        <v>20170706</v>
      </c>
      <c r="D160" t="str">
        <f>"12.760"</f>
        <v>12.760</v>
      </c>
      <c r="E160" t="str">
        <f>"-400.00"</f>
        <v>-400.00</v>
      </c>
      <c r="F160" t="str">
        <f>"5093.90"</f>
        <v>5093.90</v>
      </c>
      <c r="G160" t="str">
        <f>"-3223.23"</f>
        <v>-3223.23</v>
      </c>
      <c r="H160" t="str">
        <f>"400.00"</f>
        <v>400.00</v>
      </c>
      <c r="I160" t="str">
        <f>"15"</f>
        <v>15</v>
      </c>
      <c r="J160" t="str">
        <f>"证券卖出(合肥城建)"</f>
        <v>证券卖出(合肥城建)</v>
      </c>
      <c r="K160" t="str">
        <f t="shared" si="64"/>
        <v>5.00</v>
      </c>
      <c r="L160" t="str">
        <f>"5.10"</f>
        <v>5.10</v>
      </c>
      <c r="M160" t="str">
        <f>"0.00"</f>
        <v>0.00</v>
      </c>
      <c r="N160" t="str">
        <f>"0.00"</f>
        <v>0.00</v>
      </c>
      <c r="O160" t="str">
        <f>"002208"</f>
        <v>002208</v>
      </c>
      <c r="P160" t="str">
        <f t="shared" si="66"/>
        <v>0153613480</v>
      </c>
    </row>
    <row r="161" spans="1:16" x14ac:dyDescent="0.25">
      <c r="A161" t="str">
        <f t="shared" si="57"/>
        <v>人民币</v>
      </c>
      <c r="B161" t="str">
        <f>"合肥城建"</f>
        <v>合肥城建</v>
      </c>
      <c r="C161" t="str">
        <f t="shared" si="62"/>
        <v>20170706</v>
      </c>
      <c r="D161" t="str">
        <f>"12.650"</f>
        <v>12.650</v>
      </c>
      <c r="E161" t="str">
        <f>"-300.00"</f>
        <v>-300.00</v>
      </c>
      <c r="F161" t="str">
        <f>"3786.20"</f>
        <v>3786.20</v>
      </c>
      <c r="G161" t="str">
        <f>"562.97"</f>
        <v>562.97</v>
      </c>
      <c r="H161" t="str">
        <f>"100.00"</f>
        <v>100.00</v>
      </c>
      <c r="I161" t="str">
        <f>"28"</f>
        <v>28</v>
      </c>
      <c r="J161" t="str">
        <f>"证券卖出(合肥城建)"</f>
        <v>证券卖出(合肥城建)</v>
      </c>
      <c r="K161" t="str">
        <f t="shared" si="64"/>
        <v>5.00</v>
      </c>
      <c r="L161" t="str">
        <f>"3.80"</f>
        <v>3.80</v>
      </c>
      <c r="M161" t="str">
        <f>"0.00"</f>
        <v>0.00</v>
      </c>
      <c r="N161" t="str">
        <f>"0.00"</f>
        <v>0.00</v>
      </c>
      <c r="O161" t="str">
        <f>"002208"</f>
        <v>002208</v>
      </c>
      <c r="P161" t="str">
        <f t="shared" si="66"/>
        <v>0153613480</v>
      </c>
    </row>
    <row r="162" spans="1:16" x14ac:dyDescent="0.25">
      <c r="A162" t="str">
        <f t="shared" si="57"/>
        <v>人民币</v>
      </c>
      <c r="B162" t="str">
        <f>" "</f>
        <v xml:space="preserve"> </v>
      </c>
      <c r="C162" t="str">
        <f>"20170711"</f>
        <v>20170711</v>
      </c>
      <c r="D162" t="str">
        <f>"---"</f>
        <v>---</v>
      </c>
      <c r="E162" t="str">
        <f>"---"</f>
        <v>---</v>
      </c>
      <c r="F162" t="str">
        <f>"6500.00"</f>
        <v>6500.00</v>
      </c>
      <c r="G162" t="str">
        <f>"7062.97"</f>
        <v>7062.97</v>
      </c>
      <c r="H162" t="str">
        <f>"---"</f>
        <v>---</v>
      </c>
      <c r="I162" t="str">
        <f>"---"</f>
        <v>---</v>
      </c>
      <c r="J162" t="str">
        <f>"银行转存"</f>
        <v>银行转存</v>
      </c>
      <c r="K162" t="str">
        <f t="shared" ref="K162:P162" si="67">"---"</f>
        <v>---</v>
      </c>
      <c r="L162" t="str">
        <f t="shared" si="67"/>
        <v>---</v>
      </c>
      <c r="M162" t="str">
        <f t="shared" si="67"/>
        <v>---</v>
      </c>
      <c r="N162" t="str">
        <f t="shared" si="67"/>
        <v>---</v>
      </c>
      <c r="O162" t="str">
        <f t="shared" si="67"/>
        <v>---</v>
      </c>
      <c r="P162" t="str">
        <f t="shared" si="67"/>
        <v>---</v>
      </c>
    </row>
    <row r="163" spans="1:16" x14ac:dyDescent="0.25">
      <c r="A163" t="str">
        <f t="shared" si="57"/>
        <v>人民币</v>
      </c>
      <c r="B163" t="str">
        <f>"科大智能"</f>
        <v>科大智能</v>
      </c>
      <c r="C163" t="str">
        <f>"20170711"</f>
        <v>20170711</v>
      </c>
      <c r="D163" t="str">
        <f>"21.820"</f>
        <v>21.820</v>
      </c>
      <c r="E163" t="str">
        <f>"200.00"</f>
        <v>200.00</v>
      </c>
      <c r="F163" t="str">
        <f>"-4369.00"</f>
        <v>-4369.00</v>
      </c>
      <c r="G163" t="str">
        <f>"2693.97"</f>
        <v>2693.97</v>
      </c>
      <c r="H163" t="str">
        <f>"900.00"</f>
        <v>900.00</v>
      </c>
      <c r="I163" t="str">
        <f>"43"</f>
        <v>43</v>
      </c>
      <c r="J163" t="str">
        <f>"证券买入(科大智能)"</f>
        <v>证券买入(科大智能)</v>
      </c>
      <c r="K163" t="str">
        <f>"5.00"</f>
        <v>5.00</v>
      </c>
      <c r="L163" t="str">
        <f t="shared" ref="L163:N164" si="68">"0.00"</f>
        <v>0.00</v>
      </c>
      <c r="M163" t="str">
        <f t="shared" si="68"/>
        <v>0.00</v>
      </c>
      <c r="N163" t="str">
        <f t="shared" si="68"/>
        <v>0.00</v>
      </c>
      <c r="O163" t="str">
        <f>"300222"</f>
        <v>300222</v>
      </c>
      <c r="P163" t="str">
        <f>"0153613480"</f>
        <v>0153613480</v>
      </c>
    </row>
    <row r="164" spans="1:16" x14ac:dyDescent="0.25">
      <c r="A164" t="str">
        <f t="shared" si="57"/>
        <v>人民币</v>
      </c>
      <c r="B164" t="str">
        <f>"太空板业"</f>
        <v>太空板业</v>
      </c>
      <c r="C164" t="str">
        <f>"20170712"</f>
        <v>20170712</v>
      </c>
      <c r="D164" t="str">
        <f>"11.690"</f>
        <v>11.690</v>
      </c>
      <c r="E164" t="str">
        <f>"200.00"</f>
        <v>200.00</v>
      </c>
      <c r="F164" t="str">
        <f>"-2343.00"</f>
        <v>-2343.00</v>
      </c>
      <c r="G164" t="str">
        <f>"350.97"</f>
        <v>350.97</v>
      </c>
      <c r="H164" t="str">
        <f>"1240.00"</f>
        <v>1240.00</v>
      </c>
      <c r="I164" t="str">
        <f>"48"</f>
        <v>48</v>
      </c>
      <c r="J164" t="str">
        <f>"证券买入(太空板业)"</f>
        <v>证券买入(太空板业)</v>
      </c>
      <c r="K164" t="str">
        <f>"5.00"</f>
        <v>5.00</v>
      </c>
      <c r="L164" t="str">
        <f t="shared" si="68"/>
        <v>0.00</v>
      </c>
      <c r="M164" t="str">
        <f t="shared" si="68"/>
        <v>0.00</v>
      </c>
      <c r="N164" t="str">
        <f t="shared" si="68"/>
        <v>0.00</v>
      </c>
      <c r="O164" t="str">
        <f>"300344"</f>
        <v>300344</v>
      </c>
      <c r="P164" t="str">
        <f>"0153613480"</f>
        <v>0153613480</v>
      </c>
    </row>
    <row r="165" spans="1:16" x14ac:dyDescent="0.25">
      <c r="A165" t="str">
        <f t="shared" si="57"/>
        <v>人民币</v>
      </c>
      <c r="B165" t="str">
        <f>"太空板业"</f>
        <v>太空板业</v>
      </c>
      <c r="C165" t="str">
        <f>"20170712"</f>
        <v>20170712</v>
      </c>
      <c r="D165" t="str">
        <f>"12.150"</f>
        <v>12.150</v>
      </c>
      <c r="E165" t="str">
        <f>"-200.00"</f>
        <v>-200.00</v>
      </c>
      <c r="F165" t="str">
        <f>"2422.57"</f>
        <v>2422.57</v>
      </c>
      <c r="G165" t="str">
        <f>"2773.54"</f>
        <v>2773.54</v>
      </c>
      <c r="H165" t="str">
        <f>"1040.00"</f>
        <v>1040.00</v>
      </c>
      <c r="I165" t="str">
        <f>"52"</f>
        <v>52</v>
      </c>
      <c r="J165" t="str">
        <f>"证券卖出(太空板业)"</f>
        <v>证券卖出(太空板业)</v>
      </c>
      <c r="K165" t="str">
        <f>"5.00"</f>
        <v>5.00</v>
      </c>
      <c r="L165" t="str">
        <f>"2.43"</f>
        <v>2.43</v>
      </c>
      <c r="M165" t="str">
        <f>"0.00"</f>
        <v>0.00</v>
      </c>
      <c r="N165" t="str">
        <f>"0.00"</f>
        <v>0.00</v>
      </c>
      <c r="O165" t="str">
        <f>"300344"</f>
        <v>300344</v>
      </c>
      <c r="P165" t="str">
        <f>"0153613480"</f>
        <v>0153613480</v>
      </c>
    </row>
    <row r="166" spans="1:16" x14ac:dyDescent="0.25">
      <c r="A166" t="str">
        <f t="shared" si="57"/>
        <v>人民币</v>
      </c>
      <c r="B166" t="str">
        <f>"太空板业"</f>
        <v>太空板业</v>
      </c>
      <c r="C166" t="str">
        <f>"20170712"</f>
        <v>20170712</v>
      </c>
      <c r="D166" t="str">
        <f>"12.650"</f>
        <v>12.650</v>
      </c>
      <c r="E166" t="str">
        <f>"200.00"</f>
        <v>200.00</v>
      </c>
      <c r="F166" t="str">
        <f>"-2535.00"</f>
        <v>-2535.00</v>
      </c>
      <c r="G166" t="str">
        <f>"238.54"</f>
        <v>238.54</v>
      </c>
      <c r="H166" t="str">
        <f>"1240.00"</f>
        <v>1240.00</v>
      </c>
      <c r="I166" t="str">
        <f>"58"</f>
        <v>58</v>
      </c>
      <c r="J166" t="str">
        <f>"证券买入(太空板业)"</f>
        <v>证券买入(太空板业)</v>
      </c>
      <c r="K166" t="str">
        <f>"5.00"</f>
        <v>5.00</v>
      </c>
      <c r="L166" t="str">
        <f>"0.00"</f>
        <v>0.00</v>
      </c>
      <c r="M166" t="str">
        <f>"0.00"</f>
        <v>0.00</v>
      </c>
      <c r="N166" t="str">
        <f>"0.00"</f>
        <v>0.00</v>
      </c>
      <c r="O166" t="str">
        <f>"300344"</f>
        <v>300344</v>
      </c>
      <c r="P166" t="str">
        <f>"0153613480"</f>
        <v>0153613480</v>
      </c>
    </row>
    <row r="167" spans="1:16" x14ac:dyDescent="0.25">
      <c r="A167" t="str">
        <f t="shared" si="57"/>
        <v>人民币</v>
      </c>
      <c r="B167" t="str">
        <f>" "</f>
        <v xml:space="preserve"> </v>
      </c>
      <c r="C167" t="str">
        <f>"20170719"</f>
        <v>20170719</v>
      </c>
      <c r="D167" t="str">
        <f>"---"</f>
        <v>---</v>
      </c>
      <c r="E167" t="str">
        <f>"---"</f>
        <v>---</v>
      </c>
      <c r="F167" t="str">
        <f>"9948.00"</f>
        <v>9948.00</v>
      </c>
      <c r="G167" t="str">
        <f>"10186.54"</f>
        <v>10186.54</v>
      </c>
      <c r="H167" t="str">
        <f>"---"</f>
        <v>---</v>
      </c>
      <c r="I167" t="str">
        <f>"---"</f>
        <v>---</v>
      </c>
      <c r="J167" t="str">
        <f>"银行转存"</f>
        <v>银行转存</v>
      </c>
      <c r="K167" t="str">
        <f t="shared" ref="K167:P167" si="69">"---"</f>
        <v>---</v>
      </c>
      <c r="L167" t="str">
        <f t="shared" si="69"/>
        <v>---</v>
      </c>
      <c r="M167" t="str">
        <f t="shared" si="69"/>
        <v>---</v>
      </c>
      <c r="N167" t="str">
        <f t="shared" si="69"/>
        <v>---</v>
      </c>
      <c r="O167" t="str">
        <f t="shared" si="69"/>
        <v>---</v>
      </c>
      <c r="P167" t="str">
        <f t="shared" si="69"/>
        <v>---</v>
      </c>
    </row>
    <row r="168" spans="1:16" x14ac:dyDescent="0.25">
      <c r="A168" t="str">
        <f t="shared" si="57"/>
        <v>人民币</v>
      </c>
      <c r="B168" t="str">
        <f>"科大智能"</f>
        <v>科大智能</v>
      </c>
      <c r="C168" t="str">
        <f>"20170719"</f>
        <v>20170719</v>
      </c>
      <c r="D168" t="str">
        <f>"20.310"</f>
        <v>20.310</v>
      </c>
      <c r="E168" t="str">
        <f>"100.00"</f>
        <v>100.00</v>
      </c>
      <c r="F168" t="str">
        <f>"-2036.00"</f>
        <v>-2036.00</v>
      </c>
      <c r="G168" t="str">
        <f>"8150.54"</f>
        <v>8150.54</v>
      </c>
      <c r="H168" t="str">
        <f>"1000.00"</f>
        <v>1000.00</v>
      </c>
      <c r="I168" t="str">
        <f>"69"</f>
        <v>69</v>
      </c>
      <c r="J168" t="str">
        <f>"证券买入(科大智能)"</f>
        <v>证券买入(科大智能)</v>
      </c>
      <c r="K168" t="str">
        <f>"5.00"</f>
        <v>5.00</v>
      </c>
      <c r="L168" t="str">
        <f t="shared" ref="L168:N169" si="70">"0.00"</f>
        <v>0.00</v>
      </c>
      <c r="M168" t="str">
        <f t="shared" si="70"/>
        <v>0.00</v>
      </c>
      <c r="N168" t="str">
        <f t="shared" si="70"/>
        <v>0.00</v>
      </c>
      <c r="O168" t="str">
        <f>"300222"</f>
        <v>300222</v>
      </c>
      <c r="P168" t="str">
        <f>"0153613480"</f>
        <v>0153613480</v>
      </c>
    </row>
    <row r="169" spans="1:16" x14ac:dyDescent="0.25">
      <c r="A169" t="str">
        <f t="shared" si="57"/>
        <v>人民币</v>
      </c>
      <c r="B169" t="str">
        <f>"电连技术"</f>
        <v>电连技术</v>
      </c>
      <c r="C169" t="str">
        <f>"20170719"</f>
        <v>20170719</v>
      </c>
      <c r="D169" t="str">
        <f>"0.000"</f>
        <v>0.000</v>
      </c>
      <c r="E169" t="str">
        <f>"6.00"</f>
        <v>6.00</v>
      </c>
      <c r="F169" t="str">
        <f>"0.00"</f>
        <v>0.00</v>
      </c>
      <c r="G169" t="str">
        <f>"8150.54"</f>
        <v>8150.54</v>
      </c>
      <c r="H169" t="str">
        <f>"0.00"</f>
        <v>0.00</v>
      </c>
      <c r="I169" t="str">
        <f>"64"</f>
        <v>64</v>
      </c>
      <c r="J169" t="str">
        <f>"申购配号(电连技术)"</f>
        <v>申购配号(电连技术)</v>
      </c>
      <c r="K169" t="str">
        <f>"0.00"</f>
        <v>0.00</v>
      </c>
      <c r="L169" t="str">
        <f t="shared" si="70"/>
        <v>0.00</v>
      </c>
      <c r="M169" t="str">
        <f t="shared" si="70"/>
        <v>0.00</v>
      </c>
      <c r="N169" t="str">
        <f t="shared" si="70"/>
        <v>0.00</v>
      </c>
      <c r="O169" t="str">
        <f>"300679"</f>
        <v>300679</v>
      </c>
      <c r="P169" t="str">
        <f>"0153613480"</f>
        <v>0153613480</v>
      </c>
    </row>
    <row r="170" spans="1:16" x14ac:dyDescent="0.25">
      <c r="A170" t="str">
        <f t="shared" si="57"/>
        <v>人民币</v>
      </c>
      <c r="B170" t="str">
        <f>" "</f>
        <v xml:space="preserve"> </v>
      </c>
      <c r="C170" t="str">
        <f t="shared" ref="C170:C176" si="71">"20170720"</f>
        <v>20170720</v>
      </c>
      <c r="D170" t="str">
        <f>"---"</f>
        <v>---</v>
      </c>
      <c r="E170" t="str">
        <f>"---"</f>
        <v>---</v>
      </c>
      <c r="F170" t="str">
        <f>"-2000.00"</f>
        <v>-2000.00</v>
      </c>
      <c r="G170" t="str">
        <f>"6150.54"</f>
        <v>6150.54</v>
      </c>
      <c r="H170" t="str">
        <f>"---"</f>
        <v>---</v>
      </c>
      <c r="I170" t="str">
        <f>"---"</f>
        <v>---</v>
      </c>
      <c r="J170" t="str">
        <f>"银行转取"</f>
        <v>银行转取</v>
      </c>
      <c r="K170" t="str">
        <f t="shared" ref="K170:P171" si="72">"---"</f>
        <v>---</v>
      </c>
      <c r="L170" t="str">
        <f t="shared" si="72"/>
        <v>---</v>
      </c>
      <c r="M170" t="str">
        <f t="shared" si="72"/>
        <v>---</v>
      </c>
      <c r="N170" t="str">
        <f t="shared" si="72"/>
        <v>---</v>
      </c>
      <c r="O170" t="str">
        <f t="shared" si="72"/>
        <v>---</v>
      </c>
      <c r="P170" t="str">
        <f t="shared" si="72"/>
        <v>---</v>
      </c>
    </row>
    <row r="171" spans="1:16" x14ac:dyDescent="0.25">
      <c r="A171" t="str">
        <f t="shared" si="57"/>
        <v>人民币</v>
      </c>
      <c r="B171" t="str">
        <f>" "</f>
        <v xml:space="preserve"> </v>
      </c>
      <c r="C171" t="str">
        <f t="shared" si="71"/>
        <v>20170720</v>
      </c>
      <c r="D171" t="str">
        <f>"---"</f>
        <v>---</v>
      </c>
      <c r="E171" t="str">
        <f>"---"</f>
        <v>---</v>
      </c>
      <c r="F171" t="str">
        <f>"-2500.00"</f>
        <v>-2500.00</v>
      </c>
      <c r="G171" t="str">
        <f>"3650.54"</f>
        <v>3650.54</v>
      </c>
      <c r="H171" t="str">
        <f>"---"</f>
        <v>---</v>
      </c>
      <c r="I171" t="str">
        <f>"---"</f>
        <v>---</v>
      </c>
      <c r="J171" t="str">
        <f>"银行转取"</f>
        <v>银行转取</v>
      </c>
      <c r="K171" t="str">
        <f t="shared" si="72"/>
        <v>---</v>
      </c>
      <c r="L171" t="str">
        <f t="shared" si="72"/>
        <v>---</v>
      </c>
      <c r="M171" t="str">
        <f t="shared" si="72"/>
        <v>---</v>
      </c>
      <c r="N171" t="str">
        <f t="shared" si="72"/>
        <v>---</v>
      </c>
      <c r="O171" t="str">
        <f t="shared" si="72"/>
        <v>---</v>
      </c>
      <c r="P171" t="str">
        <f t="shared" si="72"/>
        <v>---</v>
      </c>
    </row>
    <row r="172" spans="1:16" x14ac:dyDescent="0.25">
      <c r="A172" t="str">
        <f t="shared" si="57"/>
        <v>人民币</v>
      </c>
      <c r="B172" t="str">
        <f>"银龙股份"</f>
        <v>银龙股份</v>
      </c>
      <c r="C172" t="str">
        <f t="shared" si="71"/>
        <v>20170720</v>
      </c>
      <c r="D172" t="str">
        <f>"16.730"</f>
        <v>16.730</v>
      </c>
      <c r="E172" t="str">
        <f>"200.00"</f>
        <v>200.00</v>
      </c>
      <c r="F172" t="str">
        <f>"-3351.07"</f>
        <v>-3351.07</v>
      </c>
      <c r="G172" t="str">
        <f>"299.47"</f>
        <v>299.47</v>
      </c>
      <c r="H172" t="str">
        <f>"500.00"</f>
        <v>500.00</v>
      </c>
      <c r="I172" t="str">
        <f>"88"</f>
        <v>88</v>
      </c>
      <c r="J172" t="str">
        <f>"证券买入(银龙股份)"</f>
        <v>证券买入(银龙股份)</v>
      </c>
      <c r="K172" t="str">
        <f>"5.00"</f>
        <v>5.00</v>
      </c>
      <c r="L172" t="str">
        <f>"0.00"</f>
        <v>0.00</v>
      </c>
      <c r="M172" t="str">
        <f>"0.07"</f>
        <v>0.07</v>
      </c>
      <c r="N172" t="str">
        <f>"0.00"</f>
        <v>0.00</v>
      </c>
      <c r="O172" t="str">
        <f>"603969"</f>
        <v>603969</v>
      </c>
      <c r="P172" t="str">
        <f>"A400948245"</f>
        <v>A400948245</v>
      </c>
    </row>
    <row r="173" spans="1:16" x14ac:dyDescent="0.25">
      <c r="A173" t="str">
        <f t="shared" si="57"/>
        <v>人民币</v>
      </c>
      <c r="B173" t="str">
        <f>"科大智能"</f>
        <v>科大智能</v>
      </c>
      <c r="C173" t="str">
        <f t="shared" si="71"/>
        <v>20170720</v>
      </c>
      <c r="D173" t="str">
        <f>"21.220"</f>
        <v>21.220</v>
      </c>
      <c r="E173" t="str">
        <f>"-100.00"</f>
        <v>-100.00</v>
      </c>
      <c r="F173" t="str">
        <f>"2114.88"</f>
        <v>2114.88</v>
      </c>
      <c r="G173" t="str">
        <f>"2414.35"</f>
        <v>2414.35</v>
      </c>
      <c r="H173" t="str">
        <f>"900.00"</f>
        <v>900.00</v>
      </c>
      <c r="I173" t="str">
        <f>"78"</f>
        <v>78</v>
      </c>
      <c r="J173" t="str">
        <f>"证券卖出(科大智能)"</f>
        <v>证券卖出(科大智能)</v>
      </c>
      <c r="K173" t="str">
        <f>"5.00"</f>
        <v>5.00</v>
      </c>
      <c r="L173" t="str">
        <f>"2.12"</f>
        <v>2.12</v>
      </c>
      <c r="M173" t="str">
        <f>"0.00"</f>
        <v>0.00</v>
      </c>
      <c r="N173" t="str">
        <f>"0.00"</f>
        <v>0.00</v>
      </c>
      <c r="O173" t="str">
        <f>"300222"</f>
        <v>300222</v>
      </c>
      <c r="P173" t="str">
        <f>"0153613480"</f>
        <v>0153613480</v>
      </c>
    </row>
    <row r="174" spans="1:16" x14ac:dyDescent="0.25">
      <c r="A174" t="str">
        <f t="shared" si="57"/>
        <v>人民币</v>
      </c>
      <c r="B174" t="str">
        <f>"科大智能"</f>
        <v>科大智能</v>
      </c>
      <c r="C174" t="str">
        <f t="shared" si="71"/>
        <v>20170720</v>
      </c>
      <c r="D174" t="str">
        <f>"21.670"</f>
        <v>21.670</v>
      </c>
      <c r="E174" t="str">
        <f>"100.00"</f>
        <v>100.00</v>
      </c>
      <c r="F174" t="str">
        <f>"-2172.00"</f>
        <v>-2172.00</v>
      </c>
      <c r="G174" t="str">
        <f>"242.35"</f>
        <v>242.35</v>
      </c>
      <c r="H174" t="str">
        <f>"1000.00"</f>
        <v>1000.00</v>
      </c>
      <c r="I174" t="str">
        <f>"81"</f>
        <v>81</v>
      </c>
      <c r="J174" t="str">
        <f>"证券买入(科大智能)"</f>
        <v>证券买入(科大智能)</v>
      </c>
      <c r="K174" t="str">
        <f>"5.00"</f>
        <v>5.00</v>
      </c>
      <c r="L174" t="str">
        <f>"0.00"</f>
        <v>0.00</v>
      </c>
      <c r="M174" t="str">
        <f>"0.00"</f>
        <v>0.00</v>
      </c>
      <c r="N174" t="str">
        <f>"0.00"</f>
        <v>0.00</v>
      </c>
      <c r="O174" t="str">
        <f>"300222"</f>
        <v>300222</v>
      </c>
      <c r="P174" t="str">
        <f>"0153613480"</f>
        <v>0153613480</v>
      </c>
    </row>
    <row r="175" spans="1:16" x14ac:dyDescent="0.25">
      <c r="A175" t="str">
        <f t="shared" si="57"/>
        <v>人民币</v>
      </c>
      <c r="B175" t="str">
        <f>"绿茵生态"</f>
        <v>绿茵生态</v>
      </c>
      <c r="C175" t="str">
        <f t="shared" si="71"/>
        <v>20170720</v>
      </c>
      <c r="D175" t="str">
        <f>"0.000"</f>
        <v>0.000</v>
      </c>
      <c r="E175" t="str">
        <f>"6.00"</f>
        <v>6.00</v>
      </c>
      <c r="F175" t="str">
        <f>"0.00"</f>
        <v>0.00</v>
      </c>
      <c r="G175" t="str">
        <f>"242.35"</f>
        <v>242.35</v>
      </c>
      <c r="H175" t="str">
        <f>"0.00"</f>
        <v>0.00</v>
      </c>
      <c r="I175" t="str">
        <f>"74"</f>
        <v>74</v>
      </c>
      <c r="J175" t="str">
        <f>"申购配号(绿茵生态)"</f>
        <v>申购配号(绿茵生态)</v>
      </c>
      <c r="K175" t="str">
        <f>"0.00"</f>
        <v>0.00</v>
      </c>
      <c r="L175" t="str">
        <f>"0.00"</f>
        <v>0.00</v>
      </c>
      <c r="M175" t="str">
        <f>"0.00"</f>
        <v>0.00</v>
      </c>
      <c r="N175" t="str">
        <f>"0.00"</f>
        <v>0.00</v>
      </c>
      <c r="O175" t="str">
        <f>"002887"</f>
        <v>002887</v>
      </c>
      <c r="P175" t="str">
        <f>"0153613480"</f>
        <v>0153613480</v>
      </c>
    </row>
    <row r="176" spans="1:16" x14ac:dyDescent="0.25">
      <c r="A176" t="str">
        <f t="shared" si="57"/>
        <v>人民币</v>
      </c>
      <c r="B176" t="str">
        <f>"朗新科技"</f>
        <v>朗新科技</v>
      </c>
      <c r="C176" t="str">
        <f t="shared" si="71"/>
        <v>20170720</v>
      </c>
      <c r="D176" t="str">
        <f>"0.000"</f>
        <v>0.000</v>
      </c>
      <c r="E176" t="str">
        <f>"6.00"</f>
        <v>6.00</v>
      </c>
      <c r="F176" t="str">
        <f>"0.00"</f>
        <v>0.00</v>
      </c>
      <c r="G176" t="str">
        <f>"242.35"</f>
        <v>242.35</v>
      </c>
      <c r="H176" t="str">
        <f>"0.00"</f>
        <v>0.00</v>
      </c>
      <c r="I176" t="str">
        <f>"76"</f>
        <v>76</v>
      </c>
      <c r="J176" t="str">
        <f>"申购配号(朗新科技)"</f>
        <v>申购配号(朗新科技)</v>
      </c>
      <c r="K176" t="str">
        <f>"0.00"</f>
        <v>0.00</v>
      </c>
      <c r="L176" t="str">
        <f>"0.00"</f>
        <v>0.00</v>
      </c>
      <c r="M176" t="str">
        <f>"0.00"</f>
        <v>0.00</v>
      </c>
      <c r="N176" t="str">
        <f>"0.00"</f>
        <v>0.00</v>
      </c>
      <c r="O176" t="str">
        <f>"300682"</f>
        <v>300682</v>
      </c>
      <c r="P176" t="str">
        <f>"0153613480"</f>
        <v>0153613480</v>
      </c>
    </row>
    <row r="177" spans="1:16" x14ac:dyDescent="0.25">
      <c r="A177" t="str">
        <f t="shared" si="57"/>
        <v>人民币</v>
      </c>
      <c r="B177" t="str">
        <f>"合肥城建"</f>
        <v>合肥城建</v>
      </c>
      <c r="C177" t="str">
        <f>"20170724"</f>
        <v>20170724</v>
      </c>
      <c r="D177" t="str">
        <f>"0.000"</f>
        <v>0.000</v>
      </c>
      <c r="E177" t="str">
        <f>"0.00"</f>
        <v>0.00</v>
      </c>
      <c r="F177" t="str">
        <f>"10.00"</f>
        <v>10.00</v>
      </c>
      <c r="G177" t="str">
        <f>"252.35"</f>
        <v>252.35</v>
      </c>
      <c r="H177" t="str">
        <f>"100.00"</f>
        <v>100.00</v>
      </c>
      <c r="I177" t="str">
        <f>"---"</f>
        <v>---</v>
      </c>
      <c r="J177" t="str">
        <f>"股息入帐(合肥城建)"</f>
        <v>股息入帐(合肥城建)</v>
      </c>
      <c r="K177" t="str">
        <f t="shared" ref="K177:N178" si="73">"---"</f>
        <v>---</v>
      </c>
      <c r="L177" t="str">
        <f t="shared" si="73"/>
        <v>---</v>
      </c>
      <c r="M177" t="str">
        <f t="shared" si="73"/>
        <v>---</v>
      </c>
      <c r="N177" t="str">
        <f t="shared" si="73"/>
        <v>---</v>
      </c>
      <c r="O177" t="str">
        <f>"002208"</f>
        <v>002208</v>
      </c>
      <c r="P177" t="str">
        <f>"0153613480"</f>
        <v>0153613480</v>
      </c>
    </row>
    <row r="178" spans="1:16" x14ac:dyDescent="0.25">
      <c r="A178" t="str">
        <f t="shared" si="57"/>
        <v>人民币</v>
      </c>
      <c r="B178" t="str">
        <f>" "</f>
        <v xml:space="preserve"> </v>
      </c>
      <c r="C178" t="str">
        <f>"20170725"</f>
        <v>20170725</v>
      </c>
      <c r="D178" t="str">
        <f>"---"</f>
        <v>---</v>
      </c>
      <c r="E178" t="str">
        <f>"---"</f>
        <v>---</v>
      </c>
      <c r="F178" t="str">
        <f>"9730.00"</f>
        <v>9730.00</v>
      </c>
      <c r="G178" t="str">
        <f>"9982.35"</f>
        <v>9982.35</v>
      </c>
      <c r="H178" t="str">
        <f>"---"</f>
        <v>---</v>
      </c>
      <c r="I178" t="str">
        <f>"---"</f>
        <v>---</v>
      </c>
      <c r="J178" t="str">
        <f>"银行转存"</f>
        <v>银行转存</v>
      </c>
      <c r="K178" t="str">
        <f t="shared" si="73"/>
        <v>---</v>
      </c>
      <c r="L178" t="str">
        <f t="shared" si="73"/>
        <v>---</v>
      </c>
      <c r="M178" t="str">
        <f t="shared" si="73"/>
        <v>---</v>
      </c>
      <c r="N178" t="str">
        <f t="shared" si="73"/>
        <v>---</v>
      </c>
      <c r="O178" t="str">
        <f>"---"</f>
        <v>---</v>
      </c>
      <c r="P178" t="str">
        <f>"---"</f>
        <v>---</v>
      </c>
    </row>
    <row r="179" spans="1:16" x14ac:dyDescent="0.25">
      <c r="A179" t="str">
        <f t="shared" si="57"/>
        <v>人民币</v>
      </c>
      <c r="B179" t="str">
        <f>"北方国际"</f>
        <v>北方国际</v>
      </c>
      <c r="C179" t="str">
        <f>"20170725"</f>
        <v>20170725</v>
      </c>
      <c r="D179" t="str">
        <f>"25.610"</f>
        <v>25.610</v>
      </c>
      <c r="E179" t="str">
        <f>"100.00"</f>
        <v>100.00</v>
      </c>
      <c r="F179" t="str">
        <f>"-2566.00"</f>
        <v>-2566.00</v>
      </c>
      <c r="G179" t="str">
        <f>"7416.35"</f>
        <v>7416.35</v>
      </c>
      <c r="H179" t="str">
        <f>"100.00"</f>
        <v>100.00</v>
      </c>
      <c r="I179" t="str">
        <f>"105"</f>
        <v>105</v>
      </c>
      <c r="J179" t="str">
        <f>"证券买入(北方国际)"</f>
        <v>证券买入(北方国际)</v>
      </c>
      <c r="K179" t="str">
        <f>"5.00"</f>
        <v>5.00</v>
      </c>
      <c r="L179" t="str">
        <f t="shared" ref="L179:N183" si="74">"0.00"</f>
        <v>0.00</v>
      </c>
      <c r="M179" t="str">
        <f t="shared" si="74"/>
        <v>0.00</v>
      </c>
      <c r="N179" t="str">
        <f t="shared" si="74"/>
        <v>0.00</v>
      </c>
      <c r="O179" t="str">
        <f>"000065"</f>
        <v>000065</v>
      </c>
      <c r="P179" t="str">
        <f>"0153613480"</f>
        <v>0153613480</v>
      </c>
    </row>
    <row r="180" spans="1:16" x14ac:dyDescent="0.25">
      <c r="A180" t="str">
        <f t="shared" si="57"/>
        <v>人民币</v>
      </c>
      <c r="B180" t="str">
        <f>"北方国际"</f>
        <v>北方国际</v>
      </c>
      <c r="C180" t="str">
        <f>"20170725"</f>
        <v>20170725</v>
      </c>
      <c r="D180" t="str">
        <f>"25.410"</f>
        <v>25.410</v>
      </c>
      <c r="E180" t="str">
        <f>"100.00"</f>
        <v>100.00</v>
      </c>
      <c r="F180" t="str">
        <f>"-2546.00"</f>
        <v>-2546.00</v>
      </c>
      <c r="G180" t="str">
        <f>"4870.35"</f>
        <v>4870.35</v>
      </c>
      <c r="H180" t="str">
        <f>"200.00"</f>
        <v>200.00</v>
      </c>
      <c r="I180" t="str">
        <f>"110"</f>
        <v>110</v>
      </c>
      <c r="J180" t="str">
        <f>"证券买入(北方国际)"</f>
        <v>证券买入(北方国际)</v>
      </c>
      <c r="K180" t="str">
        <f>"5.00"</f>
        <v>5.00</v>
      </c>
      <c r="L180" t="str">
        <f t="shared" si="74"/>
        <v>0.00</v>
      </c>
      <c r="M180" t="str">
        <f t="shared" si="74"/>
        <v>0.00</v>
      </c>
      <c r="N180" t="str">
        <f t="shared" si="74"/>
        <v>0.00</v>
      </c>
      <c r="O180" t="str">
        <f>"000065"</f>
        <v>000065</v>
      </c>
      <c r="P180" t="str">
        <f>"0153613480"</f>
        <v>0153613480</v>
      </c>
    </row>
    <row r="181" spans="1:16" x14ac:dyDescent="0.25">
      <c r="A181" t="str">
        <f t="shared" si="57"/>
        <v>人民币</v>
      </c>
      <c r="B181" t="str">
        <f>"赛意信息"</f>
        <v>赛意信息</v>
      </c>
      <c r="C181" t="str">
        <f>"20170725"</f>
        <v>20170725</v>
      </c>
      <c r="D181" t="str">
        <f>"0.000"</f>
        <v>0.000</v>
      </c>
      <c r="E181" t="str">
        <f>"6.00"</f>
        <v>6.00</v>
      </c>
      <c r="F181" t="str">
        <f>"0.00"</f>
        <v>0.00</v>
      </c>
      <c r="G181" t="str">
        <f>"4870.35"</f>
        <v>4870.35</v>
      </c>
      <c r="H181" t="str">
        <f>"0.00"</f>
        <v>0.00</v>
      </c>
      <c r="I181" t="str">
        <f>"108"</f>
        <v>108</v>
      </c>
      <c r="J181" t="str">
        <f>"申购配号(赛意信息)"</f>
        <v>申购配号(赛意信息)</v>
      </c>
      <c r="K181" t="str">
        <f>"0.00"</f>
        <v>0.00</v>
      </c>
      <c r="L181" t="str">
        <f t="shared" si="74"/>
        <v>0.00</v>
      </c>
      <c r="M181" t="str">
        <f t="shared" si="74"/>
        <v>0.00</v>
      </c>
      <c r="N181" t="str">
        <f t="shared" si="74"/>
        <v>0.00</v>
      </c>
      <c r="O181" t="str">
        <f>"300687"</f>
        <v>300687</v>
      </c>
      <c r="P181" t="str">
        <f>"0153613480"</f>
        <v>0153613480</v>
      </c>
    </row>
    <row r="182" spans="1:16" x14ac:dyDescent="0.25">
      <c r="A182" t="str">
        <f t="shared" si="57"/>
        <v>人民币</v>
      </c>
      <c r="B182" t="str">
        <f>"北方国际"</f>
        <v>北方国际</v>
      </c>
      <c r="C182" t="str">
        <f>"20170726"</f>
        <v>20170726</v>
      </c>
      <c r="D182" t="str">
        <f>"24.430"</f>
        <v>24.430</v>
      </c>
      <c r="E182" t="str">
        <f>"100.00"</f>
        <v>100.00</v>
      </c>
      <c r="F182" t="str">
        <f>"-2448.00"</f>
        <v>-2448.00</v>
      </c>
      <c r="G182" t="str">
        <f>"2422.35"</f>
        <v>2422.35</v>
      </c>
      <c r="H182" t="str">
        <f>"300.00"</f>
        <v>300.00</v>
      </c>
      <c r="I182" t="str">
        <f>"116"</f>
        <v>116</v>
      </c>
      <c r="J182" t="str">
        <f>"证券买入(北方国际)"</f>
        <v>证券买入(北方国际)</v>
      </c>
      <c r="K182" t="str">
        <f>"5.00"</f>
        <v>5.00</v>
      </c>
      <c r="L182" t="str">
        <f t="shared" si="74"/>
        <v>0.00</v>
      </c>
      <c r="M182" t="str">
        <f t="shared" si="74"/>
        <v>0.00</v>
      </c>
      <c r="N182" t="str">
        <f t="shared" si="74"/>
        <v>0.00</v>
      </c>
      <c r="O182" t="str">
        <f>"000065"</f>
        <v>000065</v>
      </c>
      <c r="P182" t="str">
        <f>"0153613480"</f>
        <v>0153613480</v>
      </c>
    </row>
    <row r="183" spans="1:16" x14ac:dyDescent="0.25">
      <c r="A183" t="str">
        <f t="shared" si="57"/>
        <v>人民币</v>
      </c>
      <c r="B183" t="str">
        <f>"智动力"</f>
        <v>智动力</v>
      </c>
      <c r="C183" t="str">
        <f>"20170726"</f>
        <v>20170726</v>
      </c>
      <c r="D183" t="str">
        <f>"0.000"</f>
        <v>0.000</v>
      </c>
      <c r="E183" t="str">
        <f>"6.00"</f>
        <v>6.00</v>
      </c>
      <c r="F183" t="str">
        <f>"0.00"</f>
        <v>0.00</v>
      </c>
      <c r="G183" t="str">
        <f>"2422.35"</f>
        <v>2422.35</v>
      </c>
      <c r="H183" t="str">
        <f>"0.00"</f>
        <v>0.00</v>
      </c>
      <c r="I183" t="str">
        <f>"120"</f>
        <v>120</v>
      </c>
      <c r="J183" t="str">
        <f>"申购配号(智动力)"</f>
        <v>申购配号(智动力)</v>
      </c>
      <c r="K183" t="str">
        <f>"0.00"</f>
        <v>0.00</v>
      </c>
      <c r="L183" t="str">
        <f t="shared" si="74"/>
        <v>0.00</v>
      </c>
      <c r="M183" t="str">
        <f t="shared" si="74"/>
        <v>0.00</v>
      </c>
      <c r="N183" t="str">
        <f t="shared" si="74"/>
        <v>0.00</v>
      </c>
      <c r="O183" t="str">
        <f>"300686"</f>
        <v>300686</v>
      </c>
      <c r="P183" t="str">
        <f>"0153613480"</f>
        <v>0153613480</v>
      </c>
    </row>
    <row r="184" spans="1:16" x14ac:dyDescent="0.25">
      <c r="A184" t="str">
        <f t="shared" si="57"/>
        <v>人民币</v>
      </c>
      <c r="B184" t="str">
        <f>"银龙股份"</f>
        <v>银龙股份</v>
      </c>
      <c r="C184" t="str">
        <f>"20170727"</f>
        <v>20170727</v>
      </c>
      <c r="D184" t="str">
        <f>"17.370"</f>
        <v>17.370</v>
      </c>
      <c r="E184" t="str">
        <f>"-100.00"</f>
        <v>-100.00</v>
      </c>
      <c r="F184" t="str">
        <f>"1730.23"</f>
        <v>1730.23</v>
      </c>
      <c r="G184" t="str">
        <f>"4152.58"</f>
        <v>4152.58</v>
      </c>
      <c r="H184" t="str">
        <f>"400.00"</f>
        <v>400.00</v>
      </c>
      <c r="I184" t="str">
        <f>"132"</f>
        <v>132</v>
      </c>
      <c r="J184" t="str">
        <f>"证券卖出(银龙股份)"</f>
        <v>证券卖出(银龙股份)</v>
      </c>
      <c r="K184" t="str">
        <f>"5.00"</f>
        <v>5.00</v>
      </c>
      <c r="L184" t="str">
        <f>"1.74"</f>
        <v>1.74</v>
      </c>
      <c r="M184" t="str">
        <f>"0.03"</f>
        <v>0.03</v>
      </c>
      <c r="N184" t="str">
        <f>"0.00"</f>
        <v>0.00</v>
      </c>
      <c r="O184" t="str">
        <f>"603969"</f>
        <v>603969</v>
      </c>
      <c r="P184" t="str">
        <f>"A400948245"</f>
        <v>A400948245</v>
      </c>
    </row>
    <row r="185" spans="1:16" x14ac:dyDescent="0.25">
      <c r="A185" t="str">
        <f t="shared" si="57"/>
        <v>人民币</v>
      </c>
      <c r="B185" t="str">
        <f>"科大智能"</f>
        <v>科大智能</v>
      </c>
      <c r="C185" t="str">
        <f>"20170727"</f>
        <v>20170727</v>
      </c>
      <c r="D185" t="str">
        <f>"23.390"</f>
        <v>23.390</v>
      </c>
      <c r="E185" t="str">
        <f>"-300.00"</f>
        <v>-300.00</v>
      </c>
      <c r="F185" t="str">
        <f>"7004.98"</f>
        <v>7004.98</v>
      </c>
      <c r="G185" t="str">
        <f>"11157.56"</f>
        <v>11157.56</v>
      </c>
      <c r="H185" t="str">
        <f>"700.00"</f>
        <v>700.00</v>
      </c>
      <c r="I185" t="str">
        <f>"135"</f>
        <v>135</v>
      </c>
      <c r="J185" t="str">
        <f>"证券卖出(科大智能)"</f>
        <v>证券卖出(科大智能)</v>
      </c>
      <c r="K185" t="str">
        <f>"5.00"</f>
        <v>5.00</v>
      </c>
      <c r="L185" t="str">
        <f>"7.02"</f>
        <v>7.02</v>
      </c>
      <c r="M185" t="str">
        <f>"0.00"</f>
        <v>0.00</v>
      </c>
      <c r="N185" t="str">
        <f>"0.00"</f>
        <v>0.00</v>
      </c>
      <c r="O185" t="str">
        <f>"300222"</f>
        <v>300222</v>
      </c>
      <c r="P185" t="str">
        <f>"0153613480"</f>
        <v>0153613480</v>
      </c>
    </row>
    <row r="186" spans="1:16" x14ac:dyDescent="0.25">
      <c r="A186" t="str">
        <f t="shared" si="57"/>
        <v>人民币</v>
      </c>
      <c r="B186" t="str">
        <f>"科大智能"</f>
        <v>科大智能</v>
      </c>
      <c r="C186" t="str">
        <f>"20170727"</f>
        <v>20170727</v>
      </c>
      <c r="D186" t="str">
        <f>"23.460"</f>
        <v>23.460</v>
      </c>
      <c r="E186" t="str">
        <f>"-200.00"</f>
        <v>-200.00</v>
      </c>
      <c r="F186" t="str">
        <f>"4682.31"</f>
        <v>4682.31</v>
      </c>
      <c r="G186" t="str">
        <f>"15839.87"</f>
        <v>15839.87</v>
      </c>
      <c r="H186" t="str">
        <f>"500.00"</f>
        <v>500.00</v>
      </c>
      <c r="I186" t="str">
        <f>"138"</f>
        <v>138</v>
      </c>
      <c r="J186" t="str">
        <f>"证券卖出(科大智能)"</f>
        <v>证券卖出(科大智能)</v>
      </c>
      <c r="K186" t="str">
        <f>"5.00"</f>
        <v>5.00</v>
      </c>
      <c r="L186" t="str">
        <f>"4.69"</f>
        <v>4.69</v>
      </c>
      <c r="M186" t="str">
        <f>"0.00"</f>
        <v>0.00</v>
      </c>
      <c r="N186" t="str">
        <f>"0.00"</f>
        <v>0.00</v>
      </c>
      <c r="O186" t="str">
        <f>"300222"</f>
        <v>300222</v>
      </c>
      <c r="P186" t="str">
        <f>"0153613480"</f>
        <v>0153613480</v>
      </c>
    </row>
    <row r="187" spans="1:16" x14ac:dyDescent="0.25">
      <c r="A187" t="str">
        <f t="shared" si="57"/>
        <v>人民币</v>
      </c>
      <c r="B187" t="str">
        <f>"海特生物"</f>
        <v>海特生物</v>
      </c>
      <c r="C187" t="str">
        <f>"20170727"</f>
        <v>20170727</v>
      </c>
      <c r="D187" t="str">
        <f>"0.000"</f>
        <v>0.000</v>
      </c>
      <c r="E187" t="str">
        <f>"6.00"</f>
        <v>6.00</v>
      </c>
      <c r="F187" t="str">
        <f>"0.00"</f>
        <v>0.00</v>
      </c>
      <c r="G187" t="str">
        <f>"15839.87"</f>
        <v>15839.87</v>
      </c>
      <c r="H187" t="str">
        <f>"0.00"</f>
        <v>0.00</v>
      </c>
      <c r="I187" t="str">
        <f>"130"</f>
        <v>130</v>
      </c>
      <c r="J187" t="str">
        <f>"申购配号(海特生物)"</f>
        <v>申购配号(海特生物)</v>
      </c>
      <c r="K187" t="str">
        <f>"0.00"</f>
        <v>0.00</v>
      </c>
      <c r="L187" t="str">
        <f>"0.00"</f>
        <v>0.00</v>
      </c>
      <c r="M187" t="str">
        <f>"0.00"</f>
        <v>0.00</v>
      </c>
      <c r="N187" t="str">
        <f>"0.00"</f>
        <v>0.00</v>
      </c>
      <c r="O187" t="str">
        <f>"300683"</f>
        <v>300683</v>
      </c>
      <c r="P187" t="str">
        <f>"0153613480"</f>
        <v>0153613480</v>
      </c>
    </row>
    <row r="188" spans="1:16" x14ac:dyDescent="0.25">
      <c r="A188" t="str">
        <f t="shared" si="57"/>
        <v>人民币</v>
      </c>
      <c r="B188" t="str">
        <f>" "</f>
        <v xml:space="preserve"> </v>
      </c>
      <c r="C188" t="str">
        <f t="shared" ref="C188:C195" si="75">"20170728"</f>
        <v>20170728</v>
      </c>
      <c r="D188" t="str">
        <f>"---"</f>
        <v>---</v>
      </c>
      <c r="E188" t="str">
        <f>"---"</f>
        <v>---</v>
      </c>
      <c r="F188" t="str">
        <f>"-15000.00"</f>
        <v>-15000.00</v>
      </c>
      <c r="G188" t="str">
        <f>"839.87"</f>
        <v>839.87</v>
      </c>
      <c r="H188" t="str">
        <f>"---"</f>
        <v>---</v>
      </c>
      <c r="I188" t="str">
        <f>"---"</f>
        <v>---</v>
      </c>
      <c r="J188" t="str">
        <f>"银行转取"</f>
        <v>银行转取</v>
      </c>
      <c r="K188" t="str">
        <f t="shared" ref="K188:P188" si="76">"---"</f>
        <v>---</v>
      </c>
      <c r="L188" t="str">
        <f t="shared" si="76"/>
        <v>---</v>
      </c>
      <c r="M188" t="str">
        <f t="shared" si="76"/>
        <v>---</v>
      </c>
      <c r="N188" t="str">
        <f t="shared" si="76"/>
        <v>---</v>
      </c>
      <c r="O188" t="str">
        <f t="shared" si="76"/>
        <v>---</v>
      </c>
      <c r="P188" t="str">
        <f t="shared" si="76"/>
        <v>---</v>
      </c>
    </row>
    <row r="189" spans="1:16" x14ac:dyDescent="0.25">
      <c r="A189" t="str">
        <f t="shared" si="57"/>
        <v>人民币</v>
      </c>
      <c r="B189" t="str">
        <f>"北方国际"</f>
        <v>北方国际</v>
      </c>
      <c r="C189" t="str">
        <f t="shared" si="75"/>
        <v>20170728</v>
      </c>
      <c r="D189" t="str">
        <f>"24.510"</f>
        <v>24.510</v>
      </c>
      <c r="E189" t="str">
        <f>"100.00"</f>
        <v>100.00</v>
      </c>
      <c r="F189" t="str">
        <f>"-2456.00"</f>
        <v>-2456.00</v>
      </c>
      <c r="G189" t="str">
        <f>"-1616.13"</f>
        <v>-1616.13</v>
      </c>
      <c r="H189" t="str">
        <f>"400.00"</f>
        <v>400.00</v>
      </c>
      <c r="I189" t="str">
        <f>"156"</f>
        <v>156</v>
      </c>
      <c r="J189" t="str">
        <f>"证券买入(北方国际)"</f>
        <v>证券买入(北方国际)</v>
      </c>
      <c r="K189" t="str">
        <f t="shared" ref="K189:K194" si="77">"5.00"</f>
        <v>5.00</v>
      </c>
      <c r="L189" t="str">
        <f>"0.00"</f>
        <v>0.00</v>
      </c>
      <c r="M189" t="str">
        <f>"0.00"</f>
        <v>0.00</v>
      </c>
      <c r="N189" t="str">
        <f>"0.00"</f>
        <v>0.00</v>
      </c>
      <c r="O189" t="str">
        <f>"000065"</f>
        <v>000065</v>
      </c>
      <c r="P189" t="str">
        <f t="shared" ref="P189:P201" si="78">"0153613480"</f>
        <v>0153613480</v>
      </c>
    </row>
    <row r="190" spans="1:16" x14ac:dyDescent="0.25">
      <c r="A190" t="str">
        <f t="shared" si="57"/>
        <v>人民币</v>
      </c>
      <c r="B190" t="str">
        <f>"科大智能"</f>
        <v>科大智能</v>
      </c>
      <c r="C190" t="str">
        <f t="shared" si="75"/>
        <v>20170728</v>
      </c>
      <c r="D190" t="str">
        <f>"24.030"</f>
        <v>24.030</v>
      </c>
      <c r="E190" t="str">
        <f>"-300.00"</f>
        <v>-300.00</v>
      </c>
      <c r="F190" t="str">
        <f>"7196.79"</f>
        <v>7196.79</v>
      </c>
      <c r="G190" t="str">
        <f>"5580.66"</f>
        <v>5580.66</v>
      </c>
      <c r="H190" t="str">
        <f>"200.00"</f>
        <v>200.00</v>
      </c>
      <c r="I190" t="str">
        <f>"145"</f>
        <v>145</v>
      </c>
      <c r="J190" t="str">
        <f>"证券卖出(科大智能)"</f>
        <v>证券卖出(科大智能)</v>
      </c>
      <c r="K190" t="str">
        <f t="shared" si="77"/>
        <v>5.00</v>
      </c>
      <c r="L190" t="str">
        <f>"7.21"</f>
        <v>7.21</v>
      </c>
      <c r="M190" t="str">
        <f t="shared" ref="M190:N201" si="79">"0.00"</f>
        <v>0.00</v>
      </c>
      <c r="N190" t="str">
        <f t="shared" si="79"/>
        <v>0.00</v>
      </c>
      <c r="O190" t="str">
        <f>"300222"</f>
        <v>300222</v>
      </c>
      <c r="P190" t="str">
        <f t="shared" si="78"/>
        <v>0153613480</v>
      </c>
    </row>
    <row r="191" spans="1:16" x14ac:dyDescent="0.25">
      <c r="A191" t="str">
        <f t="shared" si="57"/>
        <v>人民币</v>
      </c>
      <c r="B191" t="str">
        <f>"科大智能"</f>
        <v>科大智能</v>
      </c>
      <c r="C191" t="str">
        <f t="shared" si="75"/>
        <v>20170728</v>
      </c>
      <c r="D191" t="str">
        <f>"24.400"</f>
        <v>24.400</v>
      </c>
      <c r="E191" t="str">
        <f>"-200.00"</f>
        <v>-200.00</v>
      </c>
      <c r="F191" t="str">
        <f>"4870.12"</f>
        <v>4870.12</v>
      </c>
      <c r="G191" t="str">
        <f>"10450.78"</f>
        <v>10450.78</v>
      </c>
      <c r="H191" t="str">
        <f>"0.00"</f>
        <v>0.00</v>
      </c>
      <c r="I191" t="str">
        <f>"148"</f>
        <v>148</v>
      </c>
      <c r="J191" t="str">
        <f>"证券卖出(科大智能)"</f>
        <v>证券卖出(科大智能)</v>
      </c>
      <c r="K191" t="str">
        <f t="shared" si="77"/>
        <v>5.00</v>
      </c>
      <c r="L191" t="str">
        <f>"4.88"</f>
        <v>4.88</v>
      </c>
      <c r="M191" t="str">
        <f t="shared" si="79"/>
        <v>0.00</v>
      </c>
      <c r="N191" t="str">
        <f t="shared" si="79"/>
        <v>0.00</v>
      </c>
      <c r="O191" t="str">
        <f>"300222"</f>
        <v>300222</v>
      </c>
      <c r="P191" t="str">
        <f t="shared" si="78"/>
        <v>0153613480</v>
      </c>
    </row>
    <row r="192" spans="1:16" x14ac:dyDescent="0.25">
      <c r="A192" t="str">
        <f t="shared" si="57"/>
        <v>人民币</v>
      </c>
      <c r="B192" t="str">
        <f>"亿纬锂能"</f>
        <v>亿纬锂能</v>
      </c>
      <c r="C192" t="str">
        <f t="shared" si="75"/>
        <v>20170728</v>
      </c>
      <c r="D192" t="str">
        <f>"23.370"</f>
        <v>23.370</v>
      </c>
      <c r="E192" t="str">
        <f>"100.00"</f>
        <v>100.00</v>
      </c>
      <c r="F192" t="str">
        <f>"-2342.00"</f>
        <v>-2342.00</v>
      </c>
      <c r="G192" t="str">
        <f>"8108.78"</f>
        <v>8108.78</v>
      </c>
      <c r="H192" t="str">
        <f>"100.00"</f>
        <v>100.00</v>
      </c>
      <c r="I192" t="str">
        <f>"151"</f>
        <v>151</v>
      </c>
      <c r="J192" t="str">
        <f>"证券买入(亿纬锂能)"</f>
        <v>证券买入(亿纬锂能)</v>
      </c>
      <c r="K192" t="str">
        <f t="shared" si="77"/>
        <v>5.00</v>
      </c>
      <c r="L192" t="str">
        <f t="shared" ref="L192:L198" si="80">"0.00"</f>
        <v>0.00</v>
      </c>
      <c r="M192" t="str">
        <f t="shared" si="79"/>
        <v>0.00</v>
      </c>
      <c r="N192" t="str">
        <f t="shared" si="79"/>
        <v>0.00</v>
      </c>
      <c r="O192" t="str">
        <f>"300014"</f>
        <v>300014</v>
      </c>
      <c r="P192" t="str">
        <f t="shared" si="78"/>
        <v>0153613480</v>
      </c>
    </row>
    <row r="193" spans="1:16" x14ac:dyDescent="0.25">
      <c r="A193" t="str">
        <f t="shared" si="57"/>
        <v>人民币</v>
      </c>
      <c r="B193" t="str">
        <f>"亿纬锂能"</f>
        <v>亿纬锂能</v>
      </c>
      <c r="C193" t="str">
        <f t="shared" si="75"/>
        <v>20170728</v>
      </c>
      <c r="D193" t="str">
        <f>"23.250"</f>
        <v>23.250</v>
      </c>
      <c r="E193" t="str">
        <f>"100.00"</f>
        <v>100.00</v>
      </c>
      <c r="F193" t="str">
        <f>"-2330.00"</f>
        <v>-2330.00</v>
      </c>
      <c r="G193" t="str">
        <f>"5778.78"</f>
        <v>5778.78</v>
      </c>
      <c r="H193" t="str">
        <f>"200.00"</f>
        <v>200.00</v>
      </c>
      <c r="I193" t="str">
        <f>"159"</f>
        <v>159</v>
      </c>
      <c r="J193" t="str">
        <f>"证券买入(亿纬锂能)"</f>
        <v>证券买入(亿纬锂能)</v>
      </c>
      <c r="K193" t="str">
        <f t="shared" si="77"/>
        <v>5.00</v>
      </c>
      <c r="L193" t="str">
        <f t="shared" si="80"/>
        <v>0.00</v>
      </c>
      <c r="M193" t="str">
        <f t="shared" si="79"/>
        <v>0.00</v>
      </c>
      <c r="N193" t="str">
        <f t="shared" si="79"/>
        <v>0.00</v>
      </c>
      <c r="O193" t="str">
        <f>"300014"</f>
        <v>300014</v>
      </c>
      <c r="P193" t="str">
        <f t="shared" si="78"/>
        <v>0153613480</v>
      </c>
    </row>
    <row r="194" spans="1:16" x14ac:dyDescent="0.25">
      <c r="A194" t="str">
        <f t="shared" ref="A194:A257" si="81">"人民币"</f>
        <v>人民币</v>
      </c>
      <c r="B194" t="str">
        <f>"亿纬锂能"</f>
        <v>亿纬锂能</v>
      </c>
      <c r="C194" t="str">
        <f t="shared" si="75"/>
        <v>20170728</v>
      </c>
      <c r="D194" t="str">
        <f>"23.240"</f>
        <v>23.240</v>
      </c>
      <c r="E194" t="str">
        <f>"100.00"</f>
        <v>100.00</v>
      </c>
      <c r="F194" t="str">
        <f>"-2329.00"</f>
        <v>-2329.00</v>
      </c>
      <c r="G194" t="str">
        <f>"3449.78"</f>
        <v>3449.78</v>
      </c>
      <c r="H194" t="str">
        <f>"300.00"</f>
        <v>300.00</v>
      </c>
      <c r="I194" t="str">
        <f>"162"</f>
        <v>162</v>
      </c>
      <c r="J194" t="str">
        <f>"证券买入(亿纬锂能)"</f>
        <v>证券买入(亿纬锂能)</v>
      </c>
      <c r="K194" t="str">
        <f t="shared" si="77"/>
        <v>5.00</v>
      </c>
      <c r="L194" t="str">
        <f t="shared" si="80"/>
        <v>0.00</v>
      </c>
      <c r="M194" t="str">
        <f t="shared" si="79"/>
        <v>0.00</v>
      </c>
      <c r="N194" t="str">
        <f t="shared" si="79"/>
        <v>0.00</v>
      </c>
      <c r="O194" t="str">
        <f>"300014"</f>
        <v>300014</v>
      </c>
      <c r="P194" t="str">
        <f t="shared" si="78"/>
        <v>0153613480</v>
      </c>
    </row>
    <row r="195" spans="1:16" x14ac:dyDescent="0.25">
      <c r="A195" t="str">
        <f t="shared" si="81"/>
        <v>人民币</v>
      </c>
      <c r="B195" t="str">
        <f>"双一科技"</f>
        <v>双一科技</v>
      </c>
      <c r="C195" t="str">
        <f t="shared" si="75"/>
        <v>20170728</v>
      </c>
      <c r="D195" t="str">
        <f>"0.000"</f>
        <v>0.000</v>
      </c>
      <c r="E195" t="str">
        <f>"6.00"</f>
        <v>6.00</v>
      </c>
      <c r="F195" t="str">
        <f>"0.00"</f>
        <v>0.00</v>
      </c>
      <c r="G195" t="str">
        <f>"3449.78"</f>
        <v>3449.78</v>
      </c>
      <c r="H195" t="str">
        <f>"0.00"</f>
        <v>0.00</v>
      </c>
      <c r="I195" t="str">
        <f>"154"</f>
        <v>154</v>
      </c>
      <c r="J195" t="str">
        <f>"申购配号(双一科技)"</f>
        <v>申购配号(双一科技)</v>
      </c>
      <c r="K195" t="str">
        <f>"0.00"</f>
        <v>0.00</v>
      </c>
      <c r="L195" t="str">
        <f t="shared" si="80"/>
        <v>0.00</v>
      </c>
      <c r="M195" t="str">
        <f t="shared" si="79"/>
        <v>0.00</v>
      </c>
      <c r="N195" t="str">
        <f t="shared" si="79"/>
        <v>0.00</v>
      </c>
      <c r="O195" t="str">
        <f>"300690"</f>
        <v>300690</v>
      </c>
      <c r="P195" t="str">
        <f t="shared" si="78"/>
        <v>0153613480</v>
      </c>
    </row>
    <row r="196" spans="1:16" x14ac:dyDescent="0.25">
      <c r="A196" t="str">
        <f t="shared" si="81"/>
        <v>人民币</v>
      </c>
      <c r="B196" t="str">
        <f>"亿纬锂能"</f>
        <v>亿纬锂能</v>
      </c>
      <c r="C196" t="str">
        <f>"20170731"</f>
        <v>20170731</v>
      </c>
      <c r="D196" t="str">
        <f>"22.810"</f>
        <v>22.810</v>
      </c>
      <c r="E196" t="str">
        <f>"100.00"</f>
        <v>100.00</v>
      </c>
      <c r="F196" t="str">
        <f>"-2286.00"</f>
        <v>-2286.00</v>
      </c>
      <c r="G196" t="str">
        <f>"1163.78"</f>
        <v>1163.78</v>
      </c>
      <c r="H196" t="str">
        <f>"400.00"</f>
        <v>400.00</v>
      </c>
      <c r="I196" t="str">
        <f>"175"</f>
        <v>175</v>
      </c>
      <c r="J196" t="str">
        <f>"证券买入(亿纬锂能)"</f>
        <v>证券买入(亿纬锂能)</v>
      </c>
      <c r="K196" t="str">
        <f>"5.00"</f>
        <v>5.00</v>
      </c>
      <c r="L196" t="str">
        <f t="shared" si="80"/>
        <v>0.00</v>
      </c>
      <c r="M196" t="str">
        <f t="shared" si="79"/>
        <v>0.00</v>
      </c>
      <c r="N196" t="str">
        <f t="shared" si="79"/>
        <v>0.00</v>
      </c>
      <c r="O196" t="str">
        <f>"300014"</f>
        <v>300014</v>
      </c>
      <c r="P196" t="str">
        <f t="shared" si="78"/>
        <v>0153613480</v>
      </c>
    </row>
    <row r="197" spans="1:16" x14ac:dyDescent="0.25">
      <c r="A197" t="str">
        <f t="shared" si="81"/>
        <v>人民币</v>
      </c>
      <c r="B197" t="str">
        <f>"澄天伟业"</f>
        <v>澄天伟业</v>
      </c>
      <c r="C197" t="str">
        <f>"20170731"</f>
        <v>20170731</v>
      </c>
      <c r="D197" t="str">
        <f>"0.000"</f>
        <v>0.000</v>
      </c>
      <c r="E197" t="str">
        <f>"6.00"</f>
        <v>6.00</v>
      </c>
      <c r="F197" t="str">
        <f>"0.00"</f>
        <v>0.00</v>
      </c>
      <c r="G197" t="str">
        <f>"1163.78"</f>
        <v>1163.78</v>
      </c>
      <c r="H197" t="str">
        <f>"0.00"</f>
        <v>0.00</v>
      </c>
      <c r="I197" t="str">
        <f>"180"</f>
        <v>180</v>
      </c>
      <c r="J197" t="str">
        <f>"申购配号(澄天伟业)"</f>
        <v>申购配号(澄天伟业)</v>
      </c>
      <c r="K197" t="str">
        <f>"0.00"</f>
        <v>0.00</v>
      </c>
      <c r="L197" t="str">
        <f t="shared" si="80"/>
        <v>0.00</v>
      </c>
      <c r="M197" t="str">
        <f t="shared" si="79"/>
        <v>0.00</v>
      </c>
      <c r="N197" t="str">
        <f t="shared" si="79"/>
        <v>0.00</v>
      </c>
      <c r="O197" t="str">
        <f>"300689"</f>
        <v>300689</v>
      </c>
      <c r="P197" t="str">
        <f t="shared" si="78"/>
        <v>0153613480</v>
      </c>
    </row>
    <row r="198" spans="1:16" x14ac:dyDescent="0.25">
      <c r="A198" t="str">
        <f t="shared" si="81"/>
        <v>人民币</v>
      </c>
      <c r="B198" t="str">
        <f>"创业黑马"</f>
        <v>创业黑马</v>
      </c>
      <c r="C198" t="str">
        <f>"20170731"</f>
        <v>20170731</v>
      </c>
      <c r="D198" t="str">
        <f>"0.000"</f>
        <v>0.000</v>
      </c>
      <c r="E198" t="str">
        <f>"6.00"</f>
        <v>6.00</v>
      </c>
      <c r="F198" t="str">
        <f>"0.00"</f>
        <v>0.00</v>
      </c>
      <c r="G198" t="str">
        <f>"1163.78"</f>
        <v>1163.78</v>
      </c>
      <c r="H198" t="str">
        <f>"0.00"</f>
        <v>0.00</v>
      </c>
      <c r="I198" t="str">
        <f>"178"</f>
        <v>178</v>
      </c>
      <c r="J198" t="str">
        <f>"申购配号(创业黑马)"</f>
        <v>申购配号(创业黑马)</v>
      </c>
      <c r="K198" t="str">
        <f>"0.00"</f>
        <v>0.00</v>
      </c>
      <c r="L198" t="str">
        <f t="shared" si="80"/>
        <v>0.00</v>
      </c>
      <c r="M198" t="str">
        <f t="shared" si="79"/>
        <v>0.00</v>
      </c>
      <c r="N198" t="str">
        <f t="shared" si="79"/>
        <v>0.00</v>
      </c>
      <c r="O198" t="str">
        <f>"300688"</f>
        <v>300688</v>
      </c>
      <c r="P198" t="str">
        <f t="shared" si="78"/>
        <v>0153613480</v>
      </c>
    </row>
    <row r="199" spans="1:16" x14ac:dyDescent="0.25">
      <c r="A199" t="str">
        <f t="shared" si="81"/>
        <v>人民币</v>
      </c>
      <c r="B199" t="str">
        <f>"亿纬锂能"</f>
        <v>亿纬锂能</v>
      </c>
      <c r="C199" t="str">
        <f>"20170801"</f>
        <v>20170801</v>
      </c>
      <c r="D199" t="str">
        <f>"24.550"</f>
        <v>24.550</v>
      </c>
      <c r="E199" t="str">
        <f>"-200.00"</f>
        <v>-200.00</v>
      </c>
      <c r="F199" t="str">
        <f>"4900.09"</f>
        <v>4900.09</v>
      </c>
      <c r="G199" t="str">
        <f>"6063.87"</f>
        <v>6063.87</v>
      </c>
      <c r="H199" t="str">
        <f>"200.00"</f>
        <v>200.00</v>
      </c>
      <c r="I199" t="str">
        <f>"185"</f>
        <v>185</v>
      </c>
      <c r="J199" t="str">
        <f>"证券卖出(亿纬锂能)"</f>
        <v>证券卖出(亿纬锂能)</v>
      </c>
      <c r="K199" t="str">
        <f>"5.00"</f>
        <v>5.00</v>
      </c>
      <c r="L199" t="str">
        <f>"4.91"</f>
        <v>4.91</v>
      </c>
      <c r="M199" t="str">
        <f t="shared" si="79"/>
        <v>0.00</v>
      </c>
      <c r="N199" t="str">
        <f t="shared" si="79"/>
        <v>0.00</v>
      </c>
      <c r="O199" t="str">
        <f>"300014"</f>
        <v>300014</v>
      </c>
      <c r="P199" t="str">
        <f t="shared" si="78"/>
        <v>0153613480</v>
      </c>
    </row>
    <row r="200" spans="1:16" x14ac:dyDescent="0.25">
      <c r="A200" t="str">
        <f t="shared" si="81"/>
        <v>人民币</v>
      </c>
      <c r="B200" t="str">
        <f>"亿纬锂能"</f>
        <v>亿纬锂能</v>
      </c>
      <c r="C200" t="str">
        <f>"20170801"</f>
        <v>20170801</v>
      </c>
      <c r="D200" t="str">
        <f>"25.450"</f>
        <v>25.450</v>
      </c>
      <c r="E200" t="str">
        <f>"-200.00"</f>
        <v>-200.00</v>
      </c>
      <c r="F200" t="str">
        <f>"5079.91"</f>
        <v>5079.91</v>
      </c>
      <c r="G200" t="str">
        <f>"11143.78"</f>
        <v>11143.78</v>
      </c>
      <c r="H200" t="str">
        <f>"0.00"</f>
        <v>0.00</v>
      </c>
      <c r="I200" t="str">
        <f>"191"</f>
        <v>191</v>
      </c>
      <c r="J200" t="str">
        <f>"证券卖出(亿纬锂能)"</f>
        <v>证券卖出(亿纬锂能)</v>
      </c>
      <c r="K200" t="str">
        <f>"5.00"</f>
        <v>5.00</v>
      </c>
      <c r="L200" t="str">
        <f>"5.09"</f>
        <v>5.09</v>
      </c>
      <c r="M200" t="str">
        <f t="shared" si="79"/>
        <v>0.00</v>
      </c>
      <c r="N200" t="str">
        <f t="shared" si="79"/>
        <v>0.00</v>
      </c>
      <c r="O200" t="str">
        <f>"300014"</f>
        <v>300014</v>
      </c>
      <c r="P200" t="str">
        <f t="shared" si="78"/>
        <v>0153613480</v>
      </c>
    </row>
    <row r="201" spans="1:16" x14ac:dyDescent="0.25">
      <c r="A201" t="str">
        <f t="shared" si="81"/>
        <v>人民币</v>
      </c>
      <c r="B201" t="str">
        <f>"北方国际"</f>
        <v>北方国际</v>
      </c>
      <c r="C201" t="str">
        <f>"20170801"</f>
        <v>20170801</v>
      </c>
      <c r="D201" t="str">
        <f>"25.510"</f>
        <v>25.510</v>
      </c>
      <c r="E201" t="str">
        <f>"100.00"</f>
        <v>100.00</v>
      </c>
      <c r="F201" t="str">
        <f>"-2556.00"</f>
        <v>-2556.00</v>
      </c>
      <c r="G201" t="str">
        <f>"8587.78"</f>
        <v>8587.78</v>
      </c>
      <c r="H201" t="str">
        <f>"500.00"</f>
        <v>500.00</v>
      </c>
      <c r="I201" t="str">
        <f>"197"</f>
        <v>197</v>
      </c>
      <c r="J201" t="str">
        <f>"证券买入(北方国际)"</f>
        <v>证券买入(北方国际)</v>
      </c>
      <c r="K201" t="str">
        <f>"5.00"</f>
        <v>5.00</v>
      </c>
      <c r="L201" t="str">
        <f>"0.00"</f>
        <v>0.00</v>
      </c>
      <c r="M201" t="str">
        <f t="shared" si="79"/>
        <v>0.00</v>
      </c>
      <c r="N201" t="str">
        <f t="shared" si="79"/>
        <v>0.00</v>
      </c>
      <c r="O201" t="str">
        <f>"000065"</f>
        <v>000065</v>
      </c>
      <c r="P201" t="str">
        <f t="shared" si="78"/>
        <v>0153613480</v>
      </c>
    </row>
    <row r="202" spans="1:16" x14ac:dyDescent="0.25">
      <c r="A202" t="str">
        <f t="shared" si="81"/>
        <v>人民币</v>
      </c>
      <c r="B202" t="str">
        <f>" "</f>
        <v xml:space="preserve"> </v>
      </c>
      <c r="C202" t="str">
        <f>"20170802"</f>
        <v>20170802</v>
      </c>
      <c r="D202" t="str">
        <f>"---"</f>
        <v>---</v>
      </c>
      <c r="E202" t="str">
        <f>"---"</f>
        <v>---</v>
      </c>
      <c r="F202" t="str">
        <f>"-5000.00"</f>
        <v>-5000.00</v>
      </c>
      <c r="G202" t="str">
        <f>"3587.78"</f>
        <v>3587.78</v>
      </c>
      <c r="H202" t="str">
        <f>"---"</f>
        <v>---</v>
      </c>
      <c r="I202" t="str">
        <f>"---"</f>
        <v>---</v>
      </c>
      <c r="J202" t="str">
        <f>"银行转取"</f>
        <v>银行转取</v>
      </c>
      <c r="K202" t="str">
        <f t="shared" ref="K202:P202" si="82">"---"</f>
        <v>---</v>
      </c>
      <c r="L202" t="str">
        <f t="shared" si="82"/>
        <v>---</v>
      </c>
      <c r="M202" t="str">
        <f t="shared" si="82"/>
        <v>---</v>
      </c>
      <c r="N202" t="str">
        <f t="shared" si="82"/>
        <v>---</v>
      </c>
      <c r="O202" t="str">
        <f t="shared" si="82"/>
        <v>---</v>
      </c>
      <c r="P202" t="str">
        <f t="shared" si="82"/>
        <v>---</v>
      </c>
    </row>
    <row r="203" spans="1:16" x14ac:dyDescent="0.25">
      <c r="A203" t="str">
        <f t="shared" si="81"/>
        <v>人民币</v>
      </c>
      <c r="B203" t="str">
        <f>"银龙股份"</f>
        <v>银龙股份</v>
      </c>
      <c r="C203" t="str">
        <f>"20170802"</f>
        <v>20170802</v>
      </c>
      <c r="D203" t="str">
        <f>"17.660"</f>
        <v>17.660</v>
      </c>
      <c r="E203" t="str">
        <f>"100.00"</f>
        <v>100.00</v>
      </c>
      <c r="F203" t="str">
        <f>"-1771.04"</f>
        <v>-1771.04</v>
      </c>
      <c r="G203" t="str">
        <f>"1816.74"</f>
        <v>1816.74</v>
      </c>
      <c r="H203" t="str">
        <f>"500.00"</f>
        <v>500.00</v>
      </c>
      <c r="I203" t="str">
        <f>"203"</f>
        <v>203</v>
      </c>
      <c r="J203" t="str">
        <f>"证券买入(银龙股份)"</f>
        <v>证券买入(银龙股份)</v>
      </c>
      <c r="K203" t="str">
        <f>"5.00"</f>
        <v>5.00</v>
      </c>
      <c r="L203" t="str">
        <f>"0.00"</f>
        <v>0.00</v>
      </c>
      <c r="M203" t="str">
        <f>"0.04"</f>
        <v>0.04</v>
      </c>
      <c r="N203" t="str">
        <f>"0.00"</f>
        <v>0.00</v>
      </c>
      <c r="O203" t="str">
        <f>"603969"</f>
        <v>603969</v>
      </c>
      <c r="P203" t="str">
        <f>"A400948245"</f>
        <v>A400948245</v>
      </c>
    </row>
    <row r="204" spans="1:16" x14ac:dyDescent="0.25">
      <c r="A204" t="str">
        <f t="shared" si="81"/>
        <v>人民币</v>
      </c>
      <c r="B204" t="str">
        <f>"银龙股份"</f>
        <v>银龙股份</v>
      </c>
      <c r="C204" t="str">
        <f>"20170802"</f>
        <v>20170802</v>
      </c>
      <c r="D204" t="str">
        <f>"17.630"</f>
        <v>17.630</v>
      </c>
      <c r="E204" t="str">
        <f>"100.00"</f>
        <v>100.00</v>
      </c>
      <c r="F204" t="str">
        <f>"-1768.04"</f>
        <v>-1768.04</v>
      </c>
      <c r="G204" t="str">
        <f>"48.70"</f>
        <v>48.70</v>
      </c>
      <c r="H204" t="str">
        <f>"600.00"</f>
        <v>600.00</v>
      </c>
      <c r="I204" t="str">
        <f>"206"</f>
        <v>206</v>
      </c>
      <c r="J204" t="str">
        <f>"证券买入(银龙股份)"</f>
        <v>证券买入(银龙股份)</v>
      </c>
      <c r="K204" t="str">
        <f>"5.00"</f>
        <v>5.00</v>
      </c>
      <c r="L204" t="str">
        <f>"0.00"</f>
        <v>0.00</v>
      </c>
      <c r="M204" t="str">
        <f>"0.04"</f>
        <v>0.04</v>
      </c>
      <c r="N204" t="str">
        <f>"0.00"</f>
        <v>0.00</v>
      </c>
      <c r="O204" t="str">
        <f>"603969"</f>
        <v>603969</v>
      </c>
      <c r="P204" t="str">
        <f>"A400948245"</f>
        <v>A400948245</v>
      </c>
    </row>
    <row r="205" spans="1:16" x14ac:dyDescent="0.25">
      <c r="A205" t="str">
        <f t="shared" si="81"/>
        <v>人民币</v>
      </c>
      <c r="B205" t="str">
        <f>" "</f>
        <v xml:space="preserve"> </v>
      </c>
      <c r="C205" t="str">
        <f t="shared" ref="C205:C213" si="83">"20170808"</f>
        <v>20170808</v>
      </c>
      <c r="D205" t="str">
        <f t="shared" ref="D205:E208" si="84">"---"</f>
        <v>---</v>
      </c>
      <c r="E205" t="str">
        <f t="shared" si="84"/>
        <v>---</v>
      </c>
      <c r="F205" t="str">
        <f>"8800.00"</f>
        <v>8800.00</v>
      </c>
      <c r="G205" t="str">
        <f>"8848.70"</f>
        <v>8848.70</v>
      </c>
      <c r="H205" t="str">
        <f t="shared" ref="H205:I208" si="85">"---"</f>
        <v>---</v>
      </c>
      <c r="I205" t="str">
        <f t="shared" si="85"/>
        <v>---</v>
      </c>
      <c r="J205" t="str">
        <f>"银行转存"</f>
        <v>银行转存</v>
      </c>
      <c r="K205" t="str">
        <f t="shared" ref="K205:P208" si="86">"---"</f>
        <v>---</v>
      </c>
      <c r="L205" t="str">
        <f t="shared" si="86"/>
        <v>---</v>
      </c>
      <c r="M205" t="str">
        <f t="shared" si="86"/>
        <v>---</v>
      </c>
      <c r="N205" t="str">
        <f t="shared" si="86"/>
        <v>---</v>
      </c>
      <c r="O205" t="str">
        <f t="shared" si="86"/>
        <v>---</v>
      </c>
      <c r="P205" t="str">
        <f t="shared" si="86"/>
        <v>---</v>
      </c>
    </row>
    <row r="206" spans="1:16" x14ac:dyDescent="0.25">
      <c r="A206" t="str">
        <f t="shared" si="81"/>
        <v>人民币</v>
      </c>
      <c r="B206" t="str">
        <f>" "</f>
        <v xml:space="preserve"> </v>
      </c>
      <c r="C206" t="str">
        <f t="shared" si="83"/>
        <v>20170808</v>
      </c>
      <c r="D206" t="str">
        <f t="shared" si="84"/>
        <v>---</v>
      </c>
      <c r="E206" t="str">
        <f t="shared" si="84"/>
        <v>---</v>
      </c>
      <c r="F206" t="str">
        <f>"-5000.00"</f>
        <v>-5000.00</v>
      </c>
      <c r="G206" t="str">
        <f>"3848.70"</f>
        <v>3848.70</v>
      </c>
      <c r="H206" t="str">
        <f t="shared" si="85"/>
        <v>---</v>
      </c>
      <c r="I206" t="str">
        <f t="shared" si="85"/>
        <v>---</v>
      </c>
      <c r="J206" t="str">
        <f>"银行转取"</f>
        <v>银行转取</v>
      </c>
      <c r="K206" t="str">
        <f t="shared" si="86"/>
        <v>---</v>
      </c>
      <c r="L206" t="str">
        <f t="shared" si="86"/>
        <v>---</v>
      </c>
      <c r="M206" t="str">
        <f t="shared" si="86"/>
        <v>---</v>
      </c>
      <c r="N206" t="str">
        <f t="shared" si="86"/>
        <v>---</v>
      </c>
      <c r="O206" t="str">
        <f t="shared" si="86"/>
        <v>---</v>
      </c>
      <c r="P206" t="str">
        <f t="shared" si="86"/>
        <v>---</v>
      </c>
    </row>
    <row r="207" spans="1:16" x14ac:dyDescent="0.25">
      <c r="A207" t="str">
        <f t="shared" si="81"/>
        <v>人民币</v>
      </c>
      <c r="B207" t="str">
        <f>" "</f>
        <v xml:space="preserve"> </v>
      </c>
      <c r="C207" t="str">
        <f t="shared" si="83"/>
        <v>20170808</v>
      </c>
      <c r="D207" t="str">
        <f t="shared" si="84"/>
        <v>---</v>
      </c>
      <c r="E207" t="str">
        <f t="shared" si="84"/>
        <v>---</v>
      </c>
      <c r="F207" t="str">
        <f>"5000.00"</f>
        <v>5000.00</v>
      </c>
      <c r="G207" t="str">
        <f>"8848.70"</f>
        <v>8848.70</v>
      </c>
      <c r="H207" t="str">
        <f t="shared" si="85"/>
        <v>---</v>
      </c>
      <c r="I207" t="str">
        <f t="shared" si="85"/>
        <v>---</v>
      </c>
      <c r="J207" t="str">
        <f>"银行转存"</f>
        <v>银行转存</v>
      </c>
      <c r="K207" t="str">
        <f t="shared" si="86"/>
        <v>---</v>
      </c>
      <c r="L207" t="str">
        <f t="shared" si="86"/>
        <v>---</v>
      </c>
      <c r="M207" t="str">
        <f t="shared" si="86"/>
        <v>---</v>
      </c>
      <c r="N207" t="str">
        <f t="shared" si="86"/>
        <v>---</v>
      </c>
      <c r="O207" t="str">
        <f t="shared" si="86"/>
        <v>---</v>
      </c>
      <c r="P207" t="str">
        <f t="shared" si="86"/>
        <v>---</v>
      </c>
    </row>
    <row r="208" spans="1:16" x14ac:dyDescent="0.25">
      <c r="A208" t="str">
        <f t="shared" si="81"/>
        <v>人民币</v>
      </c>
      <c r="B208" t="str">
        <f>" "</f>
        <v xml:space="preserve"> </v>
      </c>
      <c r="C208" t="str">
        <f t="shared" si="83"/>
        <v>20170808</v>
      </c>
      <c r="D208" t="str">
        <f t="shared" si="84"/>
        <v>---</v>
      </c>
      <c r="E208" t="str">
        <f t="shared" si="84"/>
        <v>---</v>
      </c>
      <c r="F208" t="str">
        <f>"-5000.00"</f>
        <v>-5000.00</v>
      </c>
      <c r="G208" t="str">
        <f>"3848.70"</f>
        <v>3848.70</v>
      </c>
      <c r="H208" t="str">
        <f t="shared" si="85"/>
        <v>---</v>
      </c>
      <c r="I208" t="str">
        <f t="shared" si="85"/>
        <v>---</v>
      </c>
      <c r="J208" t="str">
        <f>"银行转取"</f>
        <v>银行转取</v>
      </c>
      <c r="K208" t="str">
        <f t="shared" si="86"/>
        <v>---</v>
      </c>
      <c r="L208" t="str">
        <f t="shared" si="86"/>
        <v>---</v>
      </c>
      <c r="M208" t="str">
        <f t="shared" si="86"/>
        <v>---</v>
      </c>
      <c r="N208" t="str">
        <f t="shared" si="86"/>
        <v>---</v>
      </c>
      <c r="O208" t="str">
        <f t="shared" si="86"/>
        <v>---</v>
      </c>
      <c r="P208" t="str">
        <f t="shared" si="86"/>
        <v>---</v>
      </c>
    </row>
    <row r="209" spans="1:16" x14ac:dyDescent="0.25">
      <c r="A209" t="str">
        <f t="shared" si="81"/>
        <v>人民币</v>
      </c>
      <c r="B209" t="str">
        <f>"银龙股份"</f>
        <v>银龙股份</v>
      </c>
      <c r="C209" t="str">
        <f t="shared" si="83"/>
        <v>20170808</v>
      </c>
      <c r="D209" t="str">
        <f>"18.740"</f>
        <v>18.740</v>
      </c>
      <c r="E209" t="str">
        <f>"-200.00"</f>
        <v>-200.00</v>
      </c>
      <c r="F209" t="str">
        <f>"3739.18"</f>
        <v>3739.18</v>
      </c>
      <c r="G209" t="str">
        <f>"7587.88"</f>
        <v>7587.88</v>
      </c>
      <c r="H209" t="str">
        <f>"400.00"</f>
        <v>400.00</v>
      </c>
      <c r="I209" t="str">
        <f>"223"</f>
        <v>223</v>
      </c>
      <c r="J209" t="str">
        <f>"证券卖出(银龙股份)"</f>
        <v>证券卖出(银龙股份)</v>
      </c>
      <c r="K209" t="str">
        <f>"5.00"</f>
        <v>5.00</v>
      </c>
      <c r="L209" t="str">
        <f>"3.75"</f>
        <v>3.75</v>
      </c>
      <c r="M209" t="str">
        <f>"0.07"</f>
        <v>0.07</v>
      </c>
      <c r="N209" t="str">
        <f>"0.00"</f>
        <v>0.00</v>
      </c>
      <c r="O209" t="str">
        <f>"603969"</f>
        <v>603969</v>
      </c>
      <c r="P209" t="str">
        <f>"A400948245"</f>
        <v>A400948245</v>
      </c>
    </row>
    <row r="210" spans="1:16" x14ac:dyDescent="0.25">
      <c r="A210" t="str">
        <f t="shared" si="81"/>
        <v>人民币</v>
      </c>
      <c r="B210" t="str">
        <f>"合肥城建"</f>
        <v>合肥城建</v>
      </c>
      <c r="C210" t="str">
        <f t="shared" si="83"/>
        <v>20170808</v>
      </c>
      <c r="D210" t="str">
        <f>"11.560"</f>
        <v>11.560</v>
      </c>
      <c r="E210" t="str">
        <f>"-100.00"</f>
        <v>-100.00</v>
      </c>
      <c r="F210" t="str">
        <f>"1149.84"</f>
        <v>1149.84</v>
      </c>
      <c r="G210" t="str">
        <f>"8737.72"</f>
        <v>8737.72</v>
      </c>
      <c r="H210" t="str">
        <f>"0.00"</f>
        <v>0.00</v>
      </c>
      <c r="I210" t="str">
        <f>"229"</f>
        <v>229</v>
      </c>
      <c r="J210" t="str">
        <f>"证券卖出(合肥城建)"</f>
        <v>证券卖出(合肥城建)</v>
      </c>
      <c r="K210" t="str">
        <f>"5.00"</f>
        <v>5.00</v>
      </c>
      <c r="L210" t="str">
        <f>"1.16"</f>
        <v>1.16</v>
      </c>
      <c r="M210" t="str">
        <f>"0.00"</f>
        <v>0.00</v>
      </c>
      <c r="N210" t="str">
        <f>"0.00"</f>
        <v>0.00</v>
      </c>
      <c r="O210" t="str">
        <f>"002208"</f>
        <v>002208</v>
      </c>
      <c r="P210" t="str">
        <f t="shared" ref="P210:P215" si="87">"0153613480"</f>
        <v>0153613480</v>
      </c>
    </row>
    <row r="211" spans="1:16" x14ac:dyDescent="0.25">
      <c r="A211" t="str">
        <f t="shared" si="81"/>
        <v>人民币</v>
      </c>
      <c r="B211" t="str">
        <f>"太阳鸟"</f>
        <v>太阳鸟</v>
      </c>
      <c r="C211" t="str">
        <f t="shared" si="83"/>
        <v>20170808</v>
      </c>
      <c r="D211" t="str">
        <f>"14.170"</f>
        <v>14.170</v>
      </c>
      <c r="E211" t="str">
        <f>"300.00"</f>
        <v>300.00</v>
      </c>
      <c r="F211" t="str">
        <f>"-4256.00"</f>
        <v>-4256.00</v>
      </c>
      <c r="G211" t="str">
        <f>"4481.72"</f>
        <v>4481.72</v>
      </c>
      <c r="H211" t="str">
        <f>"300.00"</f>
        <v>300.00</v>
      </c>
      <c r="I211" t="str">
        <f>"217"</f>
        <v>217</v>
      </c>
      <c r="J211" t="str">
        <f>"证券买入(太阳鸟)"</f>
        <v>证券买入(太阳鸟)</v>
      </c>
      <c r="K211" t="str">
        <f>"5.00"</f>
        <v>5.00</v>
      </c>
      <c r="L211" t="str">
        <f>"0.00"</f>
        <v>0.00</v>
      </c>
      <c r="M211" t="str">
        <f>"0.00"</f>
        <v>0.00</v>
      </c>
      <c r="N211" t="str">
        <f>"0.00"</f>
        <v>0.00</v>
      </c>
      <c r="O211" t="str">
        <f>"300123"</f>
        <v>300123</v>
      </c>
      <c r="P211" t="str">
        <f t="shared" si="87"/>
        <v>0153613480</v>
      </c>
    </row>
    <row r="212" spans="1:16" x14ac:dyDescent="0.25">
      <c r="A212" t="str">
        <f t="shared" si="81"/>
        <v>人民币</v>
      </c>
      <c r="B212" t="str">
        <f>"太阳鸟"</f>
        <v>太阳鸟</v>
      </c>
      <c r="C212" t="str">
        <f t="shared" si="83"/>
        <v>20170808</v>
      </c>
      <c r="D212" t="str">
        <f>"13.980"</f>
        <v>13.980</v>
      </c>
      <c r="E212" t="str">
        <f>"300.00"</f>
        <v>300.00</v>
      </c>
      <c r="F212" t="str">
        <f>"-4199.00"</f>
        <v>-4199.00</v>
      </c>
      <c r="G212" t="str">
        <f>"282.72"</f>
        <v>282.72</v>
      </c>
      <c r="H212" t="str">
        <f>"600.00"</f>
        <v>600.00</v>
      </c>
      <c r="I212" t="str">
        <f>"220"</f>
        <v>220</v>
      </c>
      <c r="J212" t="str">
        <f>"证券买入(太阳鸟)"</f>
        <v>证券买入(太阳鸟)</v>
      </c>
      <c r="K212" t="str">
        <f>"5.00"</f>
        <v>5.00</v>
      </c>
      <c r="L212" t="str">
        <f>"0.00"</f>
        <v>0.00</v>
      </c>
      <c r="M212" t="str">
        <f>"0.00"</f>
        <v>0.00</v>
      </c>
      <c r="N212" t="str">
        <f>"0.00"</f>
        <v>0.00</v>
      </c>
      <c r="O212" t="str">
        <f>"300123"</f>
        <v>300123</v>
      </c>
      <c r="P212" t="str">
        <f t="shared" si="87"/>
        <v>0153613480</v>
      </c>
    </row>
    <row r="213" spans="1:16" x14ac:dyDescent="0.25">
      <c r="A213" t="str">
        <f t="shared" si="81"/>
        <v>人民币</v>
      </c>
      <c r="B213" t="str">
        <f>"科力尔"</f>
        <v>科力尔</v>
      </c>
      <c r="C213" t="str">
        <f t="shared" si="83"/>
        <v>20170808</v>
      </c>
      <c r="D213" t="str">
        <f>"0.000"</f>
        <v>0.000</v>
      </c>
      <c r="E213" t="str">
        <f>"6.00"</f>
        <v>6.00</v>
      </c>
      <c r="F213" t="str">
        <f>"0.00"</f>
        <v>0.00</v>
      </c>
      <c r="G213" t="str">
        <f>"282.72"</f>
        <v>282.72</v>
      </c>
      <c r="H213" t="str">
        <f>"0.00"</f>
        <v>0.00</v>
      </c>
      <c r="I213" t="str">
        <f>"214"</f>
        <v>214</v>
      </c>
      <c r="J213" t="str">
        <f>"申购配号(科力尔)"</f>
        <v>申购配号(科力尔)</v>
      </c>
      <c r="K213" t="str">
        <f>"0.00"</f>
        <v>0.00</v>
      </c>
      <c r="L213" t="str">
        <f>"0.00"</f>
        <v>0.00</v>
      </c>
      <c r="M213" t="str">
        <f>"0.00"</f>
        <v>0.00</v>
      </c>
      <c r="N213" t="str">
        <f>"0.00"</f>
        <v>0.00</v>
      </c>
      <c r="O213" t="str">
        <f>"002892"</f>
        <v>002892</v>
      </c>
      <c r="P213" t="str">
        <f t="shared" si="87"/>
        <v>0153613480</v>
      </c>
    </row>
    <row r="214" spans="1:16" x14ac:dyDescent="0.25">
      <c r="A214" t="str">
        <f t="shared" si="81"/>
        <v>人民币</v>
      </c>
      <c r="B214" t="str">
        <f>"合肥城建"</f>
        <v>合肥城建</v>
      </c>
      <c r="C214" t="str">
        <f>"20170809"</f>
        <v>20170809</v>
      </c>
      <c r="D214" t="str">
        <f>"0.000"</f>
        <v>0.000</v>
      </c>
      <c r="E214" t="str">
        <f>"0.00"</f>
        <v>0.00</v>
      </c>
      <c r="F214" t="str">
        <f>"-1.00"</f>
        <v>-1.00</v>
      </c>
      <c r="G214" t="str">
        <f>"281.72"</f>
        <v>281.72</v>
      </c>
      <c r="H214" t="str">
        <f>"0.00"</f>
        <v>0.00</v>
      </c>
      <c r="I214" t="str">
        <f>"---"</f>
        <v>---</v>
      </c>
      <c r="J214" t="str">
        <f>"红利差异税扣税(合肥城建)"</f>
        <v>红利差异税扣税(合肥城建)</v>
      </c>
      <c r="K214" t="str">
        <f>"---"</f>
        <v>---</v>
      </c>
      <c r="L214" t="str">
        <f>"---"</f>
        <v>---</v>
      </c>
      <c r="M214" t="str">
        <f>"---"</f>
        <v>---</v>
      </c>
      <c r="N214" t="str">
        <f>"---"</f>
        <v>---</v>
      </c>
      <c r="O214" t="str">
        <f>"002208"</f>
        <v>002208</v>
      </c>
      <c r="P214" t="str">
        <f t="shared" si="87"/>
        <v>0153613480</v>
      </c>
    </row>
    <row r="215" spans="1:16" x14ac:dyDescent="0.25">
      <c r="A215" t="str">
        <f t="shared" si="81"/>
        <v>人民币</v>
      </c>
      <c r="B215" t="str">
        <f>"爱乐达"</f>
        <v>爱乐达</v>
      </c>
      <c r="C215" t="str">
        <f>"20170811"</f>
        <v>20170811</v>
      </c>
      <c r="D215" t="str">
        <f>"0.000"</f>
        <v>0.000</v>
      </c>
      <c r="E215" t="str">
        <f>"6.00"</f>
        <v>6.00</v>
      </c>
      <c r="F215" t="str">
        <f>"0.00"</f>
        <v>0.00</v>
      </c>
      <c r="G215" t="str">
        <f>"281.72"</f>
        <v>281.72</v>
      </c>
      <c r="H215" t="str">
        <f>"0.00"</f>
        <v>0.00</v>
      </c>
      <c r="I215" t="str">
        <f>"241"</f>
        <v>241</v>
      </c>
      <c r="J215" t="str">
        <f>"申购配号(爱乐达)"</f>
        <v>申购配号(爱乐达)</v>
      </c>
      <c r="K215" t="str">
        <f>"0.00"</f>
        <v>0.00</v>
      </c>
      <c r="L215" t="str">
        <f>"0.00"</f>
        <v>0.00</v>
      </c>
      <c r="M215" t="str">
        <f>"0.00"</f>
        <v>0.00</v>
      </c>
      <c r="N215" t="str">
        <f>"0.00"</f>
        <v>0.00</v>
      </c>
      <c r="O215" t="str">
        <f>"300696"</f>
        <v>300696</v>
      </c>
      <c r="P215" t="str">
        <f t="shared" si="87"/>
        <v>0153613480</v>
      </c>
    </row>
    <row r="216" spans="1:16" x14ac:dyDescent="0.25">
      <c r="A216" t="str">
        <f t="shared" si="81"/>
        <v>人民币</v>
      </c>
      <c r="B216" t="str">
        <f>" "</f>
        <v xml:space="preserve"> </v>
      </c>
      <c r="C216" t="str">
        <f>"20170814"</f>
        <v>20170814</v>
      </c>
      <c r="D216" t="str">
        <f>"---"</f>
        <v>---</v>
      </c>
      <c r="E216" t="str">
        <f>"---"</f>
        <v>---</v>
      </c>
      <c r="F216" t="str">
        <f>"6000.00"</f>
        <v>6000.00</v>
      </c>
      <c r="G216" t="str">
        <f>"6281.72"</f>
        <v>6281.72</v>
      </c>
      <c r="H216" t="str">
        <f>"---"</f>
        <v>---</v>
      </c>
      <c r="I216" t="str">
        <f>"---"</f>
        <v>---</v>
      </c>
      <c r="J216" t="str">
        <f>"银行转存"</f>
        <v>银行转存</v>
      </c>
      <c r="K216" t="str">
        <f t="shared" ref="K216:P216" si="88">"---"</f>
        <v>---</v>
      </c>
      <c r="L216" t="str">
        <f t="shared" si="88"/>
        <v>---</v>
      </c>
      <c r="M216" t="str">
        <f t="shared" si="88"/>
        <v>---</v>
      </c>
      <c r="N216" t="str">
        <f t="shared" si="88"/>
        <v>---</v>
      </c>
      <c r="O216" t="str">
        <f t="shared" si="88"/>
        <v>---</v>
      </c>
      <c r="P216" t="str">
        <f t="shared" si="88"/>
        <v>---</v>
      </c>
    </row>
    <row r="217" spans="1:16" x14ac:dyDescent="0.25">
      <c r="A217" t="str">
        <f t="shared" si="81"/>
        <v>人民币</v>
      </c>
      <c r="B217" t="str">
        <f>"银龙股份"</f>
        <v>银龙股份</v>
      </c>
      <c r="C217" t="str">
        <f>"20170814"</f>
        <v>20170814</v>
      </c>
      <c r="D217" t="str">
        <f>"18.840"</f>
        <v>18.840</v>
      </c>
      <c r="E217" t="str">
        <f>"100.00"</f>
        <v>100.00</v>
      </c>
      <c r="F217" t="str">
        <f>"-1889.04"</f>
        <v>-1889.04</v>
      </c>
      <c r="G217" t="str">
        <f>"4392.68"</f>
        <v>4392.68</v>
      </c>
      <c r="H217" t="str">
        <f>"500.00"</f>
        <v>500.00</v>
      </c>
      <c r="I217" t="str">
        <f>"245"</f>
        <v>245</v>
      </c>
      <c r="J217" t="str">
        <f>"证券买入(银龙股份)"</f>
        <v>证券买入(银龙股份)</v>
      </c>
      <c r="K217" t="str">
        <f>"5.00"</f>
        <v>5.00</v>
      </c>
      <c r="L217" t="str">
        <f>"0.00"</f>
        <v>0.00</v>
      </c>
      <c r="M217" t="str">
        <f>"0.04"</f>
        <v>0.04</v>
      </c>
      <c r="N217" t="str">
        <f>"0.00"</f>
        <v>0.00</v>
      </c>
      <c r="O217" t="str">
        <f>"603969"</f>
        <v>603969</v>
      </c>
      <c r="P217" t="str">
        <f>"A400948245"</f>
        <v>A400948245</v>
      </c>
    </row>
    <row r="218" spans="1:16" x14ac:dyDescent="0.25">
      <c r="A218" t="str">
        <f t="shared" si="81"/>
        <v>人民币</v>
      </c>
      <c r="B218" t="str">
        <f>"银龙股份"</f>
        <v>银龙股份</v>
      </c>
      <c r="C218" t="str">
        <f>"20170816"</f>
        <v>20170816</v>
      </c>
      <c r="D218" t="str">
        <f>"19.000"</f>
        <v>19.000</v>
      </c>
      <c r="E218" t="str">
        <f>"200.00"</f>
        <v>200.00</v>
      </c>
      <c r="F218" t="str">
        <f>"-3805.08"</f>
        <v>-3805.08</v>
      </c>
      <c r="G218" t="str">
        <f>"587.60"</f>
        <v>587.60</v>
      </c>
      <c r="H218" t="str">
        <f>"700.00"</f>
        <v>700.00</v>
      </c>
      <c r="I218" t="str">
        <f>"8"</f>
        <v>8</v>
      </c>
      <c r="J218" t="str">
        <f>"证券买入(银龙股份)"</f>
        <v>证券买入(银龙股份)</v>
      </c>
      <c r="K218" t="str">
        <f>"5.00"</f>
        <v>5.00</v>
      </c>
      <c r="L218" t="str">
        <f>"0.00"</f>
        <v>0.00</v>
      </c>
      <c r="M218" t="str">
        <f>"0.08"</f>
        <v>0.08</v>
      </c>
      <c r="N218" t="str">
        <f>"0.00"</f>
        <v>0.00</v>
      </c>
      <c r="O218" t="str">
        <f>"603969"</f>
        <v>603969</v>
      </c>
      <c r="P218" t="str">
        <f>"A400948245"</f>
        <v>A400948245</v>
      </c>
    </row>
    <row r="219" spans="1:16" x14ac:dyDescent="0.25">
      <c r="A219" t="str">
        <f t="shared" si="81"/>
        <v>人民币</v>
      </c>
      <c r="B219" t="str">
        <f>"川恒股份"</f>
        <v>川恒股份</v>
      </c>
      <c r="C219" t="str">
        <f>"20170816"</f>
        <v>20170816</v>
      </c>
      <c r="D219" t="str">
        <f>"0.000"</f>
        <v>0.000</v>
      </c>
      <c r="E219" t="str">
        <f>"6.00"</f>
        <v>6.00</v>
      </c>
      <c r="F219" t="str">
        <f>"0.00"</f>
        <v>0.00</v>
      </c>
      <c r="G219" t="str">
        <f>"587.60"</f>
        <v>587.60</v>
      </c>
      <c r="H219" t="str">
        <f>"0.00"</f>
        <v>0.00</v>
      </c>
      <c r="I219" t="str">
        <f>"1"</f>
        <v>1</v>
      </c>
      <c r="J219" t="str">
        <f>"申购配号(川恒股份)"</f>
        <v>申购配号(川恒股份)</v>
      </c>
      <c r="K219" t="str">
        <f>"0.00"</f>
        <v>0.00</v>
      </c>
      <c r="L219" t="str">
        <f>"0.00"</f>
        <v>0.00</v>
      </c>
      <c r="M219" t="str">
        <f>"0.00"</f>
        <v>0.00</v>
      </c>
      <c r="N219" t="str">
        <f>"0.00"</f>
        <v>0.00</v>
      </c>
      <c r="O219" t="str">
        <f>"002895"</f>
        <v>002895</v>
      </c>
      <c r="P219" t="str">
        <f>"0153613480"</f>
        <v>0153613480</v>
      </c>
    </row>
    <row r="220" spans="1:16" x14ac:dyDescent="0.25">
      <c r="A220" t="str">
        <f t="shared" si="81"/>
        <v>人民币</v>
      </c>
      <c r="B220" t="str">
        <f>"太阳鸟"</f>
        <v>太阳鸟</v>
      </c>
      <c r="C220" t="str">
        <f>"20170817"</f>
        <v>20170817</v>
      </c>
      <c r="D220" t="str">
        <f>"14.810"</f>
        <v>14.810</v>
      </c>
      <c r="E220" t="str">
        <f>"-600.00"</f>
        <v>-600.00</v>
      </c>
      <c r="F220" t="str">
        <f>"8872.11"</f>
        <v>8872.11</v>
      </c>
      <c r="G220" t="str">
        <f>"9459.71"</f>
        <v>9459.71</v>
      </c>
      <c r="H220" t="str">
        <f>"0.00"</f>
        <v>0.00</v>
      </c>
      <c r="I220" t="str">
        <f>"13"</f>
        <v>13</v>
      </c>
      <c r="J220" t="str">
        <f>"证券卖出(太阳鸟)"</f>
        <v>证券卖出(太阳鸟)</v>
      </c>
      <c r="K220" t="str">
        <f>"5.00"</f>
        <v>5.00</v>
      </c>
      <c r="L220" t="str">
        <f>"8.89"</f>
        <v>8.89</v>
      </c>
      <c r="M220" t="str">
        <f>"0.00"</f>
        <v>0.00</v>
      </c>
      <c r="N220" t="str">
        <f>"0.00"</f>
        <v>0.00</v>
      </c>
      <c r="O220" t="str">
        <f>"300123"</f>
        <v>300123</v>
      </c>
      <c r="P220" t="str">
        <f>"0153613480"</f>
        <v>0153613480</v>
      </c>
    </row>
    <row r="221" spans="1:16" x14ac:dyDescent="0.25">
      <c r="A221" t="str">
        <f t="shared" si="81"/>
        <v>人民币</v>
      </c>
      <c r="B221" t="str">
        <f>" "</f>
        <v xml:space="preserve"> </v>
      </c>
      <c r="C221" t="str">
        <f>"20170818"</f>
        <v>20170818</v>
      </c>
      <c r="D221" t="str">
        <f>"---"</f>
        <v>---</v>
      </c>
      <c r="E221" t="str">
        <f>"---"</f>
        <v>---</v>
      </c>
      <c r="F221" t="str">
        <f>"-6000.00"</f>
        <v>-6000.00</v>
      </c>
      <c r="G221" t="str">
        <f>"3459.71"</f>
        <v>3459.71</v>
      </c>
      <c r="H221" t="str">
        <f>"---"</f>
        <v>---</v>
      </c>
      <c r="I221" t="str">
        <f>"---"</f>
        <v>---</v>
      </c>
      <c r="J221" t="str">
        <f>"银行转取"</f>
        <v>银行转取</v>
      </c>
      <c r="K221" t="str">
        <f t="shared" ref="K221:P221" si="89">"---"</f>
        <v>---</v>
      </c>
      <c r="L221" t="str">
        <f t="shared" si="89"/>
        <v>---</v>
      </c>
      <c r="M221" t="str">
        <f t="shared" si="89"/>
        <v>---</v>
      </c>
      <c r="N221" t="str">
        <f t="shared" si="89"/>
        <v>---</v>
      </c>
      <c r="O221" t="str">
        <f t="shared" si="89"/>
        <v>---</v>
      </c>
      <c r="P221" t="str">
        <f t="shared" si="89"/>
        <v>---</v>
      </c>
    </row>
    <row r="222" spans="1:16" x14ac:dyDescent="0.25">
      <c r="A222" t="str">
        <f t="shared" si="81"/>
        <v>人民币</v>
      </c>
      <c r="B222" t="str">
        <f>"银龙股份"</f>
        <v>银龙股份</v>
      </c>
      <c r="C222" t="str">
        <f>"20170818"</f>
        <v>20170818</v>
      </c>
      <c r="D222" t="str">
        <f>"19.280"</f>
        <v>19.280</v>
      </c>
      <c r="E222" t="str">
        <f>"-200.00"</f>
        <v>-200.00</v>
      </c>
      <c r="F222" t="str">
        <f>"3847.06"</f>
        <v>3847.06</v>
      </c>
      <c r="G222" t="str">
        <f>"7306.77"</f>
        <v>7306.77</v>
      </c>
      <c r="H222" t="str">
        <f>"500.00"</f>
        <v>500.00</v>
      </c>
      <c r="I222" t="str">
        <f>"27"</f>
        <v>27</v>
      </c>
      <c r="J222" t="str">
        <f>"证券卖出(银龙股份)"</f>
        <v>证券卖出(银龙股份)</v>
      </c>
      <c r="K222" t="str">
        <f>"5.00"</f>
        <v>5.00</v>
      </c>
      <c r="L222" t="str">
        <f>"3.86"</f>
        <v>3.86</v>
      </c>
      <c r="M222" t="str">
        <f>"0.08"</f>
        <v>0.08</v>
      </c>
      <c r="N222" t="str">
        <f>"0.00"</f>
        <v>0.00</v>
      </c>
      <c r="O222" t="str">
        <f>"603969"</f>
        <v>603969</v>
      </c>
      <c r="P222" t="str">
        <f>"A400948245"</f>
        <v>A400948245</v>
      </c>
    </row>
    <row r="223" spans="1:16" x14ac:dyDescent="0.25">
      <c r="A223" t="str">
        <f t="shared" si="81"/>
        <v>人民币</v>
      </c>
      <c r="B223" t="str">
        <f>"太空板业"</f>
        <v>太空板业</v>
      </c>
      <c r="C223" t="str">
        <f>"20170818"</f>
        <v>20170818</v>
      </c>
      <c r="D223" t="str">
        <f>"15.310"</f>
        <v>15.310</v>
      </c>
      <c r="E223" t="str">
        <f>"-540.00"</f>
        <v>-540.00</v>
      </c>
      <c r="F223" t="str">
        <f>"8254.14"</f>
        <v>8254.14</v>
      </c>
      <c r="G223" t="str">
        <f>"15560.91"</f>
        <v>15560.91</v>
      </c>
      <c r="H223" t="str">
        <f>"700.00"</f>
        <v>700.00</v>
      </c>
      <c r="I223" t="str">
        <f>"18"</f>
        <v>18</v>
      </c>
      <c r="J223" t="str">
        <f>"证券卖出(太空板业)"</f>
        <v>证券卖出(太空板业)</v>
      </c>
      <c r="K223" t="str">
        <f>"5.00"</f>
        <v>5.00</v>
      </c>
      <c r="L223" t="str">
        <f>"8.26"</f>
        <v>8.26</v>
      </c>
      <c r="M223" t="str">
        <f>"0.00"</f>
        <v>0.00</v>
      </c>
      <c r="N223" t="str">
        <f>"0.00"</f>
        <v>0.00</v>
      </c>
      <c r="O223" t="str">
        <f>"300344"</f>
        <v>300344</v>
      </c>
      <c r="P223" t="str">
        <f>"0153613480"</f>
        <v>0153613480</v>
      </c>
    </row>
    <row r="224" spans="1:16" x14ac:dyDescent="0.25">
      <c r="A224" t="str">
        <f t="shared" si="81"/>
        <v>人民币</v>
      </c>
      <c r="B224" t="str">
        <f>"中大力德"</f>
        <v>中大力德</v>
      </c>
      <c r="C224" t="str">
        <f>"20170818"</f>
        <v>20170818</v>
      </c>
      <c r="D224" t="str">
        <f>"0.000"</f>
        <v>0.000</v>
      </c>
      <c r="E224" t="str">
        <f>"7.00"</f>
        <v>7.00</v>
      </c>
      <c r="F224" t="str">
        <f>"0.00"</f>
        <v>0.00</v>
      </c>
      <c r="G224" t="str">
        <f>"15560.91"</f>
        <v>15560.91</v>
      </c>
      <c r="H224" t="str">
        <f>"0.00"</f>
        <v>0.00</v>
      </c>
      <c r="I224" t="str">
        <f>"25"</f>
        <v>25</v>
      </c>
      <c r="J224" t="str">
        <f>"申购配号(中大力德)"</f>
        <v>申购配号(中大力德)</v>
      </c>
      <c r="K224" t="str">
        <f>"0.00"</f>
        <v>0.00</v>
      </c>
      <c r="L224" t="str">
        <f>"0.00"</f>
        <v>0.00</v>
      </c>
      <c r="M224" t="str">
        <f>"0.00"</f>
        <v>0.00</v>
      </c>
      <c r="N224" t="str">
        <f>"0.00"</f>
        <v>0.00</v>
      </c>
      <c r="O224" t="str">
        <f>"002896"</f>
        <v>002896</v>
      </c>
      <c r="P224" t="str">
        <f>"0153613480"</f>
        <v>0153613480</v>
      </c>
    </row>
    <row r="225" spans="1:16" x14ac:dyDescent="0.25">
      <c r="A225" t="str">
        <f t="shared" si="81"/>
        <v>人民币</v>
      </c>
      <c r="B225" t="str">
        <f>"太空板业"</f>
        <v>太空板业</v>
      </c>
      <c r="C225" t="str">
        <f>"20170821"</f>
        <v>20170821</v>
      </c>
      <c r="D225" t="str">
        <f>"0.000"</f>
        <v>0.000</v>
      </c>
      <c r="E225" t="str">
        <f>"0.00"</f>
        <v>0.00</v>
      </c>
      <c r="F225" t="str">
        <f>"-1.08"</f>
        <v>-1.08</v>
      </c>
      <c r="G225" t="str">
        <f>"15559.83"</f>
        <v>15559.83</v>
      </c>
      <c r="H225" t="str">
        <f>"700.00"</f>
        <v>700.00</v>
      </c>
      <c r="I225" t="str">
        <f>"---"</f>
        <v>---</v>
      </c>
      <c r="J225" t="str">
        <f>"红利差异税扣税(太空板业)"</f>
        <v>红利差异税扣税(太空板业)</v>
      </c>
      <c r="K225" t="str">
        <f>"---"</f>
        <v>---</v>
      </c>
      <c r="L225" t="str">
        <f>"---"</f>
        <v>---</v>
      </c>
      <c r="M225" t="str">
        <f>"---"</f>
        <v>---</v>
      </c>
      <c r="N225" t="str">
        <f>"---"</f>
        <v>---</v>
      </c>
      <c r="O225" t="str">
        <f>"300344"</f>
        <v>300344</v>
      </c>
      <c r="P225" t="str">
        <f>"0153613480"</f>
        <v>0153613480</v>
      </c>
    </row>
    <row r="226" spans="1:16" x14ac:dyDescent="0.25">
      <c r="A226" t="str">
        <f t="shared" si="81"/>
        <v>人民币</v>
      </c>
      <c r="B226" t="str">
        <f>"北方稀土"</f>
        <v>北方稀土</v>
      </c>
      <c r="C226" t="str">
        <f>"20170821"</f>
        <v>20170821</v>
      </c>
      <c r="D226" t="str">
        <f>"18.470"</f>
        <v>18.470</v>
      </c>
      <c r="E226" t="str">
        <f>"200.00"</f>
        <v>200.00</v>
      </c>
      <c r="F226" t="str">
        <f>"-3699.07"</f>
        <v>-3699.07</v>
      </c>
      <c r="G226" t="str">
        <f>"11860.76"</f>
        <v>11860.76</v>
      </c>
      <c r="H226" t="str">
        <f>"200.00"</f>
        <v>200.00</v>
      </c>
      <c r="I226" t="str">
        <f>"41"</f>
        <v>41</v>
      </c>
      <c r="J226" t="str">
        <f>"证券买入(北方稀土)"</f>
        <v>证券买入(北方稀土)</v>
      </c>
      <c r="K226" t="str">
        <f>"5.00"</f>
        <v>5.00</v>
      </c>
      <c r="L226" t="str">
        <f>"0.00"</f>
        <v>0.00</v>
      </c>
      <c r="M226" t="str">
        <f>"0.07"</f>
        <v>0.07</v>
      </c>
      <c r="N226" t="str">
        <f>"0.00"</f>
        <v>0.00</v>
      </c>
      <c r="O226" t="str">
        <f>"600111"</f>
        <v>600111</v>
      </c>
      <c r="P226" t="str">
        <f>"A400948245"</f>
        <v>A400948245</v>
      </c>
    </row>
    <row r="227" spans="1:16" x14ac:dyDescent="0.25">
      <c r="A227" t="str">
        <f t="shared" si="81"/>
        <v>人民币</v>
      </c>
      <c r="B227" t="str">
        <f>"北方稀土"</f>
        <v>北方稀土</v>
      </c>
      <c r="C227" t="str">
        <f>"20170821"</f>
        <v>20170821</v>
      </c>
      <c r="D227" t="str">
        <f>"18.310"</f>
        <v>18.310</v>
      </c>
      <c r="E227" t="str">
        <f>"200.00"</f>
        <v>200.00</v>
      </c>
      <c r="F227" t="str">
        <f>"-3667.07"</f>
        <v>-3667.07</v>
      </c>
      <c r="G227" t="str">
        <f>"8193.69"</f>
        <v>8193.69</v>
      </c>
      <c r="H227" t="str">
        <f>"400.00"</f>
        <v>400.00</v>
      </c>
      <c r="I227" t="str">
        <f>"50"</f>
        <v>50</v>
      </c>
      <c r="J227" t="str">
        <f>"证券买入(北方稀土)"</f>
        <v>证券买入(北方稀土)</v>
      </c>
      <c r="K227" t="str">
        <f>"5.00"</f>
        <v>5.00</v>
      </c>
      <c r="L227" t="str">
        <f>"0.00"</f>
        <v>0.00</v>
      </c>
      <c r="M227" t="str">
        <f>"0.07"</f>
        <v>0.07</v>
      </c>
      <c r="N227" t="str">
        <f>"0.00"</f>
        <v>0.00</v>
      </c>
      <c r="O227" t="str">
        <f>"600111"</f>
        <v>600111</v>
      </c>
      <c r="P227" t="str">
        <f>"A400948245"</f>
        <v>A400948245</v>
      </c>
    </row>
    <row r="228" spans="1:16" x14ac:dyDescent="0.25">
      <c r="A228" t="str">
        <f t="shared" si="81"/>
        <v>人民币</v>
      </c>
      <c r="B228" t="str">
        <f>"太空板业"</f>
        <v>太空板业</v>
      </c>
      <c r="C228" t="str">
        <f>"20170821"</f>
        <v>20170821</v>
      </c>
      <c r="D228" t="str">
        <f>"14.500"</f>
        <v>14.500</v>
      </c>
      <c r="E228" t="str">
        <f>"-300.00"</f>
        <v>-300.00</v>
      </c>
      <c r="F228" t="str">
        <f>"4340.65"</f>
        <v>4340.65</v>
      </c>
      <c r="G228" t="str">
        <f>"12534.34"</f>
        <v>12534.34</v>
      </c>
      <c r="H228" t="str">
        <f>"400.00"</f>
        <v>400.00</v>
      </c>
      <c r="I228" t="str">
        <f>"44"</f>
        <v>44</v>
      </c>
      <c r="J228" t="str">
        <f>"证券卖出(太空板业)"</f>
        <v>证券卖出(太空板业)</v>
      </c>
      <c r="K228" t="str">
        <f>"5.00"</f>
        <v>5.00</v>
      </c>
      <c r="L228" t="str">
        <f>"4.35"</f>
        <v>4.35</v>
      </c>
      <c r="M228" t="str">
        <f>"0.00"</f>
        <v>0.00</v>
      </c>
      <c r="N228" t="str">
        <f>"0.00"</f>
        <v>0.00</v>
      </c>
      <c r="O228" t="str">
        <f>"300344"</f>
        <v>300344</v>
      </c>
      <c r="P228" t="str">
        <f>"0153613480"</f>
        <v>0153613480</v>
      </c>
    </row>
    <row r="229" spans="1:16" x14ac:dyDescent="0.25">
      <c r="A229" t="str">
        <f t="shared" si="81"/>
        <v>人民币</v>
      </c>
      <c r="B229" t="str">
        <f>"太空板业"</f>
        <v>太空板业</v>
      </c>
      <c r="C229" t="str">
        <f>"20170821"</f>
        <v>20170821</v>
      </c>
      <c r="D229" t="str">
        <f>"14.500"</f>
        <v>14.500</v>
      </c>
      <c r="E229" t="str">
        <f>"-400.00"</f>
        <v>-400.00</v>
      </c>
      <c r="F229" t="str">
        <f>"5789.20"</f>
        <v>5789.20</v>
      </c>
      <c r="G229" t="str">
        <f>"18323.54"</f>
        <v>18323.54</v>
      </c>
      <c r="H229" t="str">
        <f>"0.00"</f>
        <v>0.00</v>
      </c>
      <c r="I229" t="str">
        <f>"47"</f>
        <v>47</v>
      </c>
      <c r="J229" t="str">
        <f>"证券卖出(太空板业)"</f>
        <v>证券卖出(太空板业)</v>
      </c>
      <c r="K229" t="str">
        <f>"5.00"</f>
        <v>5.00</v>
      </c>
      <c r="L229" t="str">
        <f>"5.80"</f>
        <v>5.80</v>
      </c>
      <c r="M229" t="str">
        <f>"0.00"</f>
        <v>0.00</v>
      </c>
      <c r="N229" t="str">
        <f>"0.00"</f>
        <v>0.00</v>
      </c>
      <c r="O229" t="str">
        <f>"300344"</f>
        <v>300344</v>
      </c>
      <c r="P229" t="str">
        <f>"0153613480"</f>
        <v>0153613480</v>
      </c>
    </row>
    <row r="230" spans="1:16" x14ac:dyDescent="0.25">
      <c r="A230" t="str">
        <f t="shared" si="81"/>
        <v>人民币</v>
      </c>
      <c r="B230" t="str">
        <f>"太空板业"</f>
        <v>太空板业</v>
      </c>
      <c r="C230" t="str">
        <f>"20170822"</f>
        <v>20170822</v>
      </c>
      <c r="D230" t="str">
        <f>"0.000"</f>
        <v>0.000</v>
      </c>
      <c r="E230" t="str">
        <f>"0.00"</f>
        <v>0.00</v>
      </c>
      <c r="F230" t="str">
        <f>"-0.12"</f>
        <v>-0.12</v>
      </c>
      <c r="G230" t="str">
        <f>"18323.42"</f>
        <v>18323.42</v>
      </c>
      <c r="H230" t="str">
        <f>"0.00"</f>
        <v>0.00</v>
      </c>
      <c r="I230" t="str">
        <f>"---"</f>
        <v>---</v>
      </c>
      <c r="J230" t="str">
        <f>"红利差异税扣税(太空板业)"</f>
        <v>红利差异税扣税(太空板业)</v>
      </c>
      <c r="K230" t="str">
        <f t="shared" ref="K230:N231" si="90">"---"</f>
        <v>---</v>
      </c>
      <c r="L230" t="str">
        <f t="shared" si="90"/>
        <v>---</v>
      </c>
      <c r="M230" t="str">
        <f t="shared" si="90"/>
        <v>---</v>
      </c>
      <c r="N230" t="str">
        <f t="shared" si="90"/>
        <v>---</v>
      </c>
      <c r="O230" t="str">
        <f>"300344"</f>
        <v>300344</v>
      </c>
      <c r="P230" t="str">
        <f>"0153613480"</f>
        <v>0153613480</v>
      </c>
    </row>
    <row r="231" spans="1:16" x14ac:dyDescent="0.25">
      <c r="A231" t="str">
        <f t="shared" si="81"/>
        <v>人民币</v>
      </c>
      <c r="B231" t="str">
        <f>" "</f>
        <v xml:space="preserve"> </v>
      </c>
      <c r="C231" t="str">
        <f>"20170822"</f>
        <v>20170822</v>
      </c>
      <c r="D231" t="str">
        <f>"---"</f>
        <v>---</v>
      </c>
      <c r="E231" t="str">
        <f>"---"</f>
        <v>---</v>
      </c>
      <c r="F231" t="str">
        <f>"-3468.00"</f>
        <v>-3468.00</v>
      </c>
      <c r="G231" t="str">
        <f>"14855.42"</f>
        <v>14855.42</v>
      </c>
      <c r="H231" t="str">
        <f>"---"</f>
        <v>---</v>
      </c>
      <c r="I231" t="str">
        <f>"---"</f>
        <v>---</v>
      </c>
      <c r="J231" t="str">
        <f>"银行转取"</f>
        <v>银行转取</v>
      </c>
      <c r="K231" t="str">
        <f t="shared" si="90"/>
        <v>---</v>
      </c>
      <c r="L231" t="str">
        <f t="shared" si="90"/>
        <v>---</v>
      </c>
      <c r="M231" t="str">
        <f t="shared" si="90"/>
        <v>---</v>
      </c>
      <c r="N231" t="str">
        <f t="shared" si="90"/>
        <v>---</v>
      </c>
      <c r="O231" t="str">
        <f>"---"</f>
        <v>---</v>
      </c>
      <c r="P231" t="str">
        <f>"---"</f>
        <v>---</v>
      </c>
    </row>
    <row r="232" spans="1:16" x14ac:dyDescent="0.25">
      <c r="A232" t="str">
        <f t="shared" si="81"/>
        <v>人民币</v>
      </c>
      <c r="B232" t="str">
        <f>"北方稀土"</f>
        <v>北方稀土</v>
      </c>
      <c r="C232" t="str">
        <f>"20170822"</f>
        <v>20170822</v>
      </c>
      <c r="D232" t="str">
        <f>"18.210"</f>
        <v>18.210</v>
      </c>
      <c r="E232" t="str">
        <f>"200.00"</f>
        <v>200.00</v>
      </c>
      <c r="F232" t="str">
        <f>"-3647.07"</f>
        <v>-3647.07</v>
      </c>
      <c r="G232" t="str">
        <f>"11208.35"</f>
        <v>11208.35</v>
      </c>
      <c r="H232" t="str">
        <f>"600.00"</f>
        <v>600.00</v>
      </c>
      <c r="I232" t="str">
        <f>"58"</f>
        <v>58</v>
      </c>
      <c r="J232" t="str">
        <f>"证券买入(北方稀土)"</f>
        <v>证券买入(北方稀土)</v>
      </c>
      <c r="K232" t="str">
        <f>"5.00"</f>
        <v>5.00</v>
      </c>
      <c r="L232" t="str">
        <f>"0.00"</f>
        <v>0.00</v>
      </c>
      <c r="M232" t="str">
        <f>"0.07"</f>
        <v>0.07</v>
      </c>
      <c r="N232" t="str">
        <f>"0.00"</f>
        <v>0.00</v>
      </c>
      <c r="O232" t="str">
        <f>"600111"</f>
        <v>600111</v>
      </c>
      <c r="P232" t="str">
        <f>"A400948245"</f>
        <v>A400948245</v>
      </c>
    </row>
    <row r="233" spans="1:16" x14ac:dyDescent="0.25">
      <c r="A233" t="str">
        <f t="shared" si="81"/>
        <v>人民币</v>
      </c>
      <c r="B233" t="str">
        <f>"银龙股份"</f>
        <v>银龙股份</v>
      </c>
      <c r="C233" t="str">
        <f>"20170822"</f>
        <v>20170822</v>
      </c>
      <c r="D233" t="str">
        <f>"19.000"</f>
        <v>19.000</v>
      </c>
      <c r="E233" t="str">
        <f>"200.00"</f>
        <v>200.00</v>
      </c>
      <c r="F233" t="str">
        <f>"-3805.08"</f>
        <v>-3805.08</v>
      </c>
      <c r="G233" t="str">
        <f>"7403.27"</f>
        <v>7403.27</v>
      </c>
      <c r="H233" t="str">
        <f>"700.00"</f>
        <v>700.00</v>
      </c>
      <c r="I233" t="str">
        <f>"64"</f>
        <v>64</v>
      </c>
      <c r="J233" t="str">
        <f>"证券买入(银龙股份)"</f>
        <v>证券买入(银龙股份)</v>
      </c>
      <c r="K233" t="str">
        <f>"5.00"</f>
        <v>5.00</v>
      </c>
      <c r="L233" t="str">
        <f>"0.00"</f>
        <v>0.00</v>
      </c>
      <c r="M233" t="str">
        <f>"0.08"</f>
        <v>0.08</v>
      </c>
      <c r="N233" t="str">
        <f>"0.00"</f>
        <v>0.00</v>
      </c>
      <c r="O233" t="str">
        <f>"603969"</f>
        <v>603969</v>
      </c>
      <c r="P233" t="str">
        <f>"A400948245"</f>
        <v>A400948245</v>
      </c>
    </row>
    <row r="234" spans="1:16" x14ac:dyDescent="0.25">
      <c r="A234" t="str">
        <f t="shared" si="81"/>
        <v>人民币</v>
      </c>
      <c r="B234" t="str">
        <f>"北方稀土"</f>
        <v>北方稀土</v>
      </c>
      <c r="C234" t="str">
        <f>"20170823"</f>
        <v>20170823</v>
      </c>
      <c r="D234" t="str">
        <f>"17.560"</f>
        <v>17.560</v>
      </c>
      <c r="E234" t="str">
        <f>"200.00"</f>
        <v>200.00</v>
      </c>
      <c r="F234" t="str">
        <f>"-3517.07"</f>
        <v>-3517.07</v>
      </c>
      <c r="G234" t="str">
        <f>"3886.20"</f>
        <v>3886.20</v>
      </c>
      <c r="H234" t="str">
        <f>"800.00"</f>
        <v>800.00</v>
      </c>
      <c r="I234" t="str">
        <f>"81"</f>
        <v>81</v>
      </c>
      <c r="J234" t="str">
        <f>"证券买入(北方稀土)"</f>
        <v>证券买入(北方稀土)</v>
      </c>
      <c r="K234" t="str">
        <f>"5.00"</f>
        <v>5.00</v>
      </c>
      <c r="L234" t="str">
        <f>"0.00"</f>
        <v>0.00</v>
      </c>
      <c r="M234" t="str">
        <f>"0.07"</f>
        <v>0.07</v>
      </c>
      <c r="N234" t="str">
        <f>"0.00"</f>
        <v>0.00</v>
      </c>
      <c r="O234" t="str">
        <f>"600111"</f>
        <v>600111</v>
      </c>
      <c r="P234" t="str">
        <f>"A400948245"</f>
        <v>A400948245</v>
      </c>
    </row>
    <row r="235" spans="1:16" x14ac:dyDescent="0.25">
      <c r="A235" t="str">
        <f t="shared" si="81"/>
        <v>人民币</v>
      </c>
      <c r="B235" t="str">
        <f>"太空板业"</f>
        <v>太空板业</v>
      </c>
      <c r="C235" t="str">
        <f>"20170823"</f>
        <v>20170823</v>
      </c>
      <c r="D235" t="str">
        <f>"14.000"</f>
        <v>14.000</v>
      </c>
      <c r="E235" t="str">
        <f>"200.00"</f>
        <v>200.00</v>
      </c>
      <c r="F235" t="str">
        <f>"-2805.00"</f>
        <v>-2805.00</v>
      </c>
      <c r="G235" t="str">
        <f>"1081.20"</f>
        <v>1081.20</v>
      </c>
      <c r="H235" t="str">
        <f>"200.00"</f>
        <v>200.00</v>
      </c>
      <c r="I235" t="str">
        <f>"78"</f>
        <v>78</v>
      </c>
      <c r="J235" t="str">
        <f>"证券买入(太空板业)"</f>
        <v>证券买入(太空板业)</v>
      </c>
      <c r="K235" t="str">
        <f>"5.00"</f>
        <v>5.00</v>
      </c>
      <c r="L235" t="str">
        <f>"0.00"</f>
        <v>0.00</v>
      </c>
      <c r="M235" t="str">
        <f>"0.00"</f>
        <v>0.00</v>
      </c>
      <c r="N235" t="str">
        <f>"0.00"</f>
        <v>0.00</v>
      </c>
      <c r="O235" t="str">
        <f>"300344"</f>
        <v>300344</v>
      </c>
      <c r="P235" t="str">
        <f>"0153613480"</f>
        <v>0153613480</v>
      </c>
    </row>
    <row r="236" spans="1:16" x14ac:dyDescent="0.25">
      <c r="A236" t="str">
        <f t="shared" si="81"/>
        <v>人民币</v>
      </c>
      <c r="B236" t="str">
        <f>"光威复材"</f>
        <v>光威复材</v>
      </c>
      <c r="C236" t="str">
        <f>"20170823"</f>
        <v>20170823</v>
      </c>
      <c r="D236" t="str">
        <f>"0.000"</f>
        <v>0.000</v>
      </c>
      <c r="E236" t="str">
        <f>"6.00"</f>
        <v>6.00</v>
      </c>
      <c r="F236" t="str">
        <f>"0.00"</f>
        <v>0.00</v>
      </c>
      <c r="G236" t="str">
        <f>"1081.20"</f>
        <v>1081.20</v>
      </c>
      <c r="H236" t="str">
        <f>"0.00"</f>
        <v>0.00</v>
      </c>
      <c r="I236" t="str">
        <f>"70"</f>
        <v>70</v>
      </c>
      <c r="J236" t="str">
        <f>"申购配号(光威复材)"</f>
        <v>申购配号(光威复材)</v>
      </c>
      <c r="K236" t="str">
        <f>"0.00"</f>
        <v>0.00</v>
      </c>
      <c r="L236" t="str">
        <f>"0.00"</f>
        <v>0.00</v>
      </c>
      <c r="M236" t="str">
        <f>"0.00"</f>
        <v>0.00</v>
      </c>
      <c r="N236" t="str">
        <f>"0.00"</f>
        <v>0.00</v>
      </c>
      <c r="O236" t="str">
        <f>"300699"</f>
        <v>300699</v>
      </c>
      <c r="P236" t="str">
        <f>"0153613480"</f>
        <v>0153613480</v>
      </c>
    </row>
    <row r="237" spans="1:16" x14ac:dyDescent="0.25">
      <c r="A237" t="str">
        <f t="shared" si="81"/>
        <v>人民币</v>
      </c>
      <c r="B237" t="str">
        <f>" "</f>
        <v xml:space="preserve"> </v>
      </c>
      <c r="C237" t="str">
        <f>"20170824"</f>
        <v>20170824</v>
      </c>
      <c r="D237" t="str">
        <f>"---"</f>
        <v>---</v>
      </c>
      <c r="E237" t="str">
        <f>"---"</f>
        <v>---</v>
      </c>
      <c r="F237" t="str">
        <f>"2000.00"</f>
        <v>2000.00</v>
      </c>
      <c r="G237" t="str">
        <f>"3081.20"</f>
        <v>3081.20</v>
      </c>
      <c r="H237" t="str">
        <f>"---"</f>
        <v>---</v>
      </c>
      <c r="I237" t="str">
        <f>"---"</f>
        <v>---</v>
      </c>
      <c r="J237" t="str">
        <f>"银行转存"</f>
        <v>银行转存</v>
      </c>
      <c r="K237" t="str">
        <f t="shared" ref="K237:P237" si="91">"---"</f>
        <v>---</v>
      </c>
      <c r="L237" t="str">
        <f t="shared" si="91"/>
        <v>---</v>
      </c>
      <c r="M237" t="str">
        <f t="shared" si="91"/>
        <v>---</v>
      </c>
      <c r="N237" t="str">
        <f t="shared" si="91"/>
        <v>---</v>
      </c>
      <c r="O237" t="str">
        <f t="shared" si="91"/>
        <v>---</v>
      </c>
      <c r="P237" t="str">
        <f t="shared" si="91"/>
        <v>---</v>
      </c>
    </row>
    <row r="238" spans="1:16" x14ac:dyDescent="0.25">
      <c r="A238" t="str">
        <f t="shared" si="81"/>
        <v>人民币</v>
      </c>
      <c r="B238" t="str">
        <f>"建研配号"</f>
        <v>建研配号</v>
      </c>
      <c r="C238" t="str">
        <f>"20170824"</f>
        <v>20170824</v>
      </c>
      <c r="D238" t="str">
        <f>"0.000"</f>
        <v>0.000</v>
      </c>
      <c r="E238" t="str">
        <f>"1.00"</f>
        <v>1.00</v>
      </c>
      <c r="F238" t="str">
        <f>"0.00"</f>
        <v>0.00</v>
      </c>
      <c r="G238" t="str">
        <f>"3081.20"</f>
        <v>3081.20</v>
      </c>
      <c r="H238" t="str">
        <f>"0.00"</f>
        <v>0.00</v>
      </c>
      <c r="I238" t="str">
        <f>"87"</f>
        <v>87</v>
      </c>
      <c r="J238" t="str">
        <f>"申购配号(建研配号)"</f>
        <v>申购配号(建研配号)</v>
      </c>
      <c r="K238" t="str">
        <f t="shared" ref="K238:N239" si="92">"0.00"</f>
        <v>0.00</v>
      </c>
      <c r="L238" t="str">
        <f t="shared" si="92"/>
        <v>0.00</v>
      </c>
      <c r="M238" t="str">
        <f t="shared" si="92"/>
        <v>0.00</v>
      </c>
      <c r="N238" t="str">
        <f t="shared" si="92"/>
        <v>0.00</v>
      </c>
      <c r="O238" t="str">
        <f>"736183"</f>
        <v>736183</v>
      </c>
      <c r="P238" t="str">
        <f>"A400948245"</f>
        <v>A400948245</v>
      </c>
    </row>
    <row r="239" spans="1:16" x14ac:dyDescent="0.25">
      <c r="A239" t="str">
        <f t="shared" si="81"/>
        <v>人民币</v>
      </c>
      <c r="B239" t="str">
        <f>"众源配号"</f>
        <v>众源配号</v>
      </c>
      <c r="C239" t="str">
        <f>"20170824"</f>
        <v>20170824</v>
      </c>
      <c r="D239" t="str">
        <f>"0.000"</f>
        <v>0.000</v>
      </c>
      <c r="E239" t="str">
        <f>"1.00"</f>
        <v>1.00</v>
      </c>
      <c r="F239" t="str">
        <f>"0.00"</f>
        <v>0.00</v>
      </c>
      <c r="G239" t="str">
        <f>"3081.20"</f>
        <v>3081.20</v>
      </c>
      <c r="H239" t="str">
        <f>"0.00"</f>
        <v>0.00</v>
      </c>
      <c r="I239" t="str">
        <f>"89"</f>
        <v>89</v>
      </c>
      <c r="J239" t="str">
        <f>"申购配号(众源配号)"</f>
        <v>申购配号(众源配号)</v>
      </c>
      <c r="K239" t="str">
        <f t="shared" si="92"/>
        <v>0.00</v>
      </c>
      <c r="L239" t="str">
        <f t="shared" si="92"/>
        <v>0.00</v>
      </c>
      <c r="M239" t="str">
        <f t="shared" si="92"/>
        <v>0.00</v>
      </c>
      <c r="N239" t="str">
        <f t="shared" si="92"/>
        <v>0.00</v>
      </c>
      <c r="O239" t="str">
        <f>"736527"</f>
        <v>736527</v>
      </c>
      <c r="P239" t="str">
        <f>"A400948245"</f>
        <v>A400948245</v>
      </c>
    </row>
    <row r="240" spans="1:16" x14ac:dyDescent="0.25">
      <c r="A240" t="str">
        <f t="shared" si="81"/>
        <v>人民币</v>
      </c>
      <c r="B240" t="str">
        <f>"太空板业"</f>
        <v>太空板业</v>
      </c>
      <c r="C240" t="str">
        <f>"20170824"</f>
        <v>20170824</v>
      </c>
      <c r="D240" t="str">
        <f>"14.280"</f>
        <v>14.280</v>
      </c>
      <c r="E240" t="str">
        <f>"200.00"</f>
        <v>200.00</v>
      </c>
      <c r="F240" t="str">
        <f>"-2861.00"</f>
        <v>-2861.00</v>
      </c>
      <c r="G240" t="str">
        <f>"220.20"</f>
        <v>220.20</v>
      </c>
      <c r="H240" t="str">
        <f>"400.00"</f>
        <v>400.00</v>
      </c>
      <c r="I240" t="str">
        <f>"94"</f>
        <v>94</v>
      </c>
      <c r="J240" t="str">
        <f>"证券买入(太空板业)"</f>
        <v>证券买入(太空板业)</v>
      </c>
      <c r="K240" t="str">
        <f>"5.00"</f>
        <v>5.00</v>
      </c>
      <c r="L240" t="str">
        <f t="shared" ref="L240:N241" si="93">"0.00"</f>
        <v>0.00</v>
      </c>
      <c r="M240" t="str">
        <f t="shared" si="93"/>
        <v>0.00</v>
      </c>
      <c r="N240" t="str">
        <f t="shared" si="93"/>
        <v>0.00</v>
      </c>
      <c r="O240" t="str">
        <f>"300344"</f>
        <v>300344</v>
      </c>
      <c r="P240" t="str">
        <f>"0153613480"</f>
        <v>0153613480</v>
      </c>
    </row>
    <row r="241" spans="1:16" x14ac:dyDescent="0.25">
      <c r="A241" t="str">
        <f t="shared" si="81"/>
        <v>人民币</v>
      </c>
      <c r="B241" t="str">
        <f>"电工合金"</f>
        <v>电工合金</v>
      </c>
      <c r="C241" t="str">
        <f>"20170824"</f>
        <v>20170824</v>
      </c>
      <c r="D241" t="str">
        <f>"0.000"</f>
        <v>0.000</v>
      </c>
      <c r="E241" t="str">
        <f>"6.00"</f>
        <v>6.00</v>
      </c>
      <c r="F241" t="str">
        <f>"0.00"</f>
        <v>0.00</v>
      </c>
      <c r="G241" t="str">
        <f>"220.20"</f>
        <v>220.20</v>
      </c>
      <c r="H241" t="str">
        <f>"0.00"</f>
        <v>0.00</v>
      </c>
      <c r="I241" t="str">
        <f>"91"</f>
        <v>91</v>
      </c>
      <c r="J241" t="str">
        <f>"申购配号(电工合金)"</f>
        <v>申购配号(电工合金)</v>
      </c>
      <c r="K241" t="str">
        <f>"0.00"</f>
        <v>0.00</v>
      </c>
      <c r="L241" t="str">
        <f t="shared" si="93"/>
        <v>0.00</v>
      </c>
      <c r="M241" t="str">
        <f t="shared" si="93"/>
        <v>0.00</v>
      </c>
      <c r="N241" t="str">
        <f t="shared" si="93"/>
        <v>0.00</v>
      </c>
      <c r="O241" t="str">
        <f>"300697"</f>
        <v>300697</v>
      </c>
      <c r="P241" t="str">
        <f>"0153613480"</f>
        <v>0153613480</v>
      </c>
    </row>
    <row r="242" spans="1:16" x14ac:dyDescent="0.25">
      <c r="A242" t="str">
        <f t="shared" si="81"/>
        <v>人民币</v>
      </c>
      <c r="B242" t="str">
        <f>" "</f>
        <v xml:space="preserve"> </v>
      </c>
      <c r="C242" t="str">
        <f>"20170825"</f>
        <v>20170825</v>
      </c>
      <c r="D242" t="str">
        <f>"---"</f>
        <v>---</v>
      </c>
      <c r="E242" t="str">
        <f>"---"</f>
        <v>---</v>
      </c>
      <c r="F242" t="str">
        <f>"8000.00"</f>
        <v>8000.00</v>
      </c>
      <c r="G242" t="str">
        <f>"8220.20"</f>
        <v>8220.20</v>
      </c>
      <c r="H242" t="str">
        <f>"---"</f>
        <v>---</v>
      </c>
      <c r="I242" t="str">
        <f>"---"</f>
        <v>---</v>
      </c>
      <c r="J242" t="str">
        <f>"银行转存"</f>
        <v>银行转存</v>
      </c>
      <c r="K242" t="str">
        <f t="shared" ref="K242:P242" si="94">"---"</f>
        <v>---</v>
      </c>
      <c r="L242" t="str">
        <f t="shared" si="94"/>
        <v>---</v>
      </c>
      <c r="M242" t="str">
        <f t="shared" si="94"/>
        <v>---</v>
      </c>
      <c r="N242" t="str">
        <f t="shared" si="94"/>
        <v>---</v>
      </c>
      <c r="O242" t="str">
        <f t="shared" si="94"/>
        <v>---</v>
      </c>
      <c r="P242" t="str">
        <f t="shared" si="94"/>
        <v>---</v>
      </c>
    </row>
    <row r="243" spans="1:16" x14ac:dyDescent="0.25">
      <c r="A243" t="str">
        <f t="shared" si="81"/>
        <v>人民币</v>
      </c>
      <c r="B243" t="str">
        <f>"北方稀土"</f>
        <v>北方稀土</v>
      </c>
      <c r="C243" t="str">
        <f>"20170825"</f>
        <v>20170825</v>
      </c>
      <c r="D243" t="str">
        <f>"17.720"</f>
        <v>17.720</v>
      </c>
      <c r="E243" t="str">
        <f>"100.00"</f>
        <v>100.00</v>
      </c>
      <c r="F243" t="str">
        <f>"-1777.04"</f>
        <v>-1777.04</v>
      </c>
      <c r="G243" t="str">
        <f>"6443.16"</f>
        <v>6443.16</v>
      </c>
      <c r="H243" t="str">
        <f>"900.00"</f>
        <v>900.00</v>
      </c>
      <c r="I243" t="str">
        <f>"102"</f>
        <v>102</v>
      </c>
      <c r="J243" t="str">
        <f>"证券买入(北方稀土)"</f>
        <v>证券买入(北方稀土)</v>
      </c>
      <c r="K243" t="str">
        <f>"5.00"</f>
        <v>5.00</v>
      </c>
      <c r="L243" t="str">
        <f>"0.00"</f>
        <v>0.00</v>
      </c>
      <c r="M243" t="str">
        <f>"0.04"</f>
        <v>0.04</v>
      </c>
      <c r="N243" t="str">
        <f>"0.00"</f>
        <v>0.00</v>
      </c>
      <c r="O243" t="str">
        <f>"600111"</f>
        <v>600111</v>
      </c>
      <c r="P243" t="str">
        <f>"A400948245"</f>
        <v>A400948245</v>
      </c>
    </row>
    <row r="244" spans="1:16" x14ac:dyDescent="0.25">
      <c r="A244" t="str">
        <f t="shared" si="81"/>
        <v>人民币</v>
      </c>
      <c r="B244" t="str">
        <f>"北方稀土"</f>
        <v>北方稀土</v>
      </c>
      <c r="C244" t="str">
        <f>"20170825"</f>
        <v>20170825</v>
      </c>
      <c r="D244" t="str">
        <f>"17.660"</f>
        <v>17.660</v>
      </c>
      <c r="E244" t="str">
        <f>"100.00"</f>
        <v>100.00</v>
      </c>
      <c r="F244" t="str">
        <f>"-1771.04"</f>
        <v>-1771.04</v>
      </c>
      <c r="G244" t="str">
        <f>"4672.12"</f>
        <v>4672.12</v>
      </c>
      <c r="H244" t="str">
        <f>"1000.00"</f>
        <v>1000.00</v>
      </c>
      <c r="I244" t="str">
        <f>"105"</f>
        <v>105</v>
      </c>
      <c r="J244" t="str">
        <f>"证券买入(北方稀土)"</f>
        <v>证券买入(北方稀土)</v>
      </c>
      <c r="K244" t="str">
        <f>"5.00"</f>
        <v>5.00</v>
      </c>
      <c r="L244" t="str">
        <f>"0.00"</f>
        <v>0.00</v>
      </c>
      <c r="M244" t="str">
        <f>"0.04"</f>
        <v>0.04</v>
      </c>
      <c r="N244" t="str">
        <f>"0.00"</f>
        <v>0.00</v>
      </c>
      <c r="O244" t="str">
        <f>"600111"</f>
        <v>600111</v>
      </c>
      <c r="P244" t="str">
        <f>"A400948245"</f>
        <v>A400948245</v>
      </c>
    </row>
    <row r="245" spans="1:16" x14ac:dyDescent="0.25">
      <c r="A245" t="str">
        <f t="shared" si="81"/>
        <v>人民币</v>
      </c>
      <c r="B245" t="str">
        <f>"太空板业"</f>
        <v>太空板业</v>
      </c>
      <c r="C245" t="str">
        <f>"20170825"</f>
        <v>20170825</v>
      </c>
      <c r="D245" t="str">
        <f>"14.610"</f>
        <v>14.610</v>
      </c>
      <c r="E245" t="str">
        <f>"-400.00"</f>
        <v>-400.00</v>
      </c>
      <c r="F245" t="str">
        <f>"5833.16"</f>
        <v>5833.16</v>
      </c>
      <c r="G245" t="str">
        <f>"10505.28"</f>
        <v>10505.28</v>
      </c>
      <c r="H245" t="str">
        <f>"0.00"</f>
        <v>0.00</v>
      </c>
      <c r="I245" t="str">
        <f>"111"</f>
        <v>111</v>
      </c>
      <c r="J245" t="str">
        <f>"证券卖出(太空板业)"</f>
        <v>证券卖出(太空板业)</v>
      </c>
      <c r="K245" t="str">
        <f>"5.00"</f>
        <v>5.00</v>
      </c>
      <c r="L245" t="str">
        <f>"5.84"</f>
        <v>5.84</v>
      </c>
      <c r="M245" t="str">
        <f>"0.00"</f>
        <v>0.00</v>
      </c>
      <c r="N245" t="str">
        <f>"0.00"</f>
        <v>0.00</v>
      </c>
      <c r="O245" t="str">
        <f>"300344"</f>
        <v>300344</v>
      </c>
      <c r="P245" t="str">
        <f>"0153613480"</f>
        <v>0153613480</v>
      </c>
    </row>
    <row r="246" spans="1:16" x14ac:dyDescent="0.25">
      <c r="A246" t="str">
        <f t="shared" si="81"/>
        <v>人民币</v>
      </c>
      <c r="B246" t="str">
        <f>" "</f>
        <v xml:space="preserve"> </v>
      </c>
      <c r="C246" t="str">
        <f>"20170828"</f>
        <v>20170828</v>
      </c>
      <c r="D246" t="str">
        <f>"---"</f>
        <v>---</v>
      </c>
      <c r="E246" t="str">
        <f>"---"</f>
        <v>---</v>
      </c>
      <c r="F246" t="str">
        <f>"-10000.00"</f>
        <v>-10000.00</v>
      </c>
      <c r="G246" t="str">
        <f>"505.28"</f>
        <v>505.28</v>
      </c>
      <c r="H246" t="str">
        <f>"---"</f>
        <v>---</v>
      </c>
      <c r="I246" t="str">
        <f>"---"</f>
        <v>---</v>
      </c>
      <c r="J246" t="str">
        <f>"银行转取"</f>
        <v>银行转取</v>
      </c>
      <c r="K246" t="str">
        <f t="shared" ref="K246:P246" si="95">"---"</f>
        <v>---</v>
      </c>
      <c r="L246" t="str">
        <f t="shared" si="95"/>
        <v>---</v>
      </c>
      <c r="M246" t="str">
        <f t="shared" si="95"/>
        <v>---</v>
      </c>
      <c r="N246" t="str">
        <f t="shared" si="95"/>
        <v>---</v>
      </c>
      <c r="O246" t="str">
        <f t="shared" si="95"/>
        <v>---</v>
      </c>
      <c r="P246" t="str">
        <f t="shared" si="95"/>
        <v>---</v>
      </c>
    </row>
    <row r="247" spans="1:16" x14ac:dyDescent="0.25">
      <c r="A247" t="str">
        <f t="shared" si="81"/>
        <v>人民币</v>
      </c>
      <c r="B247" t="str">
        <f>"兆丰股份"</f>
        <v>兆丰股份</v>
      </c>
      <c r="C247" t="str">
        <f>"20170828"</f>
        <v>20170828</v>
      </c>
      <c r="D247" t="str">
        <f>"0.000"</f>
        <v>0.000</v>
      </c>
      <c r="E247" t="str">
        <f>"5.00"</f>
        <v>5.00</v>
      </c>
      <c r="F247" t="str">
        <f>"0.00"</f>
        <v>0.00</v>
      </c>
      <c r="G247" t="str">
        <f>"505.28"</f>
        <v>505.28</v>
      </c>
      <c r="H247" t="str">
        <f>"0.00"</f>
        <v>0.00</v>
      </c>
      <c r="I247" t="str">
        <f>"117"</f>
        <v>117</v>
      </c>
      <c r="J247" t="str">
        <f>"申购配号(兆丰股份)"</f>
        <v>申购配号(兆丰股份)</v>
      </c>
      <c r="K247" t="str">
        <f t="shared" ref="K247:N250" si="96">"0.00"</f>
        <v>0.00</v>
      </c>
      <c r="L247" t="str">
        <f t="shared" si="96"/>
        <v>0.00</v>
      </c>
      <c r="M247" t="str">
        <f t="shared" si="96"/>
        <v>0.00</v>
      </c>
      <c r="N247" t="str">
        <f t="shared" si="96"/>
        <v>0.00</v>
      </c>
      <c r="O247" t="str">
        <f>"300695"</f>
        <v>300695</v>
      </c>
      <c r="P247" t="str">
        <f>"0153613480"</f>
        <v>0153613480</v>
      </c>
    </row>
    <row r="248" spans="1:16" x14ac:dyDescent="0.25">
      <c r="A248" t="str">
        <f t="shared" si="81"/>
        <v>人民币</v>
      </c>
      <c r="B248" t="str">
        <f>"金域配号"</f>
        <v>金域配号</v>
      </c>
      <c r="C248" t="str">
        <f>"20170829"</f>
        <v>20170829</v>
      </c>
      <c r="D248" t="str">
        <f>"0.000"</f>
        <v>0.000</v>
      </c>
      <c r="E248" t="str">
        <f>"1.00"</f>
        <v>1.00</v>
      </c>
      <c r="F248" t="str">
        <f>"0.00"</f>
        <v>0.00</v>
      </c>
      <c r="G248" t="str">
        <f>"505.28"</f>
        <v>505.28</v>
      </c>
      <c r="H248" t="str">
        <f>"0.00"</f>
        <v>0.00</v>
      </c>
      <c r="I248" t="str">
        <f>"121"</f>
        <v>121</v>
      </c>
      <c r="J248" t="str">
        <f>"申购配号(金域配号)"</f>
        <v>申购配号(金域配号)</v>
      </c>
      <c r="K248" t="str">
        <f t="shared" si="96"/>
        <v>0.00</v>
      </c>
      <c r="L248" t="str">
        <f t="shared" si="96"/>
        <v>0.00</v>
      </c>
      <c r="M248" t="str">
        <f t="shared" si="96"/>
        <v>0.00</v>
      </c>
      <c r="N248" t="str">
        <f t="shared" si="96"/>
        <v>0.00</v>
      </c>
      <c r="O248" t="str">
        <f>"736882"</f>
        <v>736882</v>
      </c>
      <c r="P248" t="str">
        <f>"A400948245"</f>
        <v>A400948245</v>
      </c>
    </row>
    <row r="249" spans="1:16" x14ac:dyDescent="0.25">
      <c r="A249" t="str">
        <f t="shared" si="81"/>
        <v>人民币</v>
      </c>
      <c r="B249" t="str">
        <f>"意华股份"</f>
        <v>意华股份</v>
      </c>
      <c r="C249" t="str">
        <f>"20170829"</f>
        <v>20170829</v>
      </c>
      <c r="D249" t="str">
        <f>"0.000"</f>
        <v>0.000</v>
      </c>
      <c r="E249" t="str">
        <f>"5.00"</f>
        <v>5.00</v>
      </c>
      <c r="F249" t="str">
        <f>"0.00"</f>
        <v>0.00</v>
      </c>
      <c r="G249" t="str">
        <f>"505.28"</f>
        <v>505.28</v>
      </c>
      <c r="H249" t="str">
        <f>"0.00"</f>
        <v>0.00</v>
      </c>
      <c r="I249" t="str">
        <f>"123"</f>
        <v>123</v>
      </c>
      <c r="J249" t="str">
        <f>"申购配号(意华股份)"</f>
        <v>申购配号(意华股份)</v>
      </c>
      <c r="K249" t="str">
        <f t="shared" si="96"/>
        <v>0.00</v>
      </c>
      <c r="L249" t="str">
        <f t="shared" si="96"/>
        <v>0.00</v>
      </c>
      <c r="M249" t="str">
        <f t="shared" si="96"/>
        <v>0.00</v>
      </c>
      <c r="N249" t="str">
        <f t="shared" si="96"/>
        <v>0.00</v>
      </c>
      <c r="O249" t="str">
        <f>"002897"</f>
        <v>002897</v>
      </c>
      <c r="P249" t="str">
        <f>"0153613480"</f>
        <v>0153613480</v>
      </c>
    </row>
    <row r="250" spans="1:16" x14ac:dyDescent="0.25">
      <c r="A250" t="str">
        <f t="shared" si="81"/>
        <v>人民币</v>
      </c>
      <c r="B250" t="str">
        <f>"银都配号"</f>
        <v>银都配号</v>
      </c>
      <c r="C250" t="str">
        <f t="shared" ref="C250:C256" si="97">"20170830"</f>
        <v>20170830</v>
      </c>
      <c r="D250" t="str">
        <f>"0.000"</f>
        <v>0.000</v>
      </c>
      <c r="E250" t="str">
        <f>"1.00"</f>
        <v>1.00</v>
      </c>
      <c r="F250" t="str">
        <f>"0.00"</f>
        <v>0.00</v>
      </c>
      <c r="G250" t="str">
        <f>"505.28"</f>
        <v>505.28</v>
      </c>
      <c r="H250" t="str">
        <f>"0.00"</f>
        <v>0.00</v>
      </c>
      <c r="I250" t="str">
        <f>"127"</f>
        <v>127</v>
      </c>
      <c r="J250" t="str">
        <f>"申购配号(银都配号)"</f>
        <v>申购配号(银都配号)</v>
      </c>
      <c r="K250" t="str">
        <f t="shared" si="96"/>
        <v>0.00</v>
      </c>
      <c r="L250" t="str">
        <f t="shared" si="96"/>
        <v>0.00</v>
      </c>
      <c r="M250" t="str">
        <f t="shared" si="96"/>
        <v>0.00</v>
      </c>
      <c r="N250" t="str">
        <f t="shared" si="96"/>
        <v>0.00</v>
      </c>
      <c r="O250" t="str">
        <f>"736277"</f>
        <v>736277</v>
      </c>
      <c r="P250" t="str">
        <f>"A400948245"</f>
        <v>A400948245</v>
      </c>
    </row>
    <row r="251" spans="1:16" x14ac:dyDescent="0.25">
      <c r="A251" t="str">
        <f t="shared" si="81"/>
        <v>人民币</v>
      </c>
      <c r="B251" t="str">
        <f>"银龙股份"</f>
        <v>银龙股份</v>
      </c>
      <c r="C251" t="str">
        <f t="shared" si="97"/>
        <v>20170830</v>
      </c>
      <c r="D251" t="str">
        <f>"19.900"</f>
        <v>19.900</v>
      </c>
      <c r="E251" t="str">
        <f>"-300.00"</f>
        <v>-300.00</v>
      </c>
      <c r="F251" t="str">
        <f>"5958.91"</f>
        <v>5958.91</v>
      </c>
      <c r="G251" t="str">
        <f>"6464.19"</f>
        <v>6464.19</v>
      </c>
      <c r="H251" t="str">
        <f>"400.00"</f>
        <v>400.00</v>
      </c>
      <c r="I251" t="str">
        <f>"131"</f>
        <v>131</v>
      </c>
      <c r="J251" t="str">
        <f>"证券卖出(银龙股份)"</f>
        <v>证券卖出(银龙股份)</v>
      </c>
      <c r="K251" t="str">
        <f>"5.00"</f>
        <v>5.00</v>
      </c>
      <c r="L251" t="str">
        <f>"5.97"</f>
        <v>5.97</v>
      </c>
      <c r="M251" t="str">
        <f>"0.12"</f>
        <v>0.12</v>
      </c>
      <c r="N251" t="str">
        <f t="shared" ref="N251:N256" si="98">"0.00"</f>
        <v>0.00</v>
      </c>
      <c r="O251" t="str">
        <f>"603969"</f>
        <v>603969</v>
      </c>
      <c r="P251" t="str">
        <f>"A400948245"</f>
        <v>A400948245</v>
      </c>
    </row>
    <row r="252" spans="1:16" x14ac:dyDescent="0.25">
      <c r="A252" t="str">
        <f t="shared" si="81"/>
        <v>人民币</v>
      </c>
      <c r="B252" t="str">
        <f>"银龙股份"</f>
        <v>银龙股份</v>
      </c>
      <c r="C252" t="str">
        <f t="shared" si="97"/>
        <v>20170830</v>
      </c>
      <c r="D252" t="str">
        <f>"19.900"</f>
        <v>19.900</v>
      </c>
      <c r="E252" t="str">
        <f>"-200.00"</f>
        <v>-200.00</v>
      </c>
      <c r="F252" t="str">
        <f>"3970.94"</f>
        <v>3970.94</v>
      </c>
      <c r="G252" t="str">
        <f>"10435.13"</f>
        <v>10435.13</v>
      </c>
      <c r="H252" t="str">
        <f>"200.00"</f>
        <v>200.00</v>
      </c>
      <c r="I252" t="str">
        <f>"136"</f>
        <v>136</v>
      </c>
      <c r="J252" t="str">
        <f>"证券卖出(银龙股份)"</f>
        <v>证券卖出(银龙股份)</v>
      </c>
      <c r="K252" t="str">
        <f>"5.00"</f>
        <v>5.00</v>
      </c>
      <c r="L252" t="str">
        <f>"3.98"</f>
        <v>3.98</v>
      </c>
      <c r="M252" t="str">
        <f>"0.08"</f>
        <v>0.08</v>
      </c>
      <c r="N252" t="str">
        <f t="shared" si="98"/>
        <v>0.00</v>
      </c>
      <c r="O252" t="str">
        <f>"603969"</f>
        <v>603969</v>
      </c>
      <c r="P252" t="str">
        <f>"A400948245"</f>
        <v>A400948245</v>
      </c>
    </row>
    <row r="253" spans="1:16" x14ac:dyDescent="0.25">
      <c r="A253" t="str">
        <f t="shared" si="81"/>
        <v>人民币</v>
      </c>
      <c r="B253" t="str">
        <f>"银龙股份"</f>
        <v>银龙股份</v>
      </c>
      <c r="C253" t="str">
        <f t="shared" si="97"/>
        <v>20170830</v>
      </c>
      <c r="D253" t="str">
        <f>"19.910"</f>
        <v>19.910</v>
      </c>
      <c r="E253" t="str">
        <f>"-200.00"</f>
        <v>-200.00</v>
      </c>
      <c r="F253" t="str">
        <f>"3972.94"</f>
        <v>3972.94</v>
      </c>
      <c r="G253" t="str">
        <f>"14408.07"</f>
        <v>14408.07</v>
      </c>
      <c r="H253" t="str">
        <f>"0.00"</f>
        <v>0.00</v>
      </c>
      <c r="I253" t="str">
        <f>"140"</f>
        <v>140</v>
      </c>
      <c r="J253" t="str">
        <f>"证券卖出(银龙股份)"</f>
        <v>证券卖出(银龙股份)</v>
      </c>
      <c r="K253" t="str">
        <f>"5.00"</f>
        <v>5.00</v>
      </c>
      <c r="L253" t="str">
        <f>"3.98"</f>
        <v>3.98</v>
      </c>
      <c r="M253" t="str">
        <f>"0.08"</f>
        <v>0.08</v>
      </c>
      <c r="N253" t="str">
        <f t="shared" si="98"/>
        <v>0.00</v>
      </c>
      <c r="O253" t="str">
        <f>"603969"</f>
        <v>603969</v>
      </c>
      <c r="P253" t="str">
        <f>"A400948245"</f>
        <v>A400948245</v>
      </c>
    </row>
    <row r="254" spans="1:16" x14ac:dyDescent="0.25">
      <c r="A254" t="str">
        <f t="shared" si="81"/>
        <v>人民币</v>
      </c>
      <c r="B254" t="str">
        <f>"西部建设"</f>
        <v>西部建设</v>
      </c>
      <c r="C254" t="str">
        <f t="shared" si="97"/>
        <v>20170830</v>
      </c>
      <c r="D254" t="str">
        <f>"21.810"</f>
        <v>21.810</v>
      </c>
      <c r="E254" t="str">
        <f>"200.00"</f>
        <v>200.00</v>
      </c>
      <c r="F254" t="str">
        <f>"-4367.00"</f>
        <v>-4367.00</v>
      </c>
      <c r="G254" t="str">
        <f>"10041.07"</f>
        <v>10041.07</v>
      </c>
      <c r="H254" t="str">
        <f>"200.00"</f>
        <v>200.00</v>
      </c>
      <c r="I254" t="str">
        <f>"143"</f>
        <v>143</v>
      </c>
      <c r="J254" t="str">
        <f>"证券买入(西部建设)"</f>
        <v>证券买入(西部建设)</v>
      </c>
      <c r="K254" t="str">
        <f>"5.00"</f>
        <v>5.00</v>
      </c>
      <c r="L254" t="str">
        <f t="shared" ref="L254:M256" si="99">"0.00"</f>
        <v>0.00</v>
      </c>
      <c r="M254" t="str">
        <f t="shared" si="99"/>
        <v>0.00</v>
      </c>
      <c r="N254" t="str">
        <f t="shared" si="98"/>
        <v>0.00</v>
      </c>
      <c r="O254" t="str">
        <f>"002302"</f>
        <v>002302</v>
      </c>
      <c r="P254" t="str">
        <f>"0153613480"</f>
        <v>0153613480</v>
      </c>
    </row>
    <row r="255" spans="1:16" x14ac:dyDescent="0.25">
      <c r="A255" t="str">
        <f t="shared" si="81"/>
        <v>人民币</v>
      </c>
      <c r="B255" t="str">
        <f>"西部建设"</f>
        <v>西部建设</v>
      </c>
      <c r="C255" t="str">
        <f t="shared" si="97"/>
        <v>20170830</v>
      </c>
      <c r="D255" t="str">
        <f>"21.760"</f>
        <v>21.760</v>
      </c>
      <c r="E255" t="str">
        <f>"200.00"</f>
        <v>200.00</v>
      </c>
      <c r="F255" t="str">
        <f>"-4357.00"</f>
        <v>-4357.00</v>
      </c>
      <c r="G255" t="str">
        <f>"5684.07"</f>
        <v>5684.07</v>
      </c>
      <c r="H255" t="str">
        <f>"400.00"</f>
        <v>400.00</v>
      </c>
      <c r="I255" t="str">
        <f>"146"</f>
        <v>146</v>
      </c>
      <c r="J255" t="str">
        <f>"证券买入(西部建设)"</f>
        <v>证券买入(西部建设)</v>
      </c>
      <c r="K255" t="str">
        <f>"5.00"</f>
        <v>5.00</v>
      </c>
      <c r="L255" t="str">
        <f t="shared" si="99"/>
        <v>0.00</v>
      </c>
      <c r="M255" t="str">
        <f t="shared" si="99"/>
        <v>0.00</v>
      </c>
      <c r="N255" t="str">
        <f t="shared" si="98"/>
        <v>0.00</v>
      </c>
      <c r="O255" t="str">
        <f>"002302"</f>
        <v>002302</v>
      </c>
      <c r="P255" t="str">
        <f>"0153613480"</f>
        <v>0153613480</v>
      </c>
    </row>
    <row r="256" spans="1:16" x14ac:dyDescent="0.25">
      <c r="A256" t="str">
        <f t="shared" si="81"/>
        <v>人民币</v>
      </c>
      <c r="B256" t="str">
        <f>"赛隆药业"</f>
        <v>赛隆药业</v>
      </c>
      <c r="C256" t="str">
        <f t="shared" si="97"/>
        <v>20170830</v>
      </c>
      <c r="D256" t="str">
        <f>"0.000"</f>
        <v>0.000</v>
      </c>
      <c r="E256" t="str">
        <f>"5.00"</f>
        <v>5.00</v>
      </c>
      <c r="F256" t="str">
        <f>"0.00"</f>
        <v>0.00</v>
      </c>
      <c r="G256" t="str">
        <f>"5684.07"</f>
        <v>5684.07</v>
      </c>
      <c r="H256" t="str">
        <f>"0.00"</f>
        <v>0.00</v>
      </c>
      <c r="I256" t="str">
        <f>"129"</f>
        <v>129</v>
      </c>
      <c r="J256" t="str">
        <f>"申购配号(赛隆药业)"</f>
        <v>申购配号(赛隆药业)</v>
      </c>
      <c r="K256" t="str">
        <f>"0.00"</f>
        <v>0.00</v>
      </c>
      <c r="L256" t="str">
        <f t="shared" si="99"/>
        <v>0.00</v>
      </c>
      <c r="M256" t="str">
        <f t="shared" si="99"/>
        <v>0.00</v>
      </c>
      <c r="N256" t="str">
        <f t="shared" si="98"/>
        <v>0.00</v>
      </c>
      <c r="O256" t="str">
        <f>"002898"</f>
        <v>002898</v>
      </c>
      <c r="P256" t="str">
        <f>"0153613480"</f>
        <v>0153613480</v>
      </c>
    </row>
    <row r="257" spans="1:16" x14ac:dyDescent="0.25">
      <c r="A257" t="str">
        <f t="shared" si="81"/>
        <v>人民币</v>
      </c>
      <c r="B257" t="str">
        <f>" "</f>
        <v xml:space="preserve"> </v>
      </c>
      <c r="C257" t="str">
        <f>"20170901"</f>
        <v>20170901</v>
      </c>
      <c r="D257" t="str">
        <f>"---"</f>
        <v>---</v>
      </c>
      <c r="E257" t="str">
        <f>"---"</f>
        <v>---</v>
      </c>
      <c r="F257" t="str">
        <f>"-1356.00"</f>
        <v>-1356.00</v>
      </c>
      <c r="G257" t="str">
        <f>"4328.07"</f>
        <v>4328.07</v>
      </c>
      <c r="H257" t="str">
        <f>"---"</f>
        <v>---</v>
      </c>
      <c r="I257" t="str">
        <f>"---"</f>
        <v>---</v>
      </c>
      <c r="J257" t="str">
        <f>"银行转取"</f>
        <v>银行转取</v>
      </c>
      <c r="K257" t="str">
        <f t="shared" ref="K257:P257" si="100">"---"</f>
        <v>---</v>
      </c>
      <c r="L257" t="str">
        <f t="shared" si="100"/>
        <v>---</v>
      </c>
      <c r="M257" t="str">
        <f t="shared" si="100"/>
        <v>---</v>
      </c>
      <c r="N257" t="str">
        <f t="shared" si="100"/>
        <v>---</v>
      </c>
      <c r="O257" t="str">
        <f t="shared" si="100"/>
        <v>---</v>
      </c>
      <c r="P257" t="str">
        <f t="shared" si="100"/>
        <v>---</v>
      </c>
    </row>
    <row r="258" spans="1:16" x14ac:dyDescent="0.25">
      <c r="A258" t="str">
        <f t="shared" ref="A258:A321" si="101">"人民币"</f>
        <v>人民币</v>
      </c>
      <c r="B258" t="str">
        <f>"畅联配号"</f>
        <v>畅联配号</v>
      </c>
      <c r="C258" t="str">
        <f>"20170901"</f>
        <v>20170901</v>
      </c>
      <c r="D258" t="str">
        <f>"0.000"</f>
        <v>0.000</v>
      </c>
      <c r="E258" t="str">
        <f>"1.00"</f>
        <v>1.00</v>
      </c>
      <c r="F258" t="str">
        <f>"0.00"</f>
        <v>0.00</v>
      </c>
      <c r="G258" t="str">
        <f>"4328.07"</f>
        <v>4328.07</v>
      </c>
      <c r="H258" t="str">
        <f>"0.00"</f>
        <v>0.00</v>
      </c>
      <c r="I258" t="str">
        <f>"156"</f>
        <v>156</v>
      </c>
      <c r="J258" t="str">
        <f>"申购配号(畅联配号)"</f>
        <v>申购配号(畅联配号)</v>
      </c>
      <c r="K258" t="str">
        <f t="shared" ref="K258:N259" si="102">"0.00"</f>
        <v>0.00</v>
      </c>
      <c r="L258" t="str">
        <f t="shared" si="102"/>
        <v>0.00</v>
      </c>
      <c r="M258" t="str">
        <f t="shared" si="102"/>
        <v>0.00</v>
      </c>
      <c r="N258" t="str">
        <f t="shared" si="102"/>
        <v>0.00</v>
      </c>
      <c r="O258" t="str">
        <f>"736648"</f>
        <v>736648</v>
      </c>
      <c r="P258" t="str">
        <f>"A400948245"</f>
        <v>A400948245</v>
      </c>
    </row>
    <row r="259" spans="1:16" x14ac:dyDescent="0.25">
      <c r="A259" t="str">
        <f t="shared" si="101"/>
        <v>人民币</v>
      </c>
      <c r="B259" t="str">
        <f>"畅联配号"</f>
        <v>畅联配号</v>
      </c>
      <c r="C259" t="str">
        <f>"20170901"</f>
        <v>20170901</v>
      </c>
      <c r="D259" t="str">
        <f>"0.000"</f>
        <v>0.000</v>
      </c>
      <c r="E259" t="str">
        <f>"0.00"</f>
        <v>0.00</v>
      </c>
      <c r="F259" t="str">
        <f>"0.00"</f>
        <v>0.00</v>
      </c>
      <c r="G259" t="str">
        <f>"4328.07"</f>
        <v>4328.07</v>
      </c>
      <c r="H259" t="str">
        <f>"0.00"</f>
        <v>0.00</v>
      </c>
      <c r="I259" t="str">
        <f>"158"</f>
        <v>158</v>
      </c>
      <c r="J259" t="str">
        <f>"申购配号(畅联配号)"</f>
        <v>申购配号(畅联配号)</v>
      </c>
      <c r="K259" t="str">
        <f t="shared" si="102"/>
        <v>0.00</v>
      </c>
      <c r="L259" t="str">
        <f t="shared" si="102"/>
        <v>0.00</v>
      </c>
      <c r="M259" t="str">
        <f t="shared" si="102"/>
        <v>0.00</v>
      </c>
      <c r="N259" t="str">
        <f t="shared" si="102"/>
        <v>0.00</v>
      </c>
      <c r="O259" t="str">
        <f>"736648"</f>
        <v>736648</v>
      </c>
      <c r="P259" t="str">
        <f>"A400948245"</f>
        <v>A400948245</v>
      </c>
    </row>
    <row r="260" spans="1:16" x14ac:dyDescent="0.25">
      <c r="A260" t="str">
        <f t="shared" si="101"/>
        <v>人民币</v>
      </c>
      <c r="B260" t="str">
        <f>"西部建设"</f>
        <v>西部建设</v>
      </c>
      <c r="C260" t="str">
        <f>"20170901"</f>
        <v>20170901</v>
      </c>
      <c r="D260" t="str">
        <f>"21.610"</f>
        <v>21.610</v>
      </c>
      <c r="E260" t="str">
        <f>"200.00"</f>
        <v>200.00</v>
      </c>
      <c r="F260" t="str">
        <f>"-4327.00"</f>
        <v>-4327.00</v>
      </c>
      <c r="G260" t="str">
        <f>"1.07"</f>
        <v>1.07</v>
      </c>
      <c r="H260" t="str">
        <f>"600.00"</f>
        <v>600.00</v>
      </c>
      <c r="I260" t="str">
        <f>"160"</f>
        <v>160</v>
      </c>
      <c r="J260" t="str">
        <f>"证券买入(西部建设)"</f>
        <v>证券买入(西部建设)</v>
      </c>
      <c r="K260" t="str">
        <f>"5.00"</f>
        <v>5.00</v>
      </c>
      <c r="L260" t="str">
        <f>"0.00"</f>
        <v>0.00</v>
      </c>
      <c r="M260" t="str">
        <f>"0.00"</f>
        <v>0.00</v>
      </c>
      <c r="N260" t="str">
        <f>"0.00"</f>
        <v>0.00</v>
      </c>
      <c r="O260" t="str">
        <f>"002302"</f>
        <v>002302</v>
      </c>
      <c r="P260" t="str">
        <f>"0153613480"</f>
        <v>0153613480</v>
      </c>
    </row>
    <row r="261" spans="1:16" x14ac:dyDescent="0.25">
      <c r="A261" t="str">
        <f t="shared" si="101"/>
        <v>人民币</v>
      </c>
      <c r="B261" t="str">
        <f>"北方稀土"</f>
        <v>北方稀土</v>
      </c>
      <c r="C261" t="str">
        <f>"20170904"</f>
        <v>20170904</v>
      </c>
      <c r="D261" t="str">
        <f>"19.000"</f>
        <v>19.000</v>
      </c>
      <c r="E261" t="str">
        <f>"-500.00"</f>
        <v>-500.00</v>
      </c>
      <c r="F261" t="str">
        <f>"9485.31"</f>
        <v>9485.31</v>
      </c>
      <c r="G261" t="str">
        <f>"9486.38"</f>
        <v>9486.38</v>
      </c>
      <c r="H261" t="str">
        <f>"500.00"</f>
        <v>500.00</v>
      </c>
      <c r="I261" t="str">
        <f>"167"</f>
        <v>167</v>
      </c>
      <c r="J261" t="str">
        <f>"证券卖出(北方稀土)"</f>
        <v>证券卖出(北方稀土)</v>
      </c>
      <c r="K261" t="str">
        <f>"5.00"</f>
        <v>5.00</v>
      </c>
      <c r="L261" t="str">
        <f>"9.50"</f>
        <v>9.50</v>
      </c>
      <c r="M261" t="str">
        <f>"0.19"</f>
        <v>0.19</v>
      </c>
      <c r="N261" t="str">
        <f t="shared" ref="N261:N295" si="103">"0.00"</f>
        <v>0.00</v>
      </c>
      <c r="O261" t="str">
        <f>"600111"</f>
        <v>600111</v>
      </c>
      <c r="P261" t="str">
        <f>"A400948245"</f>
        <v>A400948245</v>
      </c>
    </row>
    <row r="262" spans="1:16" x14ac:dyDescent="0.25">
      <c r="A262" t="str">
        <f t="shared" si="101"/>
        <v>人民币</v>
      </c>
      <c r="B262" t="str">
        <f>"北方稀土"</f>
        <v>北方稀土</v>
      </c>
      <c r="C262" t="str">
        <f>"20170904"</f>
        <v>20170904</v>
      </c>
      <c r="D262" t="str">
        <f>"19.000"</f>
        <v>19.000</v>
      </c>
      <c r="E262" t="str">
        <f>"-500.00"</f>
        <v>-500.00</v>
      </c>
      <c r="F262" t="str">
        <f>"9485.31"</f>
        <v>9485.31</v>
      </c>
      <c r="G262" t="str">
        <f>"18971.69"</f>
        <v>18971.69</v>
      </c>
      <c r="H262" t="str">
        <f>"0.00"</f>
        <v>0.00</v>
      </c>
      <c r="I262" t="str">
        <f>"170"</f>
        <v>170</v>
      </c>
      <c r="J262" t="str">
        <f>"证券卖出(北方稀土)"</f>
        <v>证券卖出(北方稀土)</v>
      </c>
      <c r="K262" t="str">
        <f>"5.00"</f>
        <v>5.00</v>
      </c>
      <c r="L262" t="str">
        <f>"9.50"</f>
        <v>9.50</v>
      </c>
      <c r="M262" t="str">
        <f>"0.19"</f>
        <v>0.19</v>
      </c>
      <c r="N262" t="str">
        <f t="shared" si="103"/>
        <v>0.00</v>
      </c>
      <c r="O262" t="str">
        <f>"600111"</f>
        <v>600111</v>
      </c>
      <c r="P262" t="str">
        <f>"A400948245"</f>
        <v>A400948245</v>
      </c>
    </row>
    <row r="263" spans="1:16" x14ac:dyDescent="0.25">
      <c r="A263" t="str">
        <f t="shared" si="101"/>
        <v>人民币</v>
      </c>
      <c r="B263" t="str">
        <f>"森霸股份"</f>
        <v>森霸股份</v>
      </c>
      <c r="C263" t="str">
        <f>"20170904"</f>
        <v>20170904</v>
      </c>
      <c r="D263" t="str">
        <f>"0.000"</f>
        <v>0.000</v>
      </c>
      <c r="E263" t="str">
        <f>"5.00"</f>
        <v>5.00</v>
      </c>
      <c r="F263" t="str">
        <f>"0.00"</f>
        <v>0.00</v>
      </c>
      <c r="G263" t="str">
        <f>"18971.69"</f>
        <v>18971.69</v>
      </c>
      <c r="H263" t="str">
        <f>"0.00"</f>
        <v>0.00</v>
      </c>
      <c r="I263" t="str">
        <f>"173"</f>
        <v>173</v>
      </c>
      <c r="J263" t="str">
        <f>"申购配号(森霸股份)"</f>
        <v>申购配号(森霸股份)</v>
      </c>
      <c r="K263" t="str">
        <f>"0.00"</f>
        <v>0.00</v>
      </c>
      <c r="L263" t="str">
        <f>"0.00"</f>
        <v>0.00</v>
      </c>
      <c r="M263" t="str">
        <f>"0.00"</f>
        <v>0.00</v>
      </c>
      <c r="N263" t="str">
        <f t="shared" si="103"/>
        <v>0.00</v>
      </c>
      <c r="O263" t="str">
        <f>"300701"</f>
        <v>300701</v>
      </c>
      <c r="P263" t="str">
        <f>"0153613480"</f>
        <v>0153613480</v>
      </c>
    </row>
    <row r="264" spans="1:16" x14ac:dyDescent="0.25">
      <c r="A264" t="str">
        <f t="shared" si="101"/>
        <v>人民币</v>
      </c>
      <c r="B264" t="str">
        <f>"初灵信息"</f>
        <v>初灵信息</v>
      </c>
      <c r="C264" t="str">
        <f>"20170905"</f>
        <v>20170905</v>
      </c>
      <c r="D264" t="str">
        <f>"17.650"</f>
        <v>17.650</v>
      </c>
      <c r="E264" t="str">
        <f>"400.00"</f>
        <v>400.00</v>
      </c>
      <c r="F264" t="str">
        <f>"-7065.00"</f>
        <v>-7065.00</v>
      </c>
      <c r="G264" t="str">
        <f>"11906.69"</f>
        <v>11906.69</v>
      </c>
      <c r="H264" t="str">
        <f>"400.00"</f>
        <v>400.00</v>
      </c>
      <c r="I264" t="str">
        <f>"180"</f>
        <v>180</v>
      </c>
      <c r="J264" t="str">
        <f>"证券买入(初灵信息)"</f>
        <v>证券买入(初灵信息)</v>
      </c>
      <c r="K264" t="str">
        <f>"5.00"</f>
        <v>5.00</v>
      </c>
      <c r="L264" t="str">
        <f t="shared" ref="L264:M268" si="104">"0.00"</f>
        <v>0.00</v>
      </c>
      <c r="M264" t="str">
        <f t="shared" si="104"/>
        <v>0.00</v>
      </c>
      <c r="N264" t="str">
        <f t="shared" si="103"/>
        <v>0.00</v>
      </c>
      <c r="O264" t="str">
        <f>"300250"</f>
        <v>300250</v>
      </c>
      <c r="P264" t="str">
        <f>"0153613480"</f>
        <v>0153613480</v>
      </c>
    </row>
    <row r="265" spans="1:16" x14ac:dyDescent="0.25">
      <c r="A265" t="str">
        <f t="shared" si="101"/>
        <v>人民币</v>
      </c>
      <c r="B265" t="str">
        <f>"西部建设"</f>
        <v>西部建设</v>
      </c>
      <c r="C265" t="str">
        <f>"20170905"</f>
        <v>20170905</v>
      </c>
      <c r="D265" t="str">
        <f>"21.400"</f>
        <v>21.400</v>
      </c>
      <c r="E265" t="str">
        <f>"200.00"</f>
        <v>200.00</v>
      </c>
      <c r="F265" t="str">
        <f>"-4285.00"</f>
        <v>-4285.00</v>
      </c>
      <c r="G265" t="str">
        <f>"7621.69"</f>
        <v>7621.69</v>
      </c>
      <c r="H265" t="str">
        <f>"800.00"</f>
        <v>800.00</v>
      </c>
      <c r="I265" t="str">
        <f>"185"</f>
        <v>185</v>
      </c>
      <c r="J265" t="str">
        <f>"证券买入(西部建设)"</f>
        <v>证券买入(西部建设)</v>
      </c>
      <c r="K265" t="str">
        <f>"5.00"</f>
        <v>5.00</v>
      </c>
      <c r="L265" t="str">
        <f t="shared" si="104"/>
        <v>0.00</v>
      </c>
      <c r="M265" t="str">
        <f t="shared" si="104"/>
        <v>0.00</v>
      </c>
      <c r="N265" t="str">
        <f t="shared" si="103"/>
        <v>0.00</v>
      </c>
      <c r="O265" t="str">
        <f>"002302"</f>
        <v>002302</v>
      </c>
      <c r="P265" t="str">
        <f>"0153613480"</f>
        <v>0153613480</v>
      </c>
    </row>
    <row r="266" spans="1:16" x14ac:dyDescent="0.25">
      <c r="A266" t="str">
        <f t="shared" si="101"/>
        <v>人民币</v>
      </c>
      <c r="B266" t="str">
        <f>"英派斯"</f>
        <v>英派斯</v>
      </c>
      <c r="C266" t="str">
        <f>"20170905"</f>
        <v>20170905</v>
      </c>
      <c r="D266" t="str">
        <f>"0.000"</f>
        <v>0.000</v>
      </c>
      <c r="E266" t="str">
        <f>"5.00"</f>
        <v>5.00</v>
      </c>
      <c r="F266" t="str">
        <f>"0.00"</f>
        <v>0.00</v>
      </c>
      <c r="G266" t="str">
        <f>"7621.69"</f>
        <v>7621.69</v>
      </c>
      <c r="H266" t="str">
        <f t="shared" ref="H266:H271" si="105">"0.00"</f>
        <v>0.00</v>
      </c>
      <c r="I266" t="str">
        <f>"178"</f>
        <v>178</v>
      </c>
      <c r="J266" t="str">
        <f>"申购配号(英派斯)"</f>
        <v>申购配号(英派斯)</v>
      </c>
      <c r="K266" t="str">
        <f>"0.00"</f>
        <v>0.00</v>
      </c>
      <c r="L266" t="str">
        <f t="shared" si="104"/>
        <v>0.00</v>
      </c>
      <c r="M266" t="str">
        <f t="shared" si="104"/>
        <v>0.00</v>
      </c>
      <c r="N266" t="str">
        <f t="shared" si="103"/>
        <v>0.00</v>
      </c>
      <c r="O266" t="str">
        <f>"002899"</f>
        <v>002899</v>
      </c>
      <c r="P266" t="str">
        <f>"0153613480"</f>
        <v>0153613480</v>
      </c>
    </row>
    <row r="267" spans="1:16" x14ac:dyDescent="0.25">
      <c r="A267" t="str">
        <f t="shared" si="101"/>
        <v>人民币</v>
      </c>
      <c r="B267" t="str">
        <f>"原尚配号"</f>
        <v>原尚配号</v>
      </c>
      <c r="C267" t="str">
        <f>"20170906"</f>
        <v>20170906</v>
      </c>
      <c r="D267" t="str">
        <f>"0.000"</f>
        <v>0.000</v>
      </c>
      <c r="E267" t="str">
        <f>"1.00"</f>
        <v>1.00</v>
      </c>
      <c r="F267" t="str">
        <f>"0.00"</f>
        <v>0.00</v>
      </c>
      <c r="G267" t="str">
        <f>"7621.69"</f>
        <v>7621.69</v>
      </c>
      <c r="H267" t="str">
        <f t="shared" si="105"/>
        <v>0.00</v>
      </c>
      <c r="I267" t="str">
        <f>"193"</f>
        <v>193</v>
      </c>
      <c r="J267" t="str">
        <f>"申购配号(原尚配号)"</f>
        <v>申购配号(原尚配号)</v>
      </c>
      <c r="K267" t="str">
        <f>"0.00"</f>
        <v>0.00</v>
      </c>
      <c r="L267" t="str">
        <f t="shared" si="104"/>
        <v>0.00</v>
      </c>
      <c r="M267" t="str">
        <f t="shared" si="104"/>
        <v>0.00</v>
      </c>
      <c r="N267" t="str">
        <f t="shared" si="103"/>
        <v>0.00</v>
      </c>
      <c r="O267" t="str">
        <f>"736813"</f>
        <v>736813</v>
      </c>
      <c r="P267" t="str">
        <f>"A400948245"</f>
        <v>A400948245</v>
      </c>
    </row>
    <row r="268" spans="1:16" x14ac:dyDescent="0.25">
      <c r="A268" t="str">
        <f t="shared" si="101"/>
        <v>人民币</v>
      </c>
      <c r="B268" t="str">
        <f>"梅轮配号"</f>
        <v>梅轮配号</v>
      </c>
      <c r="C268" t="str">
        <f>"20170906"</f>
        <v>20170906</v>
      </c>
      <c r="D268" t="str">
        <f>"0.000"</f>
        <v>0.000</v>
      </c>
      <c r="E268" t="str">
        <f>"1.00"</f>
        <v>1.00</v>
      </c>
      <c r="F268" t="str">
        <f>"0.00"</f>
        <v>0.00</v>
      </c>
      <c r="G268" t="str">
        <f>"7621.69"</f>
        <v>7621.69</v>
      </c>
      <c r="H268" t="str">
        <f t="shared" si="105"/>
        <v>0.00</v>
      </c>
      <c r="I268" t="str">
        <f>"191"</f>
        <v>191</v>
      </c>
      <c r="J268" t="str">
        <f>"申购配号(梅轮配号)"</f>
        <v>申购配号(梅轮配号)</v>
      </c>
      <c r="K268" t="str">
        <f>"0.00"</f>
        <v>0.00</v>
      </c>
      <c r="L268" t="str">
        <f t="shared" si="104"/>
        <v>0.00</v>
      </c>
      <c r="M268" t="str">
        <f t="shared" si="104"/>
        <v>0.00</v>
      </c>
      <c r="N268" t="str">
        <f t="shared" si="103"/>
        <v>0.00</v>
      </c>
      <c r="O268" t="str">
        <f>"736321"</f>
        <v>736321</v>
      </c>
      <c r="P268" t="str">
        <f>"A400948245"</f>
        <v>A400948245</v>
      </c>
    </row>
    <row r="269" spans="1:16" x14ac:dyDescent="0.25">
      <c r="A269" t="str">
        <f t="shared" si="101"/>
        <v>人民币</v>
      </c>
      <c r="B269" t="str">
        <f>"初灵信息"</f>
        <v>初灵信息</v>
      </c>
      <c r="C269" t="str">
        <f>"20170906"</f>
        <v>20170906</v>
      </c>
      <c r="D269" t="str">
        <f>"17.970"</f>
        <v>17.970</v>
      </c>
      <c r="E269" t="str">
        <f>"-400.00"</f>
        <v>-400.00</v>
      </c>
      <c r="F269" t="str">
        <f>"7175.81"</f>
        <v>7175.81</v>
      </c>
      <c r="G269" t="str">
        <f>"14797.50"</f>
        <v>14797.50</v>
      </c>
      <c r="H269" t="str">
        <f t="shared" si="105"/>
        <v>0.00</v>
      </c>
      <c r="I269" t="str">
        <f>"197"</f>
        <v>197</v>
      </c>
      <c r="J269" t="str">
        <f>"证券卖出(初灵信息)"</f>
        <v>证券卖出(初灵信息)</v>
      </c>
      <c r="K269" t="str">
        <f>"5.00"</f>
        <v>5.00</v>
      </c>
      <c r="L269" t="str">
        <f>"7.19"</f>
        <v>7.19</v>
      </c>
      <c r="M269" t="str">
        <f>"0.00"</f>
        <v>0.00</v>
      </c>
      <c r="N269" t="str">
        <f t="shared" si="103"/>
        <v>0.00</v>
      </c>
      <c r="O269" t="str">
        <f>"300250"</f>
        <v>300250</v>
      </c>
      <c r="P269" t="str">
        <f>"0153613480"</f>
        <v>0153613480</v>
      </c>
    </row>
    <row r="270" spans="1:16" x14ac:dyDescent="0.25">
      <c r="A270" t="str">
        <f t="shared" si="101"/>
        <v>人民币</v>
      </c>
      <c r="B270" t="str">
        <f>"华通热力"</f>
        <v>华通热力</v>
      </c>
      <c r="C270" t="str">
        <f>"20170906"</f>
        <v>20170906</v>
      </c>
      <c r="D270" t="str">
        <f>"0.000"</f>
        <v>0.000</v>
      </c>
      <c r="E270" t="str">
        <f>"5.00"</f>
        <v>5.00</v>
      </c>
      <c r="F270" t="str">
        <f>"0.00"</f>
        <v>0.00</v>
      </c>
      <c r="G270" t="str">
        <f>"14797.50"</f>
        <v>14797.50</v>
      </c>
      <c r="H270" t="str">
        <f t="shared" si="105"/>
        <v>0.00</v>
      </c>
      <c r="I270" t="str">
        <f>"195"</f>
        <v>195</v>
      </c>
      <c r="J270" t="str">
        <f>"申购配号(华通热力)"</f>
        <v>申购配号(华通热力)</v>
      </c>
      <c r="K270" t="str">
        <f>"0.00"</f>
        <v>0.00</v>
      </c>
      <c r="L270" t="str">
        <f>"0.00"</f>
        <v>0.00</v>
      </c>
      <c r="M270" t="str">
        <f>"0.00"</f>
        <v>0.00</v>
      </c>
      <c r="N270" t="str">
        <f t="shared" si="103"/>
        <v>0.00</v>
      </c>
      <c r="O270" t="str">
        <f>"002893"</f>
        <v>002893</v>
      </c>
      <c r="P270" t="str">
        <f>"0153613480"</f>
        <v>0153613480</v>
      </c>
    </row>
    <row r="271" spans="1:16" x14ac:dyDescent="0.25">
      <c r="A271" t="str">
        <f t="shared" si="101"/>
        <v>人民币</v>
      </c>
      <c r="B271" t="str">
        <f>"掌阅配号"</f>
        <v>掌阅配号</v>
      </c>
      <c r="C271" t="str">
        <f>"20170907"</f>
        <v>20170907</v>
      </c>
      <c r="D271" t="str">
        <f>"0.000"</f>
        <v>0.000</v>
      </c>
      <c r="E271" t="str">
        <f>"1.00"</f>
        <v>1.00</v>
      </c>
      <c r="F271" t="str">
        <f>"0.00"</f>
        <v>0.00</v>
      </c>
      <c r="G271" t="str">
        <f>"14797.50"</f>
        <v>14797.50</v>
      </c>
      <c r="H271" t="str">
        <f t="shared" si="105"/>
        <v>0.00</v>
      </c>
      <c r="I271" t="str">
        <f>"204"</f>
        <v>204</v>
      </c>
      <c r="J271" t="str">
        <f>"申购配号(掌阅配号)"</f>
        <v>申购配号(掌阅配号)</v>
      </c>
      <c r="K271" t="str">
        <f>"0.00"</f>
        <v>0.00</v>
      </c>
      <c r="L271" t="str">
        <f>"0.00"</f>
        <v>0.00</v>
      </c>
      <c r="M271" t="str">
        <f>"0.00"</f>
        <v>0.00</v>
      </c>
      <c r="N271" t="str">
        <f t="shared" si="103"/>
        <v>0.00</v>
      </c>
      <c r="O271" t="str">
        <f>"736533"</f>
        <v>736533</v>
      </c>
      <c r="P271" t="str">
        <f>"A400948245"</f>
        <v>A400948245</v>
      </c>
    </row>
    <row r="272" spans="1:16" x14ac:dyDescent="0.25">
      <c r="A272" t="str">
        <f t="shared" si="101"/>
        <v>人民币</v>
      </c>
      <c r="B272" t="str">
        <f>"方大特钢"</f>
        <v>方大特钢</v>
      </c>
      <c r="C272" t="str">
        <f>"20170907"</f>
        <v>20170907</v>
      </c>
      <c r="D272" t="str">
        <f>"14.350"</f>
        <v>14.350</v>
      </c>
      <c r="E272" t="str">
        <f>"400.00"</f>
        <v>400.00</v>
      </c>
      <c r="F272" t="str">
        <f>"-5745.11"</f>
        <v>-5745.11</v>
      </c>
      <c r="G272" t="str">
        <f>"9052.39"</f>
        <v>9052.39</v>
      </c>
      <c r="H272" t="str">
        <f>"400.00"</f>
        <v>400.00</v>
      </c>
      <c r="I272" t="str">
        <f>"208"</f>
        <v>208</v>
      </c>
      <c r="J272" t="str">
        <f>"证券买入(方大特钢)"</f>
        <v>证券买入(方大特钢)</v>
      </c>
      <c r="K272" t="str">
        <f>"5.00"</f>
        <v>5.00</v>
      </c>
      <c r="L272" t="str">
        <f>"0.00"</f>
        <v>0.00</v>
      </c>
      <c r="M272" t="str">
        <f>"0.11"</f>
        <v>0.11</v>
      </c>
      <c r="N272" t="str">
        <f t="shared" si="103"/>
        <v>0.00</v>
      </c>
      <c r="O272" t="str">
        <f>"600507"</f>
        <v>600507</v>
      </c>
      <c r="P272" t="str">
        <f>"A400948245"</f>
        <v>A400948245</v>
      </c>
    </row>
    <row r="273" spans="1:16" x14ac:dyDescent="0.25">
      <c r="A273" t="str">
        <f t="shared" si="101"/>
        <v>人民币</v>
      </c>
      <c r="B273" t="str">
        <f>"西部建设"</f>
        <v>西部建设</v>
      </c>
      <c r="C273" t="str">
        <f>"20170907"</f>
        <v>20170907</v>
      </c>
      <c r="D273" t="str">
        <f>"21.390"</f>
        <v>21.390</v>
      </c>
      <c r="E273" t="str">
        <f>"200.00"</f>
        <v>200.00</v>
      </c>
      <c r="F273" t="str">
        <f>"-4283.00"</f>
        <v>-4283.00</v>
      </c>
      <c r="G273" t="str">
        <f>"4769.39"</f>
        <v>4769.39</v>
      </c>
      <c r="H273" t="str">
        <f>"1000.00"</f>
        <v>1000.00</v>
      </c>
      <c r="I273" t="str">
        <f>"211"</f>
        <v>211</v>
      </c>
      <c r="J273" t="str">
        <f>"证券买入(西部建设)"</f>
        <v>证券买入(西部建设)</v>
      </c>
      <c r="K273" t="str">
        <f>"5.00"</f>
        <v>5.00</v>
      </c>
      <c r="L273" t="str">
        <f>"0.00"</f>
        <v>0.00</v>
      </c>
      <c r="M273" t="str">
        <f>"0.00"</f>
        <v>0.00</v>
      </c>
      <c r="N273" t="str">
        <f t="shared" si="103"/>
        <v>0.00</v>
      </c>
      <c r="O273" t="str">
        <f>"002302"</f>
        <v>002302</v>
      </c>
      <c r="P273" t="str">
        <f>"0153613480"</f>
        <v>0153613480</v>
      </c>
    </row>
    <row r="274" spans="1:16" x14ac:dyDescent="0.25">
      <c r="A274" t="str">
        <f t="shared" si="101"/>
        <v>人民币</v>
      </c>
      <c r="B274" t="str">
        <f>"天宇股份"</f>
        <v>天宇股份</v>
      </c>
      <c r="C274" t="str">
        <f>"20170907"</f>
        <v>20170907</v>
      </c>
      <c r="D274" t="str">
        <f>"0.000"</f>
        <v>0.000</v>
      </c>
      <c r="E274" t="str">
        <f>"5.00"</f>
        <v>5.00</v>
      </c>
      <c r="F274" t="str">
        <f>"0.00"</f>
        <v>0.00</v>
      </c>
      <c r="G274" t="str">
        <f>"4769.39"</f>
        <v>4769.39</v>
      </c>
      <c r="H274" t="str">
        <f>"0.00"</f>
        <v>0.00</v>
      </c>
      <c r="I274" t="str">
        <f>"206"</f>
        <v>206</v>
      </c>
      <c r="J274" t="str">
        <f>"申购配号(天宇股份)"</f>
        <v>申购配号(天宇股份)</v>
      </c>
      <c r="K274" t="str">
        <f>"0.00"</f>
        <v>0.00</v>
      </c>
      <c r="L274" t="str">
        <f>"0.00"</f>
        <v>0.00</v>
      </c>
      <c r="M274" t="str">
        <f>"0.00"</f>
        <v>0.00</v>
      </c>
      <c r="N274" t="str">
        <f t="shared" si="103"/>
        <v>0.00</v>
      </c>
      <c r="O274" t="str">
        <f>"300702"</f>
        <v>300702</v>
      </c>
      <c r="P274" t="str">
        <f>"0153613480"</f>
        <v>0153613480</v>
      </c>
    </row>
    <row r="275" spans="1:16" x14ac:dyDescent="0.25">
      <c r="A275" t="str">
        <f t="shared" si="101"/>
        <v>人民币</v>
      </c>
      <c r="B275" t="str">
        <f>"恒银配号"</f>
        <v>恒银配号</v>
      </c>
      <c r="C275" t="str">
        <f t="shared" ref="C275:C286" si="106">"20170908"</f>
        <v>20170908</v>
      </c>
      <c r="D275" t="str">
        <f>"0.000"</f>
        <v>0.000</v>
      </c>
      <c r="E275" t="str">
        <f>"1.00"</f>
        <v>1.00</v>
      </c>
      <c r="F275" t="str">
        <f>"0.00"</f>
        <v>0.00</v>
      </c>
      <c r="G275" t="str">
        <f>"4769.39"</f>
        <v>4769.39</v>
      </c>
      <c r="H275" t="str">
        <f>"0.00"</f>
        <v>0.00</v>
      </c>
      <c r="I275" t="str">
        <f>"220"</f>
        <v>220</v>
      </c>
      <c r="J275" t="str">
        <f>"申购配号(恒银配号)"</f>
        <v>申购配号(恒银配号)</v>
      </c>
      <c r="K275" t="str">
        <f>"0.00"</f>
        <v>0.00</v>
      </c>
      <c r="L275" t="str">
        <f>"0.00"</f>
        <v>0.00</v>
      </c>
      <c r="M275" t="str">
        <f>"0.00"</f>
        <v>0.00</v>
      </c>
      <c r="N275" t="str">
        <f t="shared" si="103"/>
        <v>0.00</v>
      </c>
      <c r="O275" t="str">
        <f>"736106"</f>
        <v>736106</v>
      </c>
      <c r="P275" t="str">
        <f t="shared" ref="P275:P285" si="107">"A400948245"</f>
        <v>A400948245</v>
      </c>
    </row>
    <row r="276" spans="1:16" x14ac:dyDescent="0.25">
      <c r="A276" t="str">
        <f t="shared" si="101"/>
        <v>人民币</v>
      </c>
      <c r="B276" t="str">
        <f>"方大特钢"</f>
        <v>方大特钢</v>
      </c>
      <c r="C276" t="str">
        <f t="shared" si="106"/>
        <v>20170908</v>
      </c>
      <c r="D276" t="str">
        <f>"15.100"</f>
        <v>15.100</v>
      </c>
      <c r="E276" t="str">
        <f>"-200.00"</f>
        <v>-200.00</v>
      </c>
      <c r="F276" t="str">
        <f>"3011.92"</f>
        <v>3011.92</v>
      </c>
      <c r="G276" t="str">
        <f>"7781.31"</f>
        <v>7781.31</v>
      </c>
      <c r="H276" t="str">
        <f>"200.00"</f>
        <v>200.00</v>
      </c>
      <c r="I276" t="str">
        <f>"237"</f>
        <v>237</v>
      </c>
      <c r="J276" t="str">
        <f>"证券卖出(方大特钢)"</f>
        <v>证券卖出(方大特钢)</v>
      </c>
      <c r="K276" t="str">
        <f>"5.00"</f>
        <v>5.00</v>
      </c>
      <c r="L276" t="str">
        <f>"3.02"</f>
        <v>3.02</v>
      </c>
      <c r="M276" t="str">
        <f>"0.06"</f>
        <v>0.06</v>
      </c>
      <c r="N276" t="str">
        <f t="shared" si="103"/>
        <v>0.00</v>
      </c>
      <c r="O276" t="str">
        <f>"600507"</f>
        <v>600507</v>
      </c>
      <c r="P276" t="str">
        <f t="shared" si="107"/>
        <v>A400948245</v>
      </c>
    </row>
    <row r="277" spans="1:16" x14ac:dyDescent="0.25">
      <c r="A277" t="str">
        <f t="shared" si="101"/>
        <v>人民币</v>
      </c>
      <c r="B277" t="str">
        <f>"方大特钢"</f>
        <v>方大特钢</v>
      </c>
      <c r="C277" t="str">
        <f t="shared" si="106"/>
        <v>20170908</v>
      </c>
      <c r="D277" t="str">
        <f>"15.100"</f>
        <v>15.100</v>
      </c>
      <c r="E277" t="str">
        <f>"-200.00"</f>
        <v>-200.00</v>
      </c>
      <c r="F277" t="str">
        <f>"3011.92"</f>
        <v>3011.92</v>
      </c>
      <c r="G277" t="str">
        <f>"10793.23"</f>
        <v>10793.23</v>
      </c>
      <c r="H277" t="str">
        <f>"0.00"</f>
        <v>0.00</v>
      </c>
      <c r="I277" t="str">
        <f>"240"</f>
        <v>240</v>
      </c>
      <c r="J277" t="str">
        <f>"证券卖出(方大特钢)"</f>
        <v>证券卖出(方大特钢)</v>
      </c>
      <c r="K277" t="str">
        <f>"5.00"</f>
        <v>5.00</v>
      </c>
      <c r="L277" t="str">
        <f>"3.02"</f>
        <v>3.02</v>
      </c>
      <c r="M277" t="str">
        <f>"0.06"</f>
        <v>0.06</v>
      </c>
      <c r="N277" t="str">
        <f t="shared" si="103"/>
        <v>0.00</v>
      </c>
      <c r="O277" t="str">
        <f>"600507"</f>
        <v>600507</v>
      </c>
      <c r="P277" t="str">
        <f t="shared" si="107"/>
        <v>A400948245</v>
      </c>
    </row>
    <row r="278" spans="1:16" x14ac:dyDescent="0.25">
      <c r="A278" t="str">
        <f t="shared" si="101"/>
        <v>人民币</v>
      </c>
      <c r="B278" t="str">
        <f>"盛和资源"</f>
        <v>盛和资源</v>
      </c>
      <c r="C278" t="str">
        <f t="shared" si="106"/>
        <v>20170908</v>
      </c>
      <c r="D278" t="str">
        <f>"25.890"</f>
        <v>25.890</v>
      </c>
      <c r="E278" t="str">
        <f>"200.00"</f>
        <v>200.00</v>
      </c>
      <c r="F278" t="str">
        <f>"-5183.10"</f>
        <v>-5183.10</v>
      </c>
      <c r="G278" t="str">
        <f>"5610.13"</f>
        <v>5610.13</v>
      </c>
      <c r="H278" t="str">
        <f>"200.00"</f>
        <v>200.00</v>
      </c>
      <c r="I278" t="str">
        <f>"243"</f>
        <v>243</v>
      </c>
      <c r="J278" t="str">
        <f>"证券买入(盛和资源)"</f>
        <v>证券买入(盛和资源)</v>
      </c>
      <c r="K278" t="str">
        <f>"5.00"</f>
        <v>5.00</v>
      </c>
      <c r="L278" t="str">
        <f t="shared" ref="L278:L286" si="108">"0.00"</f>
        <v>0.00</v>
      </c>
      <c r="M278" t="str">
        <f>"0.10"</f>
        <v>0.10</v>
      </c>
      <c r="N278" t="str">
        <f t="shared" si="103"/>
        <v>0.00</v>
      </c>
      <c r="O278" t="str">
        <f>"600392"</f>
        <v>600392</v>
      </c>
      <c r="P278" t="str">
        <f t="shared" si="107"/>
        <v>A400948245</v>
      </c>
    </row>
    <row r="279" spans="1:16" x14ac:dyDescent="0.25">
      <c r="A279" t="str">
        <f t="shared" si="101"/>
        <v>人民币</v>
      </c>
      <c r="B279" t="str">
        <f>"盛和资源"</f>
        <v>盛和资源</v>
      </c>
      <c r="C279" t="str">
        <f t="shared" si="106"/>
        <v>20170908</v>
      </c>
      <c r="D279" t="str">
        <f>"25.650"</f>
        <v>25.650</v>
      </c>
      <c r="E279" t="str">
        <f>"200.00"</f>
        <v>200.00</v>
      </c>
      <c r="F279" t="str">
        <f>"-5135.10"</f>
        <v>-5135.10</v>
      </c>
      <c r="G279" t="str">
        <f t="shared" ref="G279:G286" si="109">"475.03"</f>
        <v>475.03</v>
      </c>
      <c r="H279" t="str">
        <f>"400.00"</f>
        <v>400.00</v>
      </c>
      <c r="I279" t="str">
        <f>"258"</f>
        <v>258</v>
      </c>
      <c r="J279" t="str">
        <f>"证券买入(盛和资源)"</f>
        <v>证券买入(盛和资源)</v>
      </c>
      <c r="K279" t="str">
        <f>"5.00"</f>
        <v>5.00</v>
      </c>
      <c r="L279" t="str">
        <f t="shared" si="108"/>
        <v>0.00</v>
      </c>
      <c r="M279" t="str">
        <f>"0.10"</f>
        <v>0.10</v>
      </c>
      <c r="N279" t="str">
        <f t="shared" si="103"/>
        <v>0.00</v>
      </c>
      <c r="O279" t="str">
        <f>"600392"</f>
        <v>600392</v>
      </c>
      <c r="P279" t="str">
        <f t="shared" si="107"/>
        <v>A400948245</v>
      </c>
    </row>
    <row r="280" spans="1:16" x14ac:dyDescent="0.25">
      <c r="A280" t="str">
        <f t="shared" si="101"/>
        <v>人民币</v>
      </c>
      <c r="B280" t="str">
        <f t="shared" ref="B280:B285" si="110">"恒银配号"</f>
        <v>恒银配号</v>
      </c>
      <c r="C280" t="str">
        <f t="shared" si="106"/>
        <v>20170908</v>
      </c>
      <c r="D280" t="str">
        <f t="shared" ref="D280:D286" si="111">"0.000"</f>
        <v>0.000</v>
      </c>
      <c r="E280" t="str">
        <f t="shared" ref="E280:F285" si="112">"0.00"</f>
        <v>0.00</v>
      </c>
      <c r="F280" t="str">
        <f t="shared" si="112"/>
        <v>0.00</v>
      </c>
      <c r="G280" t="str">
        <f t="shared" si="109"/>
        <v>475.03</v>
      </c>
      <c r="H280" t="str">
        <f t="shared" ref="H280:H288" si="113">"0.00"</f>
        <v>0.00</v>
      </c>
      <c r="I280" t="str">
        <f>"224"</f>
        <v>224</v>
      </c>
      <c r="J280" t="str">
        <f t="shared" ref="J280:J285" si="114">"申购配号(恒银配号)"</f>
        <v>申购配号(恒银配号)</v>
      </c>
      <c r="K280" t="str">
        <f t="shared" ref="K280:K286" si="115">"0.00"</f>
        <v>0.00</v>
      </c>
      <c r="L280" t="str">
        <f t="shared" si="108"/>
        <v>0.00</v>
      </c>
      <c r="M280" t="str">
        <f t="shared" ref="M280:M286" si="116">"0.00"</f>
        <v>0.00</v>
      </c>
      <c r="N280" t="str">
        <f t="shared" si="103"/>
        <v>0.00</v>
      </c>
      <c r="O280" t="str">
        <f t="shared" ref="O280:O285" si="117">"736106"</f>
        <v>736106</v>
      </c>
      <c r="P280" t="str">
        <f t="shared" si="107"/>
        <v>A400948245</v>
      </c>
    </row>
    <row r="281" spans="1:16" x14ac:dyDescent="0.25">
      <c r="A281" t="str">
        <f t="shared" si="101"/>
        <v>人民币</v>
      </c>
      <c r="B281" t="str">
        <f t="shared" si="110"/>
        <v>恒银配号</v>
      </c>
      <c r="C281" t="str">
        <f t="shared" si="106"/>
        <v>20170908</v>
      </c>
      <c r="D281" t="str">
        <f t="shared" si="111"/>
        <v>0.000</v>
      </c>
      <c r="E281" t="str">
        <f t="shared" si="112"/>
        <v>0.00</v>
      </c>
      <c r="F281" t="str">
        <f t="shared" si="112"/>
        <v>0.00</v>
      </c>
      <c r="G281" t="str">
        <f t="shared" si="109"/>
        <v>475.03</v>
      </c>
      <c r="H281" t="str">
        <f t="shared" si="113"/>
        <v>0.00</v>
      </c>
      <c r="I281" t="str">
        <f>"228"</f>
        <v>228</v>
      </c>
      <c r="J281" t="str">
        <f t="shared" si="114"/>
        <v>申购配号(恒银配号)</v>
      </c>
      <c r="K281" t="str">
        <f t="shared" si="115"/>
        <v>0.00</v>
      </c>
      <c r="L281" t="str">
        <f t="shared" si="108"/>
        <v>0.00</v>
      </c>
      <c r="M281" t="str">
        <f t="shared" si="116"/>
        <v>0.00</v>
      </c>
      <c r="N281" t="str">
        <f t="shared" si="103"/>
        <v>0.00</v>
      </c>
      <c r="O281" t="str">
        <f t="shared" si="117"/>
        <v>736106</v>
      </c>
      <c r="P281" t="str">
        <f t="shared" si="107"/>
        <v>A400948245</v>
      </c>
    </row>
    <row r="282" spans="1:16" x14ac:dyDescent="0.25">
      <c r="A282" t="str">
        <f t="shared" si="101"/>
        <v>人民币</v>
      </c>
      <c r="B282" t="str">
        <f t="shared" si="110"/>
        <v>恒银配号</v>
      </c>
      <c r="C282" t="str">
        <f t="shared" si="106"/>
        <v>20170908</v>
      </c>
      <c r="D282" t="str">
        <f t="shared" si="111"/>
        <v>0.000</v>
      </c>
      <c r="E282" t="str">
        <f t="shared" si="112"/>
        <v>0.00</v>
      </c>
      <c r="F282" t="str">
        <f t="shared" si="112"/>
        <v>0.00</v>
      </c>
      <c r="G282" t="str">
        <f t="shared" si="109"/>
        <v>475.03</v>
      </c>
      <c r="H282" t="str">
        <f t="shared" si="113"/>
        <v>0.00</v>
      </c>
      <c r="I282" t="str">
        <f>"232"</f>
        <v>232</v>
      </c>
      <c r="J282" t="str">
        <f t="shared" si="114"/>
        <v>申购配号(恒银配号)</v>
      </c>
      <c r="K282" t="str">
        <f t="shared" si="115"/>
        <v>0.00</v>
      </c>
      <c r="L282" t="str">
        <f t="shared" si="108"/>
        <v>0.00</v>
      </c>
      <c r="M282" t="str">
        <f t="shared" si="116"/>
        <v>0.00</v>
      </c>
      <c r="N282" t="str">
        <f t="shared" si="103"/>
        <v>0.00</v>
      </c>
      <c r="O282" t="str">
        <f t="shared" si="117"/>
        <v>736106</v>
      </c>
      <c r="P282" t="str">
        <f t="shared" si="107"/>
        <v>A400948245</v>
      </c>
    </row>
    <row r="283" spans="1:16" x14ac:dyDescent="0.25">
      <c r="A283" t="str">
        <f t="shared" si="101"/>
        <v>人民币</v>
      </c>
      <c r="B283" t="str">
        <f t="shared" si="110"/>
        <v>恒银配号</v>
      </c>
      <c r="C283" t="str">
        <f t="shared" si="106"/>
        <v>20170908</v>
      </c>
      <c r="D283" t="str">
        <f t="shared" si="111"/>
        <v>0.000</v>
      </c>
      <c r="E283" t="str">
        <f t="shared" si="112"/>
        <v>0.00</v>
      </c>
      <c r="F283" t="str">
        <f t="shared" si="112"/>
        <v>0.00</v>
      </c>
      <c r="G283" t="str">
        <f t="shared" si="109"/>
        <v>475.03</v>
      </c>
      <c r="H283" t="str">
        <f t="shared" si="113"/>
        <v>0.00</v>
      </c>
      <c r="I283" t="str">
        <f>"246"</f>
        <v>246</v>
      </c>
      <c r="J283" t="str">
        <f t="shared" si="114"/>
        <v>申购配号(恒银配号)</v>
      </c>
      <c r="K283" t="str">
        <f t="shared" si="115"/>
        <v>0.00</v>
      </c>
      <c r="L283" t="str">
        <f t="shared" si="108"/>
        <v>0.00</v>
      </c>
      <c r="M283" t="str">
        <f t="shared" si="116"/>
        <v>0.00</v>
      </c>
      <c r="N283" t="str">
        <f t="shared" si="103"/>
        <v>0.00</v>
      </c>
      <c r="O283" t="str">
        <f t="shared" si="117"/>
        <v>736106</v>
      </c>
      <c r="P283" t="str">
        <f t="shared" si="107"/>
        <v>A400948245</v>
      </c>
    </row>
    <row r="284" spans="1:16" x14ac:dyDescent="0.25">
      <c r="A284" t="str">
        <f t="shared" si="101"/>
        <v>人民币</v>
      </c>
      <c r="B284" t="str">
        <f t="shared" si="110"/>
        <v>恒银配号</v>
      </c>
      <c r="C284" t="str">
        <f t="shared" si="106"/>
        <v>20170908</v>
      </c>
      <c r="D284" t="str">
        <f t="shared" si="111"/>
        <v>0.000</v>
      </c>
      <c r="E284" t="str">
        <f t="shared" si="112"/>
        <v>0.00</v>
      </c>
      <c r="F284" t="str">
        <f t="shared" si="112"/>
        <v>0.00</v>
      </c>
      <c r="G284" t="str">
        <f t="shared" si="109"/>
        <v>475.03</v>
      </c>
      <c r="H284" t="str">
        <f t="shared" si="113"/>
        <v>0.00</v>
      </c>
      <c r="I284" t="str">
        <f>"250"</f>
        <v>250</v>
      </c>
      <c r="J284" t="str">
        <f t="shared" si="114"/>
        <v>申购配号(恒银配号)</v>
      </c>
      <c r="K284" t="str">
        <f t="shared" si="115"/>
        <v>0.00</v>
      </c>
      <c r="L284" t="str">
        <f t="shared" si="108"/>
        <v>0.00</v>
      </c>
      <c r="M284" t="str">
        <f t="shared" si="116"/>
        <v>0.00</v>
      </c>
      <c r="N284" t="str">
        <f t="shared" si="103"/>
        <v>0.00</v>
      </c>
      <c r="O284" t="str">
        <f t="shared" si="117"/>
        <v>736106</v>
      </c>
      <c r="P284" t="str">
        <f t="shared" si="107"/>
        <v>A400948245</v>
      </c>
    </row>
    <row r="285" spans="1:16" x14ac:dyDescent="0.25">
      <c r="A285" t="str">
        <f t="shared" si="101"/>
        <v>人民币</v>
      </c>
      <c r="B285" t="str">
        <f t="shared" si="110"/>
        <v>恒银配号</v>
      </c>
      <c r="C285" t="str">
        <f t="shared" si="106"/>
        <v>20170908</v>
      </c>
      <c r="D285" t="str">
        <f t="shared" si="111"/>
        <v>0.000</v>
      </c>
      <c r="E285" t="str">
        <f t="shared" si="112"/>
        <v>0.00</v>
      </c>
      <c r="F285" t="str">
        <f t="shared" si="112"/>
        <v>0.00</v>
      </c>
      <c r="G285" t="str">
        <f t="shared" si="109"/>
        <v>475.03</v>
      </c>
      <c r="H285" t="str">
        <f t="shared" si="113"/>
        <v>0.00</v>
      </c>
      <c r="I285" t="str">
        <f>"254"</f>
        <v>254</v>
      </c>
      <c r="J285" t="str">
        <f t="shared" si="114"/>
        <v>申购配号(恒银配号)</v>
      </c>
      <c r="K285" t="str">
        <f t="shared" si="115"/>
        <v>0.00</v>
      </c>
      <c r="L285" t="str">
        <f t="shared" si="108"/>
        <v>0.00</v>
      </c>
      <c r="M285" t="str">
        <f t="shared" si="116"/>
        <v>0.00</v>
      </c>
      <c r="N285" t="str">
        <f t="shared" si="103"/>
        <v>0.00</v>
      </c>
      <c r="O285" t="str">
        <f t="shared" si="117"/>
        <v>736106</v>
      </c>
      <c r="P285" t="str">
        <f t="shared" si="107"/>
        <v>A400948245</v>
      </c>
    </row>
    <row r="286" spans="1:16" x14ac:dyDescent="0.25">
      <c r="A286" t="str">
        <f t="shared" si="101"/>
        <v>人民币</v>
      </c>
      <c r="B286" t="str">
        <f>"创源文化"</f>
        <v>创源文化</v>
      </c>
      <c r="C286" t="str">
        <f t="shared" si="106"/>
        <v>20170908</v>
      </c>
      <c r="D286" t="str">
        <f t="shared" si="111"/>
        <v>0.000</v>
      </c>
      <c r="E286" t="str">
        <f>"4.00"</f>
        <v>4.00</v>
      </c>
      <c r="F286" t="str">
        <f>"0.00"</f>
        <v>0.00</v>
      </c>
      <c r="G286" t="str">
        <f t="shared" si="109"/>
        <v>475.03</v>
      </c>
      <c r="H286" t="str">
        <f t="shared" si="113"/>
        <v>0.00</v>
      </c>
      <c r="I286" t="str">
        <f>"222"</f>
        <v>222</v>
      </c>
      <c r="J286" t="str">
        <f>"申购配号(创源文化)"</f>
        <v>申购配号(创源文化)</v>
      </c>
      <c r="K286" t="str">
        <f t="shared" si="115"/>
        <v>0.00</v>
      </c>
      <c r="L286" t="str">
        <f t="shared" si="108"/>
        <v>0.00</v>
      </c>
      <c r="M286" t="str">
        <f t="shared" si="116"/>
        <v>0.00</v>
      </c>
      <c r="N286" t="str">
        <f t="shared" si="103"/>
        <v>0.00</v>
      </c>
      <c r="O286" t="str">
        <f>"300703"</f>
        <v>300703</v>
      </c>
      <c r="P286" t="str">
        <f>"0153613480"</f>
        <v>0153613480</v>
      </c>
    </row>
    <row r="287" spans="1:16" x14ac:dyDescent="0.25">
      <c r="A287" t="str">
        <f t="shared" si="101"/>
        <v>人民币</v>
      </c>
      <c r="B287" t="str">
        <f>"盛和资源"</f>
        <v>盛和资源</v>
      </c>
      <c r="C287" t="str">
        <f>"20170912"</f>
        <v>20170912</v>
      </c>
      <c r="D287" t="str">
        <f>"26.890"</f>
        <v>26.890</v>
      </c>
      <c r="E287" t="str">
        <f>"-400.00"</f>
        <v>-400.00</v>
      </c>
      <c r="F287" t="str">
        <f>"10740.02"</f>
        <v>10740.02</v>
      </c>
      <c r="G287" t="str">
        <f>"11215.05"</f>
        <v>11215.05</v>
      </c>
      <c r="H287" t="str">
        <f t="shared" si="113"/>
        <v>0.00</v>
      </c>
      <c r="I287" t="str">
        <f>"273"</f>
        <v>273</v>
      </c>
      <c r="J287" t="str">
        <f>"证券卖出(盛和资源)"</f>
        <v>证券卖出(盛和资源)</v>
      </c>
      <c r="K287" t="str">
        <f>"5.00"</f>
        <v>5.00</v>
      </c>
      <c r="L287" t="str">
        <f>"10.76"</f>
        <v>10.76</v>
      </c>
      <c r="M287" t="str">
        <f>"0.22"</f>
        <v>0.22</v>
      </c>
      <c r="N287" t="str">
        <f t="shared" si="103"/>
        <v>0.00</v>
      </c>
      <c r="O287" t="str">
        <f>"600392"</f>
        <v>600392</v>
      </c>
      <c r="P287" t="str">
        <f>"A400948245"</f>
        <v>A400948245</v>
      </c>
    </row>
    <row r="288" spans="1:16" x14ac:dyDescent="0.25">
      <c r="A288" t="str">
        <f t="shared" si="101"/>
        <v>人民币</v>
      </c>
      <c r="B288" t="str">
        <f>"理药配号"</f>
        <v>理药配号</v>
      </c>
      <c r="C288" t="str">
        <f>"20170912"</f>
        <v>20170912</v>
      </c>
      <c r="D288" t="str">
        <f>"0.000"</f>
        <v>0.000</v>
      </c>
      <c r="E288" t="str">
        <f>"1.00"</f>
        <v>1.00</v>
      </c>
      <c r="F288" t="str">
        <f>"0.00"</f>
        <v>0.00</v>
      </c>
      <c r="G288" t="str">
        <f>"11215.05"</f>
        <v>11215.05</v>
      </c>
      <c r="H288" t="str">
        <f t="shared" si="113"/>
        <v>0.00</v>
      </c>
      <c r="I288" t="str">
        <f>"277"</f>
        <v>277</v>
      </c>
      <c r="J288" t="str">
        <f>"申购配号(理药配号)"</f>
        <v>申购配号(理药配号)</v>
      </c>
      <c r="K288" t="str">
        <f>"0.00"</f>
        <v>0.00</v>
      </c>
      <c r="L288" t="str">
        <f>"0.00"</f>
        <v>0.00</v>
      </c>
      <c r="M288" t="str">
        <f>"0.00"</f>
        <v>0.00</v>
      </c>
      <c r="N288" t="str">
        <f t="shared" si="103"/>
        <v>0.00</v>
      </c>
      <c r="O288" t="str">
        <f>"736963"</f>
        <v>736963</v>
      </c>
      <c r="P288" t="str">
        <f>"A400948245"</f>
        <v>A400948245</v>
      </c>
    </row>
    <row r="289" spans="1:16" x14ac:dyDescent="0.25">
      <c r="A289" t="str">
        <f t="shared" si="101"/>
        <v>人民币</v>
      </c>
      <c r="B289" t="str">
        <f>"西部建设"</f>
        <v>西部建设</v>
      </c>
      <c r="C289" t="str">
        <f>"20170912"</f>
        <v>20170912</v>
      </c>
      <c r="D289" t="str">
        <f>"20.810"</f>
        <v>20.810</v>
      </c>
      <c r="E289" t="str">
        <f>"300.00"</f>
        <v>300.00</v>
      </c>
      <c r="F289" t="str">
        <f>"-6248.00"</f>
        <v>-6248.00</v>
      </c>
      <c r="G289" t="str">
        <f>"4967.05"</f>
        <v>4967.05</v>
      </c>
      <c r="H289" t="str">
        <f>"1300.00"</f>
        <v>1300.00</v>
      </c>
      <c r="I289" t="str">
        <f>"281"</f>
        <v>281</v>
      </c>
      <c r="J289" t="str">
        <f>"证券买入(西部建设)"</f>
        <v>证券买入(西部建设)</v>
      </c>
      <c r="K289" t="str">
        <f>"5.00"</f>
        <v>5.00</v>
      </c>
      <c r="L289" t="str">
        <f t="shared" ref="L289:M295" si="118">"0.00"</f>
        <v>0.00</v>
      </c>
      <c r="M289" t="str">
        <f t="shared" si="118"/>
        <v>0.00</v>
      </c>
      <c r="N289" t="str">
        <f t="shared" si="103"/>
        <v>0.00</v>
      </c>
      <c r="O289" t="str">
        <f>"002302"</f>
        <v>002302</v>
      </c>
      <c r="P289" t="str">
        <f>"0153613480"</f>
        <v>0153613480</v>
      </c>
    </row>
    <row r="290" spans="1:16" x14ac:dyDescent="0.25">
      <c r="A290" t="str">
        <f t="shared" si="101"/>
        <v>人民币</v>
      </c>
      <c r="B290" t="str">
        <f>"哈三联"</f>
        <v>哈三联</v>
      </c>
      <c r="C290" t="str">
        <f>"20170912"</f>
        <v>20170912</v>
      </c>
      <c r="D290" t="str">
        <f>"0.000"</f>
        <v>0.000</v>
      </c>
      <c r="E290" t="str">
        <f>"4.00"</f>
        <v>4.00</v>
      </c>
      <c r="F290" t="str">
        <f>"0.00"</f>
        <v>0.00</v>
      </c>
      <c r="G290" t="str">
        <f>"4967.05"</f>
        <v>4967.05</v>
      </c>
      <c r="H290" t="str">
        <f>"0.00"</f>
        <v>0.00</v>
      </c>
      <c r="I290" t="str">
        <f>"279"</f>
        <v>279</v>
      </c>
      <c r="J290" t="str">
        <f>"申购配号(哈三联)"</f>
        <v>申购配号(哈三联)</v>
      </c>
      <c r="K290" t="str">
        <f>"0.00"</f>
        <v>0.00</v>
      </c>
      <c r="L290" t="str">
        <f t="shared" si="118"/>
        <v>0.00</v>
      </c>
      <c r="M290" t="str">
        <f t="shared" si="118"/>
        <v>0.00</v>
      </c>
      <c r="N290" t="str">
        <f t="shared" si="103"/>
        <v>0.00</v>
      </c>
      <c r="O290" t="str">
        <f>"002900"</f>
        <v>002900</v>
      </c>
      <c r="P290" t="str">
        <f>"0153613480"</f>
        <v>0153613480</v>
      </c>
    </row>
    <row r="291" spans="1:16" x14ac:dyDescent="0.25">
      <c r="A291" t="str">
        <f t="shared" si="101"/>
        <v>人民币</v>
      </c>
      <c r="B291" t="str">
        <f>"拉夏配号"</f>
        <v>拉夏配号</v>
      </c>
      <c r="C291" t="str">
        <f>"20170913"</f>
        <v>20170913</v>
      </c>
      <c r="D291" t="str">
        <f>"0.000"</f>
        <v>0.000</v>
      </c>
      <c r="E291" t="str">
        <f>"1.00"</f>
        <v>1.00</v>
      </c>
      <c r="F291" t="str">
        <f>"0.00"</f>
        <v>0.00</v>
      </c>
      <c r="G291" t="str">
        <f>"4967.05"</f>
        <v>4967.05</v>
      </c>
      <c r="H291" t="str">
        <f>"0.00"</f>
        <v>0.00</v>
      </c>
      <c r="I291" t="str">
        <f>"288"</f>
        <v>288</v>
      </c>
      <c r="J291" t="str">
        <f>"申购配号(拉夏配号)"</f>
        <v>申购配号(拉夏配号)</v>
      </c>
      <c r="K291" t="str">
        <f>"0.00"</f>
        <v>0.00</v>
      </c>
      <c r="L291" t="str">
        <f t="shared" si="118"/>
        <v>0.00</v>
      </c>
      <c r="M291" t="str">
        <f t="shared" si="118"/>
        <v>0.00</v>
      </c>
      <c r="N291" t="str">
        <f t="shared" si="103"/>
        <v>0.00</v>
      </c>
      <c r="O291" t="str">
        <f>"736157"</f>
        <v>736157</v>
      </c>
      <c r="P291" t="str">
        <f>"A400948245"</f>
        <v>A400948245</v>
      </c>
    </row>
    <row r="292" spans="1:16" x14ac:dyDescent="0.25">
      <c r="A292" t="str">
        <f t="shared" si="101"/>
        <v>人民币</v>
      </c>
      <c r="B292" t="str">
        <f>"大博医疗"</f>
        <v>大博医疗</v>
      </c>
      <c r="C292" t="str">
        <f>"20170913"</f>
        <v>20170913</v>
      </c>
      <c r="D292" t="str">
        <f>"0.000"</f>
        <v>0.000</v>
      </c>
      <c r="E292" t="str">
        <f>"4.00"</f>
        <v>4.00</v>
      </c>
      <c r="F292" t="str">
        <f>"0.00"</f>
        <v>0.00</v>
      </c>
      <c r="G292" t="str">
        <f>"4967.05"</f>
        <v>4967.05</v>
      </c>
      <c r="H292" t="str">
        <f>"0.00"</f>
        <v>0.00</v>
      </c>
      <c r="I292" t="str">
        <f>"290"</f>
        <v>290</v>
      </c>
      <c r="J292" t="str">
        <f>"申购配号(大博医疗)"</f>
        <v>申购配号(大博医疗)</v>
      </c>
      <c r="K292" t="str">
        <f>"0.00"</f>
        <v>0.00</v>
      </c>
      <c r="L292" t="str">
        <f t="shared" si="118"/>
        <v>0.00</v>
      </c>
      <c r="M292" t="str">
        <f t="shared" si="118"/>
        <v>0.00</v>
      </c>
      <c r="N292" t="str">
        <f t="shared" si="103"/>
        <v>0.00</v>
      </c>
      <c r="O292" t="str">
        <f>"002901"</f>
        <v>002901</v>
      </c>
      <c r="P292" t="str">
        <f>"0153613480"</f>
        <v>0153613480</v>
      </c>
    </row>
    <row r="293" spans="1:16" x14ac:dyDescent="0.25">
      <c r="A293" t="str">
        <f t="shared" si="101"/>
        <v>人民币</v>
      </c>
      <c r="B293" t="str">
        <f>"傲农配号"</f>
        <v>傲农配号</v>
      </c>
      <c r="C293" t="str">
        <f>"20170914"</f>
        <v>20170914</v>
      </c>
      <c r="D293" t="str">
        <f>"0.000"</f>
        <v>0.000</v>
      </c>
      <c r="E293" t="str">
        <f>"1.00"</f>
        <v>1.00</v>
      </c>
      <c r="F293" t="str">
        <f>"0.00"</f>
        <v>0.00</v>
      </c>
      <c r="G293" t="str">
        <f>"4967.05"</f>
        <v>4967.05</v>
      </c>
      <c r="H293" t="str">
        <f>"0.00"</f>
        <v>0.00</v>
      </c>
      <c r="I293" t="str">
        <f>"297"</f>
        <v>297</v>
      </c>
      <c r="J293" t="str">
        <f>"申购配号(傲农配号)"</f>
        <v>申购配号(傲农配号)</v>
      </c>
      <c r="K293" t="str">
        <f>"0.00"</f>
        <v>0.00</v>
      </c>
      <c r="L293" t="str">
        <f t="shared" si="118"/>
        <v>0.00</v>
      </c>
      <c r="M293" t="str">
        <f t="shared" si="118"/>
        <v>0.00</v>
      </c>
      <c r="N293" t="str">
        <f t="shared" si="103"/>
        <v>0.00</v>
      </c>
      <c r="O293" t="str">
        <f>"736363"</f>
        <v>736363</v>
      </c>
      <c r="P293" t="str">
        <f>"A400948245"</f>
        <v>A400948245</v>
      </c>
    </row>
    <row r="294" spans="1:16" x14ac:dyDescent="0.25">
      <c r="A294" t="str">
        <f t="shared" si="101"/>
        <v>人民币</v>
      </c>
      <c r="B294" t="str">
        <f>"赛为智能"</f>
        <v>赛为智能</v>
      </c>
      <c r="C294" t="str">
        <f>"20170914"</f>
        <v>20170914</v>
      </c>
      <c r="D294" t="str">
        <f>"21.390"</f>
        <v>21.390</v>
      </c>
      <c r="E294" t="str">
        <f>"200.00"</f>
        <v>200.00</v>
      </c>
      <c r="F294" t="str">
        <f>"-4283.00"</f>
        <v>-4283.00</v>
      </c>
      <c r="G294" t="str">
        <f>"684.05"</f>
        <v>684.05</v>
      </c>
      <c r="H294" t="str">
        <f>"200.00"</f>
        <v>200.00</v>
      </c>
      <c r="I294" t="str">
        <f>"294"</f>
        <v>294</v>
      </c>
      <c r="J294" t="str">
        <f>"证券买入(赛为智能)"</f>
        <v>证券买入(赛为智能)</v>
      </c>
      <c r="K294" t="str">
        <f>"5.00"</f>
        <v>5.00</v>
      </c>
      <c r="L294" t="str">
        <f t="shared" si="118"/>
        <v>0.00</v>
      </c>
      <c r="M294" t="str">
        <f t="shared" si="118"/>
        <v>0.00</v>
      </c>
      <c r="N294" t="str">
        <f t="shared" si="103"/>
        <v>0.00</v>
      </c>
      <c r="O294" t="str">
        <f>"300044"</f>
        <v>300044</v>
      </c>
      <c r="P294" t="str">
        <f>"0153613480"</f>
        <v>0153613480</v>
      </c>
    </row>
    <row r="295" spans="1:16" x14ac:dyDescent="0.25">
      <c r="A295" t="str">
        <f t="shared" si="101"/>
        <v>人民币</v>
      </c>
      <c r="B295" t="str">
        <f>"世纪天鸿"</f>
        <v>世纪天鸿</v>
      </c>
      <c r="C295" t="str">
        <f>"20170914"</f>
        <v>20170914</v>
      </c>
      <c r="D295" t="str">
        <f>"0.000"</f>
        <v>0.000</v>
      </c>
      <c r="E295" t="str">
        <f>"4.00"</f>
        <v>4.00</v>
      </c>
      <c r="F295" t="str">
        <f>"0.00"</f>
        <v>0.00</v>
      </c>
      <c r="G295" t="str">
        <f>"684.05"</f>
        <v>684.05</v>
      </c>
      <c r="H295" t="str">
        <f>"0.00"</f>
        <v>0.00</v>
      </c>
      <c r="I295" t="str">
        <f>"299"</f>
        <v>299</v>
      </c>
      <c r="J295" t="str">
        <f>"申购配号(世纪天鸿)"</f>
        <v>申购配号(世纪天鸿)</v>
      </c>
      <c r="K295" t="str">
        <f>"0.00"</f>
        <v>0.00</v>
      </c>
      <c r="L295" t="str">
        <f t="shared" si="118"/>
        <v>0.00</v>
      </c>
      <c r="M295" t="str">
        <f t="shared" si="118"/>
        <v>0.00</v>
      </c>
      <c r="N295" t="str">
        <f t="shared" si="103"/>
        <v>0.00</v>
      </c>
      <c r="O295" t="str">
        <f>"300654"</f>
        <v>300654</v>
      </c>
      <c r="P295" t="str">
        <f>"0153613480"</f>
        <v>0153613480</v>
      </c>
    </row>
    <row r="296" spans="1:16" x14ac:dyDescent="0.25">
      <c r="A296" t="str">
        <f t="shared" si="101"/>
        <v>人民币</v>
      </c>
      <c r="B296" t="str">
        <f>" "</f>
        <v xml:space="preserve"> </v>
      </c>
      <c r="C296" t="str">
        <f>"20170915"</f>
        <v>20170915</v>
      </c>
      <c r="D296" t="str">
        <f>"---"</f>
        <v>---</v>
      </c>
      <c r="E296" t="str">
        <f>"---"</f>
        <v>---</v>
      </c>
      <c r="F296" t="str">
        <f>"5000.00"</f>
        <v>5000.00</v>
      </c>
      <c r="G296" t="str">
        <f>"5684.05"</f>
        <v>5684.05</v>
      </c>
      <c r="H296" t="str">
        <f>"---"</f>
        <v>---</v>
      </c>
      <c r="I296" t="str">
        <f>"---"</f>
        <v>---</v>
      </c>
      <c r="J296" t="str">
        <f>"银行转存"</f>
        <v>银行转存</v>
      </c>
      <c r="K296" t="str">
        <f t="shared" ref="K296:P296" si="119">"---"</f>
        <v>---</v>
      </c>
      <c r="L296" t="str">
        <f t="shared" si="119"/>
        <v>---</v>
      </c>
      <c r="M296" t="str">
        <f t="shared" si="119"/>
        <v>---</v>
      </c>
      <c r="N296" t="str">
        <f t="shared" si="119"/>
        <v>---</v>
      </c>
      <c r="O296" t="str">
        <f t="shared" si="119"/>
        <v>---</v>
      </c>
      <c r="P296" t="str">
        <f t="shared" si="119"/>
        <v>---</v>
      </c>
    </row>
    <row r="297" spans="1:16" x14ac:dyDescent="0.25">
      <c r="A297" t="str">
        <f t="shared" si="101"/>
        <v>人民币</v>
      </c>
      <c r="B297" t="str">
        <f>"天目配号"</f>
        <v>天目配号</v>
      </c>
      <c r="C297" t="str">
        <f>"20170915"</f>
        <v>20170915</v>
      </c>
      <c r="D297" t="str">
        <f>"0.000"</f>
        <v>0.000</v>
      </c>
      <c r="E297" t="str">
        <f>"1.00"</f>
        <v>1.00</v>
      </c>
      <c r="F297" t="str">
        <f>"0.00"</f>
        <v>0.00</v>
      </c>
      <c r="G297" t="str">
        <f>"5684.05"</f>
        <v>5684.05</v>
      </c>
      <c r="H297" t="str">
        <f>"0.00"</f>
        <v>0.00</v>
      </c>
      <c r="I297" t="str">
        <f>"309"</f>
        <v>309</v>
      </c>
      <c r="J297" t="str">
        <f>"申购配号(天目配号)"</f>
        <v>申购配号(天目配号)</v>
      </c>
      <c r="K297" t="str">
        <f>"0.00"</f>
        <v>0.00</v>
      </c>
      <c r="L297" t="str">
        <f>"0.00"</f>
        <v>0.00</v>
      </c>
      <c r="M297" t="str">
        <f>"0.00"</f>
        <v>0.00</v>
      </c>
      <c r="N297" t="str">
        <f>"0.00"</f>
        <v>0.00</v>
      </c>
      <c r="O297" t="str">
        <f>"736136"</f>
        <v>736136</v>
      </c>
      <c r="P297" t="str">
        <f>"A400948245"</f>
        <v>A400948245</v>
      </c>
    </row>
    <row r="298" spans="1:16" x14ac:dyDescent="0.25">
      <c r="A298" t="str">
        <f t="shared" si="101"/>
        <v>人民币</v>
      </c>
      <c r="B298" t="str">
        <f>"赛为智能"</f>
        <v>赛为智能</v>
      </c>
      <c r="C298" t="str">
        <f>"20170915"</f>
        <v>20170915</v>
      </c>
      <c r="D298" t="str">
        <f>"20.610"</f>
        <v>20.610</v>
      </c>
      <c r="E298" t="str">
        <f>"100.00"</f>
        <v>100.00</v>
      </c>
      <c r="F298" t="str">
        <f>"-2066.00"</f>
        <v>-2066.00</v>
      </c>
      <c r="G298" t="str">
        <f>"3618.05"</f>
        <v>3618.05</v>
      </c>
      <c r="H298" t="str">
        <f>"300.00"</f>
        <v>300.00</v>
      </c>
      <c r="I298" t="str">
        <f>"313"</f>
        <v>313</v>
      </c>
      <c r="J298" t="str">
        <f>"证券买入(赛为智能)"</f>
        <v>证券买入(赛为智能)</v>
      </c>
      <c r="K298" t="str">
        <f>"5.00"</f>
        <v>5.00</v>
      </c>
      <c r="L298" t="str">
        <f t="shared" ref="L298:N300" si="120">"0.00"</f>
        <v>0.00</v>
      </c>
      <c r="M298" t="str">
        <f t="shared" si="120"/>
        <v>0.00</v>
      </c>
      <c r="N298" t="str">
        <f t="shared" si="120"/>
        <v>0.00</v>
      </c>
      <c r="O298" t="str">
        <f>"300044"</f>
        <v>300044</v>
      </c>
      <c r="P298" t="str">
        <f>"0153613480"</f>
        <v>0153613480</v>
      </c>
    </row>
    <row r="299" spans="1:16" x14ac:dyDescent="0.25">
      <c r="A299" t="str">
        <f t="shared" si="101"/>
        <v>人民币</v>
      </c>
      <c r="B299" t="str">
        <f>"北方国际"</f>
        <v>北方国际</v>
      </c>
      <c r="C299" t="str">
        <f>"20170915"</f>
        <v>20170915</v>
      </c>
      <c r="D299" t="str">
        <f>"23.000"</f>
        <v>23.000</v>
      </c>
      <c r="E299" t="str">
        <f>"100.00"</f>
        <v>100.00</v>
      </c>
      <c r="F299" t="str">
        <f>"-2305.00"</f>
        <v>-2305.00</v>
      </c>
      <c r="G299" t="str">
        <f>"1313.05"</f>
        <v>1313.05</v>
      </c>
      <c r="H299" t="str">
        <f>"600.00"</f>
        <v>600.00</v>
      </c>
      <c r="I299" t="str">
        <f>"305"</f>
        <v>305</v>
      </c>
      <c r="J299" t="str">
        <f>"证券买入(北方国际)"</f>
        <v>证券买入(北方国际)</v>
      </c>
      <c r="K299" t="str">
        <f>"5.00"</f>
        <v>5.00</v>
      </c>
      <c r="L299" t="str">
        <f t="shared" si="120"/>
        <v>0.00</v>
      </c>
      <c r="M299" t="str">
        <f t="shared" si="120"/>
        <v>0.00</v>
      </c>
      <c r="N299" t="str">
        <f t="shared" si="120"/>
        <v>0.00</v>
      </c>
      <c r="O299" t="str">
        <f>"000065"</f>
        <v>000065</v>
      </c>
      <c r="P299" t="str">
        <f>"0153613480"</f>
        <v>0153613480</v>
      </c>
    </row>
    <row r="300" spans="1:16" x14ac:dyDescent="0.25">
      <c r="A300" t="str">
        <f t="shared" si="101"/>
        <v>人民币</v>
      </c>
      <c r="B300" t="str">
        <f>"阿石创"</f>
        <v>阿石创</v>
      </c>
      <c r="C300" t="str">
        <f>"20170915"</f>
        <v>20170915</v>
      </c>
      <c r="D300" t="str">
        <f>"0.000"</f>
        <v>0.000</v>
      </c>
      <c r="E300" t="str">
        <f>"4.00"</f>
        <v>4.00</v>
      </c>
      <c r="F300" t="str">
        <f>"0.00"</f>
        <v>0.00</v>
      </c>
      <c r="G300" t="str">
        <f>"1313.05"</f>
        <v>1313.05</v>
      </c>
      <c r="H300" t="str">
        <f>"0.00"</f>
        <v>0.00</v>
      </c>
      <c r="I300" t="str">
        <f>"311"</f>
        <v>311</v>
      </c>
      <c r="J300" t="str">
        <f>"申购配号(阿石创)"</f>
        <v>申购配号(阿石创)</v>
      </c>
      <c r="K300" t="str">
        <f>"0.00"</f>
        <v>0.00</v>
      </c>
      <c r="L300" t="str">
        <f t="shared" si="120"/>
        <v>0.00</v>
      </c>
      <c r="M300" t="str">
        <f t="shared" si="120"/>
        <v>0.00</v>
      </c>
      <c r="N300" t="str">
        <f t="shared" si="120"/>
        <v>0.00</v>
      </c>
      <c r="O300" t="str">
        <f>"300706"</f>
        <v>300706</v>
      </c>
      <c r="P300" t="str">
        <f>"0153613480"</f>
        <v>0153613480</v>
      </c>
    </row>
    <row r="301" spans="1:16" x14ac:dyDescent="0.25">
      <c r="A301" t="str">
        <f t="shared" si="101"/>
        <v>人民币</v>
      </c>
      <c r="B301" t="str">
        <f>" "</f>
        <v xml:space="preserve"> </v>
      </c>
      <c r="C301" t="str">
        <f>"20170919"</f>
        <v>20170919</v>
      </c>
      <c r="D301" t="str">
        <f>"---"</f>
        <v>---</v>
      </c>
      <c r="E301" t="str">
        <f>"---"</f>
        <v>---</v>
      </c>
      <c r="F301" t="str">
        <f>"7000.00"</f>
        <v>7000.00</v>
      </c>
      <c r="G301" t="str">
        <f>"8313.05"</f>
        <v>8313.05</v>
      </c>
      <c r="H301" t="str">
        <f>"---"</f>
        <v>---</v>
      </c>
      <c r="I301" t="str">
        <f>"---"</f>
        <v>---</v>
      </c>
      <c r="J301" t="str">
        <f>"银行转存"</f>
        <v>银行转存</v>
      </c>
      <c r="K301" t="str">
        <f t="shared" ref="K301:P301" si="121">"---"</f>
        <v>---</v>
      </c>
      <c r="L301" t="str">
        <f t="shared" si="121"/>
        <v>---</v>
      </c>
      <c r="M301" t="str">
        <f t="shared" si="121"/>
        <v>---</v>
      </c>
      <c r="N301" t="str">
        <f t="shared" si="121"/>
        <v>---</v>
      </c>
      <c r="O301" t="str">
        <f t="shared" si="121"/>
        <v>---</v>
      </c>
      <c r="P301" t="str">
        <f t="shared" si="121"/>
        <v>---</v>
      </c>
    </row>
    <row r="302" spans="1:16" x14ac:dyDescent="0.25">
      <c r="A302" t="str">
        <f t="shared" si="101"/>
        <v>人民币</v>
      </c>
      <c r="B302" t="str">
        <f>"亚士配号"</f>
        <v>亚士配号</v>
      </c>
      <c r="C302" t="str">
        <f>"20170919"</f>
        <v>20170919</v>
      </c>
      <c r="D302" t="str">
        <f>"0.000"</f>
        <v>0.000</v>
      </c>
      <c r="E302" t="str">
        <f>"1.00"</f>
        <v>1.00</v>
      </c>
      <c r="F302" t="str">
        <f>"0.00"</f>
        <v>0.00</v>
      </c>
      <c r="G302" t="str">
        <f>"8313.05"</f>
        <v>8313.05</v>
      </c>
      <c r="H302" t="str">
        <f>"0.00"</f>
        <v>0.00</v>
      </c>
      <c r="I302" t="str">
        <f>"322"</f>
        <v>322</v>
      </c>
      <c r="J302" t="str">
        <f>"申购配号(亚士配号)"</f>
        <v>申购配号(亚士配号)</v>
      </c>
      <c r="K302" t="str">
        <f t="shared" ref="K302:N303" si="122">"0.00"</f>
        <v>0.00</v>
      </c>
      <c r="L302" t="str">
        <f t="shared" si="122"/>
        <v>0.00</v>
      </c>
      <c r="M302" t="str">
        <f t="shared" si="122"/>
        <v>0.00</v>
      </c>
      <c r="N302" t="str">
        <f t="shared" si="122"/>
        <v>0.00</v>
      </c>
      <c r="O302" t="str">
        <f>"736378"</f>
        <v>736378</v>
      </c>
      <c r="P302" t="str">
        <f>"A400948245"</f>
        <v>A400948245</v>
      </c>
    </row>
    <row r="303" spans="1:16" x14ac:dyDescent="0.25">
      <c r="A303" t="str">
        <f t="shared" si="101"/>
        <v>人民币</v>
      </c>
      <c r="B303" t="str">
        <f>"辰欣配号"</f>
        <v>辰欣配号</v>
      </c>
      <c r="C303" t="str">
        <f>"20170919"</f>
        <v>20170919</v>
      </c>
      <c r="D303" t="str">
        <f>"0.000"</f>
        <v>0.000</v>
      </c>
      <c r="E303" t="str">
        <f>"1.00"</f>
        <v>1.00</v>
      </c>
      <c r="F303" t="str">
        <f>"0.00"</f>
        <v>0.00</v>
      </c>
      <c r="G303" t="str">
        <f>"8313.05"</f>
        <v>8313.05</v>
      </c>
      <c r="H303" t="str">
        <f>"0.00"</f>
        <v>0.00</v>
      </c>
      <c r="I303" t="str">
        <f>"320"</f>
        <v>320</v>
      </c>
      <c r="J303" t="str">
        <f>"申购配号(辰欣配号)"</f>
        <v>申购配号(辰欣配号)</v>
      </c>
      <c r="K303" t="str">
        <f t="shared" si="122"/>
        <v>0.00</v>
      </c>
      <c r="L303" t="str">
        <f t="shared" si="122"/>
        <v>0.00</v>
      </c>
      <c r="M303" t="str">
        <f t="shared" si="122"/>
        <v>0.00</v>
      </c>
      <c r="N303" t="str">
        <f t="shared" si="122"/>
        <v>0.00</v>
      </c>
      <c r="O303" t="str">
        <f>"736367"</f>
        <v>736367</v>
      </c>
      <c r="P303" t="str">
        <f>"A400948245"</f>
        <v>A400948245</v>
      </c>
    </row>
    <row r="304" spans="1:16" x14ac:dyDescent="0.25">
      <c r="A304" t="str">
        <f t="shared" si="101"/>
        <v>人民币</v>
      </c>
      <c r="B304" t="str">
        <f>"西部建设"</f>
        <v>西部建设</v>
      </c>
      <c r="C304" t="str">
        <f>"20170919"</f>
        <v>20170919</v>
      </c>
      <c r="D304" t="str">
        <f>"19.820"</f>
        <v>19.820</v>
      </c>
      <c r="E304" t="str">
        <f>"400.00"</f>
        <v>400.00</v>
      </c>
      <c r="F304" t="str">
        <f>"-7933.00"</f>
        <v>-7933.00</v>
      </c>
      <c r="G304" t="str">
        <f>"380.05"</f>
        <v>380.05</v>
      </c>
      <c r="H304" t="str">
        <f>"1700.00"</f>
        <v>1700.00</v>
      </c>
      <c r="I304" t="str">
        <f>"325"</f>
        <v>325</v>
      </c>
      <c r="J304" t="str">
        <f>"证券买入(西部建设)"</f>
        <v>证券买入(西部建设)</v>
      </c>
      <c r="K304" t="str">
        <f>"5.00"</f>
        <v>5.00</v>
      </c>
      <c r="L304" t="str">
        <f>"0.00"</f>
        <v>0.00</v>
      </c>
      <c r="M304" t="str">
        <f>"0.00"</f>
        <v>0.00</v>
      </c>
      <c r="N304" t="str">
        <f>"0.00"</f>
        <v>0.00</v>
      </c>
      <c r="O304" t="str">
        <f>"002302"</f>
        <v>002302</v>
      </c>
      <c r="P304" t="str">
        <f>"0153613480"</f>
        <v>0153613480</v>
      </c>
    </row>
    <row r="305" spans="1:16" x14ac:dyDescent="0.25">
      <c r="A305" t="str">
        <f t="shared" si="101"/>
        <v>人民币</v>
      </c>
      <c r="B305" t="str">
        <f>" "</f>
        <v xml:space="preserve"> </v>
      </c>
      <c r="C305" t="str">
        <f>"20170920"</f>
        <v>20170920</v>
      </c>
      <c r="D305" t="str">
        <f>"---"</f>
        <v>---</v>
      </c>
      <c r="E305" t="str">
        <f>"---"</f>
        <v>---</v>
      </c>
      <c r="F305" t="str">
        <f>"3.17"</f>
        <v>3.17</v>
      </c>
      <c r="G305" t="str">
        <f>"383.22"</f>
        <v>383.22</v>
      </c>
      <c r="H305" t="str">
        <f>"---"</f>
        <v>---</v>
      </c>
      <c r="I305" t="str">
        <f>"---"</f>
        <v>---</v>
      </c>
      <c r="J305" t="str">
        <f>"批量利息归本"</f>
        <v>批量利息归本</v>
      </c>
      <c r="K305" t="str">
        <f t="shared" ref="K305:P305" si="123">"---"</f>
        <v>---</v>
      </c>
      <c r="L305" t="str">
        <f t="shared" si="123"/>
        <v>---</v>
      </c>
      <c r="M305" t="str">
        <f t="shared" si="123"/>
        <v>---</v>
      </c>
      <c r="N305" t="str">
        <f t="shared" si="123"/>
        <v>---</v>
      </c>
      <c r="O305" t="str">
        <f t="shared" si="123"/>
        <v>---</v>
      </c>
      <c r="P305" t="str">
        <f t="shared" si="123"/>
        <v>---</v>
      </c>
    </row>
    <row r="306" spans="1:16" x14ac:dyDescent="0.25">
      <c r="A306" t="str">
        <f t="shared" si="101"/>
        <v>人民币</v>
      </c>
      <c r="B306" t="str">
        <f>"国芳配号"</f>
        <v>国芳配号</v>
      </c>
      <c r="C306" t="str">
        <f>"20170920"</f>
        <v>20170920</v>
      </c>
      <c r="D306" t="str">
        <f>"0.000"</f>
        <v>0.000</v>
      </c>
      <c r="E306" t="str">
        <f>"1.00"</f>
        <v>1.00</v>
      </c>
      <c r="F306" t="str">
        <f>"0.00"</f>
        <v>0.00</v>
      </c>
      <c r="G306" t="str">
        <f>"383.22"</f>
        <v>383.22</v>
      </c>
      <c r="H306" t="str">
        <f>"0.00"</f>
        <v>0.00</v>
      </c>
      <c r="I306" t="str">
        <f>"331"</f>
        <v>331</v>
      </c>
      <c r="J306" t="str">
        <f>"申购配号(国芳配号)"</f>
        <v>申购配号(国芳配号)</v>
      </c>
      <c r="K306" t="str">
        <f t="shared" ref="K306:N307" si="124">"0.00"</f>
        <v>0.00</v>
      </c>
      <c r="L306" t="str">
        <f t="shared" si="124"/>
        <v>0.00</v>
      </c>
      <c r="M306" t="str">
        <f t="shared" si="124"/>
        <v>0.00</v>
      </c>
      <c r="N306" t="str">
        <f t="shared" si="124"/>
        <v>0.00</v>
      </c>
      <c r="O306" t="str">
        <f>"791086"</f>
        <v>791086</v>
      </c>
      <c r="P306" t="str">
        <f>"A400948245"</f>
        <v>A400948245</v>
      </c>
    </row>
    <row r="307" spans="1:16" x14ac:dyDescent="0.25">
      <c r="A307" t="str">
        <f t="shared" si="101"/>
        <v>人民币</v>
      </c>
      <c r="B307" t="str">
        <f>"铭普光磁"</f>
        <v>铭普光磁</v>
      </c>
      <c r="C307" t="str">
        <f>"20170920"</f>
        <v>20170920</v>
      </c>
      <c r="D307" t="str">
        <f>"0.000"</f>
        <v>0.000</v>
      </c>
      <c r="E307" t="str">
        <f>"5.00"</f>
        <v>5.00</v>
      </c>
      <c r="F307" t="str">
        <f>"0.00"</f>
        <v>0.00</v>
      </c>
      <c r="G307" t="str">
        <f>"383.22"</f>
        <v>383.22</v>
      </c>
      <c r="H307" t="str">
        <f>"0.00"</f>
        <v>0.00</v>
      </c>
      <c r="I307" t="str">
        <f>"333"</f>
        <v>333</v>
      </c>
      <c r="J307" t="str">
        <f>"申购配号(铭普光磁)"</f>
        <v>申购配号(铭普光磁)</v>
      </c>
      <c r="K307" t="str">
        <f t="shared" si="124"/>
        <v>0.00</v>
      </c>
      <c r="L307" t="str">
        <f t="shared" si="124"/>
        <v>0.00</v>
      </c>
      <c r="M307" t="str">
        <f t="shared" si="124"/>
        <v>0.00</v>
      </c>
      <c r="N307" t="str">
        <f t="shared" si="124"/>
        <v>0.00</v>
      </c>
      <c r="O307" t="str">
        <f>"002902"</f>
        <v>002902</v>
      </c>
      <c r="P307" t="str">
        <f>"0153613480"</f>
        <v>0153613480</v>
      </c>
    </row>
    <row r="308" spans="1:16" x14ac:dyDescent="0.25">
      <c r="A308" t="str">
        <f t="shared" si="101"/>
        <v>人民币</v>
      </c>
      <c r="B308" t="str">
        <f>" "</f>
        <v xml:space="preserve"> </v>
      </c>
      <c r="C308" t="str">
        <f>"20170925"</f>
        <v>20170925</v>
      </c>
      <c r="D308" t="str">
        <f>"---"</f>
        <v>---</v>
      </c>
      <c r="E308" t="str">
        <f>"---"</f>
        <v>---</v>
      </c>
      <c r="F308" t="str">
        <f>"-344.00"</f>
        <v>-344.00</v>
      </c>
      <c r="G308" t="str">
        <f>"39.22"</f>
        <v>39.22</v>
      </c>
      <c r="H308" t="str">
        <f>"---"</f>
        <v>---</v>
      </c>
      <c r="I308" t="str">
        <f>"---"</f>
        <v>---</v>
      </c>
      <c r="J308" t="str">
        <f>"银行转取"</f>
        <v>银行转取</v>
      </c>
      <c r="K308" t="str">
        <f t="shared" ref="K308:P308" si="125">"---"</f>
        <v>---</v>
      </c>
      <c r="L308" t="str">
        <f t="shared" si="125"/>
        <v>---</v>
      </c>
      <c r="M308" t="str">
        <f t="shared" si="125"/>
        <v>---</v>
      </c>
      <c r="N308" t="str">
        <f t="shared" si="125"/>
        <v>---</v>
      </c>
      <c r="O308" t="str">
        <f t="shared" si="125"/>
        <v>---</v>
      </c>
      <c r="P308" t="str">
        <f t="shared" si="125"/>
        <v>---</v>
      </c>
    </row>
    <row r="309" spans="1:16" x14ac:dyDescent="0.25">
      <c r="A309" t="str">
        <f t="shared" si="101"/>
        <v>人民币</v>
      </c>
      <c r="B309" t="str">
        <f>"北方国际"</f>
        <v>北方国际</v>
      </c>
      <c r="C309" t="str">
        <f>"20170925"</f>
        <v>20170925</v>
      </c>
      <c r="D309" t="str">
        <f>"22.240"</f>
        <v>22.240</v>
      </c>
      <c r="E309" t="str">
        <f>"-300.00"</f>
        <v>-300.00</v>
      </c>
      <c r="F309" t="str">
        <f>"6660.33"</f>
        <v>6660.33</v>
      </c>
      <c r="G309" t="str">
        <f>"6699.55"</f>
        <v>6699.55</v>
      </c>
      <c r="H309" t="str">
        <f>"300.00"</f>
        <v>300.00</v>
      </c>
      <c r="I309" t="str">
        <f>"338"</f>
        <v>338</v>
      </c>
      <c r="J309" t="str">
        <f>"证券卖出(北方国际)"</f>
        <v>证券卖出(北方国际)</v>
      </c>
      <c r="K309" t="str">
        <f>"5.00"</f>
        <v>5.00</v>
      </c>
      <c r="L309" t="str">
        <f>"6.67"</f>
        <v>6.67</v>
      </c>
      <c r="M309" t="str">
        <f t="shared" ref="M309:N313" si="126">"0.00"</f>
        <v>0.00</v>
      </c>
      <c r="N309" t="str">
        <f t="shared" si="126"/>
        <v>0.00</v>
      </c>
      <c r="O309" t="str">
        <f>"000065"</f>
        <v>000065</v>
      </c>
      <c r="P309" t="str">
        <f>"0153613480"</f>
        <v>0153613480</v>
      </c>
    </row>
    <row r="310" spans="1:16" x14ac:dyDescent="0.25">
      <c r="A310" t="str">
        <f t="shared" si="101"/>
        <v>人民币</v>
      </c>
      <c r="B310" t="str">
        <f>"赛为智能"</f>
        <v>赛为智能</v>
      </c>
      <c r="C310" t="str">
        <f>"20170925"</f>
        <v>20170925</v>
      </c>
      <c r="D310" t="str">
        <f>"20.450"</f>
        <v>20.450</v>
      </c>
      <c r="E310" t="str">
        <f>"300.00"</f>
        <v>300.00</v>
      </c>
      <c r="F310" t="str">
        <f>"-6140.00"</f>
        <v>-6140.00</v>
      </c>
      <c r="G310" t="str">
        <f>"559.55"</f>
        <v>559.55</v>
      </c>
      <c r="H310" t="str">
        <f>"600.00"</f>
        <v>600.00</v>
      </c>
      <c r="I310" t="str">
        <f>"341"</f>
        <v>341</v>
      </c>
      <c r="J310" t="str">
        <f>"证券买入(赛为智能)"</f>
        <v>证券买入(赛为智能)</v>
      </c>
      <c r="K310" t="str">
        <f>"5.00"</f>
        <v>5.00</v>
      </c>
      <c r="L310" t="str">
        <f>"0.00"</f>
        <v>0.00</v>
      </c>
      <c r="M310" t="str">
        <f t="shared" si="126"/>
        <v>0.00</v>
      </c>
      <c r="N310" t="str">
        <f t="shared" si="126"/>
        <v>0.00</v>
      </c>
      <c r="O310" t="str">
        <f>"300044"</f>
        <v>300044</v>
      </c>
      <c r="P310" t="str">
        <f>"0153613480"</f>
        <v>0153613480</v>
      </c>
    </row>
    <row r="311" spans="1:16" x14ac:dyDescent="0.25">
      <c r="A311" t="str">
        <f t="shared" si="101"/>
        <v>人民币</v>
      </c>
      <c r="B311" t="str">
        <f>"北方国际"</f>
        <v>北方国际</v>
      </c>
      <c r="C311" t="str">
        <f>"20170925"</f>
        <v>20170925</v>
      </c>
      <c r="D311" t="str">
        <f>"22.250"</f>
        <v>22.250</v>
      </c>
      <c r="E311" t="str">
        <f>"-300.00"</f>
        <v>-300.00</v>
      </c>
      <c r="F311" t="str">
        <f>"6663.32"</f>
        <v>6663.32</v>
      </c>
      <c r="G311" t="str">
        <f>"7222.87"</f>
        <v>7222.87</v>
      </c>
      <c r="H311" t="str">
        <f>"0.00"</f>
        <v>0.00</v>
      </c>
      <c r="I311" t="str">
        <f>"344"</f>
        <v>344</v>
      </c>
      <c r="J311" t="str">
        <f>"证券卖出(北方国际)"</f>
        <v>证券卖出(北方国际)</v>
      </c>
      <c r="K311" t="str">
        <f>"5.00"</f>
        <v>5.00</v>
      </c>
      <c r="L311" t="str">
        <f>"6.68"</f>
        <v>6.68</v>
      </c>
      <c r="M311" t="str">
        <f t="shared" si="126"/>
        <v>0.00</v>
      </c>
      <c r="N311" t="str">
        <f t="shared" si="126"/>
        <v>0.00</v>
      </c>
      <c r="O311" t="str">
        <f>"000065"</f>
        <v>000065</v>
      </c>
      <c r="P311" t="str">
        <f>"0153613480"</f>
        <v>0153613480</v>
      </c>
    </row>
    <row r="312" spans="1:16" x14ac:dyDescent="0.25">
      <c r="A312" t="str">
        <f t="shared" si="101"/>
        <v>人民币</v>
      </c>
      <c r="B312" t="str">
        <f>"赛为智能"</f>
        <v>赛为智能</v>
      </c>
      <c r="C312" t="str">
        <f>"20170925"</f>
        <v>20170925</v>
      </c>
      <c r="D312" t="str">
        <f>"20.380"</f>
        <v>20.380</v>
      </c>
      <c r="E312" t="str">
        <f>"300.00"</f>
        <v>300.00</v>
      </c>
      <c r="F312" t="str">
        <f>"-6119.00"</f>
        <v>-6119.00</v>
      </c>
      <c r="G312" t="str">
        <f>"1103.87"</f>
        <v>1103.87</v>
      </c>
      <c r="H312" t="str">
        <f>"900.00"</f>
        <v>900.00</v>
      </c>
      <c r="I312" t="str">
        <f>"347"</f>
        <v>347</v>
      </c>
      <c r="J312" t="str">
        <f>"证券买入(赛为智能)"</f>
        <v>证券买入(赛为智能)</v>
      </c>
      <c r="K312" t="str">
        <f>"5.00"</f>
        <v>5.00</v>
      </c>
      <c r="L312" t="str">
        <f>"0.00"</f>
        <v>0.00</v>
      </c>
      <c r="M312" t="str">
        <f t="shared" si="126"/>
        <v>0.00</v>
      </c>
      <c r="N312" t="str">
        <f t="shared" si="126"/>
        <v>0.00</v>
      </c>
      <c r="O312" t="str">
        <f>"300044"</f>
        <v>300044</v>
      </c>
      <c r="P312" t="str">
        <f>"0153613480"</f>
        <v>0153613480</v>
      </c>
    </row>
    <row r="313" spans="1:16" x14ac:dyDescent="0.25">
      <c r="A313" t="str">
        <f t="shared" si="101"/>
        <v>人民币</v>
      </c>
      <c r="B313" t="str">
        <f>"宇环数控"</f>
        <v>宇环数控</v>
      </c>
      <c r="C313" t="str">
        <f>"20170926"</f>
        <v>20170926</v>
      </c>
      <c r="D313" t="str">
        <f>"0.000"</f>
        <v>0.000</v>
      </c>
      <c r="E313" t="str">
        <f>"6.00"</f>
        <v>6.00</v>
      </c>
      <c r="F313" t="str">
        <f>"0.00"</f>
        <v>0.00</v>
      </c>
      <c r="G313" t="str">
        <f>"1103.87"</f>
        <v>1103.87</v>
      </c>
      <c r="H313" t="str">
        <f>"0.00"</f>
        <v>0.00</v>
      </c>
      <c r="I313" t="str">
        <f>"1"</f>
        <v>1</v>
      </c>
      <c r="J313" t="str">
        <f>"申购配号(宇环数控)"</f>
        <v>申购配号(宇环数控)</v>
      </c>
      <c r="K313" t="str">
        <f>"0.00"</f>
        <v>0.00</v>
      </c>
      <c r="L313" t="str">
        <f>"0.00"</f>
        <v>0.00</v>
      </c>
      <c r="M313" t="str">
        <f t="shared" si="126"/>
        <v>0.00</v>
      </c>
      <c r="N313" t="str">
        <f t="shared" si="126"/>
        <v>0.00</v>
      </c>
      <c r="O313" t="str">
        <f>"002903"</f>
        <v>002903</v>
      </c>
      <c r="P313" t="str">
        <f>"0153613480"</f>
        <v>0153613480</v>
      </c>
    </row>
    <row r="314" spans="1:16" x14ac:dyDescent="0.25">
      <c r="A314" t="str">
        <f t="shared" si="101"/>
        <v>人民币</v>
      </c>
      <c r="B314" t="str">
        <f>" "</f>
        <v xml:space="preserve"> </v>
      </c>
      <c r="C314" t="str">
        <f>"20170927"</f>
        <v>20170927</v>
      </c>
      <c r="D314" t="str">
        <f>"---"</f>
        <v>---</v>
      </c>
      <c r="E314" t="str">
        <f>"---"</f>
        <v>---</v>
      </c>
      <c r="F314" t="str">
        <f>"10000.00"</f>
        <v>10000.00</v>
      </c>
      <c r="G314" t="str">
        <f>"11103.87"</f>
        <v>11103.87</v>
      </c>
      <c r="H314" t="str">
        <f>"---"</f>
        <v>---</v>
      </c>
      <c r="I314" t="str">
        <f>"---"</f>
        <v>---</v>
      </c>
      <c r="J314" t="str">
        <f>"银行转存"</f>
        <v>银行转存</v>
      </c>
      <c r="K314" t="str">
        <f t="shared" ref="K314:P315" si="127">"---"</f>
        <v>---</v>
      </c>
      <c r="L314" t="str">
        <f t="shared" si="127"/>
        <v>---</v>
      </c>
      <c r="M314" t="str">
        <f t="shared" si="127"/>
        <v>---</v>
      </c>
      <c r="N314" t="str">
        <f t="shared" si="127"/>
        <v>---</v>
      </c>
      <c r="O314" t="str">
        <f t="shared" si="127"/>
        <v>---</v>
      </c>
      <c r="P314" t="str">
        <f t="shared" si="127"/>
        <v>---</v>
      </c>
    </row>
    <row r="315" spans="1:16" x14ac:dyDescent="0.25">
      <c r="A315" t="str">
        <f t="shared" si="101"/>
        <v>人民币</v>
      </c>
      <c r="B315" t="str">
        <f>" "</f>
        <v xml:space="preserve"> </v>
      </c>
      <c r="C315" t="str">
        <f>"20170927"</f>
        <v>20170927</v>
      </c>
      <c r="D315" t="str">
        <f>"---"</f>
        <v>---</v>
      </c>
      <c r="E315" t="str">
        <f>"---"</f>
        <v>---</v>
      </c>
      <c r="F315" t="str">
        <f>"-5000.00"</f>
        <v>-5000.00</v>
      </c>
      <c r="G315" t="str">
        <f>"6103.87"</f>
        <v>6103.87</v>
      </c>
      <c r="H315" t="str">
        <f>"---"</f>
        <v>---</v>
      </c>
      <c r="I315" t="str">
        <f>"---"</f>
        <v>---</v>
      </c>
      <c r="J315" t="str">
        <f>"银行转取"</f>
        <v>银行转取</v>
      </c>
      <c r="K315" t="str">
        <f t="shared" si="127"/>
        <v>---</v>
      </c>
      <c r="L315" t="str">
        <f t="shared" si="127"/>
        <v>---</v>
      </c>
      <c r="M315" t="str">
        <f t="shared" si="127"/>
        <v>---</v>
      </c>
      <c r="N315" t="str">
        <f t="shared" si="127"/>
        <v>---</v>
      </c>
      <c r="O315" t="str">
        <f t="shared" si="127"/>
        <v>---</v>
      </c>
      <c r="P315" t="str">
        <f t="shared" si="127"/>
        <v>---</v>
      </c>
    </row>
    <row r="316" spans="1:16" x14ac:dyDescent="0.25">
      <c r="A316" t="str">
        <f t="shared" si="101"/>
        <v>人民币</v>
      </c>
      <c r="B316" t="str">
        <f>"西部建设"</f>
        <v>西部建设</v>
      </c>
      <c r="C316" t="str">
        <f>"20170927"</f>
        <v>20170927</v>
      </c>
      <c r="D316" t="str">
        <f>"19.200"</f>
        <v>19.200</v>
      </c>
      <c r="E316" t="str">
        <f>"200.00"</f>
        <v>200.00</v>
      </c>
      <c r="F316" t="str">
        <f>"-3845.00"</f>
        <v>-3845.00</v>
      </c>
      <c r="G316" t="str">
        <f>"2258.87"</f>
        <v>2258.87</v>
      </c>
      <c r="H316" t="str">
        <f>"1900.00"</f>
        <v>1900.00</v>
      </c>
      <c r="I316" t="str">
        <f>"10"</f>
        <v>10</v>
      </c>
      <c r="J316" t="str">
        <f>"证券买入(西部建设)"</f>
        <v>证券买入(西部建设)</v>
      </c>
      <c r="K316" t="str">
        <f>"5.00"</f>
        <v>5.00</v>
      </c>
      <c r="L316" t="str">
        <f t="shared" ref="L316:N324" si="128">"0.00"</f>
        <v>0.00</v>
      </c>
      <c r="M316" t="str">
        <f t="shared" si="128"/>
        <v>0.00</v>
      </c>
      <c r="N316" t="str">
        <f t="shared" si="128"/>
        <v>0.00</v>
      </c>
      <c r="O316" t="str">
        <f>"002302"</f>
        <v>002302</v>
      </c>
      <c r="P316" t="str">
        <f t="shared" ref="P316:P324" si="129">"0153613480"</f>
        <v>0153613480</v>
      </c>
    </row>
    <row r="317" spans="1:16" x14ac:dyDescent="0.25">
      <c r="A317" t="str">
        <f t="shared" si="101"/>
        <v>人民币</v>
      </c>
      <c r="B317" t="str">
        <f>"西部建设"</f>
        <v>西部建设</v>
      </c>
      <c r="C317" t="str">
        <f>"20170927"</f>
        <v>20170927</v>
      </c>
      <c r="D317" t="str">
        <f>"19.200"</f>
        <v>19.200</v>
      </c>
      <c r="E317" t="str">
        <f>"100.00"</f>
        <v>100.00</v>
      </c>
      <c r="F317" t="str">
        <f>"-1925.00"</f>
        <v>-1925.00</v>
      </c>
      <c r="G317" t="str">
        <f t="shared" ref="G317:G324" si="130">"333.87"</f>
        <v>333.87</v>
      </c>
      <c r="H317" t="str">
        <f>"2000.00"</f>
        <v>2000.00</v>
      </c>
      <c r="I317" t="str">
        <f>"17"</f>
        <v>17</v>
      </c>
      <c r="J317" t="str">
        <f>"证券买入(西部建设)"</f>
        <v>证券买入(西部建设)</v>
      </c>
      <c r="K317" t="str">
        <f>"5.00"</f>
        <v>5.00</v>
      </c>
      <c r="L317" t="str">
        <f t="shared" si="128"/>
        <v>0.00</v>
      </c>
      <c r="M317" t="str">
        <f t="shared" si="128"/>
        <v>0.00</v>
      </c>
      <c r="N317" t="str">
        <f t="shared" si="128"/>
        <v>0.00</v>
      </c>
      <c r="O317" t="str">
        <f>"002302"</f>
        <v>002302</v>
      </c>
      <c r="P317" t="str">
        <f t="shared" si="129"/>
        <v>0153613480</v>
      </c>
    </row>
    <row r="318" spans="1:16" x14ac:dyDescent="0.25">
      <c r="A318" t="str">
        <f t="shared" si="101"/>
        <v>人民币</v>
      </c>
      <c r="B318" t="str">
        <f>"华阳集团"</f>
        <v>华阳集团</v>
      </c>
      <c r="C318" t="str">
        <f>"20170927"</f>
        <v>20170927</v>
      </c>
      <c r="D318" t="str">
        <f t="shared" ref="D318:D324" si="131">"0.000"</f>
        <v>0.000</v>
      </c>
      <c r="E318" t="str">
        <f>"7.00"</f>
        <v>7.00</v>
      </c>
      <c r="F318" t="str">
        <f t="shared" ref="F318:F324" si="132">"0.00"</f>
        <v>0.00</v>
      </c>
      <c r="G318" t="str">
        <f t="shared" si="130"/>
        <v>333.87</v>
      </c>
      <c r="H318" t="str">
        <f t="shared" ref="H318:H324" si="133">"0.00"</f>
        <v>0.00</v>
      </c>
      <c r="I318" t="str">
        <f>"8"</f>
        <v>8</v>
      </c>
      <c r="J318" t="str">
        <f>"申购配号(华阳集团)"</f>
        <v>申购配号(华阳集团)</v>
      </c>
      <c r="K318" t="str">
        <f t="shared" ref="K318:K324" si="134">"0.00"</f>
        <v>0.00</v>
      </c>
      <c r="L318" t="str">
        <f t="shared" si="128"/>
        <v>0.00</v>
      </c>
      <c r="M318" t="str">
        <f t="shared" si="128"/>
        <v>0.00</v>
      </c>
      <c r="N318" t="str">
        <f t="shared" si="128"/>
        <v>0.00</v>
      </c>
      <c r="O318" t="str">
        <f>"002906"</f>
        <v>002906</v>
      </c>
      <c r="P318" t="str">
        <f t="shared" si="129"/>
        <v>0153613480</v>
      </c>
    </row>
    <row r="319" spans="1:16" x14ac:dyDescent="0.25">
      <c r="A319" t="str">
        <f t="shared" si="101"/>
        <v>人民币</v>
      </c>
      <c r="B319" t="str">
        <f>"德生科技"</f>
        <v>德生科技</v>
      </c>
      <c r="C319" t="str">
        <f>"20171010"</f>
        <v>20171010</v>
      </c>
      <c r="D319" t="str">
        <f t="shared" si="131"/>
        <v>0.000</v>
      </c>
      <c r="E319" t="str">
        <f>"8.00"</f>
        <v>8.00</v>
      </c>
      <c r="F319" t="str">
        <f t="shared" si="132"/>
        <v>0.00</v>
      </c>
      <c r="G319" t="str">
        <f t="shared" si="130"/>
        <v>333.87</v>
      </c>
      <c r="H319" t="str">
        <f t="shared" si="133"/>
        <v>0.00</v>
      </c>
      <c r="I319" t="str">
        <f>"23"</f>
        <v>23</v>
      </c>
      <c r="J319" t="str">
        <f>"申购配号(德生科技)"</f>
        <v>申购配号(德生科技)</v>
      </c>
      <c r="K319" t="str">
        <f t="shared" si="134"/>
        <v>0.00</v>
      </c>
      <c r="L319" t="str">
        <f t="shared" si="128"/>
        <v>0.00</v>
      </c>
      <c r="M319" t="str">
        <f t="shared" si="128"/>
        <v>0.00</v>
      </c>
      <c r="N319" t="str">
        <f t="shared" si="128"/>
        <v>0.00</v>
      </c>
      <c r="O319" t="str">
        <f>"002908"</f>
        <v>002908</v>
      </c>
      <c r="P319" t="str">
        <f t="shared" si="129"/>
        <v>0153613480</v>
      </c>
    </row>
    <row r="320" spans="1:16" x14ac:dyDescent="0.25">
      <c r="A320" t="str">
        <f t="shared" si="101"/>
        <v>人民币</v>
      </c>
      <c r="B320" t="str">
        <f>"华森制药"</f>
        <v>华森制药</v>
      </c>
      <c r="C320" t="str">
        <f>"20171011"</f>
        <v>20171011</v>
      </c>
      <c r="D320" t="str">
        <f t="shared" si="131"/>
        <v>0.000</v>
      </c>
      <c r="E320" t="str">
        <f>"9.00"</f>
        <v>9.00</v>
      </c>
      <c r="F320" t="str">
        <f t="shared" si="132"/>
        <v>0.00</v>
      </c>
      <c r="G320" t="str">
        <f t="shared" si="130"/>
        <v>333.87</v>
      </c>
      <c r="H320" t="str">
        <f t="shared" si="133"/>
        <v>0.00</v>
      </c>
      <c r="I320" t="str">
        <f>"26"</f>
        <v>26</v>
      </c>
      <c r="J320" t="str">
        <f>"申购配号(华森制药)"</f>
        <v>申购配号(华森制药)</v>
      </c>
      <c r="K320" t="str">
        <f t="shared" si="134"/>
        <v>0.00</v>
      </c>
      <c r="L320" t="str">
        <f t="shared" si="128"/>
        <v>0.00</v>
      </c>
      <c r="M320" t="str">
        <f t="shared" si="128"/>
        <v>0.00</v>
      </c>
      <c r="N320" t="str">
        <f t="shared" si="128"/>
        <v>0.00</v>
      </c>
      <c r="O320" t="str">
        <f>"002907"</f>
        <v>002907</v>
      </c>
      <c r="P320" t="str">
        <f t="shared" si="129"/>
        <v>0153613480</v>
      </c>
    </row>
    <row r="321" spans="1:16" x14ac:dyDescent="0.25">
      <c r="A321" t="str">
        <f t="shared" si="101"/>
        <v>人民币</v>
      </c>
      <c r="B321" t="str">
        <f>"凯伦股份"</f>
        <v>凯伦股份</v>
      </c>
      <c r="C321" t="str">
        <f>"20171012"</f>
        <v>20171012</v>
      </c>
      <c r="D321" t="str">
        <f t="shared" si="131"/>
        <v>0.000</v>
      </c>
      <c r="E321" t="str">
        <f>"9.00"</f>
        <v>9.00</v>
      </c>
      <c r="F321" t="str">
        <f t="shared" si="132"/>
        <v>0.00</v>
      </c>
      <c r="G321" t="str">
        <f t="shared" si="130"/>
        <v>333.87</v>
      </c>
      <c r="H321" t="str">
        <f t="shared" si="133"/>
        <v>0.00</v>
      </c>
      <c r="I321" t="str">
        <f>"29"</f>
        <v>29</v>
      </c>
      <c r="J321" t="str">
        <f>"申购配号(凯伦股份)"</f>
        <v>申购配号(凯伦股份)</v>
      </c>
      <c r="K321" t="str">
        <f t="shared" si="134"/>
        <v>0.00</v>
      </c>
      <c r="L321" t="str">
        <f t="shared" si="128"/>
        <v>0.00</v>
      </c>
      <c r="M321" t="str">
        <f t="shared" si="128"/>
        <v>0.00</v>
      </c>
      <c r="N321" t="str">
        <f t="shared" si="128"/>
        <v>0.00</v>
      </c>
      <c r="O321" t="str">
        <f>"300715"</f>
        <v>300715</v>
      </c>
      <c r="P321" t="str">
        <f t="shared" si="129"/>
        <v>0153613480</v>
      </c>
    </row>
    <row r="322" spans="1:16" x14ac:dyDescent="0.25">
      <c r="A322" t="str">
        <f t="shared" ref="A322:A389" si="135">"人民币"</f>
        <v>人民币</v>
      </c>
      <c r="B322" t="str">
        <f>"庄园牧场"</f>
        <v>庄园牧场</v>
      </c>
      <c r="C322" t="str">
        <f>"20171018"</f>
        <v>20171018</v>
      </c>
      <c r="D322" t="str">
        <f t="shared" si="131"/>
        <v>0.000</v>
      </c>
      <c r="E322" t="str">
        <f>"10.00"</f>
        <v>10.00</v>
      </c>
      <c r="F322" t="str">
        <f t="shared" si="132"/>
        <v>0.00</v>
      </c>
      <c r="G322" t="str">
        <f t="shared" si="130"/>
        <v>333.87</v>
      </c>
      <c r="H322" t="str">
        <f t="shared" si="133"/>
        <v>0.00</v>
      </c>
      <c r="I322" t="str">
        <f>"32"</f>
        <v>32</v>
      </c>
      <c r="J322" t="str">
        <f>"申购配号(庄园牧场)"</f>
        <v>申购配号(庄园牧场)</v>
      </c>
      <c r="K322" t="str">
        <f t="shared" si="134"/>
        <v>0.00</v>
      </c>
      <c r="L322" t="str">
        <f t="shared" si="128"/>
        <v>0.00</v>
      </c>
      <c r="M322" t="str">
        <f t="shared" si="128"/>
        <v>0.00</v>
      </c>
      <c r="N322" t="str">
        <f t="shared" si="128"/>
        <v>0.00</v>
      </c>
      <c r="O322" t="str">
        <f>"002910"</f>
        <v>002910</v>
      </c>
      <c r="P322" t="str">
        <f t="shared" si="129"/>
        <v>0153613480</v>
      </c>
    </row>
    <row r="323" spans="1:16" x14ac:dyDescent="0.25">
      <c r="A323" t="str">
        <f t="shared" si="135"/>
        <v>人民币</v>
      </c>
      <c r="B323" t="str">
        <f>"永福股份"</f>
        <v>永福股份</v>
      </c>
      <c r="C323" t="str">
        <f>"20171019"</f>
        <v>20171019</v>
      </c>
      <c r="D323" t="str">
        <f t="shared" si="131"/>
        <v>0.000</v>
      </c>
      <c r="E323" t="str">
        <f>"10.00"</f>
        <v>10.00</v>
      </c>
      <c r="F323" t="str">
        <f t="shared" si="132"/>
        <v>0.00</v>
      </c>
      <c r="G323" t="str">
        <f t="shared" si="130"/>
        <v>333.87</v>
      </c>
      <c r="H323" t="str">
        <f t="shared" si="133"/>
        <v>0.00</v>
      </c>
      <c r="I323" t="str">
        <f>"35"</f>
        <v>35</v>
      </c>
      <c r="J323" t="str">
        <f>"申购配号(永福股份)"</f>
        <v>申购配号(永福股份)</v>
      </c>
      <c r="K323" t="str">
        <f t="shared" si="134"/>
        <v>0.00</v>
      </c>
      <c r="L323" t="str">
        <f t="shared" si="128"/>
        <v>0.00</v>
      </c>
      <c r="M323" t="str">
        <f t="shared" si="128"/>
        <v>0.00</v>
      </c>
      <c r="N323" t="str">
        <f t="shared" si="128"/>
        <v>0.00</v>
      </c>
      <c r="O323" t="str">
        <f>"300712"</f>
        <v>300712</v>
      </c>
      <c r="P323" t="str">
        <f t="shared" si="129"/>
        <v>0153613480</v>
      </c>
    </row>
    <row r="324" spans="1:16" x14ac:dyDescent="0.25">
      <c r="A324" t="str">
        <f t="shared" si="135"/>
        <v>人民币</v>
      </c>
      <c r="B324" t="str">
        <f>"英可瑞"</f>
        <v>英可瑞</v>
      </c>
      <c r="C324" t="str">
        <f>"20171019"</f>
        <v>20171019</v>
      </c>
      <c r="D324" t="str">
        <f t="shared" si="131"/>
        <v>0.000</v>
      </c>
      <c r="E324" t="str">
        <f>"10.00"</f>
        <v>10.00</v>
      </c>
      <c r="F324" t="str">
        <f t="shared" si="132"/>
        <v>0.00</v>
      </c>
      <c r="G324" t="str">
        <f t="shared" si="130"/>
        <v>333.87</v>
      </c>
      <c r="H324" t="str">
        <f t="shared" si="133"/>
        <v>0.00</v>
      </c>
      <c r="I324" t="str">
        <f>"37"</f>
        <v>37</v>
      </c>
      <c r="J324" t="str">
        <f>"申购配号(英可瑞)"</f>
        <v>申购配号(英可瑞)</v>
      </c>
      <c r="K324" t="str">
        <f t="shared" si="134"/>
        <v>0.00</v>
      </c>
      <c r="L324" t="str">
        <f t="shared" si="128"/>
        <v>0.00</v>
      </c>
      <c r="M324" t="str">
        <f t="shared" si="128"/>
        <v>0.00</v>
      </c>
      <c r="N324" t="str">
        <f t="shared" si="128"/>
        <v>0.00</v>
      </c>
      <c r="O324" t="str">
        <f>"300713"</f>
        <v>300713</v>
      </c>
      <c r="P324" t="str">
        <f t="shared" si="129"/>
        <v>0153613480</v>
      </c>
    </row>
    <row r="325" spans="1:16" x14ac:dyDescent="0.25">
      <c r="A325" t="str">
        <f t="shared" si="135"/>
        <v>人民币</v>
      </c>
      <c r="B325" t="str">
        <f>" "</f>
        <v xml:space="preserve"> </v>
      </c>
      <c r="C325" t="str">
        <f>"20171024"</f>
        <v>20171024</v>
      </c>
      <c r="D325" t="str">
        <f>"---"</f>
        <v>---</v>
      </c>
      <c r="E325" t="str">
        <f>"---"</f>
        <v>---</v>
      </c>
      <c r="F325" t="str">
        <f>"6800.00"</f>
        <v>6800.00</v>
      </c>
      <c r="G325" t="str">
        <f>"7133.87"</f>
        <v>7133.87</v>
      </c>
      <c r="H325" t="str">
        <f>"---"</f>
        <v>---</v>
      </c>
      <c r="I325" t="str">
        <f>"---"</f>
        <v>---</v>
      </c>
      <c r="J325" t="str">
        <f>"银行转存"</f>
        <v>银行转存</v>
      </c>
      <c r="K325" t="str">
        <f t="shared" ref="K325:P325" si="136">"---"</f>
        <v>---</v>
      </c>
      <c r="L325" t="str">
        <f t="shared" si="136"/>
        <v>---</v>
      </c>
      <c r="M325" t="str">
        <f t="shared" si="136"/>
        <v>---</v>
      </c>
      <c r="N325" t="str">
        <f t="shared" si="136"/>
        <v>---</v>
      </c>
      <c r="O325" t="str">
        <f t="shared" si="136"/>
        <v>---</v>
      </c>
      <c r="P325" t="str">
        <f t="shared" si="136"/>
        <v>---</v>
      </c>
    </row>
    <row r="326" spans="1:16" x14ac:dyDescent="0.25">
      <c r="A326" t="str">
        <f t="shared" si="135"/>
        <v>人民币</v>
      </c>
      <c r="B326" t="str">
        <f>"西部建设"</f>
        <v>西部建设</v>
      </c>
      <c r="C326" t="str">
        <f>"20171024"</f>
        <v>20171024</v>
      </c>
      <c r="D326" t="str">
        <f>"18.500"</f>
        <v>18.500</v>
      </c>
      <c r="E326" t="str">
        <f>"300.00"</f>
        <v>300.00</v>
      </c>
      <c r="F326" t="str">
        <f>"-5555.00"</f>
        <v>-5555.00</v>
      </c>
      <c r="G326" t="str">
        <f>"1578.87"</f>
        <v>1578.87</v>
      </c>
      <c r="H326" t="str">
        <f>"2300.00"</f>
        <v>2300.00</v>
      </c>
      <c r="I326" t="str">
        <f>"42"</f>
        <v>42</v>
      </c>
      <c r="J326" t="str">
        <f>"证券买入(西部建设)"</f>
        <v>证券买入(西部建设)</v>
      </c>
      <c r="K326" t="str">
        <f>"5.00"</f>
        <v>5.00</v>
      </c>
      <c r="L326" t="str">
        <f>"0.00"</f>
        <v>0.00</v>
      </c>
      <c r="M326" t="str">
        <f>"0.00"</f>
        <v>0.00</v>
      </c>
      <c r="N326" t="str">
        <f>"0.00"</f>
        <v>0.00</v>
      </c>
      <c r="O326" t="str">
        <f>"002302"</f>
        <v>002302</v>
      </c>
      <c r="P326" t="str">
        <f>"0153613480"</f>
        <v>0153613480</v>
      </c>
    </row>
    <row r="327" spans="1:16" x14ac:dyDescent="0.25">
      <c r="A327" t="str">
        <f t="shared" si="135"/>
        <v>人民币</v>
      </c>
      <c r="B327" t="str">
        <f>" "</f>
        <v xml:space="preserve"> </v>
      </c>
      <c r="C327" t="str">
        <f>"20171025"</f>
        <v>20171025</v>
      </c>
      <c r="D327" t="str">
        <f>"---"</f>
        <v>---</v>
      </c>
      <c r="E327" t="str">
        <f>"---"</f>
        <v>---</v>
      </c>
      <c r="F327" t="str">
        <f>"6764.00"</f>
        <v>6764.00</v>
      </c>
      <c r="G327" t="str">
        <f>"8342.87"</f>
        <v>8342.87</v>
      </c>
      <c r="H327" t="str">
        <f>"---"</f>
        <v>---</v>
      </c>
      <c r="I327" t="str">
        <f>"---"</f>
        <v>---</v>
      </c>
      <c r="J327" t="str">
        <f>"银行转存"</f>
        <v>银行转存</v>
      </c>
      <c r="K327" t="str">
        <f t="shared" ref="K327:P327" si="137">"---"</f>
        <v>---</v>
      </c>
      <c r="L327" t="str">
        <f t="shared" si="137"/>
        <v>---</v>
      </c>
      <c r="M327" t="str">
        <f t="shared" si="137"/>
        <v>---</v>
      </c>
      <c r="N327" t="str">
        <f t="shared" si="137"/>
        <v>---</v>
      </c>
      <c r="O327" t="str">
        <f t="shared" si="137"/>
        <v>---</v>
      </c>
      <c r="P327" t="str">
        <f t="shared" si="137"/>
        <v>---</v>
      </c>
    </row>
    <row r="328" spans="1:16" x14ac:dyDescent="0.25">
      <c r="A328" t="str">
        <f t="shared" si="135"/>
        <v>人民币</v>
      </c>
      <c r="B328" t="str">
        <f>"西部建设"</f>
        <v>西部建设</v>
      </c>
      <c r="C328" t="str">
        <f>"20171025"</f>
        <v>20171025</v>
      </c>
      <c r="D328" t="str">
        <f>"18.200"</f>
        <v>18.200</v>
      </c>
      <c r="E328" t="str">
        <f>"200.00"</f>
        <v>200.00</v>
      </c>
      <c r="F328" t="str">
        <f>"-3645.00"</f>
        <v>-3645.00</v>
      </c>
      <c r="G328" t="str">
        <f>"4697.87"</f>
        <v>4697.87</v>
      </c>
      <c r="H328" t="str">
        <f>"2500.00"</f>
        <v>2500.00</v>
      </c>
      <c r="I328" t="str">
        <f>"49"</f>
        <v>49</v>
      </c>
      <c r="J328" t="str">
        <f>"证券买入(西部建设)"</f>
        <v>证券买入(西部建设)</v>
      </c>
      <c r="K328" t="str">
        <f>"5.00"</f>
        <v>5.00</v>
      </c>
      <c r="L328" t="str">
        <f t="shared" ref="L328:N329" si="138">"0.00"</f>
        <v>0.00</v>
      </c>
      <c r="M328" t="str">
        <f t="shared" si="138"/>
        <v>0.00</v>
      </c>
      <c r="N328" t="str">
        <f t="shared" si="138"/>
        <v>0.00</v>
      </c>
      <c r="O328" t="str">
        <f>"002302"</f>
        <v>002302</v>
      </c>
      <c r="P328" t="str">
        <f>"0153613480"</f>
        <v>0153613480</v>
      </c>
    </row>
    <row r="329" spans="1:16" x14ac:dyDescent="0.25">
      <c r="A329" t="str">
        <f t="shared" si="135"/>
        <v>人民币</v>
      </c>
      <c r="B329" t="str">
        <f>"长盛轴承"</f>
        <v>长盛轴承</v>
      </c>
      <c r="C329" t="str">
        <f>"20171025"</f>
        <v>20171025</v>
      </c>
      <c r="D329" t="str">
        <f>"0.000"</f>
        <v>0.000</v>
      </c>
      <c r="E329" t="str">
        <f>"10.00"</f>
        <v>10.00</v>
      </c>
      <c r="F329" t="str">
        <f>"0.00"</f>
        <v>0.00</v>
      </c>
      <c r="G329" t="str">
        <f>"4697.87"</f>
        <v>4697.87</v>
      </c>
      <c r="H329" t="str">
        <f>"0.00"</f>
        <v>0.00</v>
      </c>
      <c r="I329" t="str">
        <f>"46"</f>
        <v>46</v>
      </c>
      <c r="J329" t="str">
        <f>"申购配号(长盛轴承)"</f>
        <v>申购配号(长盛轴承)</v>
      </c>
      <c r="K329" t="str">
        <f>"0.00"</f>
        <v>0.00</v>
      </c>
      <c r="L329" t="str">
        <f t="shared" si="138"/>
        <v>0.00</v>
      </c>
      <c r="M329" t="str">
        <f t="shared" si="138"/>
        <v>0.00</v>
      </c>
      <c r="N329" t="str">
        <f t="shared" si="138"/>
        <v>0.00</v>
      </c>
      <c r="O329" t="str">
        <f>"300718"</f>
        <v>300718</v>
      </c>
      <c r="P329" t="str">
        <f>"0153613480"</f>
        <v>0153613480</v>
      </c>
    </row>
    <row r="330" spans="1:16" x14ac:dyDescent="0.25">
      <c r="A330" t="str">
        <f t="shared" si="135"/>
        <v>人民币</v>
      </c>
      <c r="B330" t="str">
        <f>" "</f>
        <v xml:space="preserve"> </v>
      </c>
      <c r="C330" t="str">
        <f>"20171026"</f>
        <v>20171026</v>
      </c>
      <c r="D330" t="str">
        <f>"---"</f>
        <v>---</v>
      </c>
      <c r="E330" t="str">
        <f>"---"</f>
        <v>---</v>
      </c>
      <c r="F330" t="str">
        <f>"-3000.00"</f>
        <v>-3000.00</v>
      </c>
      <c r="G330" t="str">
        <f>"1697.87"</f>
        <v>1697.87</v>
      </c>
      <c r="H330" t="str">
        <f>"---"</f>
        <v>---</v>
      </c>
      <c r="I330" t="str">
        <f>"---"</f>
        <v>---</v>
      </c>
      <c r="J330" t="str">
        <f>"银行转取"</f>
        <v>银行转取</v>
      </c>
      <c r="K330" t="str">
        <f t="shared" ref="K330:P330" si="139">"---"</f>
        <v>---</v>
      </c>
      <c r="L330" t="str">
        <f t="shared" si="139"/>
        <v>---</v>
      </c>
      <c r="M330" t="str">
        <f t="shared" si="139"/>
        <v>---</v>
      </c>
      <c r="N330" t="str">
        <f t="shared" si="139"/>
        <v>---</v>
      </c>
      <c r="O330" t="str">
        <f t="shared" si="139"/>
        <v>---</v>
      </c>
      <c r="P330" t="str">
        <f t="shared" si="139"/>
        <v>---</v>
      </c>
    </row>
    <row r="331" spans="1:16" x14ac:dyDescent="0.25">
      <c r="A331" t="str">
        <f t="shared" si="135"/>
        <v>人民币</v>
      </c>
      <c r="B331" t="str">
        <f>"华信新材"</f>
        <v>华信新材</v>
      </c>
      <c r="C331" t="str">
        <f>"20171026"</f>
        <v>20171026</v>
      </c>
      <c r="D331" t="str">
        <f>"0.000"</f>
        <v>0.000</v>
      </c>
      <c r="E331" t="str">
        <f>"11.00"</f>
        <v>11.00</v>
      </c>
      <c r="F331" t="str">
        <f>"0.00"</f>
        <v>0.00</v>
      </c>
      <c r="G331" t="str">
        <f>"1697.87"</f>
        <v>1697.87</v>
      </c>
      <c r="H331" t="str">
        <f>"0.00"</f>
        <v>0.00</v>
      </c>
      <c r="I331" t="str">
        <f>"55"</f>
        <v>55</v>
      </c>
      <c r="J331" t="str">
        <f>"申购配号(华信新材)"</f>
        <v>申购配号(华信新材)</v>
      </c>
      <c r="K331" t="str">
        <f t="shared" ref="K331:N332" si="140">"0.00"</f>
        <v>0.00</v>
      </c>
      <c r="L331" t="str">
        <f t="shared" si="140"/>
        <v>0.00</v>
      </c>
      <c r="M331" t="str">
        <f t="shared" si="140"/>
        <v>0.00</v>
      </c>
      <c r="N331" t="str">
        <f t="shared" si="140"/>
        <v>0.00</v>
      </c>
      <c r="O331" t="str">
        <f>"300717"</f>
        <v>300717</v>
      </c>
      <c r="P331" t="str">
        <f>"0153613480"</f>
        <v>0153613480</v>
      </c>
    </row>
    <row r="332" spans="1:16" x14ac:dyDescent="0.25">
      <c r="A332" t="str">
        <f t="shared" si="135"/>
        <v>人民币</v>
      </c>
      <c r="B332" t="str">
        <f>"海川智能"</f>
        <v>海川智能</v>
      </c>
      <c r="C332" t="str">
        <f>"20171026"</f>
        <v>20171026</v>
      </c>
      <c r="D332" t="str">
        <f>"0.000"</f>
        <v>0.000</v>
      </c>
      <c r="E332" t="str">
        <f>"11.00"</f>
        <v>11.00</v>
      </c>
      <c r="F332" t="str">
        <f>"0.00"</f>
        <v>0.00</v>
      </c>
      <c r="G332" t="str">
        <f>"1697.87"</f>
        <v>1697.87</v>
      </c>
      <c r="H332" t="str">
        <f>"0.00"</f>
        <v>0.00</v>
      </c>
      <c r="I332" t="str">
        <f>"57"</f>
        <v>57</v>
      </c>
      <c r="J332" t="str">
        <f>"申购配号(海川智能)"</f>
        <v>申购配号(海川智能)</v>
      </c>
      <c r="K332" t="str">
        <f t="shared" si="140"/>
        <v>0.00</v>
      </c>
      <c r="L332" t="str">
        <f t="shared" si="140"/>
        <v>0.00</v>
      </c>
      <c r="M332" t="str">
        <f t="shared" si="140"/>
        <v>0.00</v>
      </c>
      <c r="N332" t="str">
        <f t="shared" si="140"/>
        <v>0.00</v>
      </c>
      <c r="O332" t="str">
        <f>"300720"</f>
        <v>300720</v>
      </c>
      <c r="P332" t="str">
        <f>"0153613480"</f>
        <v>0153613480</v>
      </c>
    </row>
    <row r="333" spans="1:16" x14ac:dyDescent="0.25">
      <c r="A333" t="str">
        <f t="shared" si="135"/>
        <v>人民币</v>
      </c>
      <c r="B333" t="str">
        <f>"西部建设"</f>
        <v>西部建设</v>
      </c>
      <c r="C333" t="str">
        <f>"20171102"</f>
        <v>20171102</v>
      </c>
      <c r="D333" t="str">
        <f>"16.870"</f>
        <v>16.870</v>
      </c>
      <c r="E333" t="str">
        <f>"100.00"</f>
        <v>100.00</v>
      </c>
      <c r="F333" t="str">
        <f>"-1692.00"</f>
        <v>-1692.00</v>
      </c>
      <c r="G333" t="str">
        <f t="shared" ref="G333:G338" si="141">"5.87"</f>
        <v>5.87</v>
      </c>
      <c r="H333" t="str">
        <f>"2600.00"</f>
        <v>2600.00</v>
      </c>
      <c r="I333" t="str">
        <f>"68"</f>
        <v>68</v>
      </c>
      <c r="J333" t="str">
        <f>"证券买入(西部建设)"</f>
        <v>证券买入(西部建设)</v>
      </c>
      <c r="K333" t="str">
        <f>"5.00"</f>
        <v>5.00</v>
      </c>
      <c r="L333" t="str">
        <f t="shared" ref="L333:N338" si="142">"0.00"</f>
        <v>0.00</v>
      </c>
      <c r="M333" t="str">
        <f t="shared" si="142"/>
        <v>0.00</v>
      </c>
      <c r="N333" t="str">
        <f t="shared" si="142"/>
        <v>0.00</v>
      </c>
      <c r="O333" t="str">
        <f>"002302"</f>
        <v>002302</v>
      </c>
      <c r="P333" t="str">
        <f>"0153613480"</f>
        <v>0153613480</v>
      </c>
    </row>
    <row r="334" spans="1:16" x14ac:dyDescent="0.25">
      <c r="A334" t="str">
        <f t="shared" si="135"/>
        <v>人民币</v>
      </c>
      <c r="B334" t="str">
        <f>"怡达股份"</f>
        <v>怡达股份</v>
      </c>
      <c r="C334" t="str">
        <f>"20171102"</f>
        <v>20171102</v>
      </c>
      <c r="D334" t="str">
        <f>"0.000"</f>
        <v>0.000</v>
      </c>
      <c r="E334" t="str">
        <f>"11.00"</f>
        <v>11.00</v>
      </c>
      <c r="F334" t="str">
        <f>"0.00"</f>
        <v>0.00</v>
      </c>
      <c r="G334" t="str">
        <f t="shared" si="141"/>
        <v>5.87</v>
      </c>
      <c r="H334" t="str">
        <f>"0.00"</f>
        <v>0.00</v>
      </c>
      <c r="I334" t="str">
        <f>"66"</f>
        <v>66</v>
      </c>
      <c r="J334" t="str">
        <f>"申购配号(怡达股份)"</f>
        <v>申购配号(怡达股份)</v>
      </c>
      <c r="K334" t="str">
        <f>"0.00"</f>
        <v>0.00</v>
      </c>
      <c r="L334" t="str">
        <f t="shared" si="142"/>
        <v>0.00</v>
      </c>
      <c r="M334" t="str">
        <f t="shared" si="142"/>
        <v>0.00</v>
      </c>
      <c r="N334" t="str">
        <f t="shared" si="142"/>
        <v>0.00</v>
      </c>
      <c r="O334" t="str">
        <f>"300721"</f>
        <v>300721</v>
      </c>
      <c r="P334" t="str">
        <f>"0153613480"</f>
        <v>0153613480</v>
      </c>
    </row>
    <row r="335" spans="1:16" x14ac:dyDescent="0.25">
      <c r="A335" t="str">
        <f t="shared" si="135"/>
        <v>人民币</v>
      </c>
      <c r="B335" t="str">
        <f>"盘龙药业"</f>
        <v>盘龙药业</v>
      </c>
      <c r="C335" t="str">
        <f>"20171102"</f>
        <v>20171102</v>
      </c>
      <c r="D335" t="str">
        <f>"0.000"</f>
        <v>0.000</v>
      </c>
      <c r="E335" t="str">
        <f>"11.00"</f>
        <v>11.00</v>
      </c>
      <c r="F335" t="str">
        <f>"0.00"</f>
        <v>0.00</v>
      </c>
      <c r="G335" t="str">
        <f t="shared" si="141"/>
        <v>5.87</v>
      </c>
      <c r="H335" t="str">
        <f>"0.00"</f>
        <v>0.00</v>
      </c>
      <c r="I335" t="str">
        <f>"64"</f>
        <v>64</v>
      </c>
      <c r="J335" t="str">
        <f>"申购配号(盘龙药业)"</f>
        <v>申购配号(盘龙药业)</v>
      </c>
      <c r="K335" t="str">
        <f>"0.00"</f>
        <v>0.00</v>
      </c>
      <c r="L335" t="str">
        <f t="shared" si="142"/>
        <v>0.00</v>
      </c>
      <c r="M335" t="str">
        <f t="shared" si="142"/>
        <v>0.00</v>
      </c>
      <c r="N335" t="str">
        <f t="shared" si="142"/>
        <v>0.00</v>
      </c>
      <c r="O335" t="str">
        <f>"002864"</f>
        <v>002864</v>
      </c>
      <c r="P335" t="str">
        <f>"0153613480"</f>
        <v>0153613480</v>
      </c>
    </row>
    <row r="336" spans="1:16" x14ac:dyDescent="0.25">
      <c r="A336" t="str">
        <f t="shared" si="135"/>
        <v>人民币</v>
      </c>
      <c r="B336" t="str">
        <f>"小康配号"</f>
        <v>小康配号</v>
      </c>
      <c r="C336" t="str">
        <f>"20171106"</f>
        <v>20171106</v>
      </c>
      <c r="D336" t="str">
        <f>"0.000"</f>
        <v>0.000</v>
      </c>
      <c r="E336" t="str">
        <f>"1000.00"</f>
        <v>1000.00</v>
      </c>
      <c r="F336" t="str">
        <f>"0.00"</f>
        <v>0.00</v>
      </c>
      <c r="G336" t="str">
        <f t="shared" si="141"/>
        <v>5.87</v>
      </c>
      <c r="H336" t="str">
        <f>"0.00"</f>
        <v>0.00</v>
      </c>
      <c r="I336" t="str">
        <f>"74"</f>
        <v>74</v>
      </c>
      <c r="J336" t="str">
        <f>"申购配号(小康配号)"</f>
        <v>申购配号(小康配号)</v>
      </c>
      <c r="K336" t="str">
        <f>"0.00"</f>
        <v>0.00</v>
      </c>
      <c r="L336" t="str">
        <f t="shared" si="142"/>
        <v>0.00</v>
      </c>
      <c r="M336" t="str">
        <f t="shared" si="142"/>
        <v>0.00</v>
      </c>
      <c r="N336" t="str">
        <f t="shared" si="142"/>
        <v>0.00</v>
      </c>
      <c r="O336" t="str">
        <f>"794127"</f>
        <v>794127</v>
      </c>
      <c r="P336" t="str">
        <f>"A400948245"</f>
        <v>A400948245</v>
      </c>
    </row>
    <row r="337" spans="1:16" x14ac:dyDescent="0.25">
      <c r="A337" t="str">
        <f t="shared" si="135"/>
        <v>人民币</v>
      </c>
      <c r="B337" t="str">
        <f>"时达发债"</f>
        <v>时达发债</v>
      </c>
      <c r="C337" t="str">
        <f>"20171106"</f>
        <v>20171106</v>
      </c>
      <c r="D337" t="str">
        <f>"0.000"</f>
        <v>0.000</v>
      </c>
      <c r="E337" t="str">
        <f>"1000.00"</f>
        <v>1000.00</v>
      </c>
      <c r="F337" t="str">
        <f>"0.00"</f>
        <v>0.00</v>
      </c>
      <c r="G337" t="str">
        <f t="shared" si="141"/>
        <v>5.87</v>
      </c>
      <c r="H337" t="str">
        <f>"0.00"</f>
        <v>0.00</v>
      </c>
      <c r="I337" t="str">
        <f>"76"</f>
        <v>76</v>
      </c>
      <c r="J337" t="str">
        <f>"申购配号(时达发债)"</f>
        <v>申购配号(时达发债)</v>
      </c>
      <c r="K337" t="str">
        <f>"0.00"</f>
        <v>0.00</v>
      </c>
      <c r="L337" t="str">
        <f t="shared" si="142"/>
        <v>0.00</v>
      </c>
      <c r="M337" t="str">
        <f t="shared" si="142"/>
        <v>0.00</v>
      </c>
      <c r="N337" t="str">
        <f t="shared" si="142"/>
        <v>0.00</v>
      </c>
      <c r="O337" t="str">
        <f>"072527"</f>
        <v>072527</v>
      </c>
      <c r="P337" t="str">
        <f t="shared" ref="P337:P342" si="143">"0153613480"</f>
        <v>0153613480</v>
      </c>
    </row>
    <row r="338" spans="1:16" x14ac:dyDescent="0.25">
      <c r="A338" t="str">
        <f t="shared" si="135"/>
        <v>人民币</v>
      </c>
      <c r="B338" t="str">
        <f>"一品红"</f>
        <v>一品红</v>
      </c>
      <c r="C338" t="str">
        <f>"20171107"</f>
        <v>20171107</v>
      </c>
      <c r="D338" t="str">
        <f>"0.000"</f>
        <v>0.000</v>
      </c>
      <c r="E338" t="str">
        <f>"11.00"</f>
        <v>11.00</v>
      </c>
      <c r="F338" t="str">
        <f>"0.00"</f>
        <v>0.00</v>
      </c>
      <c r="G338" t="str">
        <f t="shared" si="141"/>
        <v>5.87</v>
      </c>
      <c r="H338" t="str">
        <f>"0.00"</f>
        <v>0.00</v>
      </c>
      <c r="I338" t="str">
        <f>"1"</f>
        <v>1</v>
      </c>
      <c r="J338" t="str">
        <f>"申购配号(一品红)"</f>
        <v>申购配号(一品红)</v>
      </c>
      <c r="K338" t="str">
        <f>"0.00"</f>
        <v>0.00</v>
      </c>
      <c r="L338" t="str">
        <f t="shared" si="142"/>
        <v>0.00</v>
      </c>
      <c r="M338" t="str">
        <f t="shared" si="142"/>
        <v>0.00</v>
      </c>
      <c r="N338" t="str">
        <f t="shared" si="142"/>
        <v>0.00</v>
      </c>
      <c r="O338" t="str">
        <f>"300723"</f>
        <v>300723</v>
      </c>
      <c r="P338" t="str">
        <f t="shared" si="143"/>
        <v>0153613480</v>
      </c>
    </row>
    <row r="339" spans="1:16" x14ac:dyDescent="0.25">
      <c r="A339" t="str">
        <f t="shared" si="135"/>
        <v>人民币</v>
      </c>
      <c r="B339" t="str">
        <f>"西部建设"</f>
        <v>西部建设</v>
      </c>
      <c r="C339" t="str">
        <f>"20171110"</f>
        <v>20171110</v>
      </c>
      <c r="D339" t="str">
        <f>"16.250"</f>
        <v>16.250</v>
      </c>
      <c r="E339" t="str">
        <f>"-1300.00"</f>
        <v>-1300.00</v>
      </c>
      <c r="F339" t="str">
        <f>"21097.32"</f>
        <v>21097.32</v>
      </c>
      <c r="G339" t="str">
        <f>"21103.19"</f>
        <v>21103.19</v>
      </c>
      <c r="H339" t="str">
        <f>"1300.00"</f>
        <v>1300.00</v>
      </c>
      <c r="I339" t="str">
        <f>"6"</f>
        <v>6</v>
      </c>
      <c r="J339" t="str">
        <f>"证券卖出(西部建设)"</f>
        <v>证券卖出(西部建设)</v>
      </c>
      <c r="K339" t="str">
        <f>"6.55"</f>
        <v>6.55</v>
      </c>
      <c r="L339" t="str">
        <f>"21.13"</f>
        <v>21.13</v>
      </c>
      <c r="M339" t="str">
        <f t="shared" ref="M339:N343" si="144">"0.00"</f>
        <v>0.00</v>
      </c>
      <c r="N339" t="str">
        <f t="shared" si="144"/>
        <v>0.00</v>
      </c>
      <c r="O339" t="str">
        <f>"002302"</f>
        <v>002302</v>
      </c>
      <c r="P339" t="str">
        <f t="shared" si="143"/>
        <v>0153613480</v>
      </c>
    </row>
    <row r="340" spans="1:16" x14ac:dyDescent="0.25">
      <c r="A340" t="str">
        <f t="shared" si="135"/>
        <v>人民币</v>
      </c>
      <c r="B340" t="str">
        <f>"宏达电子"</f>
        <v>宏达电子</v>
      </c>
      <c r="C340" t="str">
        <f>"20171110"</f>
        <v>20171110</v>
      </c>
      <c r="D340" t="str">
        <f>"0.000"</f>
        <v>0.000</v>
      </c>
      <c r="E340" t="str">
        <f>"11.00"</f>
        <v>11.00</v>
      </c>
      <c r="F340" t="str">
        <f>"0.00"</f>
        <v>0.00</v>
      </c>
      <c r="G340" t="str">
        <f>"21103.19"</f>
        <v>21103.19</v>
      </c>
      <c r="H340" t="str">
        <f>"0.00"</f>
        <v>0.00</v>
      </c>
      <c r="I340" t="str">
        <f>"10"</f>
        <v>10</v>
      </c>
      <c r="J340" t="str">
        <f>"申购配号(宏达电子)"</f>
        <v>申购配号(宏达电子)</v>
      </c>
      <c r="K340" t="str">
        <f>"0.00"</f>
        <v>0.00</v>
      </c>
      <c r="L340" t="str">
        <f>"0.00"</f>
        <v>0.00</v>
      </c>
      <c r="M340" t="str">
        <f t="shared" si="144"/>
        <v>0.00</v>
      </c>
      <c r="N340" t="str">
        <f t="shared" si="144"/>
        <v>0.00</v>
      </c>
      <c r="O340" t="str">
        <f>"300726"</f>
        <v>300726</v>
      </c>
      <c r="P340" t="str">
        <f t="shared" si="143"/>
        <v>0153613480</v>
      </c>
    </row>
    <row r="341" spans="1:16" x14ac:dyDescent="0.25">
      <c r="A341" t="str">
        <f t="shared" si="135"/>
        <v>人民币</v>
      </c>
      <c r="B341" t="str">
        <f>"西部建设"</f>
        <v>西部建设</v>
      </c>
      <c r="C341" t="str">
        <f>"20171113"</f>
        <v>20171113</v>
      </c>
      <c r="D341" t="str">
        <f>"16.220"</f>
        <v>16.220</v>
      </c>
      <c r="E341" t="str">
        <f>"-1300.00"</f>
        <v>-1300.00</v>
      </c>
      <c r="F341" t="str">
        <f>"21058.37"</f>
        <v>21058.37</v>
      </c>
      <c r="G341" t="str">
        <f>"42161.56"</f>
        <v>42161.56</v>
      </c>
      <c r="H341" t="str">
        <f>"0.00"</f>
        <v>0.00</v>
      </c>
      <c r="I341" t="str">
        <f>"20"</f>
        <v>20</v>
      </c>
      <c r="J341" t="str">
        <f>"证券卖出(西部建设)"</f>
        <v>证券卖出(西部建设)</v>
      </c>
      <c r="K341" t="str">
        <f>"6.54"</f>
        <v>6.54</v>
      </c>
      <c r="L341" t="str">
        <f>"21.09"</f>
        <v>21.09</v>
      </c>
      <c r="M341" t="str">
        <f t="shared" si="144"/>
        <v>0.00</v>
      </c>
      <c r="N341" t="str">
        <f t="shared" si="144"/>
        <v>0.00</v>
      </c>
      <c r="O341" t="str">
        <f>"002302"</f>
        <v>002302</v>
      </c>
      <c r="P341" t="str">
        <f t="shared" si="143"/>
        <v>0153613480</v>
      </c>
    </row>
    <row r="342" spans="1:16" x14ac:dyDescent="0.25">
      <c r="A342" t="str">
        <f t="shared" si="135"/>
        <v>人民币</v>
      </c>
      <c r="B342" t="str">
        <f>"赛为智能"</f>
        <v>赛为智能</v>
      </c>
      <c r="C342" t="str">
        <f>"20171113"</f>
        <v>20171113</v>
      </c>
      <c r="D342" t="str">
        <f>"19.600"</f>
        <v>19.600</v>
      </c>
      <c r="E342" t="str">
        <f>"-900.00"</f>
        <v>-900.00</v>
      </c>
      <c r="F342" t="str">
        <f>"17616.89"</f>
        <v>17616.89</v>
      </c>
      <c r="G342" t="str">
        <f>"59778.45"</f>
        <v>59778.45</v>
      </c>
      <c r="H342" t="str">
        <f>"0.00"</f>
        <v>0.00</v>
      </c>
      <c r="I342" t="str">
        <f>"14"</f>
        <v>14</v>
      </c>
      <c r="J342" t="str">
        <f>"证券卖出(赛为智能)"</f>
        <v>证券卖出(赛为智能)</v>
      </c>
      <c r="K342" t="str">
        <f>"5.47"</f>
        <v>5.47</v>
      </c>
      <c r="L342" t="str">
        <f>"17.64"</f>
        <v>17.64</v>
      </c>
      <c r="M342" t="str">
        <f t="shared" si="144"/>
        <v>0.00</v>
      </c>
      <c r="N342" t="str">
        <f t="shared" si="144"/>
        <v>0.00</v>
      </c>
      <c r="O342" t="str">
        <f>"300044"</f>
        <v>300044</v>
      </c>
      <c r="P342" t="str">
        <f t="shared" si="143"/>
        <v>0153613480</v>
      </c>
    </row>
    <row r="343" spans="1:16" x14ac:dyDescent="0.25">
      <c r="A343" t="str">
        <f t="shared" si="135"/>
        <v>人民币</v>
      </c>
      <c r="B343" t="str">
        <f>"天添利"</f>
        <v>天添利</v>
      </c>
      <c r="C343" t="str">
        <f>"20171113"</f>
        <v>20171113</v>
      </c>
      <c r="D343" t="str">
        <f>"1.000"</f>
        <v>1.000</v>
      </c>
      <c r="E343" t="str">
        <f>"59777.45"</f>
        <v>59777.45</v>
      </c>
      <c r="F343" t="str">
        <f>"-59777.45"</f>
        <v>-59777.45</v>
      </c>
      <c r="G343" t="str">
        <f>"1.00"</f>
        <v>1.00</v>
      </c>
      <c r="H343" t="str">
        <f>"59777.45"</f>
        <v>59777.45</v>
      </c>
      <c r="I343" t="str">
        <f>" "</f>
        <v xml:space="preserve"> </v>
      </c>
      <c r="J343" t="str">
        <f>"保证金产品申购(天添利)"</f>
        <v>保证金产品申购(天添利)</v>
      </c>
      <c r="K343" t="str">
        <f>"0.00"</f>
        <v>0.00</v>
      </c>
      <c r="L343" t="str">
        <f>"0.00"</f>
        <v>0.00</v>
      </c>
      <c r="M343" t="str">
        <f t="shared" si="144"/>
        <v>0.00</v>
      </c>
      <c r="N343" t="str">
        <f t="shared" si="144"/>
        <v>0.00</v>
      </c>
      <c r="O343" t="str">
        <f>"880013"</f>
        <v>880013</v>
      </c>
      <c r="P343" t="str">
        <f>"980518091676"</f>
        <v>980518091676</v>
      </c>
    </row>
    <row r="344" spans="1:16" x14ac:dyDescent="0.25">
      <c r="A344" t="str">
        <f t="shared" si="135"/>
        <v>人民币</v>
      </c>
      <c r="B344" t="str">
        <f>" "</f>
        <v xml:space="preserve"> </v>
      </c>
      <c r="C344" t="str">
        <f>"20171114"</f>
        <v>20171114</v>
      </c>
      <c r="D344" t="str">
        <f>"---"</f>
        <v>---</v>
      </c>
      <c r="E344" t="str">
        <f>"---"</f>
        <v>---</v>
      </c>
      <c r="F344" t="str">
        <f>"59777.00"</f>
        <v>59777.00</v>
      </c>
      <c r="G344" t="str">
        <f>"59778.00"</f>
        <v>59778.00</v>
      </c>
      <c r="H344" t="str">
        <f>"---"</f>
        <v>---</v>
      </c>
      <c r="I344" t="str">
        <f>"---"</f>
        <v>---</v>
      </c>
      <c r="J344" t="str">
        <f>"保证金产品快速取款"</f>
        <v>保证金产品快速取款</v>
      </c>
      <c r="K344" t="str">
        <f t="shared" ref="K344:P345" si="145">"---"</f>
        <v>---</v>
      </c>
      <c r="L344" t="str">
        <f t="shared" si="145"/>
        <v>---</v>
      </c>
      <c r="M344" t="str">
        <f t="shared" si="145"/>
        <v>---</v>
      </c>
      <c r="N344" t="str">
        <f t="shared" si="145"/>
        <v>---</v>
      </c>
      <c r="O344" t="str">
        <f t="shared" si="145"/>
        <v>---</v>
      </c>
      <c r="P344" t="str">
        <f t="shared" si="145"/>
        <v>---</v>
      </c>
    </row>
    <row r="345" spans="1:16" x14ac:dyDescent="0.25">
      <c r="A345" t="str">
        <f t="shared" si="135"/>
        <v>人民币</v>
      </c>
      <c r="B345" t="str">
        <f>" "</f>
        <v xml:space="preserve"> </v>
      </c>
      <c r="C345" t="str">
        <f>"20171114"</f>
        <v>20171114</v>
      </c>
      <c r="D345" t="str">
        <f>"---"</f>
        <v>---</v>
      </c>
      <c r="E345" t="str">
        <f>"---"</f>
        <v>---</v>
      </c>
      <c r="F345" t="str">
        <f>"-59777.00"</f>
        <v>-59777.00</v>
      </c>
      <c r="G345" t="str">
        <f>"1.00"</f>
        <v>1.00</v>
      </c>
      <c r="H345" t="str">
        <f>"---"</f>
        <v>---</v>
      </c>
      <c r="I345" t="str">
        <f>"---"</f>
        <v>---</v>
      </c>
      <c r="J345" t="str">
        <f>"银行转取"</f>
        <v>银行转取</v>
      </c>
      <c r="K345" t="str">
        <f t="shared" si="145"/>
        <v>---</v>
      </c>
      <c r="L345" t="str">
        <f t="shared" si="145"/>
        <v>---</v>
      </c>
      <c r="M345" t="str">
        <f t="shared" si="145"/>
        <v>---</v>
      </c>
      <c r="N345" t="str">
        <f t="shared" si="145"/>
        <v>---</v>
      </c>
      <c r="O345" t="str">
        <f t="shared" si="145"/>
        <v>---</v>
      </c>
      <c r="P345" t="str">
        <f t="shared" si="145"/>
        <v>---</v>
      </c>
    </row>
    <row r="346" spans="1:16" x14ac:dyDescent="0.25">
      <c r="A346" t="str">
        <f t="shared" si="135"/>
        <v>人民币</v>
      </c>
      <c r="B346" t="str">
        <f>"天添利"</f>
        <v>天添利</v>
      </c>
      <c r="C346" t="str">
        <f>"20171114"</f>
        <v>20171114</v>
      </c>
      <c r="D346" t="str">
        <f>"1.000"</f>
        <v>1.000</v>
      </c>
      <c r="E346" t="str">
        <f>"-59777.00"</f>
        <v>-59777.00</v>
      </c>
      <c r="F346" t="str">
        <f>"0.00"</f>
        <v>0.00</v>
      </c>
      <c r="G346" t="str">
        <f>"1.00"</f>
        <v>1.00</v>
      </c>
      <c r="H346" t="str">
        <f>"0.45"</f>
        <v>0.45</v>
      </c>
      <c r="I346" t="str">
        <f>" "</f>
        <v xml:space="preserve"> </v>
      </c>
      <c r="J346" t="str">
        <f>"保证金份额转让划出(天添利)"</f>
        <v>保证金份额转让划出(天添利)</v>
      </c>
      <c r="K346" t="str">
        <f>"0.00"</f>
        <v>0.00</v>
      </c>
      <c r="L346" t="str">
        <f>"0.00"</f>
        <v>0.00</v>
      </c>
      <c r="M346" t="str">
        <f>"0.00"</f>
        <v>0.00</v>
      </c>
      <c r="N346" t="str">
        <f>"0.00"</f>
        <v>0.00</v>
      </c>
      <c r="O346" t="str">
        <f>"880013"</f>
        <v>880013</v>
      </c>
      <c r="P346" t="str">
        <f>"980518091676"</f>
        <v>980518091676</v>
      </c>
    </row>
    <row r="347" spans="1:16" x14ac:dyDescent="0.25">
      <c r="A347" t="str">
        <f t="shared" si="135"/>
        <v>人民币</v>
      </c>
      <c r="B347" t="str">
        <f>" "</f>
        <v xml:space="preserve"> </v>
      </c>
      <c r="C347" t="str">
        <f>"20171115"</f>
        <v>20171115</v>
      </c>
      <c r="D347" t="str">
        <f>"---"</f>
        <v>---</v>
      </c>
      <c r="E347" t="str">
        <f>"---"</f>
        <v>---</v>
      </c>
      <c r="F347" t="str">
        <f>"9942.00"</f>
        <v>9942.00</v>
      </c>
      <c r="G347" t="str">
        <f>"9943.00"</f>
        <v>9943.00</v>
      </c>
      <c r="H347" t="str">
        <f>"---"</f>
        <v>---</v>
      </c>
      <c r="I347" t="str">
        <f>"---"</f>
        <v>---</v>
      </c>
      <c r="J347" t="str">
        <f>"银行转存"</f>
        <v>银行转存</v>
      </c>
      <c r="K347" t="str">
        <f t="shared" ref="K347:P347" si="146">"---"</f>
        <v>---</v>
      </c>
      <c r="L347" t="str">
        <f t="shared" si="146"/>
        <v>---</v>
      </c>
      <c r="M347" t="str">
        <f t="shared" si="146"/>
        <v>---</v>
      </c>
      <c r="N347" t="str">
        <f t="shared" si="146"/>
        <v>---</v>
      </c>
      <c r="O347" t="str">
        <f t="shared" si="146"/>
        <v>---</v>
      </c>
      <c r="P347" t="str">
        <f t="shared" si="146"/>
        <v>---</v>
      </c>
    </row>
    <row r="348" spans="1:16" x14ac:dyDescent="0.25">
      <c r="A348" t="str">
        <f t="shared" si="135"/>
        <v>人民币</v>
      </c>
      <c r="B348" t="str">
        <f>"武汉凡谷"</f>
        <v>武汉凡谷</v>
      </c>
      <c r="C348" t="str">
        <f>"20171115"</f>
        <v>20171115</v>
      </c>
      <c r="D348" t="str">
        <f>"13.880"</f>
        <v>13.880</v>
      </c>
      <c r="E348" t="str">
        <f>"300.00"</f>
        <v>300.00</v>
      </c>
      <c r="F348" t="str">
        <f>"-4169.00"</f>
        <v>-4169.00</v>
      </c>
      <c r="G348" t="str">
        <f>"5774.00"</f>
        <v>5774.00</v>
      </c>
      <c r="H348" t="str">
        <f>"300.00"</f>
        <v>300.00</v>
      </c>
      <c r="I348" t="str">
        <f>"36"</f>
        <v>36</v>
      </c>
      <c r="J348" t="str">
        <f>"证券买入(武汉凡谷)"</f>
        <v>证券买入(武汉凡谷)</v>
      </c>
      <c r="K348" t="str">
        <f>"5.00"</f>
        <v>5.00</v>
      </c>
      <c r="L348" t="str">
        <f t="shared" ref="L348:N350" si="147">"0.00"</f>
        <v>0.00</v>
      </c>
      <c r="M348" t="str">
        <f t="shared" si="147"/>
        <v>0.00</v>
      </c>
      <c r="N348" t="str">
        <f t="shared" si="147"/>
        <v>0.00</v>
      </c>
      <c r="O348" t="str">
        <f>"002194"</f>
        <v>002194</v>
      </c>
      <c r="P348" t="str">
        <f>"0153613480"</f>
        <v>0153613480</v>
      </c>
    </row>
    <row r="349" spans="1:16" x14ac:dyDescent="0.25">
      <c r="A349" t="str">
        <f t="shared" si="135"/>
        <v>人民币</v>
      </c>
      <c r="B349" t="str">
        <f>"润禾材料"</f>
        <v>润禾材料</v>
      </c>
      <c r="C349" t="str">
        <f>"20171115"</f>
        <v>20171115</v>
      </c>
      <c r="D349" t="str">
        <f>"0.000"</f>
        <v>0.000</v>
      </c>
      <c r="E349" t="str">
        <f>"10.00"</f>
        <v>10.00</v>
      </c>
      <c r="F349" t="str">
        <f>"0.00"</f>
        <v>0.00</v>
      </c>
      <c r="G349" t="str">
        <f>"5774.00"</f>
        <v>5774.00</v>
      </c>
      <c r="H349" t="str">
        <f>"0.00"</f>
        <v>0.00</v>
      </c>
      <c r="I349" t="str">
        <f>"34"</f>
        <v>34</v>
      </c>
      <c r="J349" t="str">
        <f>"申购配号(润禾材料)"</f>
        <v>申购配号(润禾材料)</v>
      </c>
      <c r="K349" t="str">
        <f>"0.00"</f>
        <v>0.00</v>
      </c>
      <c r="L349" t="str">
        <f t="shared" si="147"/>
        <v>0.00</v>
      </c>
      <c r="M349" t="str">
        <f t="shared" si="147"/>
        <v>0.00</v>
      </c>
      <c r="N349" t="str">
        <f t="shared" si="147"/>
        <v>0.00</v>
      </c>
      <c r="O349" t="str">
        <f>"300727"</f>
        <v>300727</v>
      </c>
      <c r="P349" t="str">
        <f>"0153613480"</f>
        <v>0153613480</v>
      </c>
    </row>
    <row r="350" spans="1:16" x14ac:dyDescent="0.25">
      <c r="A350" t="str">
        <f t="shared" si="135"/>
        <v>人民币</v>
      </c>
      <c r="B350" t="str">
        <f>"天添利"</f>
        <v>天添利</v>
      </c>
      <c r="C350" t="str">
        <f>"20171115"</f>
        <v>20171115</v>
      </c>
      <c r="D350" t="str">
        <f>"1.000"</f>
        <v>1.000</v>
      </c>
      <c r="E350" t="str">
        <f>"5773.00"</f>
        <v>5773.00</v>
      </c>
      <c r="F350" t="str">
        <f>"-5773.00"</f>
        <v>-5773.00</v>
      </c>
      <c r="G350" t="str">
        <f>"1.00"</f>
        <v>1.00</v>
      </c>
      <c r="H350" t="str">
        <f>"5773.45"</f>
        <v>5773.45</v>
      </c>
      <c r="I350" t="str">
        <f>" "</f>
        <v xml:space="preserve"> </v>
      </c>
      <c r="J350" t="str">
        <f>"保证金产品申购(天添利)"</f>
        <v>保证金产品申购(天添利)</v>
      </c>
      <c r="K350" t="str">
        <f>"0.00"</f>
        <v>0.00</v>
      </c>
      <c r="L350" t="str">
        <f t="shared" si="147"/>
        <v>0.00</v>
      </c>
      <c r="M350" t="str">
        <f t="shared" si="147"/>
        <v>0.00</v>
      </c>
      <c r="N350" t="str">
        <f t="shared" si="147"/>
        <v>0.00</v>
      </c>
      <c r="O350" t="str">
        <f>"880013"</f>
        <v>880013</v>
      </c>
      <c r="P350" t="str">
        <f>"980518091676"</f>
        <v>980518091676</v>
      </c>
    </row>
    <row r="351" spans="1:16" x14ac:dyDescent="0.25">
      <c r="A351" t="str">
        <f t="shared" si="135"/>
        <v>人民币</v>
      </c>
      <c r="B351" t="str">
        <f>"武汉凡谷"</f>
        <v>武汉凡谷</v>
      </c>
      <c r="C351" t="str">
        <f>"20171116"</f>
        <v>20171116</v>
      </c>
      <c r="D351" t="str">
        <f>"15.260"</f>
        <v>15.260</v>
      </c>
      <c r="E351" t="str">
        <f>"-300.00"</f>
        <v>-300.00</v>
      </c>
      <c r="F351" t="str">
        <f>"4568.42"</f>
        <v>4568.42</v>
      </c>
      <c r="G351" t="str">
        <f>"4569.42"</f>
        <v>4569.42</v>
      </c>
      <c r="H351" t="str">
        <f>"0.00"</f>
        <v>0.00</v>
      </c>
      <c r="I351" t="str">
        <f>"45"</f>
        <v>45</v>
      </c>
      <c r="J351" t="str">
        <f>"证券卖出(武汉凡谷)"</f>
        <v>证券卖出(武汉凡谷)</v>
      </c>
      <c r="K351" t="str">
        <f>"5.00"</f>
        <v>5.00</v>
      </c>
      <c r="L351" t="str">
        <f>"4.58"</f>
        <v>4.58</v>
      </c>
      <c r="M351" t="str">
        <f t="shared" ref="M351:N354" si="148">"0.00"</f>
        <v>0.00</v>
      </c>
      <c r="N351" t="str">
        <f t="shared" si="148"/>
        <v>0.00</v>
      </c>
      <c r="O351" t="str">
        <f>"002194"</f>
        <v>002194</v>
      </c>
      <c r="P351" t="str">
        <f>"0153613480"</f>
        <v>0153613480</v>
      </c>
    </row>
    <row r="352" spans="1:16" x14ac:dyDescent="0.25">
      <c r="A352" t="str">
        <f t="shared" si="135"/>
        <v>人民币</v>
      </c>
      <c r="B352" t="str">
        <f>"天添利"</f>
        <v>天添利</v>
      </c>
      <c r="C352" t="str">
        <f>"20171116"</f>
        <v>20171116</v>
      </c>
      <c r="D352" t="str">
        <f>"1.000"</f>
        <v>1.000</v>
      </c>
      <c r="E352" t="str">
        <f>"4568.42"</f>
        <v>4568.42</v>
      </c>
      <c r="F352" t="str">
        <f>"-4568.42"</f>
        <v>-4568.42</v>
      </c>
      <c r="G352" t="str">
        <f>"1.00"</f>
        <v>1.00</v>
      </c>
      <c r="H352" t="str">
        <f>"10341.87"</f>
        <v>10341.87</v>
      </c>
      <c r="I352" t="str">
        <f>" "</f>
        <v xml:space="preserve"> </v>
      </c>
      <c r="J352" t="str">
        <f>"保证金产品申购(天添利)"</f>
        <v>保证金产品申购(天添利)</v>
      </c>
      <c r="K352" t="str">
        <f>"0.00"</f>
        <v>0.00</v>
      </c>
      <c r="L352" t="str">
        <f>"0.00"</f>
        <v>0.00</v>
      </c>
      <c r="M352" t="str">
        <f t="shared" si="148"/>
        <v>0.00</v>
      </c>
      <c r="N352" t="str">
        <f t="shared" si="148"/>
        <v>0.00</v>
      </c>
      <c r="O352" t="str">
        <f>"880013"</f>
        <v>880013</v>
      </c>
      <c r="P352" t="str">
        <f>"980518091676"</f>
        <v>980518091676</v>
      </c>
    </row>
    <row r="353" spans="1:16" x14ac:dyDescent="0.25">
      <c r="A353" t="str">
        <f t="shared" si="135"/>
        <v>人民币</v>
      </c>
      <c r="B353" t="str">
        <f>"汉王科技"</f>
        <v>汉王科技</v>
      </c>
      <c r="C353" t="str">
        <f>"20171117"</f>
        <v>20171117</v>
      </c>
      <c r="D353" t="str">
        <f>"33.300"</f>
        <v>33.300</v>
      </c>
      <c r="E353" t="str">
        <f>"100.00"</f>
        <v>100.00</v>
      </c>
      <c r="F353" t="str">
        <f>"-3335.00"</f>
        <v>-3335.00</v>
      </c>
      <c r="G353" t="str">
        <f>"-3334.00"</f>
        <v>-3334.00</v>
      </c>
      <c r="H353" t="str">
        <f>"100.00"</f>
        <v>100.00</v>
      </c>
      <c r="I353" t="str">
        <f>"52"</f>
        <v>52</v>
      </c>
      <c r="J353" t="str">
        <f>"证券买入(汉王科技)"</f>
        <v>证券买入(汉王科技)</v>
      </c>
      <c r="K353" t="str">
        <f>"5.00"</f>
        <v>5.00</v>
      </c>
      <c r="L353" t="str">
        <f>"0.00"</f>
        <v>0.00</v>
      </c>
      <c r="M353" t="str">
        <f t="shared" si="148"/>
        <v>0.00</v>
      </c>
      <c r="N353" t="str">
        <f t="shared" si="148"/>
        <v>0.00</v>
      </c>
      <c r="O353" t="str">
        <f>"002362"</f>
        <v>002362</v>
      </c>
      <c r="P353" t="str">
        <f>"0153613480"</f>
        <v>0153613480</v>
      </c>
    </row>
    <row r="354" spans="1:16" x14ac:dyDescent="0.25">
      <c r="A354" t="str">
        <f t="shared" si="135"/>
        <v>人民币</v>
      </c>
      <c r="B354" t="str">
        <f>"天添利"</f>
        <v>天添利</v>
      </c>
      <c r="C354" t="str">
        <f>"20171117"</f>
        <v>20171117</v>
      </c>
      <c r="D354" t="str">
        <f>"1.000"</f>
        <v>1.000</v>
      </c>
      <c r="E354" t="str">
        <f>"-3335.00"</f>
        <v>-3335.00</v>
      </c>
      <c r="F354" t="str">
        <f>"3335.00"</f>
        <v>3335.00</v>
      </c>
      <c r="G354" t="str">
        <f>"-3334.00"</f>
        <v>-3334.00</v>
      </c>
      <c r="H354" t="str">
        <f>"7006.87"</f>
        <v>7006.87</v>
      </c>
      <c r="I354" t="str">
        <f>" "</f>
        <v xml:space="preserve"> </v>
      </c>
      <c r="J354" t="str">
        <f>"保证金产品赎回(天添利)"</f>
        <v>保证金产品赎回(天添利)</v>
      </c>
      <c r="K354" t="str">
        <f>"0.00"</f>
        <v>0.00</v>
      </c>
      <c r="L354" t="str">
        <f>"0.00"</f>
        <v>0.00</v>
      </c>
      <c r="M354" t="str">
        <f t="shared" si="148"/>
        <v>0.00</v>
      </c>
      <c r="N354" t="str">
        <f t="shared" si="148"/>
        <v>0.00</v>
      </c>
      <c r="O354" t="str">
        <f>"880013"</f>
        <v>880013</v>
      </c>
      <c r="P354" t="str">
        <f>"980518091676"</f>
        <v>980518091676</v>
      </c>
    </row>
    <row r="355" spans="1:16" x14ac:dyDescent="0.25">
      <c r="A355" t="str">
        <f t="shared" si="135"/>
        <v>人民币</v>
      </c>
      <c r="B355" t="str">
        <f>"天添利"</f>
        <v>天添利</v>
      </c>
      <c r="C355" t="str">
        <f>"20171117"</f>
        <v>20171117</v>
      </c>
      <c r="D355" t="str">
        <f>"0.000"</f>
        <v>0.000</v>
      </c>
      <c r="E355" t="str">
        <f>"0.00"</f>
        <v>0.00</v>
      </c>
      <c r="F355" t="str">
        <f>"3335.00"</f>
        <v>3335.00</v>
      </c>
      <c r="G355" t="str">
        <f>"1.00"</f>
        <v>1.00</v>
      </c>
      <c r="H355" t="str">
        <f>"7006.87"</f>
        <v>7006.87</v>
      </c>
      <c r="I355" t="str">
        <f>"---"</f>
        <v>---</v>
      </c>
      <c r="J355" t="str">
        <f>"赎回到帐(天添利)"</f>
        <v>赎回到帐(天添利)</v>
      </c>
      <c r="K355" t="str">
        <f t="shared" ref="K355:N357" si="149">"---"</f>
        <v>---</v>
      </c>
      <c r="L355" t="str">
        <f t="shared" si="149"/>
        <v>---</v>
      </c>
      <c r="M355" t="str">
        <f t="shared" si="149"/>
        <v>---</v>
      </c>
      <c r="N355" t="str">
        <f t="shared" si="149"/>
        <v>---</v>
      </c>
      <c r="O355" t="str">
        <f>"880013"</f>
        <v>880013</v>
      </c>
      <c r="P355" t="str">
        <f>"980518091676"</f>
        <v>980518091676</v>
      </c>
    </row>
    <row r="356" spans="1:16" x14ac:dyDescent="0.25">
      <c r="A356" t="str">
        <f t="shared" si="135"/>
        <v>人民币</v>
      </c>
      <c r="B356" t="str">
        <f>" "</f>
        <v xml:space="preserve"> </v>
      </c>
      <c r="C356" t="str">
        <f>"20171120"</f>
        <v>20171120</v>
      </c>
      <c r="D356" t="str">
        <f>"---"</f>
        <v>---</v>
      </c>
      <c r="E356" t="str">
        <f>"---"</f>
        <v>---</v>
      </c>
      <c r="F356" t="str">
        <f>"7006.00"</f>
        <v>7006.00</v>
      </c>
      <c r="G356" t="str">
        <f>"7007.00"</f>
        <v>7007.00</v>
      </c>
      <c r="H356" t="str">
        <f>"---"</f>
        <v>---</v>
      </c>
      <c r="I356" t="str">
        <f>"---"</f>
        <v>---</v>
      </c>
      <c r="J356" t="str">
        <f>"保证金产品快速取款"</f>
        <v>保证金产品快速取款</v>
      </c>
      <c r="K356" t="str">
        <f t="shared" si="149"/>
        <v>---</v>
      </c>
      <c r="L356" t="str">
        <f t="shared" si="149"/>
        <v>---</v>
      </c>
      <c r="M356" t="str">
        <f t="shared" si="149"/>
        <v>---</v>
      </c>
      <c r="N356" t="str">
        <f t="shared" si="149"/>
        <v>---</v>
      </c>
      <c r="O356" t="str">
        <f>"---"</f>
        <v>---</v>
      </c>
      <c r="P356" t="str">
        <f>"---"</f>
        <v>---</v>
      </c>
    </row>
    <row r="357" spans="1:16" x14ac:dyDescent="0.25">
      <c r="A357" t="str">
        <f t="shared" si="135"/>
        <v>人民币</v>
      </c>
      <c r="B357" t="str">
        <f>" "</f>
        <v xml:space="preserve"> </v>
      </c>
      <c r="C357" t="str">
        <f>"20171120"</f>
        <v>20171120</v>
      </c>
      <c r="D357" t="str">
        <f>"---"</f>
        <v>---</v>
      </c>
      <c r="E357" t="str">
        <f>"---"</f>
        <v>---</v>
      </c>
      <c r="F357" t="str">
        <f>"-7006.00"</f>
        <v>-7006.00</v>
      </c>
      <c r="G357" t="str">
        <f>"1.00"</f>
        <v>1.00</v>
      </c>
      <c r="H357" t="str">
        <f>"---"</f>
        <v>---</v>
      </c>
      <c r="I357" t="str">
        <f>"---"</f>
        <v>---</v>
      </c>
      <c r="J357" t="str">
        <f>"银行转取"</f>
        <v>银行转取</v>
      </c>
      <c r="K357" t="str">
        <f t="shared" si="149"/>
        <v>---</v>
      </c>
      <c r="L357" t="str">
        <f t="shared" si="149"/>
        <v>---</v>
      </c>
      <c r="M357" t="str">
        <f t="shared" si="149"/>
        <v>---</v>
      </c>
      <c r="N357" t="str">
        <f t="shared" si="149"/>
        <v>---</v>
      </c>
      <c r="O357" t="str">
        <f>"---"</f>
        <v>---</v>
      </c>
      <c r="P357" t="str">
        <f>"---"</f>
        <v>---</v>
      </c>
    </row>
    <row r="358" spans="1:16" x14ac:dyDescent="0.25">
      <c r="A358" t="str">
        <f t="shared" si="135"/>
        <v>人民币</v>
      </c>
      <c r="B358" t="str">
        <f>"天添利"</f>
        <v>天添利</v>
      </c>
      <c r="C358" t="str">
        <f>"20171120"</f>
        <v>20171120</v>
      </c>
      <c r="D358" t="str">
        <f>"1.000"</f>
        <v>1.000</v>
      </c>
      <c r="E358" t="str">
        <f>"-7006.00"</f>
        <v>-7006.00</v>
      </c>
      <c r="F358" t="str">
        <f>"0.00"</f>
        <v>0.00</v>
      </c>
      <c r="G358" t="str">
        <f>"1.00"</f>
        <v>1.00</v>
      </c>
      <c r="H358" t="str">
        <f>"0.87"</f>
        <v>0.87</v>
      </c>
      <c r="I358" t="str">
        <f>" "</f>
        <v xml:space="preserve"> </v>
      </c>
      <c r="J358" t="str">
        <f>"保证金份额转让划出(天添利)"</f>
        <v>保证金份额转让划出(天添利)</v>
      </c>
      <c r="K358" t="str">
        <f t="shared" ref="K358:N359" si="150">"0.00"</f>
        <v>0.00</v>
      </c>
      <c r="L358" t="str">
        <f t="shared" si="150"/>
        <v>0.00</v>
      </c>
      <c r="M358" t="str">
        <f t="shared" si="150"/>
        <v>0.00</v>
      </c>
      <c r="N358" t="str">
        <f t="shared" si="150"/>
        <v>0.00</v>
      </c>
      <c r="O358" t="str">
        <f>"880013"</f>
        <v>880013</v>
      </c>
      <c r="P358" t="str">
        <f>"980518091676"</f>
        <v>980518091676</v>
      </c>
    </row>
    <row r="359" spans="1:16" x14ac:dyDescent="0.25">
      <c r="A359" t="str">
        <f t="shared" si="135"/>
        <v>人民币</v>
      </c>
      <c r="B359" t="str">
        <f>"天添利"</f>
        <v>天添利</v>
      </c>
      <c r="C359" t="str">
        <f>"20171120"</f>
        <v>20171120</v>
      </c>
      <c r="D359" t="str">
        <f>"1.000"</f>
        <v>1.000</v>
      </c>
      <c r="E359" t="str">
        <f>"-0.87"</f>
        <v>-0.87</v>
      </c>
      <c r="F359" t="str">
        <f>"0.87"</f>
        <v>0.87</v>
      </c>
      <c r="G359" t="str">
        <f>"1.00"</f>
        <v>1.00</v>
      </c>
      <c r="H359" t="str">
        <f>"0.00"</f>
        <v>0.00</v>
      </c>
      <c r="I359" t="str">
        <f>" "</f>
        <v xml:space="preserve"> </v>
      </c>
      <c r="J359" t="str">
        <f>"保证金产品赎回(天添利)"</f>
        <v>保证金产品赎回(天添利)</v>
      </c>
      <c r="K359" t="str">
        <f t="shared" si="150"/>
        <v>0.00</v>
      </c>
      <c r="L359" t="str">
        <f t="shared" si="150"/>
        <v>0.00</v>
      </c>
      <c r="M359" t="str">
        <f t="shared" si="150"/>
        <v>0.00</v>
      </c>
      <c r="N359" t="str">
        <f t="shared" si="150"/>
        <v>0.00</v>
      </c>
      <c r="O359" t="str">
        <f>"880013"</f>
        <v>880013</v>
      </c>
      <c r="P359" t="str">
        <f>"980518091676"</f>
        <v>980518091676</v>
      </c>
    </row>
    <row r="360" spans="1:16" x14ac:dyDescent="0.25">
      <c r="A360" t="str">
        <f t="shared" si="135"/>
        <v>人民币</v>
      </c>
      <c r="B360" t="str">
        <f>"天添利"</f>
        <v>天添利</v>
      </c>
      <c r="C360" t="str">
        <f>"20171120"</f>
        <v>20171120</v>
      </c>
      <c r="D360" t="str">
        <f>"0.000"</f>
        <v>0.000</v>
      </c>
      <c r="E360" t="str">
        <f>"0.00"</f>
        <v>0.00</v>
      </c>
      <c r="F360" t="str">
        <f>"0.87"</f>
        <v>0.87</v>
      </c>
      <c r="G360" t="str">
        <f>"1.87"</f>
        <v>1.87</v>
      </c>
      <c r="H360" t="str">
        <f>"0.00"</f>
        <v>0.00</v>
      </c>
      <c r="I360" t="str">
        <f>"---"</f>
        <v>---</v>
      </c>
      <c r="J360" t="str">
        <f>"赎回到帐(天添利)"</f>
        <v>赎回到帐(天添利)</v>
      </c>
      <c r="K360" t="str">
        <f t="shared" ref="K360:N361" si="151">"---"</f>
        <v>---</v>
      </c>
      <c r="L360" t="str">
        <f t="shared" si="151"/>
        <v>---</v>
      </c>
      <c r="M360" t="str">
        <f t="shared" si="151"/>
        <v>---</v>
      </c>
      <c r="N360" t="str">
        <f t="shared" si="151"/>
        <v>---</v>
      </c>
      <c r="O360" t="str">
        <f>"880013"</f>
        <v>880013</v>
      </c>
      <c r="P360" t="str">
        <f>"980518091676"</f>
        <v>980518091676</v>
      </c>
    </row>
    <row r="361" spans="1:16" x14ac:dyDescent="0.25">
      <c r="A361" t="str">
        <f t="shared" si="135"/>
        <v>人民币</v>
      </c>
      <c r="B361" t="str">
        <f>" "</f>
        <v xml:space="preserve"> </v>
      </c>
      <c r="C361" t="str">
        <f>"20171121"</f>
        <v>20171121</v>
      </c>
      <c r="D361" t="str">
        <f>"---"</f>
        <v>---</v>
      </c>
      <c r="E361" t="str">
        <f>"---"</f>
        <v>---</v>
      </c>
      <c r="F361" t="str">
        <f>"6006.00"</f>
        <v>6006.00</v>
      </c>
      <c r="G361" t="str">
        <f>"6007.87"</f>
        <v>6007.87</v>
      </c>
      <c r="H361" t="str">
        <f>"---"</f>
        <v>---</v>
      </c>
      <c r="I361" t="str">
        <f>"---"</f>
        <v>---</v>
      </c>
      <c r="J361" t="str">
        <f>"银行转存"</f>
        <v>银行转存</v>
      </c>
      <c r="K361" t="str">
        <f t="shared" si="151"/>
        <v>---</v>
      </c>
      <c r="L361" t="str">
        <f t="shared" si="151"/>
        <v>---</v>
      </c>
      <c r="M361" t="str">
        <f t="shared" si="151"/>
        <v>---</v>
      </c>
      <c r="N361" t="str">
        <f t="shared" si="151"/>
        <v>---</v>
      </c>
      <c r="O361" t="str">
        <f>"---"</f>
        <v>---</v>
      </c>
      <c r="P361" t="str">
        <f>"---"</f>
        <v>---</v>
      </c>
    </row>
    <row r="362" spans="1:16" x14ac:dyDescent="0.25">
      <c r="A362" t="str">
        <f t="shared" si="135"/>
        <v>人民币</v>
      </c>
      <c r="B362" t="str">
        <f>"汉王科技"</f>
        <v>汉王科技</v>
      </c>
      <c r="C362" t="str">
        <f>"20171121"</f>
        <v>20171121</v>
      </c>
      <c r="D362" t="str">
        <f>"33.150"</f>
        <v>33.150</v>
      </c>
      <c r="E362" t="str">
        <f>"100.00"</f>
        <v>100.00</v>
      </c>
      <c r="F362" t="str">
        <f>"-3320.00"</f>
        <v>-3320.00</v>
      </c>
      <c r="G362" t="str">
        <f>"2687.87"</f>
        <v>2687.87</v>
      </c>
      <c r="H362" t="str">
        <f>"200.00"</f>
        <v>200.00</v>
      </c>
      <c r="I362" t="str">
        <f>"71"</f>
        <v>71</v>
      </c>
      <c r="J362" t="str">
        <f>"证券买入(汉王科技)"</f>
        <v>证券买入(汉王科技)</v>
      </c>
      <c r="K362" t="str">
        <f>"5.00"</f>
        <v>5.00</v>
      </c>
      <c r="L362" t="str">
        <f t="shared" ref="L362:N364" si="152">"0.00"</f>
        <v>0.00</v>
      </c>
      <c r="M362" t="str">
        <f t="shared" si="152"/>
        <v>0.00</v>
      </c>
      <c r="N362" t="str">
        <f t="shared" si="152"/>
        <v>0.00</v>
      </c>
      <c r="O362" t="str">
        <f>"002362"</f>
        <v>002362</v>
      </c>
      <c r="P362" t="str">
        <f>"0153613480"</f>
        <v>0153613480</v>
      </c>
    </row>
    <row r="363" spans="1:16" x14ac:dyDescent="0.25">
      <c r="A363" t="str">
        <f t="shared" si="135"/>
        <v>人民币</v>
      </c>
      <c r="B363" t="str">
        <f>"奥士康"</f>
        <v>奥士康</v>
      </c>
      <c r="C363" t="str">
        <f>"20171122"</f>
        <v>20171122</v>
      </c>
      <c r="D363" t="str">
        <f>"0.000"</f>
        <v>0.000</v>
      </c>
      <c r="E363" t="str">
        <f>"8.00"</f>
        <v>8.00</v>
      </c>
      <c r="F363" t="str">
        <f>"0.00"</f>
        <v>0.00</v>
      </c>
      <c r="G363" t="str">
        <f>"2687.87"</f>
        <v>2687.87</v>
      </c>
      <c r="H363" t="str">
        <f>"0.00"</f>
        <v>0.00</v>
      </c>
      <c r="I363" t="str">
        <f>"75"</f>
        <v>75</v>
      </c>
      <c r="J363" t="str">
        <f>"申购配号(奥士康)"</f>
        <v>申购配号(奥士康)</v>
      </c>
      <c r="K363" t="str">
        <f>"0.00"</f>
        <v>0.00</v>
      </c>
      <c r="L363" t="str">
        <f t="shared" si="152"/>
        <v>0.00</v>
      </c>
      <c r="M363" t="str">
        <f t="shared" si="152"/>
        <v>0.00</v>
      </c>
      <c r="N363" t="str">
        <f t="shared" si="152"/>
        <v>0.00</v>
      </c>
      <c r="O363" t="str">
        <f>"002913"</f>
        <v>002913</v>
      </c>
      <c r="P363" t="str">
        <f>"0153613480"</f>
        <v>0153613480</v>
      </c>
    </row>
    <row r="364" spans="1:16" x14ac:dyDescent="0.25">
      <c r="A364" t="str">
        <f t="shared" si="135"/>
        <v>人民币</v>
      </c>
      <c r="B364" t="str">
        <f>"乐歌股份"</f>
        <v>乐歌股份</v>
      </c>
      <c r="C364" t="str">
        <f>"20171122"</f>
        <v>20171122</v>
      </c>
      <c r="D364" t="str">
        <f>"0.000"</f>
        <v>0.000</v>
      </c>
      <c r="E364" t="str">
        <f>"8.00"</f>
        <v>8.00</v>
      </c>
      <c r="F364" t="str">
        <f>"0.00"</f>
        <v>0.00</v>
      </c>
      <c r="G364" t="str">
        <f>"2687.87"</f>
        <v>2687.87</v>
      </c>
      <c r="H364" t="str">
        <f>"0.00"</f>
        <v>0.00</v>
      </c>
      <c r="I364" t="str">
        <f>"77"</f>
        <v>77</v>
      </c>
      <c r="J364" t="str">
        <f>"申购配号(乐歌股份)"</f>
        <v>申购配号(乐歌股份)</v>
      </c>
      <c r="K364" t="str">
        <f>"0.00"</f>
        <v>0.00</v>
      </c>
      <c r="L364" t="str">
        <f t="shared" si="152"/>
        <v>0.00</v>
      </c>
      <c r="M364" t="str">
        <f t="shared" si="152"/>
        <v>0.00</v>
      </c>
      <c r="N364" t="str">
        <f t="shared" si="152"/>
        <v>0.00</v>
      </c>
      <c r="O364" t="str">
        <f>"300729"</f>
        <v>300729</v>
      </c>
      <c r="P364" t="str">
        <f>"0153613480"</f>
        <v>0153613480</v>
      </c>
    </row>
    <row r="365" spans="1:16" x14ac:dyDescent="0.25">
      <c r="A365" t="str">
        <f t="shared" si="135"/>
        <v>人民币</v>
      </c>
      <c r="B365" t="str">
        <f>" "</f>
        <v xml:space="preserve"> </v>
      </c>
      <c r="C365" t="str">
        <f>"20171123"</f>
        <v>20171123</v>
      </c>
      <c r="D365" t="str">
        <f>"---"</f>
        <v>---</v>
      </c>
      <c r="E365" t="str">
        <f>"---"</f>
        <v>---</v>
      </c>
      <c r="F365" t="str">
        <f>"500.00"</f>
        <v>500.00</v>
      </c>
      <c r="G365" t="str">
        <f>"3187.87"</f>
        <v>3187.87</v>
      </c>
      <c r="H365" t="str">
        <f>"---"</f>
        <v>---</v>
      </c>
      <c r="I365" t="str">
        <f>"---"</f>
        <v>---</v>
      </c>
      <c r="J365" t="str">
        <f>"银行转存"</f>
        <v>银行转存</v>
      </c>
      <c r="K365" t="str">
        <f t="shared" ref="K365:P365" si="153">"---"</f>
        <v>---</v>
      </c>
      <c r="L365" t="str">
        <f t="shared" si="153"/>
        <v>---</v>
      </c>
      <c r="M365" t="str">
        <f t="shared" si="153"/>
        <v>---</v>
      </c>
      <c r="N365" t="str">
        <f t="shared" si="153"/>
        <v>---</v>
      </c>
      <c r="O365" t="str">
        <f t="shared" si="153"/>
        <v>---</v>
      </c>
      <c r="P365" t="str">
        <f t="shared" si="153"/>
        <v>---</v>
      </c>
    </row>
    <row r="366" spans="1:16" x14ac:dyDescent="0.25">
      <c r="A366" t="str">
        <f t="shared" si="135"/>
        <v>人民币</v>
      </c>
      <c r="B366" t="str">
        <f>"汉王科技"</f>
        <v>汉王科技</v>
      </c>
      <c r="C366" t="str">
        <f>"20171123"</f>
        <v>20171123</v>
      </c>
      <c r="D366" t="str">
        <f>"29.410"</f>
        <v>29.410</v>
      </c>
      <c r="E366" t="str">
        <f>"100.00"</f>
        <v>100.00</v>
      </c>
      <c r="F366" t="str">
        <f>"-2946.00"</f>
        <v>-2946.00</v>
      </c>
      <c r="G366" t="str">
        <f>"241.87"</f>
        <v>241.87</v>
      </c>
      <c r="H366" t="str">
        <f>"300.00"</f>
        <v>300.00</v>
      </c>
      <c r="I366" t="str">
        <f>"82"</f>
        <v>82</v>
      </c>
      <c r="J366" t="str">
        <f>"证券买入(汉王科技)"</f>
        <v>证券买入(汉王科技)</v>
      </c>
      <c r="K366" t="str">
        <f>"5.00"</f>
        <v>5.00</v>
      </c>
      <c r="L366" t="str">
        <f t="shared" ref="L366:N368" si="154">"0.00"</f>
        <v>0.00</v>
      </c>
      <c r="M366" t="str">
        <f t="shared" si="154"/>
        <v>0.00</v>
      </c>
      <c r="N366" t="str">
        <f t="shared" si="154"/>
        <v>0.00</v>
      </c>
      <c r="O366" t="str">
        <f>"002362"</f>
        <v>002362</v>
      </c>
      <c r="P366" t="str">
        <f>"0153613480"</f>
        <v>0153613480</v>
      </c>
    </row>
    <row r="367" spans="1:16" x14ac:dyDescent="0.25">
      <c r="A367" t="str">
        <f t="shared" si="135"/>
        <v>人民币</v>
      </c>
      <c r="B367" t="str">
        <f>"中欣氟材"</f>
        <v>中欣氟材</v>
      </c>
      <c r="C367" t="str">
        <f>"20171123"</f>
        <v>20171123</v>
      </c>
      <c r="D367" t="str">
        <f>"0.000"</f>
        <v>0.000</v>
      </c>
      <c r="E367" t="str">
        <f>"7.00"</f>
        <v>7.00</v>
      </c>
      <c r="F367" t="str">
        <f>"0.00"</f>
        <v>0.00</v>
      </c>
      <c r="G367" t="str">
        <f>"241.87"</f>
        <v>241.87</v>
      </c>
      <c r="H367" t="str">
        <f>"0.00"</f>
        <v>0.00</v>
      </c>
      <c r="I367" t="str">
        <f>"85"</f>
        <v>85</v>
      </c>
      <c r="J367" t="str">
        <f>"申购配号(中欣氟材)"</f>
        <v>申购配号(中欣氟材)</v>
      </c>
      <c r="K367" t="str">
        <f>"0.00"</f>
        <v>0.00</v>
      </c>
      <c r="L367" t="str">
        <f t="shared" si="154"/>
        <v>0.00</v>
      </c>
      <c r="M367" t="str">
        <f t="shared" si="154"/>
        <v>0.00</v>
      </c>
      <c r="N367" t="str">
        <f t="shared" si="154"/>
        <v>0.00</v>
      </c>
      <c r="O367" t="str">
        <f>"002915"</f>
        <v>002915</v>
      </c>
      <c r="P367" t="str">
        <f>"0153613480"</f>
        <v>0153613480</v>
      </c>
    </row>
    <row r="368" spans="1:16" x14ac:dyDescent="0.25">
      <c r="A368" t="str">
        <f t="shared" si="135"/>
        <v>人民币</v>
      </c>
      <c r="B368" t="str">
        <f>"科创信息"</f>
        <v>科创信息</v>
      </c>
      <c r="C368" t="str">
        <f>"20171123"</f>
        <v>20171123</v>
      </c>
      <c r="D368" t="str">
        <f>"0.000"</f>
        <v>0.000</v>
      </c>
      <c r="E368" t="str">
        <f>"7.00"</f>
        <v>7.00</v>
      </c>
      <c r="F368" t="str">
        <f>"0.00"</f>
        <v>0.00</v>
      </c>
      <c r="G368" t="str">
        <f>"241.87"</f>
        <v>241.87</v>
      </c>
      <c r="H368" t="str">
        <f>"0.00"</f>
        <v>0.00</v>
      </c>
      <c r="I368" t="str">
        <f>"87"</f>
        <v>87</v>
      </c>
      <c r="J368" t="str">
        <f>"申购配号(科创信息)"</f>
        <v>申购配号(科创信息)</v>
      </c>
      <c r="K368" t="str">
        <f>"0.00"</f>
        <v>0.00</v>
      </c>
      <c r="L368" t="str">
        <f t="shared" si="154"/>
        <v>0.00</v>
      </c>
      <c r="M368" t="str">
        <f t="shared" si="154"/>
        <v>0.00</v>
      </c>
      <c r="N368" t="str">
        <f t="shared" si="154"/>
        <v>0.00</v>
      </c>
      <c r="O368" t="str">
        <f>"300730"</f>
        <v>300730</v>
      </c>
      <c r="P368" t="str">
        <f>"0153613480"</f>
        <v>0153613480</v>
      </c>
    </row>
    <row r="369" spans="1:16" x14ac:dyDescent="0.25">
      <c r="A369" t="str">
        <f t="shared" si="135"/>
        <v>人民币</v>
      </c>
      <c r="B369" t="str">
        <f>"西水股份"</f>
        <v>西水股份</v>
      </c>
      <c r="C369" t="str">
        <f t="shared" ref="C369:C375" si="155">"20171129"</f>
        <v>20171129</v>
      </c>
      <c r="D369" t="str">
        <f>"25.390"</f>
        <v>25.390</v>
      </c>
      <c r="E369" t="str">
        <f>"100.00"</f>
        <v>100.00</v>
      </c>
      <c r="F369" t="str">
        <f>"-2544.05"</f>
        <v>-2544.05</v>
      </c>
      <c r="G369" t="str">
        <f>"-2302.18"</f>
        <v>-2302.18</v>
      </c>
      <c r="H369" t="str">
        <f>"100.00"</f>
        <v>100.00</v>
      </c>
      <c r="I369" t="str">
        <f>"99"</f>
        <v>99</v>
      </c>
      <c r="J369" t="str">
        <f>"证券买入(西水股份)"</f>
        <v>证券买入(西水股份)</v>
      </c>
      <c r="K369" t="str">
        <f>"5.00"</f>
        <v>5.00</v>
      </c>
      <c r="L369" t="str">
        <f>"0.00"</f>
        <v>0.00</v>
      </c>
      <c r="M369" t="str">
        <f>"0.05"</f>
        <v>0.05</v>
      </c>
      <c r="N369" t="str">
        <f t="shared" ref="N369:N377" si="156">"0.00"</f>
        <v>0.00</v>
      </c>
      <c r="O369" t="str">
        <f>"600291"</f>
        <v>600291</v>
      </c>
      <c r="P369" t="str">
        <f>"A400948245"</f>
        <v>A400948245</v>
      </c>
    </row>
    <row r="370" spans="1:16" x14ac:dyDescent="0.25">
      <c r="A370" t="str">
        <f t="shared" si="135"/>
        <v>人民币</v>
      </c>
      <c r="B370" t="str">
        <f>"西水股份"</f>
        <v>西水股份</v>
      </c>
      <c r="C370" t="str">
        <f t="shared" si="155"/>
        <v>20171129</v>
      </c>
      <c r="D370" t="str">
        <f>"25.290"</f>
        <v>25.290</v>
      </c>
      <c r="E370" t="str">
        <f>"200.00"</f>
        <v>200.00</v>
      </c>
      <c r="F370" t="str">
        <f>"-5063.10"</f>
        <v>-5063.10</v>
      </c>
      <c r="G370" t="str">
        <f>"-7365.28"</f>
        <v>-7365.28</v>
      </c>
      <c r="H370" t="str">
        <f>"300.00"</f>
        <v>300.00</v>
      </c>
      <c r="I370" t="str">
        <f>"111"</f>
        <v>111</v>
      </c>
      <c r="J370" t="str">
        <f>"证券买入(西水股份)"</f>
        <v>证券买入(西水股份)</v>
      </c>
      <c r="K370" t="str">
        <f>"5.00"</f>
        <v>5.00</v>
      </c>
      <c r="L370" t="str">
        <f>"0.00"</f>
        <v>0.00</v>
      </c>
      <c r="M370" t="str">
        <f>"0.10"</f>
        <v>0.10</v>
      </c>
      <c r="N370" t="str">
        <f t="shared" si="156"/>
        <v>0.00</v>
      </c>
      <c r="O370" t="str">
        <f>"600291"</f>
        <v>600291</v>
      </c>
      <c r="P370" t="str">
        <f>"A400948245"</f>
        <v>A400948245</v>
      </c>
    </row>
    <row r="371" spans="1:16" x14ac:dyDescent="0.25">
      <c r="A371" t="str">
        <f t="shared" si="135"/>
        <v>人民币</v>
      </c>
      <c r="B371" t="str">
        <f>"汉王科技"</f>
        <v>汉王科技</v>
      </c>
      <c r="C371" t="str">
        <f t="shared" si="155"/>
        <v>20171129</v>
      </c>
      <c r="D371" t="str">
        <f>"25.390"</f>
        <v>25.390</v>
      </c>
      <c r="E371" t="str">
        <f>"-100.00"</f>
        <v>-100.00</v>
      </c>
      <c r="F371" t="str">
        <f>"2531.46"</f>
        <v>2531.46</v>
      </c>
      <c r="G371" t="str">
        <f>"-4833.82"</f>
        <v>-4833.82</v>
      </c>
      <c r="H371" t="str">
        <f>"200.00"</f>
        <v>200.00</v>
      </c>
      <c r="I371" t="str">
        <f>"96"</f>
        <v>96</v>
      </c>
      <c r="J371" t="str">
        <f>"证券卖出(汉王科技)"</f>
        <v>证券卖出(汉王科技)</v>
      </c>
      <c r="K371" t="str">
        <f>"5.00"</f>
        <v>5.00</v>
      </c>
      <c r="L371" t="str">
        <f>"2.54"</f>
        <v>2.54</v>
      </c>
      <c r="M371" t="str">
        <f t="shared" ref="M371:M377" si="157">"0.00"</f>
        <v>0.00</v>
      </c>
      <c r="N371" t="str">
        <f t="shared" si="156"/>
        <v>0.00</v>
      </c>
      <c r="O371" t="str">
        <f>"002362"</f>
        <v>002362</v>
      </c>
      <c r="P371" t="str">
        <f t="shared" ref="P371:P377" si="158">"0153613480"</f>
        <v>0153613480</v>
      </c>
    </row>
    <row r="372" spans="1:16" x14ac:dyDescent="0.25">
      <c r="A372" t="str">
        <f t="shared" si="135"/>
        <v>人民币</v>
      </c>
      <c r="B372" t="str">
        <f>"汉王科技"</f>
        <v>汉王科技</v>
      </c>
      <c r="C372" t="str">
        <f t="shared" si="155"/>
        <v>20171129</v>
      </c>
      <c r="D372" t="str">
        <f>"25.370"</f>
        <v>25.370</v>
      </c>
      <c r="E372" t="str">
        <f>"-100.00"</f>
        <v>-100.00</v>
      </c>
      <c r="F372" t="str">
        <f>"2529.46"</f>
        <v>2529.46</v>
      </c>
      <c r="G372" t="str">
        <f>"-2304.36"</f>
        <v>-2304.36</v>
      </c>
      <c r="H372" t="str">
        <f>"100.00"</f>
        <v>100.00</v>
      </c>
      <c r="I372" t="str">
        <f>"105"</f>
        <v>105</v>
      </c>
      <c r="J372" t="str">
        <f>"证券卖出(汉王科技)"</f>
        <v>证券卖出(汉王科技)</v>
      </c>
      <c r="K372" t="str">
        <f>"5.00"</f>
        <v>5.00</v>
      </c>
      <c r="L372" t="str">
        <f>"2.54"</f>
        <v>2.54</v>
      </c>
      <c r="M372" t="str">
        <f t="shared" si="157"/>
        <v>0.00</v>
      </c>
      <c r="N372" t="str">
        <f t="shared" si="156"/>
        <v>0.00</v>
      </c>
      <c r="O372" t="str">
        <f>"002362"</f>
        <v>002362</v>
      </c>
      <c r="P372" t="str">
        <f t="shared" si="158"/>
        <v>0153613480</v>
      </c>
    </row>
    <row r="373" spans="1:16" x14ac:dyDescent="0.25">
      <c r="A373" t="str">
        <f t="shared" si="135"/>
        <v>人民币</v>
      </c>
      <c r="B373" t="str">
        <f>"汉王科技"</f>
        <v>汉王科技</v>
      </c>
      <c r="C373" t="str">
        <f t="shared" si="155"/>
        <v>20171129</v>
      </c>
      <c r="D373" t="str">
        <f>"25.380"</f>
        <v>25.380</v>
      </c>
      <c r="E373" t="str">
        <f>"-100.00"</f>
        <v>-100.00</v>
      </c>
      <c r="F373" t="str">
        <f>"2530.46"</f>
        <v>2530.46</v>
      </c>
      <c r="G373" t="str">
        <f>"226.10"</f>
        <v>226.10</v>
      </c>
      <c r="H373" t="str">
        <f>"0.00"</f>
        <v>0.00</v>
      </c>
      <c r="I373" t="str">
        <f>"108"</f>
        <v>108</v>
      </c>
      <c r="J373" t="str">
        <f>"证券卖出(汉王科技)"</f>
        <v>证券卖出(汉王科技)</v>
      </c>
      <c r="K373" t="str">
        <f>"5.00"</f>
        <v>5.00</v>
      </c>
      <c r="L373" t="str">
        <f>"2.54"</f>
        <v>2.54</v>
      </c>
      <c r="M373" t="str">
        <f t="shared" si="157"/>
        <v>0.00</v>
      </c>
      <c r="N373" t="str">
        <f t="shared" si="156"/>
        <v>0.00</v>
      </c>
      <c r="O373" t="str">
        <f>"002362"</f>
        <v>002362</v>
      </c>
      <c r="P373" t="str">
        <f t="shared" si="158"/>
        <v>0153613480</v>
      </c>
    </row>
    <row r="374" spans="1:16" x14ac:dyDescent="0.25">
      <c r="A374" t="str">
        <f t="shared" si="135"/>
        <v>人民币</v>
      </c>
      <c r="B374" t="str">
        <f>"金奥博"</f>
        <v>金奥博</v>
      </c>
      <c r="C374" t="str">
        <f t="shared" si="155"/>
        <v>20171129</v>
      </c>
      <c r="D374" t="str">
        <f>"0.000"</f>
        <v>0.000</v>
      </c>
      <c r="E374" t="str">
        <f>"5.00"</f>
        <v>5.00</v>
      </c>
      <c r="F374" t="str">
        <f>"0.00"</f>
        <v>0.00</v>
      </c>
      <c r="G374" t="str">
        <f>"226.10"</f>
        <v>226.10</v>
      </c>
      <c r="H374" t="str">
        <f>"0.00"</f>
        <v>0.00</v>
      </c>
      <c r="I374" t="str">
        <f>"92"</f>
        <v>92</v>
      </c>
      <c r="J374" t="str">
        <f>"申购配号(金奥博)"</f>
        <v>申购配号(金奥博)</v>
      </c>
      <c r="K374" t="str">
        <f t="shared" ref="K374:L377" si="159">"0.00"</f>
        <v>0.00</v>
      </c>
      <c r="L374" t="str">
        <f t="shared" si="159"/>
        <v>0.00</v>
      </c>
      <c r="M374" t="str">
        <f t="shared" si="157"/>
        <v>0.00</v>
      </c>
      <c r="N374" t="str">
        <f t="shared" si="156"/>
        <v>0.00</v>
      </c>
      <c r="O374" t="str">
        <f>"002917"</f>
        <v>002917</v>
      </c>
      <c r="P374" t="str">
        <f t="shared" si="158"/>
        <v>0153613480</v>
      </c>
    </row>
    <row r="375" spans="1:16" x14ac:dyDescent="0.25">
      <c r="A375" t="str">
        <f t="shared" si="135"/>
        <v>人民币</v>
      </c>
      <c r="B375" t="str">
        <f>"科创新源"</f>
        <v>科创新源</v>
      </c>
      <c r="C375" t="str">
        <f t="shared" si="155"/>
        <v>20171129</v>
      </c>
      <c r="D375" t="str">
        <f>"0.000"</f>
        <v>0.000</v>
      </c>
      <c r="E375" t="str">
        <f>"5.00"</f>
        <v>5.00</v>
      </c>
      <c r="F375" t="str">
        <f>"0.00"</f>
        <v>0.00</v>
      </c>
      <c r="G375" t="str">
        <f>"226.10"</f>
        <v>226.10</v>
      </c>
      <c r="H375" t="str">
        <f>"0.00"</f>
        <v>0.00</v>
      </c>
      <c r="I375" t="str">
        <f>"94"</f>
        <v>94</v>
      </c>
      <c r="J375" t="str">
        <f>"申购配号(科创新源)"</f>
        <v>申购配号(科创新源)</v>
      </c>
      <c r="K375" t="str">
        <f t="shared" si="159"/>
        <v>0.00</v>
      </c>
      <c r="L375" t="str">
        <f t="shared" si="159"/>
        <v>0.00</v>
      </c>
      <c r="M375" t="str">
        <f t="shared" si="157"/>
        <v>0.00</v>
      </c>
      <c r="N375" t="str">
        <f t="shared" si="156"/>
        <v>0.00</v>
      </c>
      <c r="O375" t="str">
        <f>"300731"</f>
        <v>300731</v>
      </c>
      <c r="P375" t="str">
        <f t="shared" si="158"/>
        <v>0153613480</v>
      </c>
    </row>
    <row r="376" spans="1:16" x14ac:dyDescent="0.25">
      <c r="A376" t="str">
        <f t="shared" si="135"/>
        <v>人民币</v>
      </c>
      <c r="B376" t="str">
        <f>"设研院"</f>
        <v>设研院</v>
      </c>
      <c r="C376" t="str">
        <f>"20171130"</f>
        <v>20171130</v>
      </c>
      <c r="D376" t="str">
        <f>"0.000"</f>
        <v>0.000</v>
      </c>
      <c r="E376" t="str">
        <f>"5.00"</f>
        <v>5.00</v>
      </c>
      <c r="F376" t="str">
        <f>"0.00"</f>
        <v>0.00</v>
      </c>
      <c r="G376" t="str">
        <f>"226.10"</f>
        <v>226.10</v>
      </c>
      <c r="H376" t="str">
        <f>"0.00"</f>
        <v>0.00</v>
      </c>
      <c r="I376" t="str">
        <f>"124"</f>
        <v>124</v>
      </c>
      <c r="J376" t="str">
        <f>"申购配号(设研院)"</f>
        <v>申购配号(设研院)</v>
      </c>
      <c r="K376" t="str">
        <f t="shared" si="159"/>
        <v>0.00</v>
      </c>
      <c r="L376" t="str">
        <f t="shared" si="159"/>
        <v>0.00</v>
      </c>
      <c r="M376" t="str">
        <f t="shared" si="157"/>
        <v>0.00</v>
      </c>
      <c r="N376" t="str">
        <f t="shared" si="156"/>
        <v>0.00</v>
      </c>
      <c r="O376" t="str">
        <f>"300732"</f>
        <v>300732</v>
      </c>
      <c r="P376" t="str">
        <f t="shared" si="158"/>
        <v>0153613480</v>
      </c>
    </row>
    <row r="377" spans="1:16" x14ac:dyDescent="0.25">
      <c r="A377" t="str">
        <f t="shared" si="135"/>
        <v>人民币</v>
      </c>
      <c r="B377" t="str">
        <f>"深南电路"</f>
        <v>深南电路</v>
      </c>
      <c r="C377" t="str">
        <f>"20171130"</f>
        <v>20171130</v>
      </c>
      <c r="D377" t="str">
        <f>"0.000"</f>
        <v>0.000</v>
      </c>
      <c r="E377" t="str">
        <f>"5.00"</f>
        <v>5.00</v>
      </c>
      <c r="F377" t="str">
        <f>"0.00"</f>
        <v>0.00</v>
      </c>
      <c r="G377" t="str">
        <f>"226.10"</f>
        <v>226.10</v>
      </c>
      <c r="H377" t="str">
        <f>"0.00"</f>
        <v>0.00</v>
      </c>
      <c r="I377" t="str">
        <f>"122"</f>
        <v>122</v>
      </c>
      <c r="J377" t="str">
        <f>"申购配号(深南电路)"</f>
        <v>申购配号(深南电路)</v>
      </c>
      <c r="K377" t="str">
        <f t="shared" si="159"/>
        <v>0.00</v>
      </c>
      <c r="L377" t="str">
        <f t="shared" si="159"/>
        <v>0.00</v>
      </c>
      <c r="M377" t="str">
        <f t="shared" si="157"/>
        <v>0.00</v>
      </c>
      <c r="N377" t="str">
        <f t="shared" si="156"/>
        <v>0.00</v>
      </c>
      <c r="O377" t="str">
        <f>"002916"</f>
        <v>002916</v>
      </c>
      <c r="P377" t="str">
        <f t="shared" si="158"/>
        <v>0153613480</v>
      </c>
    </row>
    <row r="378" spans="1:16" x14ac:dyDescent="0.25">
      <c r="A378" t="str">
        <f t="shared" si="135"/>
        <v>人民币</v>
      </c>
      <c r="B378" t="str">
        <f>" "</f>
        <v xml:space="preserve"> </v>
      </c>
      <c r="C378" t="str">
        <f>"20171205"</f>
        <v>20171205</v>
      </c>
      <c r="D378" t="str">
        <f>"---"</f>
        <v>---</v>
      </c>
      <c r="E378" t="str">
        <f>"---"</f>
        <v>---</v>
      </c>
      <c r="F378" t="str">
        <f>"8500.00"</f>
        <v>8500.00</v>
      </c>
      <c r="G378" t="str">
        <f>"8726.10"</f>
        <v>8726.10</v>
      </c>
      <c r="H378" t="str">
        <f>"---"</f>
        <v>---</v>
      </c>
      <c r="I378" t="str">
        <f>"---"</f>
        <v>---</v>
      </c>
      <c r="J378" t="str">
        <f>"银行转存"</f>
        <v>银行转存</v>
      </c>
      <c r="K378" t="str">
        <f t="shared" ref="K378:P378" si="160">"---"</f>
        <v>---</v>
      </c>
      <c r="L378" t="str">
        <f t="shared" si="160"/>
        <v>---</v>
      </c>
      <c r="M378" t="str">
        <f t="shared" si="160"/>
        <v>---</v>
      </c>
      <c r="N378" t="str">
        <f t="shared" si="160"/>
        <v>---</v>
      </c>
      <c r="O378" t="str">
        <f t="shared" si="160"/>
        <v>---</v>
      </c>
      <c r="P378" t="str">
        <f t="shared" si="160"/>
        <v>---</v>
      </c>
    </row>
    <row r="379" spans="1:16" x14ac:dyDescent="0.25">
      <c r="A379" t="str">
        <f t="shared" si="135"/>
        <v>人民币</v>
      </c>
      <c r="B379" t="str">
        <f>"西水股份"</f>
        <v>西水股份</v>
      </c>
      <c r="C379" t="str">
        <f>"20171205"</f>
        <v>20171205</v>
      </c>
      <c r="D379" t="str">
        <f>"25.290"</f>
        <v>25.290</v>
      </c>
      <c r="E379" t="str">
        <f>"200.00"</f>
        <v>200.00</v>
      </c>
      <c r="F379" t="str">
        <f>"-5063.10"</f>
        <v>-5063.10</v>
      </c>
      <c r="G379" t="str">
        <f>"3663.00"</f>
        <v>3663.00</v>
      </c>
      <c r="H379" t="str">
        <f>"500.00"</f>
        <v>500.00</v>
      </c>
      <c r="I379" t="str">
        <f>"129"</f>
        <v>129</v>
      </c>
      <c r="J379" t="str">
        <f>"证券买入(西水股份)"</f>
        <v>证券买入(西水股份)</v>
      </c>
      <c r="K379" t="str">
        <f>"5.00"</f>
        <v>5.00</v>
      </c>
      <c r="L379" t="str">
        <f>"0.00"</f>
        <v>0.00</v>
      </c>
      <c r="M379" t="str">
        <f>"0.10"</f>
        <v>0.10</v>
      </c>
      <c r="N379" t="str">
        <f>"0.00"</f>
        <v>0.00</v>
      </c>
      <c r="O379" t="str">
        <f>"600291"</f>
        <v>600291</v>
      </c>
      <c r="P379" t="str">
        <f>"A400948245"</f>
        <v>A400948245</v>
      </c>
    </row>
    <row r="380" spans="1:16" x14ac:dyDescent="0.25">
      <c r="A380" t="str">
        <f t="shared" si="135"/>
        <v>人民币</v>
      </c>
      <c r="B380" t="str">
        <f>"西水股份"</f>
        <v>西水股份</v>
      </c>
      <c r="C380" t="str">
        <f>"20171205"</f>
        <v>20171205</v>
      </c>
      <c r="D380" t="str">
        <f>"24.560"</f>
        <v>24.560</v>
      </c>
      <c r="E380" t="str">
        <f>"100.00"</f>
        <v>100.00</v>
      </c>
      <c r="F380" t="str">
        <f>"-2461.05"</f>
        <v>-2461.05</v>
      </c>
      <c r="G380" t="str">
        <f>"1201.95"</f>
        <v>1201.95</v>
      </c>
      <c r="H380" t="str">
        <f>"600.00"</f>
        <v>600.00</v>
      </c>
      <c r="I380" t="str">
        <f>"132"</f>
        <v>132</v>
      </c>
      <c r="J380" t="str">
        <f>"证券买入(西水股份)"</f>
        <v>证券买入(西水股份)</v>
      </c>
      <c r="K380" t="str">
        <f>"5.00"</f>
        <v>5.00</v>
      </c>
      <c r="L380" t="str">
        <f>"0.00"</f>
        <v>0.00</v>
      </c>
      <c r="M380" t="str">
        <f>"0.05"</f>
        <v>0.05</v>
      </c>
      <c r="N380" t="str">
        <f>"0.00"</f>
        <v>0.00</v>
      </c>
      <c r="O380" t="str">
        <f>"600291"</f>
        <v>600291</v>
      </c>
      <c r="P380" t="str">
        <f>"A400948245"</f>
        <v>A400948245</v>
      </c>
    </row>
    <row r="381" spans="1:16" x14ac:dyDescent="0.25">
      <c r="A381" t="str">
        <f t="shared" si="135"/>
        <v>人民币</v>
      </c>
      <c r="B381" t="str">
        <f>"天添利"</f>
        <v>天添利</v>
      </c>
      <c r="C381" t="str">
        <f>"20171207"</f>
        <v>20171207</v>
      </c>
      <c r="D381" t="str">
        <f>"0.000"</f>
        <v>0.000</v>
      </c>
      <c r="E381" t="str">
        <f>"0.00"</f>
        <v>0.00</v>
      </c>
      <c r="F381" t="str">
        <f>"1.52"</f>
        <v>1.52</v>
      </c>
      <c r="G381" t="str">
        <f>"1203.47"</f>
        <v>1203.47</v>
      </c>
      <c r="H381" t="str">
        <f>"0.00"</f>
        <v>0.00</v>
      </c>
      <c r="I381" t="str">
        <f>"---"</f>
        <v>---</v>
      </c>
      <c r="J381" t="str">
        <f>"股息入帐(天添利)"</f>
        <v>股息入帐(天添利)</v>
      </c>
      <c r="K381" t="str">
        <f t="shared" ref="K381:N382" si="161">"---"</f>
        <v>---</v>
      </c>
      <c r="L381" t="str">
        <f t="shared" si="161"/>
        <v>---</v>
      </c>
      <c r="M381" t="str">
        <f t="shared" si="161"/>
        <v>---</v>
      </c>
      <c r="N381" t="str">
        <f t="shared" si="161"/>
        <v>---</v>
      </c>
      <c r="O381" t="str">
        <f>"880013"</f>
        <v>880013</v>
      </c>
      <c r="P381" t="str">
        <f>"980518091676"</f>
        <v>980518091676</v>
      </c>
    </row>
    <row r="382" spans="1:16" x14ac:dyDescent="0.25">
      <c r="A382" t="str">
        <f t="shared" si="135"/>
        <v>人民币</v>
      </c>
      <c r="B382" t="str">
        <f>" "</f>
        <v xml:space="preserve"> </v>
      </c>
      <c r="C382" t="str">
        <f>"20171211"</f>
        <v>20171211</v>
      </c>
      <c r="D382" t="str">
        <f>"---"</f>
        <v>---</v>
      </c>
      <c r="E382" t="str">
        <f>"---"</f>
        <v>---</v>
      </c>
      <c r="F382" t="str">
        <f>"-1000.00"</f>
        <v>-1000.00</v>
      </c>
      <c r="G382" t="str">
        <f>"203.47"</f>
        <v>203.47</v>
      </c>
      <c r="H382" t="str">
        <f>"---"</f>
        <v>---</v>
      </c>
      <c r="I382" t="str">
        <f>"---"</f>
        <v>---</v>
      </c>
      <c r="J382" t="str">
        <f>"银行转取"</f>
        <v>银行转取</v>
      </c>
      <c r="K382" t="str">
        <f t="shared" si="161"/>
        <v>---</v>
      </c>
      <c r="L382" t="str">
        <f t="shared" si="161"/>
        <v>---</v>
      </c>
      <c r="M382" t="str">
        <f t="shared" si="161"/>
        <v>---</v>
      </c>
      <c r="N382" t="str">
        <f t="shared" si="161"/>
        <v>---</v>
      </c>
      <c r="O382" t="str">
        <f>"---"</f>
        <v>---</v>
      </c>
      <c r="P382" t="str">
        <f>"---"</f>
        <v>---</v>
      </c>
    </row>
    <row r="383" spans="1:16" x14ac:dyDescent="0.25">
      <c r="A383" t="str">
        <f t="shared" si="135"/>
        <v>人民币</v>
      </c>
      <c r="B383" t="str">
        <f>"西水股份"</f>
        <v>西水股份</v>
      </c>
      <c r="C383" t="str">
        <f>"20171218"</f>
        <v>20171218</v>
      </c>
      <c r="D383" t="str">
        <f>"23.290"</f>
        <v>23.290</v>
      </c>
      <c r="E383" t="str">
        <f>"-300.00"</f>
        <v>-300.00</v>
      </c>
      <c r="F383" t="str">
        <f>"6974.87"</f>
        <v>6974.87</v>
      </c>
      <c r="G383" t="str">
        <f>"7178.34"</f>
        <v>7178.34</v>
      </c>
      <c r="H383" t="str">
        <f>"300.00"</f>
        <v>300.00</v>
      </c>
      <c r="I383" t="str">
        <f>"141"</f>
        <v>141</v>
      </c>
      <c r="J383" t="str">
        <f>"证券卖出(西水股份)"</f>
        <v>证券卖出(西水股份)</v>
      </c>
      <c r="K383" t="str">
        <f>"5.00"</f>
        <v>5.00</v>
      </c>
      <c r="L383" t="str">
        <f>"6.99"</f>
        <v>6.99</v>
      </c>
      <c r="M383" t="str">
        <f>"0.14"</f>
        <v>0.14</v>
      </c>
      <c r="N383" t="str">
        <f>"0.00"</f>
        <v>0.00</v>
      </c>
      <c r="O383" t="str">
        <f>"600291"</f>
        <v>600291</v>
      </c>
      <c r="P383" t="str">
        <f>"A400948245"</f>
        <v>A400948245</v>
      </c>
    </row>
    <row r="384" spans="1:16" x14ac:dyDescent="0.25">
      <c r="A384" t="str">
        <f t="shared" si="135"/>
        <v>人民币</v>
      </c>
      <c r="B384" t="str">
        <f>"西水股份"</f>
        <v>西水股份</v>
      </c>
      <c r="C384" t="str">
        <f>"20171218"</f>
        <v>20171218</v>
      </c>
      <c r="D384" t="str">
        <f>"23.310"</f>
        <v>23.310</v>
      </c>
      <c r="E384" t="str">
        <f>"-300.00"</f>
        <v>-300.00</v>
      </c>
      <c r="F384" t="str">
        <f>"6980.87"</f>
        <v>6980.87</v>
      </c>
      <c r="G384" t="str">
        <f>"14159.21"</f>
        <v>14159.21</v>
      </c>
      <c r="H384" t="str">
        <f>"0.00"</f>
        <v>0.00</v>
      </c>
      <c r="I384" t="str">
        <f>"148"</f>
        <v>148</v>
      </c>
      <c r="J384" t="str">
        <f>"证券卖出(西水股份)"</f>
        <v>证券卖出(西水股份)</v>
      </c>
      <c r="K384" t="str">
        <f>"5.00"</f>
        <v>5.00</v>
      </c>
      <c r="L384" t="str">
        <f>"6.99"</f>
        <v>6.99</v>
      </c>
      <c r="M384" t="str">
        <f>"0.14"</f>
        <v>0.14</v>
      </c>
      <c r="N384" t="str">
        <f>"0.00"</f>
        <v>0.00</v>
      </c>
      <c r="O384" t="str">
        <f>"600291"</f>
        <v>600291</v>
      </c>
      <c r="P384" t="str">
        <f>"A400948245"</f>
        <v>A400948245</v>
      </c>
    </row>
    <row r="385" spans="1:16" x14ac:dyDescent="0.25">
      <c r="A385" t="str">
        <f t="shared" si="135"/>
        <v>人民币</v>
      </c>
      <c r="B385" t="str">
        <f>"东软载波"</f>
        <v>东软载波</v>
      </c>
      <c r="C385" t="str">
        <f>"20171218"</f>
        <v>20171218</v>
      </c>
      <c r="D385" t="str">
        <f>"20.767"</f>
        <v>20.767</v>
      </c>
      <c r="E385" t="str">
        <f>"300.00"</f>
        <v>300.00</v>
      </c>
      <c r="F385" t="str">
        <f>"-6235.00"</f>
        <v>-6235.00</v>
      </c>
      <c r="G385" t="str">
        <f>"7924.21"</f>
        <v>7924.21</v>
      </c>
      <c r="H385" t="str">
        <f>"300.00"</f>
        <v>300.00</v>
      </c>
      <c r="I385" t="str">
        <f>"144"</f>
        <v>144</v>
      </c>
      <c r="J385" t="str">
        <f>"证券买入(东软载波)"</f>
        <v>证券买入(东软载波)</v>
      </c>
      <c r="K385" t="str">
        <f>"5.00"</f>
        <v>5.00</v>
      </c>
      <c r="L385" t="str">
        <f>"0.00"</f>
        <v>0.00</v>
      </c>
      <c r="M385" t="str">
        <f>"0.00"</f>
        <v>0.00</v>
      </c>
      <c r="N385" t="str">
        <f>"0.00"</f>
        <v>0.00</v>
      </c>
      <c r="O385" t="str">
        <f>"300183"</f>
        <v>300183</v>
      </c>
      <c r="P385" t="str">
        <f>"0153613480"</f>
        <v>0153613480</v>
      </c>
    </row>
    <row r="386" spans="1:16" x14ac:dyDescent="0.25">
      <c r="A386" t="str">
        <f t="shared" si="135"/>
        <v>人民币</v>
      </c>
      <c r="B386" t="str">
        <f>"东软载波"</f>
        <v>东软载波</v>
      </c>
      <c r="C386" t="str">
        <f>"20171218"</f>
        <v>20171218</v>
      </c>
      <c r="D386" t="str">
        <f>"20.710"</f>
        <v>20.710</v>
      </c>
      <c r="E386" t="str">
        <f>"300.00"</f>
        <v>300.00</v>
      </c>
      <c r="F386" t="str">
        <f>"-6218.00"</f>
        <v>-6218.00</v>
      </c>
      <c r="G386" t="str">
        <f>"1706.21"</f>
        <v>1706.21</v>
      </c>
      <c r="H386" t="str">
        <f>"600.00"</f>
        <v>600.00</v>
      </c>
      <c r="I386" t="str">
        <f>"151"</f>
        <v>151</v>
      </c>
      <c r="J386" t="str">
        <f>"证券买入(东软载波)"</f>
        <v>证券买入(东软载波)</v>
      </c>
      <c r="K386" t="str">
        <f>"5.00"</f>
        <v>5.00</v>
      </c>
      <c r="L386" t="str">
        <f>"0.00"</f>
        <v>0.00</v>
      </c>
      <c r="M386" t="str">
        <f>"0.00"</f>
        <v>0.00</v>
      </c>
      <c r="N386" t="str">
        <f>"0.00"</f>
        <v>0.00</v>
      </c>
      <c r="O386" t="str">
        <f>"300183"</f>
        <v>300183</v>
      </c>
      <c r="P386" t="str">
        <f>"0153613480"</f>
        <v>0153613480</v>
      </c>
    </row>
    <row r="387" spans="1:16" x14ac:dyDescent="0.25">
      <c r="A387" t="str">
        <f t="shared" si="135"/>
        <v>人民币</v>
      </c>
      <c r="B387" t="str">
        <f>" "</f>
        <v xml:space="preserve"> </v>
      </c>
      <c r="C387" t="str">
        <f>"20171220"</f>
        <v>20171220</v>
      </c>
      <c r="D387" t="str">
        <f>"---"</f>
        <v>---</v>
      </c>
      <c r="E387" t="str">
        <f>"---"</f>
        <v>---</v>
      </c>
      <c r="F387" t="str">
        <f>"1.12"</f>
        <v>1.12</v>
      </c>
      <c r="G387" t="str">
        <f>"1707.33"</f>
        <v>1707.33</v>
      </c>
      <c r="H387" t="str">
        <f>"---"</f>
        <v>---</v>
      </c>
      <c r="I387" t="str">
        <f>"---"</f>
        <v>---</v>
      </c>
      <c r="J387" t="str">
        <f>"批量利息归本"</f>
        <v>批量利息归本</v>
      </c>
      <c r="K387" t="str">
        <f t="shared" ref="K387:P388" si="162">"---"</f>
        <v>---</v>
      </c>
      <c r="L387" t="str">
        <f t="shared" si="162"/>
        <v>---</v>
      </c>
      <c r="M387" t="str">
        <f t="shared" si="162"/>
        <v>---</v>
      </c>
      <c r="N387" t="str">
        <f t="shared" si="162"/>
        <v>---</v>
      </c>
      <c r="O387" t="str">
        <f t="shared" si="162"/>
        <v>---</v>
      </c>
      <c r="P387" t="str">
        <f t="shared" si="162"/>
        <v>---</v>
      </c>
    </row>
    <row r="388" spans="1:16" x14ac:dyDescent="0.25">
      <c r="A388" t="str">
        <f t="shared" si="135"/>
        <v>人民币</v>
      </c>
      <c r="B388" t="str">
        <f>" "</f>
        <v xml:space="preserve"> </v>
      </c>
      <c r="C388" t="str">
        <f>"20171225"</f>
        <v>20171225</v>
      </c>
      <c r="D388" t="str">
        <f>"---"</f>
        <v>---</v>
      </c>
      <c r="E388" t="str">
        <f>"---"</f>
        <v>---</v>
      </c>
      <c r="F388" t="str">
        <f>"300.00"</f>
        <v>300.00</v>
      </c>
      <c r="G388" t="str">
        <f>"2007.33"</f>
        <v>2007.33</v>
      </c>
      <c r="H388" t="str">
        <f>"---"</f>
        <v>---</v>
      </c>
      <c r="I388" t="str">
        <f>"---"</f>
        <v>---</v>
      </c>
      <c r="J388" t="str">
        <f>"银行转存"</f>
        <v>银行转存</v>
      </c>
      <c r="K388" t="str">
        <f t="shared" si="162"/>
        <v>---</v>
      </c>
      <c r="L388" t="str">
        <f t="shared" si="162"/>
        <v>---</v>
      </c>
      <c r="M388" t="str">
        <f t="shared" si="162"/>
        <v>---</v>
      </c>
      <c r="N388" t="str">
        <f t="shared" si="162"/>
        <v>---</v>
      </c>
      <c r="O388" t="str">
        <f t="shared" si="162"/>
        <v>---</v>
      </c>
      <c r="P388" t="str">
        <f t="shared" si="162"/>
        <v>---</v>
      </c>
    </row>
    <row r="389" spans="1:16" x14ac:dyDescent="0.25">
      <c r="A389" t="str">
        <f t="shared" si="135"/>
        <v>人民币</v>
      </c>
      <c r="B389" t="str">
        <f>"东软载波"</f>
        <v>东软载波</v>
      </c>
      <c r="C389" t="str">
        <f>"20171225"</f>
        <v>20171225</v>
      </c>
      <c r="D389" t="str">
        <f>"19.560"</f>
        <v>19.560</v>
      </c>
      <c r="E389" t="str">
        <f>"100.00"</f>
        <v>100.00</v>
      </c>
      <c r="F389" t="str">
        <f>"-1961.00"</f>
        <v>-1961.00</v>
      </c>
      <c r="G389" t="str">
        <f>"46.33"</f>
        <v>46.33</v>
      </c>
      <c r="H389" t="str">
        <f>"700.00"</f>
        <v>700.00</v>
      </c>
      <c r="I389" t="str">
        <f>"3"</f>
        <v>3</v>
      </c>
      <c r="J389" t="str">
        <f>"证券买入(东软载波)"</f>
        <v>证券买入(东软载波)</v>
      </c>
      <c r="K389" t="str">
        <f>"5.00"</f>
        <v>5.00</v>
      </c>
      <c r="L389" t="str">
        <f>"0.00"</f>
        <v>0.00</v>
      </c>
      <c r="M389" t="str">
        <f>"0.00"</f>
        <v>0.00</v>
      </c>
      <c r="N389" t="str">
        <f>"0.00"</f>
        <v>0.00</v>
      </c>
      <c r="O389" t="str">
        <f>"300183"</f>
        <v>300183</v>
      </c>
      <c r="P389" t="str">
        <f>"0153613480"</f>
        <v>0153613480</v>
      </c>
    </row>
  </sheetData>
  <autoFilter ref="A1:P1"/>
  <phoneticPr fontId="18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S342"/>
  <sheetViews>
    <sheetView workbookViewId="0">
      <selection activeCell="B298" sqref="B298"/>
    </sheetView>
  </sheetViews>
  <sheetFormatPr defaultRowHeight="13.8" x14ac:dyDescent="0.25"/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9" hidden="1" x14ac:dyDescent="0.25">
      <c r="A2" t="str">
        <f t="shared" ref="A2:A65" si="0">"人民币"</f>
        <v>人民币</v>
      </c>
      <c r="B2" t="str">
        <f>" "</f>
        <v xml:space="preserve"> </v>
      </c>
      <c r="C2" t="str">
        <f>"20180110"</f>
        <v>20180110</v>
      </c>
      <c r="D2" t="str">
        <f>"---"</f>
        <v>---</v>
      </c>
      <c r="E2" t="str">
        <f>"---"</f>
        <v>---</v>
      </c>
      <c r="F2" t="str">
        <f>"4200.00"</f>
        <v>4200.00</v>
      </c>
      <c r="G2" t="str">
        <f>"4246.33"</f>
        <v>4246.33</v>
      </c>
      <c r="H2" t="str">
        <f>"---"</f>
        <v>---</v>
      </c>
      <c r="I2" t="str">
        <f>"---"</f>
        <v>---</v>
      </c>
      <c r="J2" t="str">
        <f>"银行转存"</f>
        <v>银行转存</v>
      </c>
      <c r="K2" t="str">
        <f t="shared" ref="K2:P2" si="1">"---"</f>
        <v>---</v>
      </c>
      <c r="L2" t="str">
        <f t="shared" si="1"/>
        <v>---</v>
      </c>
      <c r="M2" t="str">
        <f t="shared" si="1"/>
        <v>---</v>
      </c>
      <c r="N2" t="str">
        <f t="shared" si="1"/>
        <v>---</v>
      </c>
      <c r="O2" t="str">
        <f t="shared" si="1"/>
        <v>---</v>
      </c>
      <c r="P2" t="str">
        <f t="shared" si="1"/>
        <v>---</v>
      </c>
    </row>
    <row r="3" spans="1:19" hidden="1" x14ac:dyDescent="0.25">
      <c r="A3" t="str">
        <f t="shared" si="0"/>
        <v>人民币</v>
      </c>
      <c r="B3" t="str">
        <f>"海康威视"</f>
        <v>海康威视</v>
      </c>
      <c r="C3" t="str">
        <f>"20180110"</f>
        <v>20180110</v>
      </c>
      <c r="D3" t="str">
        <f>"41.220"</f>
        <v>41.220</v>
      </c>
      <c r="E3" t="str">
        <f>"100.00"</f>
        <v>100.00</v>
      </c>
      <c r="F3" t="str">
        <f>"-4127.00"</f>
        <v>-4127.00</v>
      </c>
      <c r="G3" t="str">
        <f>"119.33"</f>
        <v>119.33</v>
      </c>
      <c r="H3" t="str">
        <f>"100.00"</f>
        <v>100.00</v>
      </c>
      <c r="I3" t="str">
        <f>"8"</f>
        <v>8</v>
      </c>
      <c r="J3" t="str">
        <f>"证券买入(海康威视)"</f>
        <v>证券买入(海康威视)</v>
      </c>
      <c r="K3" t="str">
        <f>"5.00"</f>
        <v>5.00</v>
      </c>
      <c r="L3" t="str">
        <f>"0.00"</f>
        <v>0.00</v>
      </c>
      <c r="M3" t="str">
        <f>"0.00"</f>
        <v>0.00</v>
      </c>
      <c r="N3" t="str">
        <f>"0.00"</f>
        <v>0.00</v>
      </c>
      <c r="O3" t="str">
        <f>"002415"</f>
        <v>002415</v>
      </c>
      <c r="P3" t="str">
        <f>"0153613480"</f>
        <v>0153613480</v>
      </c>
    </row>
    <row r="4" spans="1:19" hidden="1" x14ac:dyDescent="0.25">
      <c r="A4" t="str">
        <f t="shared" si="0"/>
        <v>人民币</v>
      </c>
      <c r="B4" t="str">
        <f>" "</f>
        <v xml:space="preserve"> </v>
      </c>
      <c r="C4" t="str">
        <f t="shared" ref="C4:C11" si="2">"20180116"</f>
        <v>20180116</v>
      </c>
      <c r="D4" t="str">
        <f>"---"</f>
        <v>---</v>
      </c>
      <c r="E4" t="str">
        <f>"---"</f>
        <v>---</v>
      </c>
      <c r="F4" t="str">
        <f>"9900.00"</f>
        <v>9900.00</v>
      </c>
      <c r="G4" t="str">
        <f>"10019.33"</f>
        <v>10019.33</v>
      </c>
      <c r="H4" t="str">
        <f>"---"</f>
        <v>---</v>
      </c>
      <c r="I4" t="str">
        <f>"---"</f>
        <v>---</v>
      </c>
      <c r="J4" t="str">
        <f>"银行转存"</f>
        <v>银行转存</v>
      </c>
      <c r="K4" t="str">
        <f t="shared" ref="K4:P5" si="3">"---"</f>
        <v>---</v>
      </c>
      <c r="L4" t="str">
        <f t="shared" si="3"/>
        <v>---</v>
      </c>
      <c r="M4" t="str">
        <f t="shared" si="3"/>
        <v>---</v>
      </c>
      <c r="N4" t="str">
        <f t="shared" si="3"/>
        <v>---</v>
      </c>
      <c r="O4" t="str">
        <f t="shared" si="3"/>
        <v>---</v>
      </c>
      <c r="P4" t="str">
        <f t="shared" si="3"/>
        <v>---</v>
      </c>
    </row>
    <row r="5" spans="1:19" hidden="1" x14ac:dyDescent="0.25">
      <c r="A5" t="str">
        <f t="shared" si="0"/>
        <v>人民币</v>
      </c>
      <c r="B5" t="str">
        <f>" "</f>
        <v xml:space="preserve"> </v>
      </c>
      <c r="C5" t="str">
        <f t="shared" si="2"/>
        <v>20180116</v>
      </c>
      <c r="D5" t="str">
        <f>"---"</f>
        <v>---</v>
      </c>
      <c r="E5" t="str">
        <f>"---"</f>
        <v>---</v>
      </c>
      <c r="F5" t="str">
        <f>"100.00"</f>
        <v>100.00</v>
      </c>
      <c r="G5" t="str">
        <f>"10119.33"</f>
        <v>10119.33</v>
      </c>
      <c r="H5" t="str">
        <f>"---"</f>
        <v>---</v>
      </c>
      <c r="I5" t="str">
        <f>"---"</f>
        <v>---</v>
      </c>
      <c r="J5" t="str">
        <f>"银行转存"</f>
        <v>银行转存</v>
      </c>
      <c r="K5" t="str">
        <f t="shared" si="3"/>
        <v>---</v>
      </c>
      <c r="L5" t="str">
        <f t="shared" si="3"/>
        <v>---</v>
      </c>
      <c r="M5" t="str">
        <f t="shared" si="3"/>
        <v>---</v>
      </c>
      <c r="N5" t="str">
        <f t="shared" si="3"/>
        <v>---</v>
      </c>
      <c r="O5" t="str">
        <f t="shared" si="3"/>
        <v>---</v>
      </c>
      <c r="P5" t="str">
        <f t="shared" si="3"/>
        <v>---</v>
      </c>
    </row>
    <row r="6" spans="1:19" hidden="1" x14ac:dyDescent="0.25">
      <c r="A6" t="str">
        <f t="shared" si="0"/>
        <v>人民币</v>
      </c>
      <c r="B6" t="str">
        <f>"海康威视"</f>
        <v>海康威视</v>
      </c>
      <c r="C6" t="str">
        <f t="shared" si="2"/>
        <v>20180116</v>
      </c>
      <c r="D6" t="str">
        <f>"43.150"</f>
        <v>43.150</v>
      </c>
      <c r="E6" t="str">
        <f>"100.00"</f>
        <v>100.00</v>
      </c>
      <c r="F6" t="str">
        <f>"-4320.00"</f>
        <v>-4320.00</v>
      </c>
      <c r="G6" t="str">
        <f>"5799.33"</f>
        <v>5799.33</v>
      </c>
      <c r="H6" t="str">
        <f>"200.00"</f>
        <v>200.00</v>
      </c>
      <c r="I6" t="str">
        <f>"22"</f>
        <v>22</v>
      </c>
      <c r="J6" t="str">
        <f>"证券买入(海康威视)"</f>
        <v>证券买入(海康威视)</v>
      </c>
      <c r="K6" t="str">
        <f>"5.00"</f>
        <v>5.00</v>
      </c>
      <c r="L6" t="str">
        <f>"0.00"</f>
        <v>0.00</v>
      </c>
      <c r="M6" t="str">
        <f>"0.00"</f>
        <v>0.00</v>
      </c>
      <c r="N6" t="str">
        <f>"0.00"</f>
        <v>0.00</v>
      </c>
      <c r="O6" t="str">
        <f>"002415"</f>
        <v>002415</v>
      </c>
      <c r="P6" t="str">
        <f t="shared" ref="P6:P13" si="4">"0153613480"</f>
        <v>0153613480</v>
      </c>
    </row>
    <row r="7" spans="1:19" hidden="1" x14ac:dyDescent="0.25">
      <c r="A7" t="str">
        <f t="shared" si="0"/>
        <v>人民币</v>
      </c>
      <c r="B7" t="str">
        <f>"东软载波"</f>
        <v>东软载波</v>
      </c>
      <c r="C7" t="str">
        <f t="shared" si="2"/>
        <v>20180116</v>
      </c>
      <c r="D7" t="str">
        <f>"18.390"</f>
        <v>18.390</v>
      </c>
      <c r="E7" t="str">
        <f>"-300.00"</f>
        <v>-300.00</v>
      </c>
      <c r="F7" t="str">
        <f>"5506.48"</f>
        <v>5506.48</v>
      </c>
      <c r="G7" t="str">
        <f>"11305.81"</f>
        <v>11305.81</v>
      </c>
      <c r="H7" t="str">
        <f>"400.00"</f>
        <v>400.00</v>
      </c>
      <c r="I7" t="str">
        <f>"25"</f>
        <v>25</v>
      </c>
      <c r="J7" t="str">
        <f>"证券卖出(东软载波)"</f>
        <v>证券卖出(东软载波)</v>
      </c>
      <c r="K7" t="str">
        <f>"5.00"</f>
        <v>5.00</v>
      </c>
      <c r="L7" t="str">
        <f>"5.52"</f>
        <v>5.52</v>
      </c>
      <c r="M7" t="str">
        <f t="shared" ref="M7:N13" si="5">"0.00"</f>
        <v>0.00</v>
      </c>
      <c r="N7" t="str">
        <f t="shared" si="5"/>
        <v>0.00</v>
      </c>
      <c r="O7" t="str">
        <f>"300183"</f>
        <v>300183</v>
      </c>
      <c r="P7" t="str">
        <f t="shared" si="4"/>
        <v>0153613480</v>
      </c>
    </row>
    <row r="8" spans="1:19" hidden="1" x14ac:dyDescent="0.25">
      <c r="A8" t="str">
        <f t="shared" si="0"/>
        <v>人民币</v>
      </c>
      <c r="B8" t="str">
        <f>"海康威视"</f>
        <v>海康威视</v>
      </c>
      <c r="C8" t="str">
        <f t="shared" si="2"/>
        <v>20180116</v>
      </c>
      <c r="D8" t="str">
        <f>"43.170"</f>
        <v>43.170</v>
      </c>
      <c r="E8" t="str">
        <f>"100.00"</f>
        <v>100.00</v>
      </c>
      <c r="F8" t="str">
        <f>"-4322.00"</f>
        <v>-4322.00</v>
      </c>
      <c r="G8" t="str">
        <f>"6983.81"</f>
        <v>6983.81</v>
      </c>
      <c r="H8" t="str">
        <f>"300.00"</f>
        <v>300.00</v>
      </c>
      <c r="I8" t="str">
        <f>"28"</f>
        <v>28</v>
      </c>
      <c r="J8" t="str">
        <f>"证券买入(海康威视)"</f>
        <v>证券买入(海康威视)</v>
      </c>
      <c r="K8" t="str">
        <f>"5.00"</f>
        <v>5.00</v>
      </c>
      <c r="L8" t="str">
        <f>"0.00"</f>
        <v>0.00</v>
      </c>
      <c r="M8" t="str">
        <f t="shared" si="5"/>
        <v>0.00</v>
      </c>
      <c r="N8" t="str">
        <f t="shared" si="5"/>
        <v>0.00</v>
      </c>
      <c r="O8" t="str">
        <f>"002415"</f>
        <v>002415</v>
      </c>
      <c r="P8" t="str">
        <f t="shared" si="4"/>
        <v>0153613480</v>
      </c>
    </row>
    <row r="9" spans="1:19" hidden="1" x14ac:dyDescent="0.25">
      <c r="A9" t="str">
        <f t="shared" si="0"/>
        <v>人民币</v>
      </c>
      <c r="B9" t="str">
        <f>"东软载波"</f>
        <v>东软载波</v>
      </c>
      <c r="C9" t="str">
        <f t="shared" si="2"/>
        <v>20180116</v>
      </c>
      <c r="D9" t="str">
        <f>"18.400"</f>
        <v>18.400</v>
      </c>
      <c r="E9" t="str">
        <f>"-400.00"</f>
        <v>-400.00</v>
      </c>
      <c r="F9" t="str">
        <f>"7347.64"</f>
        <v>7347.64</v>
      </c>
      <c r="G9" t="str">
        <f>"14331.45"</f>
        <v>14331.45</v>
      </c>
      <c r="H9" t="str">
        <f>"0.00"</f>
        <v>0.00</v>
      </c>
      <c r="I9" t="str">
        <f>"32"</f>
        <v>32</v>
      </c>
      <c r="J9" t="str">
        <f>"证券卖出(东软载波)"</f>
        <v>证券卖出(东软载波)</v>
      </c>
      <c r="K9" t="str">
        <f>"5.00"</f>
        <v>5.00</v>
      </c>
      <c r="L9" t="str">
        <f>"7.36"</f>
        <v>7.36</v>
      </c>
      <c r="M9" t="str">
        <f t="shared" si="5"/>
        <v>0.00</v>
      </c>
      <c r="N9" t="str">
        <f t="shared" si="5"/>
        <v>0.00</v>
      </c>
      <c r="O9" t="str">
        <f>"300183"</f>
        <v>300183</v>
      </c>
      <c r="P9" t="str">
        <f t="shared" si="4"/>
        <v>0153613480</v>
      </c>
    </row>
    <row r="10" spans="1:19" hidden="1" x14ac:dyDescent="0.25">
      <c r="A10" t="str">
        <f t="shared" si="0"/>
        <v>人民币</v>
      </c>
      <c r="B10" t="str">
        <f>"海康威视"</f>
        <v>海康威视</v>
      </c>
      <c r="C10" t="str">
        <f t="shared" si="2"/>
        <v>20180116</v>
      </c>
      <c r="D10" t="str">
        <f>"42.570"</f>
        <v>42.570</v>
      </c>
      <c r="E10" t="str">
        <f>"100.00"</f>
        <v>100.00</v>
      </c>
      <c r="F10" t="str">
        <f>"-4262.00"</f>
        <v>-4262.00</v>
      </c>
      <c r="G10" t="str">
        <f>"10069.45"</f>
        <v>10069.45</v>
      </c>
      <c r="H10" t="str">
        <f>"400.00"</f>
        <v>400.00</v>
      </c>
      <c r="I10" t="str">
        <f>"38"</f>
        <v>38</v>
      </c>
      <c r="J10" t="str">
        <f>"证券买入(海康威视)"</f>
        <v>证券买入(海康威视)</v>
      </c>
      <c r="K10" t="str">
        <f>"5.00"</f>
        <v>5.00</v>
      </c>
      <c r="L10" t="str">
        <f>"0.00"</f>
        <v>0.00</v>
      </c>
      <c r="M10" t="str">
        <f t="shared" si="5"/>
        <v>0.00</v>
      </c>
      <c r="N10" t="str">
        <f t="shared" si="5"/>
        <v>0.00</v>
      </c>
      <c r="O10" t="str">
        <f>"002415"</f>
        <v>002415</v>
      </c>
      <c r="P10" t="str">
        <f t="shared" si="4"/>
        <v>0153613480</v>
      </c>
      <c r="S10" t="s">
        <v>16</v>
      </c>
    </row>
    <row r="11" spans="1:19" hidden="1" x14ac:dyDescent="0.25">
      <c r="A11" t="str">
        <f t="shared" si="0"/>
        <v>人民币</v>
      </c>
      <c r="B11" t="str">
        <f>"科顺股份"</f>
        <v>科顺股份</v>
      </c>
      <c r="C11" t="str">
        <f t="shared" si="2"/>
        <v>20180116</v>
      </c>
      <c r="D11" t="str">
        <f>"0.000"</f>
        <v>0.000</v>
      </c>
      <c r="E11" t="str">
        <f>"2.00"</f>
        <v>2.00</v>
      </c>
      <c r="F11" t="str">
        <f>"0.00"</f>
        <v>0.00</v>
      </c>
      <c r="G11" t="str">
        <f>"10069.45"</f>
        <v>10069.45</v>
      </c>
      <c r="H11" t="str">
        <f>"0.00"</f>
        <v>0.00</v>
      </c>
      <c r="I11" t="str">
        <f>"13"</f>
        <v>13</v>
      </c>
      <c r="J11" t="str">
        <f>"申购配号(科顺股份)"</f>
        <v>申购配号(科顺股份)</v>
      </c>
      <c r="K11" t="str">
        <f>"0.00"</f>
        <v>0.00</v>
      </c>
      <c r="L11" t="str">
        <f>"0.00"</f>
        <v>0.00</v>
      </c>
      <c r="M11" t="str">
        <f t="shared" si="5"/>
        <v>0.00</v>
      </c>
      <c r="N11" t="str">
        <f t="shared" si="5"/>
        <v>0.00</v>
      </c>
      <c r="O11" t="str">
        <f>"300737"</f>
        <v>300737</v>
      </c>
      <c r="P11" t="str">
        <f t="shared" si="4"/>
        <v>0153613480</v>
      </c>
    </row>
    <row r="12" spans="1:19" hidden="1" x14ac:dyDescent="0.25">
      <c r="A12" t="str">
        <f t="shared" si="0"/>
        <v>人民币</v>
      </c>
      <c r="B12" t="str">
        <f>"海康威视"</f>
        <v>海康威视</v>
      </c>
      <c r="C12" t="str">
        <f>"20180117"</f>
        <v>20180117</v>
      </c>
      <c r="D12" t="str">
        <f>"41.380"</f>
        <v>41.380</v>
      </c>
      <c r="E12" t="str">
        <f>"100.00"</f>
        <v>100.00</v>
      </c>
      <c r="F12" t="str">
        <f>"-4143.00"</f>
        <v>-4143.00</v>
      </c>
      <c r="G12" t="str">
        <f>"5926.45"</f>
        <v>5926.45</v>
      </c>
      <c r="H12" t="str">
        <f>"500.00"</f>
        <v>500.00</v>
      </c>
      <c r="I12" t="str">
        <f>"47"</f>
        <v>47</v>
      </c>
      <c r="J12" t="str">
        <f>"证券买入(海康威视)"</f>
        <v>证券买入(海康威视)</v>
      </c>
      <c r="K12" t="str">
        <f>"5.00"</f>
        <v>5.00</v>
      </c>
      <c r="L12" t="str">
        <f>"0.00"</f>
        <v>0.00</v>
      </c>
      <c r="M12" t="str">
        <f t="shared" si="5"/>
        <v>0.00</v>
      </c>
      <c r="N12" t="str">
        <f t="shared" si="5"/>
        <v>0.00</v>
      </c>
      <c r="O12" t="str">
        <f>"002415"</f>
        <v>002415</v>
      </c>
      <c r="P12" t="str">
        <f t="shared" si="4"/>
        <v>0153613480</v>
      </c>
    </row>
    <row r="13" spans="1:19" hidden="1" x14ac:dyDescent="0.25">
      <c r="A13" t="str">
        <f t="shared" si="0"/>
        <v>人民币</v>
      </c>
      <c r="B13" t="str">
        <f>"海康威视"</f>
        <v>海康威视</v>
      </c>
      <c r="C13" t="str">
        <f>"20180117"</f>
        <v>20180117</v>
      </c>
      <c r="D13" t="str">
        <f>"41.200"</f>
        <v>41.200</v>
      </c>
      <c r="E13" t="str">
        <f>"100.00"</f>
        <v>100.00</v>
      </c>
      <c r="F13" t="str">
        <f>"-4125.00"</f>
        <v>-4125.00</v>
      </c>
      <c r="G13" t="str">
        <f>"1801.45"</f>
        <v>1801.45</v>
      </c>
      <c r="H13" t="str">
        <f>"600.00"</f>
        <v>600.00</v>
      </c>
      <c r="I13" t="str">
        <f>"51"</f>
        <v>51</v>
      </c>
      <c r="J13" t="str">
        <f>"证券买入(海康威视)"</f>
        <v>证券买入(海康威视)</v>
      </c>
      <c r="K13" t="str">
        <f>"5.00"</f>
        <v>5.00</v>
      </c>
      <c r="L13" t="str">
        <f>"0.00"</f>
        <v>0.00</v>
      </c>
      <c r="M13" t="str">
        <f t="shared" si="5"/>
        <v>0.00</v>
      </c>
      <c r="N13" t="str">
        <f t="shared" si="5"/>
        <v>0.00</v>
      </c>
      <c r="O13" t="str">
        <f>"002415"</f>
        <v>002415</v>
      </c>
      <c r="P13" t="str">
        <f t="shared" si="4"/>
        <v>0153613480</v>
      </c>
    </row>
    <row r="14" spans="1:19" hidden="1" x14ac:dyDescent="0.25">
      <c r="A14" t="str">
        <f t="shared" si="0"/>
        <v>人民币</v>
      </c>
      <c r="B14" t="str">
        <f>" "</f>
        <v xml:space="preserve"> </v>
      </c>
      <c r="C14" t="str">
        <f>"20180118"</f>
        <v>20180118</v>
      </c>
      <c r="D14" t="str">
        <f>"---"</f>
        <v>---</v>
      </c>
      <c r="E14" t="str">
        <f>"---"</f>
        <v>---</v>
      </c>
      <c r="F14" t="str">
        <f>"-1529.00"</f>
        <v>-1529.00</v>
      </c>
      <c r="G14" t="str">
        <f>"272.45"</f>
        <v>272.45</v>
      </c>
      <c r="H14" t="str">
        <f>"---"</f>
        <v>---</v>
      </c>
      <c r="I14" t="str">
        <f>"---"</f>
        <v>---</v>
      </c>
      <c r="J14" t="str">
        <f>"银行转取"</f>
        <v>银行转取</v>
      </c>
      <c r="K14" t="str">
        <f t="shared" ref="K14:P14" si="6">"---"</f>
        <v>---</v>
      </c>
      <c r="L14" t="str">
        <f t="shared" si="6"/>
        <v>---</v>
      </c>
      <c r="M14" t="str">
        <f t="shared" si="6"/>
        <v>---</v>
      </c>
      <c r="N14" t="str">
        <f t="shared" si="6"/>
        <v>---</v>
      </c>
      <c r="O14" t="str">
        <f t="shared" si="6"/>
        <v>---</v>
      </c>
      <c r="P14" t="str">
        <f t="shared" si="6"/>
        <v>---</v>
      </c>
    </row>
    <row r="15" spans="1:19" hidden="1" x14ac:dyDescent="0.25">
      <c r="A15" t="str">
        <f t="shared" si="0"/>
        <v>人民币</v>
      </c>
      <c r="B15" t="str">
        <f>"明阳电路"</f>
        <v>明阳电路</v>
      </c>
      <c r="C15" t="str">
        <f>"20180123"</f>
        <v>20180123</v>
      </c>
      <c r="D15" t="str">
        <f>"0.000"</f>
        <v>0.000</v>
      </c>
      <c r="E15" t="str">
        <f>"3.00"</f>
        <v>3.00</v>
      </c>
      <c r="F15" t="str">
        <f>"0.00"</f>
        <v>0.00</v>
      </c>
      <c r="G15" t="str">
        <f>"272.45"</f>
        <v>272.45</v>
      </c>
      <c r="H15" t="str">
        <f>"0.00"</f>
        <v>0.00</v>
      </c>
      <c r="I15" t="str">
        <f>"57"</f>
        <v>57</v>
      </c>
      <c r="J15" t="str">
        <f>"申购配号(明阳电路)"</f>
        <v>申购配号(明阳电路)</v>
      </c>
      <c r="K15" t="str">
        <f>"0.00"</f>
        <v>0.00</v>
      </c>
      <c r="L15" t="str">
        <f>"0.00"</f>
        <v>0.00</v>
      </c>
      <c r="M15" t="str">
        <f>"0.00"</f>
        <v>0.00</v>
      </c>
      <c r="N15" t="str">
        <f>"0.00"</f>
        <v>0.00</v>
      </c>
      <c r="O15" t="str">
        <f>"300739"</f>
        <v>300739</v>
      </c>
      <c r="P15" t="str">
        <f>"0153613480"</f>
        <v>0153613480</v>
      </c>
    </row>
    <row r="16" spans="1:19" hidden="1" x14ac:dyDescent="0.25">
      <c r="A16" t="str">
        <f t="shared" si="0"/>
        <v>人民币</v>
      </c>
      <c r="B16" t="str">
        <f>" "</f>
        <v xml:space="preserve"> </v>
      </c>
      <c r="C16" t="str">
        <f>"20180131"</f>
        <v>20180131</v>
      </c>
      <c r="D16" t="str">
        <f>"---"</f>
        <v>---</v>
      </c>
      <c r="E16" t="str">
        <f>"---"</f>
        <v>---</v>
      </c>
      <c r="F16" t="str">
        <f>"20000.00"</f>
        <v>20000.00</v>
      </c>
      <c r="G16" t="str">
        <f>"20272.45"</f>
        <v>20272.45</v>
      </c>
      <c r="H16" t="str">
        <f>"---"</f>
        <v>---</v>
      </c>
      <c r="I16" t="str">
        <f>"---"</f>
        <v>---</v>
      </c>
      <c r="J16" t="str">
        <f>"银行转存"</f>
        <v>银行转存</v>
      </c>
      <c r="K16" t="str">
        <f t="shared" ref="K16:P16" si="7">"---"</f>
        <v>---</v>
      </c>
      <c r="L16" t="str">
        <f t="shared" si="7"/>
        <v>---</v>
      </c>
      <c r="M16" t="str">
        <f t="shared" si="7"/>
        <v>---</v>
      </c>
      <c r="N16" t="str">
        <f t="shared" si="7"/>
        <v>---</v>
      </c>
      <c r="O16" t="str">
        <f t="shared" si="7"/>
        <v>---</v>
      </c>
      <c r="P16" t="str">
        <f t="shared" si="7"/>
        <v>---</v>
      </c>
    </row>
    <row r="17" spans="1:16" hidden="1" x14ac:dyDescent="0.25">
      <c r="A17" t="str">
        <f t="shared" si="0"/>
        <v>人民币</v>
      </c>
      <c r="B17" t="str">
        <f>"海康威视"</f>
        <v>海康威视</v>
      </c>
      <c r="C17" t="str">
        <f>"20180131"</f>
        <v>20180131</v>
      </c>
      <c r="D17" t="str">
        <f>"39.940"</f>
        <v>39.940</v>
      </c>
      <c r="E17" t="str">
        <f>"100.00"</f>
        <v>100.00</v>
      </c>
      <c r="F17" t="str">
        <f>"-3999.00"</f>
        <v>-3999.00</v>
      </c>
      <c r="G17" t="str">
        <f>"16273.45"</f>
        <v>16273.45</v>
      </c>
      <c r="H17" t="str">
        <f>"700.00"</f>
        <v>700.00</v>
      </c>
      <c r="I17" t="str">
        <f>"64"</f>
        <v>64</v>
      </c>
      <c r="J17" t="str">
        <f>"证券买入(海康威视)"</f>
        <v>证券买入(海康威视)</v>
      </c>
      <c r="K17" t="str">
        <f t="shared" ref="K17:K24" si="8">"5.00"</f>
        <v>5.00</v>
      </c>
      <c r="L17" t="str">
        <f t="shared" ref="L17:N24" si="9">"0.00"</f>
        <v>0.00</v>
      </c>
      <c r="M17" t="str">
        <f t="shared" si="9"/>
        <v>0.00</v>
      </c>
      <c r="N17" t="str">
        <f t="shared" si="9"/>
        <v>0.00</v>
      </c>
      <c r="O17" t="str">
        <f>"002415"</f>
        <v>002415</v>
      </c>
      <c r="P17" t="str">
        <f>"0153613480"</f>
        <v>0153613480</v>
      </c>
    </row>
    <row r="18" spans="1:16" hidden="1" x14ac:dyDescent="0.25">
      <c r="A18" t="str">
        <f t="shared" si="0"/>
        <v>人民币</v>
      </c>
      <c r="B18" t="str">
        <f>"苏泊尔"</f>
        <v>苏泊尔</v>
      </c>
      <c r="C18" t="str">
        <f>"20180131"</f>
        <v>20180131</v>
      </c>
      <c r="D18" t="str">
        <f>"43.130"</f>
        <v>43.130</v>
      </c>
      <c r="E18" t="str">
        <f>"100.00"</f>
        <v>100.00</v>
      </c>
      <c r="F18" t="str">
        <f>"-4318.00"</f>
        <v>-4318.00</v>
      </c>
      <c r="G18" t="str">
        <f>"11955.45"</f>
        <v>11955.45</v>
      </c>
      <c r="H18" t="str">
        <f>"100.00"</f>
        <v>100.00</v>
      </c>
      <c r="I18" t="str">
        <f>"61"</f>
        <v>61</v>
      </c>
      <c r="J18" t="str">
        <f>"证券买入(苏泊尔)"</f>
        <v>证券买入(苏泊尔)</v>
      </c>
      <c r="K18" t="str">
        <f t="shared" si="8"/>
        <v>5.00</v>
      </c>
      <c r="L18" t="str">
        <f t="shared" si="9"/>
        <v>0.00</v>
      </c>
      <c r="M18" t="str">
        <f t="shared" si="9"/>
        <v>0.00</v>
      </c>
      <c r="N18" t="str">
        <f t="shared" si="9"/>
        <v>0.00</v>
      </c>
      <c r="O18" t="str">
        <f>"002032"</f>
        <v>002032</v>
      </c>
      <c r="P18" t="str">
        <f>"0153613480"</f>
        <v>0153613480</v>
      </c>
    </row>
    <row r="19" spans="1:16" hidden="1" x14ac:dyDescent="0.25">
      <c r="A19" t="str">
        <f t="shared" si="0"/>
        <v>人民币</v>
      </c>
      <c r="B19" t="str">
        <f>"贵州燃气"</f>
        <v>贵州燃气</v>
      </c>
      <c r="C19" t="str">
        <f>"20180201"</f>
        <v>20180201</v>
      </c>
      <c r="D19" t="str">
        <f>"24.200"</f>
        <v>24.200</v>
      </c>
      <c r="E19" t="str">
        <f>"200.00"</f>
        <v>200.00</v>
      </c>
      <c r="F19" t="str">
        <f>"-4845.10"</f>
        <v>-4845.10</v>
      </c>
      <c r="G19" t="str">
        <f>"7110.35"</f>
        <v>7110.35</v>
      </c>
      <c r="H19" t="str">
        <f>"200.00"</f>
        <v>200.00</v>
      </c>
      <c r="I19" t="str">
        <f>"7"</f>
        <v>7</v>
      </c>
      <c r="J19" t="str">
        <f>"证券买入(贵州燃气)"</f>
        <v>证券买入(贵州燃气)</v>
      </c>
      <c r="K19" t="str">
        <f t="shared" si="8"/>
        <v>5.00</v>
      </c>
      <c r="L19" t="str">
        <f>"0.00"</f>
        <v>0.00</v>
      </c>
      <c r="M19" t="str">
        <f>"0.10"</f>
        <v>0.10</v>
      </c>
      <c r="N19" t="str">
        <f t="shared" si="9"/>
        <v>0.00</v>
      </c>
      <c r="O19" t="str">
        <f>"600903"</f>
        <v>600903</v>
      </c>
      <c r="P19" t="str">
        <f>"A400948245"</f>
        <v>A400948245</v>
      </c>
    </row>
    <row r="20" spans="1:16" hidden="1" x14ac:dyDescent="0.25">
      <c r="A20" t="str">
        <f t="shared" si="0"/>
        <v>人民币</v>
      </c>
      <c r="B20" t="str">
        <f>"苏泊尔"</f>
        <v>苏泊尔</v>
      </c>
      <c r="C20" t="str">
        <f>"20180201"</f>
        <v>20180201</v>
      </c>
      <c r="D20" t="str">
        <f>"44.300"</f>
        <v>44.300</v>
      </c>
      <c r="E20" t="str">
        <f>"-100.00"</f>
        <v>-100.00</v>
      </c>
      <c r="F20" t="str">
        <f>"4420.57"</f>
        <v>4420.57</v>
      </c>
      <c r="G20" t="str">
        <f>"11530.92"</f>
        <v>11530.92</v>
      </c>
      <c r="H20" t="str">
        <f>"0.00"</f>
        <v>0.00</v>
      </c>
      <c r="I20" t="str">
        <f>"1"</f>
        <v>1</v>
      </c>
      <c r="J20" t="str">
        <f>"证券卖出(苏泊尔)"</f>
        <v>证券卖出(苏泊尔)</v>
      </c>
      <c r="K20" t="str">
        <f t="shared" si="8"/>
        <v>5.00</v>
      </c>
      <c r="L20" t="str">
        <f>"4.43"</f>
        <v>4.43</v>
      </c>
      <c r="M20" t="str">
        <f>"0.00"</f>
        <v>0.00</v>
      </c>
      <c r="N20" t="str">
        <f t="shared" si="9"/>
        <v>0.00</v>
      </c>
      <c r="O20" t="str">
        <f>"002032"</f>
        <v>002032</v>
      </c>
      <c r="P20" t="str">
        <f>"0153613480"</f>
        <v>0153613480</v>
      </c>
    </row>
    <row r="21" spans="1:16" hidden="1" x14ac:dyDescent="0.25">
      <c r="A21" t="str">
        <f t="shared" si="0"/>
        <v>人民币</v>
      </c>
      <c r="B21" t="str">
        <f>"海康威视"</f>
        <v>海康威视</v>
      </c>
      <c r="C21" t="str">
        <f>"20180201"</f>
        <v>20180201</v>
      </c>
      <c r="D21" t="str">
        <f>"40.660"</f>
        <v>40.660</v>
      </c>
      <c r="E21" t="str">
        <f>"-100.00"</f>
        <v>-100.00</v>
      </c>
      <c r="F21" t="str">
        <f>"4056.93"</f>
        <v>4056.93</v>
      </c>
      <c r="G21" t="str">
        <f>"15587.85"</f>
        <v>15587.85</v>
      </c>
      <c r="H21" t="str">
        <f>"600.00"</f>
        <v>600.00</v>
      </c>
      <c r="I21" t="str">
        <f>"4"</f>
        <v>4</v>
      </c>
      <c r="J21" t="str">
        <f>"证券卖出(海康威视)"</f>
        <v>证券卖出(海康威视)</v>
      </c>
      <c r="K21" t="str">
        <f t="shared" si="8"/>
        <v>5.00</v>
      </c>
      <c r="L21" t="str">
        <f>"4.07"</f>
        <v>4.07</v>
      </c>
      <c r="M21" t="str">
        <f>"0.00"</f>
        <v>0.00</v>
      </c>
      <c r="N21" t="str">
        <f t="shared" si="9"/>
        <v>0.00</v>
      </c>
      <c r="O21" t="str">
        <f>"002415"</f>
        <v>002415</v>
      </c>
      <c r="P21" t="str">
        <f>"0153613480"</f>
        <v>0153613480</v>
      </c>
    </row>
    <row r="22" spans="1:16" hidden="1" x14ac:dyDescent="0.25">
      <c r="A22" t="str">
        <f t="shared" si="0"/>
        <v>人民币</v>
      </c>
      <c r="B22" t="str">
        <f>"海康威视"</f>
        <v>海康威视</v>
      </c>
      <c r="C22" t="str">
        <f>"20180201"</f>
        <v>20180201</v>
      </c>
      <c r="D22" t="str">
        <f>"39.450"</f>
        <v>39.450</v>
      </c>
      <c r="E22" t="str">
        <f>"100.00"</f>
        <v>100.00</v>
      </c>
      <c r="F22" t="str">
        <f>"-3950.00"</f>
        <v>-3950.00</v>
      </c>
      <c r="G22" t="str">
        <f>"11637.85"</f>
        <v>11637.85</v>
      </c>
      <c r="H22" t="str">
        <f>"700.00"</f>
        <v>700.00</v>
      </c>
      <c r="I22" t="str">
        <f>"11"</f>
        <v>11</v>
      </c>
      <c r="J22" t="str">
        <f>"证券买入(海康威视)"</f>
        <v>证券买入(海康威视)</v>
      </c>
      <c r="K22" t="str">
        <f t="shared" si="8"/>
        <v>5.00</v>
      </c>
      <c r="L22" t="str">
        <f>"0.00"</f>
        <v>0.00</v>
      </c>
      <c r="M22" t="str">
        <f>"0.00"</f>
        <v>0.00</v>
      </c>
      <c r="N22" t="str">
        <f t="shared" si="9"/>
        <v>0.00</v>
      </c>
      <c r="O22" t="str">
        <f>"002415"</f>
        <v>002415</v>
      </c>
      <c r="P22" t="str">
        <f>"0153613480"</f>
        <v>0153613480</v>
      </c>
    </row>
    <row r="23" spans="1:16" hidden="1" x14ac:dyDescent="0.25">
      <c r="A23" t="str">
        <f t="shared" si="0"/>
        <v>人民币</v>
      </c>
      <c r="B23" t="str">
        <f>"贵州燃气"</f>
        <v>贵州燃气</v>
      </c>
      <c r="C23" t="str">
        <f>"20180202"</f>
        <v>20180202</v>
      </c>
      <c r="D23" t="str">
        <f>"25.780"</f>
        <v>25.780</v>
      </c>
      <c r="E23" t="str">
        <f>"-200.00"</f>
        <v>-200.00</v>
      </c>
      <c r="F23" t="str">
        <f>"5145.74"</f>
        <v>5145.74</v>
      </c>
      <c r="G23" t="str">
        <f>"16783.59"</f>
        <v>16783.59</v>
      </c>
      <c r="H23" t="str">
        <f>"0.00"</f>
        <v>0.00</v>
      </c>
      <c r="I23" t="str">
        <f>"21"</f>
        <v>21</v>
      </c>
      <c r="J23" t="str">
        <f>"证券卖出(贵州燃气)"</f>
        <v>证券卖出(贵州燃气)</v>
      </c>
      <c r="K23" t="str">
        <f t="shared" si="8"/>
        <v>5.00</v>
      </c>
      <c r="L23" t="str">
        <f>"5.16"</f>
        <v>5.16</v>
      </c>
      <c r="M23" t="str">
        <f>"0.10"</f>
        <v>0.10</v>
      </c>
      <c r="N23" t="str">
        <f t="shared" si="9"/>
        <v>0.00</v>
      </c>
      <c r="O23" t="str">
        <f>"600903"</f>
        <v>600903</v>
      </c>
      <c r="P23" t="str">
        <f>"A400948245"</f>
        <v>A400948245</v>
      </c>
    </row>
    <row r="24" spans="1:16" hidden="1" x14ac:dyDescent="0.25">
      <c r="A24" t="str">
        <f t="shared" si="0"/>
        <v>人民币</v>
      </c>
      <c r="B24" t="str">
        <f>"海康威视"</f>
        <v>海康威视</v>
      </c>
      <c r="C24" t="str">
        <f>"20180202"</f>
        <v>20180202</v>
      </c>
      <c r="D24" t="str">
        <f>"40.100"</f>
        <v>40.100</v>
      </c>
      <c r="E24" t="str">
        <f>"100.00"</f>
        <v>100.00</v>
      </c>
      <c r="F24" t="str">
        <f>"-4015.00"</f>
        <v>-4015.00</v>
      </c>
      <c r="G24" t="str">
        <f>"12768.59"</f>
        <v>12768.59</v>
      </c>
      <c r="H24" t="str">
        <f>"800.00"</f>
        <v>800.00</v>
      </c>
      <c r="I24" t="str">
        <f>"24"</f>
        <v>24</v>
      </c>
      <c r="J24" t="str">
        <f>"证券买入(海康威视)"</f>
        <v>证券买入(海康威视)</v>
      </c>
      <c r="K24" t="str">
        <f t="shared" si="8"/>
        <v>5.00</v>
      </c>
      <c r="L24" t="str">
        <f>"0.00"</f>
        <v>0.00</v>
      </c>
      <c r="M24" t="str">
        <f>"0.00"</f>
        <v>0.00</v>
      </c>
      <c r="N24" t="str">
        <f t="shared" si="9"/>
        <v>0.00</v>
      </c>
      <c r="O24" t="str">
        <f>"002415"</f>
        <v>002415</v>
      </c>
      <c r="P24" t="str">
        <f>"0153613480"</f>
        <v>0153613480</v>
      </c>
    </row>
    <row r="25" spans="1:16" hidden="1" x14ac:dyDescent="0.25">
      <c r="A25" t="str">
        <f t="shared" si="0"/>
        <v>人民币</v>
      </c>
      <c r="B25" t="str">
        <f>" "</f>
        <v xml:space="preserve"> </v>
      </c>
      <c r="C25" t="str">
        <f>"20180206"</f>
        <v>20180206</v>
      </c>
      <c r="D25" t="str">
        <f>"---"</f>
        <v>---</v>
      </c>
      <c r="E25" t="str">
        <f>"---"</f>
        <v>---</v>
      </c>
      <c r="F25" t="str">
        <f>"-8500.00"</f>
        <v>-8500.00</v>
      </c>
      <c r="G25" t="str">
        <f>"4268.59"</f>
        <v>4268.59</v>
      </c>
      <c r="H25" t="str">
        <f>"---"</f>
        <v>---</v>
      </c>
      <c r="I25" t="str">
        <f>"---"</f>
        <v>---</v>
      </c>
      <c r="J25" t="str">
        <f>"银行转取"</f>
        <v>银行转取</v>
      </c>
      <c r="K25" t="str">
        <f t="shared" ref="K25:P25" si="10">"---"</f>
        <v>---</v>
      </c>
      <c r="L25" t="str">
        <f t="shared" si="10"/>
        <v>---</v>
      </c>
      <c r="M25" t="str">
        <f t="shared" si="10"/>
        <v>---</v>
      </c>
      <c r="N25" t="str">
        <f t="shared" si="10"/>
        <v>---</v>
      </c>
      <c r="O25" t="str">
        <f t="shared" si="10"/>
        <v>---</v>
      </c>
      <c r="P25" t="str">
        <f t="shared" si="10"/>
        <v>---</v>
      </c>
    </row>
    <row r="26" spans="1:16" hidden="1" x14ac:dyDescent="0.25">
      <c r="A26" t="str">
        <f t="shared" si="0"/>
        <v>人民币</v>
      </c>
      <c r="B26" t="str">
        <f>"海康威视"</f>
        <v>海康威视</v>
      </c>
      <c r="C26" t="str">
        <f>"20180206"</f>
        <v>20180206</v>
      </c>
      <c r="D26" t="str">
        <f>"37.780"</f>
        <v>37.780</v>
      </c>
      <c r="E26" t="str">
        <f>"100.00"</f>
        <v>100.00</v>
      </c>
      <c r="F26" t="str">
        <f>"-3783.00"</f>
        <v>-3783.00</v>
      </c>
      <c r="G26" t="str">
        <f>"485.59"</f>
        <v>485.59</v>
      </c>
      <c r="H26" t="str">
        <f>"900.00"</f>
        <v>900.00</v>
      </c>
      <c r="I26" t="str">
        <f>"29"</f>
        <v>29</v>
      </c>
      <c r="J26" t="str">
        <f>"证券买入(海康威视)"</f>
        <v>证券买入(海康威视)</v>
      </c>
      <c r="K26" t="str">
        <f>"5.00"</f>
        <v>5.00</v>
      </c>
      <c r="L26" t="str">
        <f>"0.00"</f>
        <v>0.00</v>
      </c>
      <c r="M26" t="str">
        <f>"0.00"</f>
        <v>0.00</v>
      </c>
      <c r="N26" t="str">
        <f>"0.00"</f>
        <v>0.00</v>
      </c>
      <c r="O26" t="str">
        <f>"002415"</f>
        <v>002415</v>
      </c>
      <c r="P26" t="str">
        <f>"0153613480"</f>
        <v>0153613480</v>
      </c>
    </row>
    <row r="27" spans="1:16" hidden="1" x14ac:dyDescent="0.25">
      <c r="A27" t="str">
        <f t="shared" si="0"/>
        <v>人民币</v>
      </c>
      <c r="B27" t="str">
        <f>"海康威视"</f>
        <v>海康威视</v>
      </c>
      <c r="C27" t="str">
        <f>"20180213"</f>
        <v>20180213</v>
      </c>
      <c r="D27" t="str">
        <f>"39.320"</f>
        <v>39.320</v>
      </c>
      <c r="E27" t="str">
        <f>"-100.00"</f>
        <v>-100.00</v>
      </c>
      <c r="F27" t="str">
        <f>"3923.07"</f>
        <v>3923.07</v>
      </c>
      <c r="G27" t="str">
        <f>"4408.66"</f>
        <v>4408.66</v>
      </c>
      <c r="H27" t="str">
        <f>"800.00"</f>
        <v>800.00</v>
      </c>
      <c r="I27" t="str">
        <f>"42"</f>
        <v>42</v>
      </c>
      <c r="J27" t="str">
        <f>"证券卖出(海康威视)"</f>
        <v>证券卖出(海康威视)</v>
      </c>
      <c r="K27" t="str">
        <f>"5.00"</f>
        <v>5.00</v>
      </c>
      <c r="L27" t="str">
        <f>"3.93"</f>
        <v>3.93</v>
      </c>
      <c r="M27" t="str">
        <f t="shared" ref="M27:N29" si="11">"0.00"</f>
        <v>0.00</v>
      </c>
      <c r="N27" t="str">
        <f t="shared" si="11"/>
        <v>0.00</v>
      </c>
      <c r="O27" t="str">
        <f>"002415"</f>
        <v>002415</v>
      </c>
      <c r="P27" t="str">
        <f>"0153613480"</f>
        <v>0153613480</v>
      </c>
    </row>
    <row r="28" spans="1:16" hidden="1" x14ac:dyDescent="0.25">
      <c r="A28" t="str">
        <f t="shared" si="0"/>
        <v>人民币</v>
      </c>
      <c r="B28" t="str">
        <f>"华宝股份"</f>
        <v>华宝股份</v>
      </c>
      <c r="C28" t="str">
        <f>"20180213"</f>
        <v>20180213</v>
      </c>
      <c r="D28" t="str">
        <f>"0.000"</f>
        <v>0.000</v>
      </c>
      <c r="E28" t="str">
        <f>"5.00"</f>
        <v>5.00</v>
      </c>
      <c r="F28" t="str">
        <f>"0.00"</f>
        <v>0.00</v>
      </c>
      <c r="G28" t="str">
        <f>"4408.66"</f>
        <v>4408.66</v>
      </c>
      <c r="H28" t="str">
        <f>"0.00"</f>
        <v>0.00</v>
      </c>
      <c r="I28" t="str">
        <f>"36"</f>
        <v>36</v>
      </c>
      <c r="J28" t="str">
        <f>"申购配号(华宝股份)"</f>
        <v>申购配号(华宝股份)</v>
      </c>
      <c r="K28" t="str">
        <f>"0.00"</f>
        <v>0.00</v>
      </c>
      <c r="L28" t="str">
        <f>"0.00"</f>
        <v>0.00</v>
      </c>
      <c r="M28" t="str">
        <f t="shared" si="11"/>
        <v>0.00</v>
      </c>
      <c r="N28" t="str">
        <f t="shared" si="11"/>
        <v>0.00</v>
      </c>
      <c r="O28" t="str">
        <f>"300741"</f>
        <v>300741</v>
      </c>
      <c r="P28" t="str">
        <f>"0153613480"</f>
        <v>0153613480</v>
      </c>
    </row>
    <row r="29" spans="1:16" hidden="1" x14ac:dyDescent="0.25">
      <c r="A29" t="str">
        <f t="shared" si="0"/>
        <v>人民币</v>
      </c>
      <c r="B29" t="str">
        <f>"润建通信"</f>
        <v>润建通信</v>
      </c>
      <c r="C29" t="str">
        <f>"20180213"</f>
        <v>20180213</v>
      </c>
      <c r="D29" t="str">
        <f>"0.000"</f>
        <v>0.000</v>
      </c>
      <c r="E29" t="str">
        <f>"5.00"</f>
        <v>5.00</v>
      </c>
      <c r="F29" t="str">
        <f>"0.00"</f>
        <v>0.00</v>
      </c>
      <c r="G29" t="str">
        <f>"4408.66"</f>
        <v>4408.66</v>
      </c>
      <c r="H29" t="str">
        <f>"0.00"</f>
        <v>0.00</v>
      </c>
      <c r="I29" t="str">
        <f>"34"</f>
        <v>34</v>
      </c>
      <c r="J29" t="str">
        <f>"申购配号(润建通信)"</f>
        <v>申购配号(润建通信)</v>
      </c>
      <c r="K29" t="str">
        <f>"0.00"</f>
        <v>0.00</v>
      </c>
      <c r="L29" t="str">
        <f>"0.00"</f>
        <v>0.00</v>
      </c>
      <c r="M29" t="str">
        <f t="shared" si="11"/>
        <v>0.00</v>
      </c>
      <c r="N29" t="str">
        <f t="shared" si="11"/>
        <v>0.00</v>
      </c>
      <c r="O29" t="str">
        <f>"002929"</f>
        <v>002929</v>
      </c>
      <c r="P29" t="str">
        <f>"0153613480"</f>
        <v>0153613480</v>
      </c>
    </row>
    <row r="30" spans="1:16" hidden="1" x14ac:dyDescent="0.25">
      <c r="A30" t="str">
        <f t="shared" si="0"/>
        <v>人民币</v>
      </c>
      <c r="B30" t="str">
        <f>" "</f>
        <v xml:space="preserve"> </v>
      </c>
      <c r="C30" t="str">
        <f>"20180214"</f>
        <v>20180214</v>
      </c>
      <c r="D30" t="str">
        <f>"---"</f>
        <v>---</v>
      </c>
      <c r="E30" t="str">
        <f>"---"</f>
        <v>---</v>
      </c>
      <c r="F30" t="str">
        <f>"-4400.00"</f>
        <v>-4400.00</v>
      </c>
      <c r="G30" t="str">
        <f>"8.66"</f>
        <v>8.66</v>
      </c>
      <c r="H30" t="str">
        <f>"---"</f>
        <v>---</v>
      </c>
      <c r="I30" t="str">
        <f>"---"</f>
        <v>---</v>
      </c>
      <c r="J30" t="str">
        <f>"银行转取"</f>
        <v>银行转取</v>
      </c>
      <c r="K30" t="str">
        <f t="shared" ref="K30:P30" si="12">"---"</f>
        <v>---</v>
      </c>
      <c r="L30" t="str">
        <f t="shared" si="12"/>
        <v>---</v>
      </c>
      <c r="M30" t="str">
        <f t="shared" si="12"/>
        <v>---</v>
      </c>
      <c r="N30" t="str">
        <f t="shared" si="12"/>
        <v>---</v>
      </c>
      <c r="O30" t="str">
        <f t="shared" si="12"/>
        <v>---</v>
      </c>
      <c r="P30" t="str">
        <f t="shared" si="12"/>
        <v>---</v>
      </c>
    </row>
    <row r="31" spans="1:16" hidden="1" x14ac:dyDescent="0.25">
      <c r="A31" t="str">
        <f t="shared" si="0"/>
        <v>人民币</v>
      </c>
      <c r="B31" t="str">
        <f>"海康威视"</f>
        <v>海康威视</v>
      </c>
      <c r="C31" t="str">
        <f>"20180226"</f>
        <v>20180226</v>
      </c>
      <c r="D31" t="str">
        <f>"42.290"</f>
        <v>42.290</v>
      </c>
      <c r="E31" t="str">
        <f>"-300.00"</f>
        <v>-300.00</v>
      </c>
      <c r="F31" t="str">
        <f>"12669.31"</f>
        <v>12669.31</v>
      </c>
      <c r="G31" t="str">
        <f>"12677.97"</f>
        <v>12677.97</v>
      </c>
      <c r="H31" t="str">
        <f>"500.00"</f>
        <v>500.00</v>
      </c>
      <c r="I31" t="str">
        <f>"49"</f>
        <v>49</v>
      </c>
      <c r="J31" t="str">
        <f>"证券卖出(海康威视)"</f>
        <v>证券卖出(海康威视)</v>
      </c>
      <c r="K31" t="str">
        <f>"5.00"</f>
        <v>5.00</v>
      </c>
      <c r="L31" t="str">
        <f>"12.69"</f>
        <v>12.69</v>
      </c>
      <c r="M31" t="str">
        <f t="shared" ref="M31:N34" si="13">"0.00"</f>
        <v>0.00</v>
      </c>
      <c r="N31" t="str">
        <f t="shared" si="13"/>
        <v>0.00</v>
      </c>
      <c r="O31" t="str">
        <f>"002415"</f>
        <v>002415</v>
      </c>
      <c r="P31" t="str">
        <f>"0153613480"</f>
        <v>0153613480</v>
      </c>
    </row>
    <row r="32" spans="1:16" hidden="1" x14ac:dyDescent="0.25">
      <c r="A32" t="str">
        <f t="shared" si="0"/>
        <v>人民币</v>
      </c>
      <c r="B32" t="str">
        <f>"海康威视"</f>
        <v>海康威视</v>
      </c>
      <c r="C32" t="str">
        <f>"20180226"</f>
        <v>20180226</v>
      </c>
      <c r="D32" t="str">
        <f>"42.500"</f>
        <v>42.500</v>
      </c>
      <c r="E32" t="str">
        <f>"-300.00"</f>
        <v>-300.00</v>
      </c>
      <c r="F32" t="str">
        <f>"12732.25"</f>
        <v>12732.25</v>
      </c>
      <c r="G32" t="str">
        <f>"25410.22"</f>
        <v>25410.22</v>
      </c>
      <c r="H32" t="str">
        <f>"200.00"</f>
        <v>200.00</v>
      </c>
      <c r="I32" t="str">
        <f>"52"</f>
        <v>52</v>
      </c>
      <c r="J32" t="str">
        <f>"证券卖出(海康威视)"</f>
        <v>证券卖出(海康威视)</v>
      </c>
      <c r="K32" t="str">
        <f>"5.00"</f>
        <v>5.00</v>
      </c>
      <c r="L32" t="str">
        <f>"12.75"</f>
        <v>12.75</v>
      </c>
      <c r="M32" t="str">
        <f t="shared" si="13"/>
        <v>0.00</v>
      </c>
      <c r="N32" t="str">
        <f t="shared" si="13"/>
        <v>0.00</v>
      </c>
      <c r="O32" t="str">
        <f>"002415"</f>
        <v>002415</v>
      </c>
      <c r="P32" t="str">
        <f>"0153613480"</f>
        <v>0153613480</v>
      </c>
    </row>
    <row r="33" spans="1:16" hidden="1" x14ac:dyDescent="0.25">
      <c r="A33" t="str">
        <f t="shared" si="0"/>
        <v>人民币</v>
      </c>
      <c r="B33" t="str">
        <f>"海康威视"</f>
        <v>海康威视</v>
      </c>
      <c r="C33" t="str">
        <f>"20180226"</f>
        <v>20180226</v>
      </c>
      <c r="D33" t="str">
        <f>"42.500"</f>
        <v>42.500</v>
      </c>
      <c r="E33" t="str">
        <f>"-200.00"</f>
        <v>-200.00</v>
      </c>
      <c r="F33" t="str">
        <f>"8486.50"</f>
        <v>8486.50</v>
      </c>
      <c r="G33" t="str">
        <f>"33896.72"</f>
        <v>33896.72</v>
      </c>
      <c r="H33" t="str">
        <f>"0.00"</f>
        <v>0.00</v>
      </c>
      <c r="I33" t="str">
        <f>"55"</f>
        <v>55</v>
      </c>
      <c r="J33" t="str">
        <f>"证券卖出(海康威视)"</f>
        <v>证券卖出(海康威视)</v>
      </c>
      <c r="K33" t="str">
        <f>"5.00"</f>
        <v>5.00</v>
      </c>
      <c r="L33" t="str">
        <f>"8.50"</f>
        <v>8.50</v>
      </c>
      <c r="M33" t="str">
        <f t="shared" si="13"/>
        <v>0.00</v>
      </c>
      <c r="N33" t="str">
        <f t="shared" si="13"/>
        <v>0.00</v>
      </c>
      <c r="O33" t="str">
        <f>"002415"</f>
        <v>002415</v>
      </c>
      <c r="P33" t="str">
        <f>"0153613480"</f>
        <v>0153613480</v>
      </c>
    </row>
    <row r="34" spans="1:16" hidden="1" x14ac:dyDescent="0.25">
      <c r="A34" t="str">
        <f t="shared" si="0"/>
        <v>人民币</v>
      </c>
      <c r="B34" t="str">
        <f>"招商蛇口"</f>
        <v>招商蛇口</v>
      </c>
      <c r="C34" t="str">
        <f>"20180226"</f>
        <v>20180226</v>
      </c>
      <c r="D34" t="str">
        <f>"22.720"</f>
        <v>22.720</v>
      </c>
      <c r="E34" t="str">
        <f>"400.00"</f>
        <v>400.00</v>
      </c>
      <c r="F34" t="str">
        <f>"-9093.00"</f>
        <v>-9093.00</v>
      </c>
      <c r="G34" t="str">
        <f>"24803.72"</f>
        <v>24803.72</v>
      </c>
      <c r="H34" t="str">
        <f>"400.00"</f>
        <v>400.00</v>
      </c>
      <c r="I34" t="str">
        <f>"58"</f>
        <v>58</v>
      </c>
      <c r="J34" t="str">
        <f>"证券买入(招商蛇口)"</f>
        <v>证券买入(招商蛇口)</v>
      </c>
      <c r="K34" t="str">
        <f>"5.00"</f>
        <v>5.00</v>
      </c>
      <c r="L34" t="str">
        <f>"0.00"</f>
        <v>0.00</v>
      </c>
      <c r="M34" t="str">
        <f t="shared" si="13"/>
        <v>0.00</v>
      </c>
      <c r="N34" t="str">
        <f t="shared" si="13"/>
        <v>0.00</v>
      </c>
      <c r="O34" t="str">
        <f>"001979"</f>
        <v>001979</v>
      </c>
      <c r="P34" t="str">
        <f>"0153613480"</f>
        <v>0153613480</v>
      </c>
    </row>
    <row r="35" spans="1:16" hidden="1" x14ac:dyDescent="0.25">
      <c r="A35" t="str">
        <f t="shared" si="0"/>
        <v>人民币</v>
      </c>
      <c r="B35" t="str">
        <f>" "</f>
        <v xml:space="preserve"> </v>
      </c>
      <c r="C35" t="str">
        <f t="shared" ref="C35:C40" si="14">"20180227"</f>
        <v>20180227</v>
      </c>
      <c r="D35" t="str">
        <f t="shared" ref="D35:E37" si="15">"---"</f>
        <v>---</v>
      </c>
      <c r="E35" t="str">
        <f t="shared" si="15"/>
        <v>---</v>
      </c>
      <c r="F35" t="str">
        <f>"-10000.00"</f>
        <v>-10000.00</v>
      </c>
      <c r="G35" t="str">
        <f>"14803.72"</f>
        <v>14803.72</v>
      </c>
      <c r="H35" t="str">
        <f t="shared" ref="H35:I37" si="16">"---"</f>
        <v>---</v>
      </c>
      <c r="I35" t="str">
        <f t="shared" si="16"/>
        <v>---</v>
      </c>
      <c r="J35" t="str">
        <f>"银行转取"</f>
        <v>银行转取</v>
      </c>
      <c r="K35" t="str">
        <f t="shared" ref="K35:P37" si="17">"---"</f>
        <v>---</v>
      </c>
      <c r="L35" t="str">
        <f t="shared" si="17"/>
        <v>---</v>
      </c>
      <c r="M35" t="str">
        <f t="shared" si="17"/>
        <v>---</v>
      </c>
      <c r="N35" t="str">
        <f t="shared" si="17"/>
        <v>---</v>
      </c>
      <c r="O35" t="str">
        <f t="shared" si="17"/>
        <v>---</v>
      </c>
      <c r="P35" t="str">
        <f t="shared" si="17"/>
        <v>---</v>
      </c>
    </row>
    <row r="36" spans="1:16" hidden="1" x14ac:dyDescent="0.25">
      <c r="A36" t="str">
        <f t="shared" si="0"/>
        <v>人民币</v>
      </c>
      <c r="B36" t="str">
        <f>" "</f>
        <v xml:space="preserve"> </v>
      </c>
      <c r="C36" t="str">
        <f t="shared" si="14"/>
        <v>20180227</v>
      </c>
      <c r="D36" t="str">
        <f t="shared" si="15"/>
        <v>---</v>
      </c>
      <c r="E36" t="str">
        <f t="shared" si="15"/>
        <v>---</v>
      </c>
      <c r="F36" t="str">
        <f>"7900.00"</f>
        <v>7900.00</v>
      </c>
      <c r="G36" t="str">
        <f>"22703.72"</f>
        <v>22703.72</v>
      </c>
      <c r="H36" t="str">
        <f t="shared" si="16"/>
        <v>---</v>
      </c>
      <c r="I36" t="str">
        <f t="shared" si="16"/>
        <v>---</v>
      </c>
      <c r="J36" t="str">
        <f>"银行转存"</f>
        <v>银行转存</v>
      </c>
      <c r="K36" t="str">
        <f t="shared" si="17"/>
        <v>---</v>
      </c>
      <c r="L36" t="str">
        <f t="shared" si="17"/>
        <v>---</v>
      </c>
      <c r="M36" t="str">
        <f t="shared" si="17"/>
        <v>---</v>
      </c>
      <c r="N36" t="str">
        <f t="shared" si="17"/>
        <v>---</v>
      </c>
      <c r="O36" t="str">
        <f t="shared" si="17"/>
        <v>---</v>
      </c>
      <c r="P36" t="str">
        <f t="shared" si="17"/>
        <v>---</v>
      </c>
    </row>
    <row r="37" spans="1:16" hidden="1" x14ac:dyDescent="0.25">
      <c r="A37" t="str">
        <f t="shared" si="0"/>
        <v>人民币</v>
      </c>
      <c r="B37" t="str">
        <f>" "</f>
        <v xml:space="preserve"> </v>
      </c>
      <c r="C37" t="str">
        <f t="shared" si="14"/>
        <v>20180227</v>
      </c>
      <c r="D37" t="str">
        <f t="shared" si="15"/>
        <v>---</v>
      </c>
      <c r="E37" t="str">
        <f t="shared" si="15"/>
        <v>---</v>
      </c>
      <c r="F37" t="str">
        <f>"-5000.00"</f>
        <v>-5000.00</v>
      </c>
      <c r="G37" t="str">
        <f>"17703.72"</f>
        <v>17703.72</v>
      </c>
      <c r="H37" t="str">
        <f t="shared" si="16"/>
        <v>---</v>
      </c>
      <c r="I37" t="str">
        <f t="shared" si="16"/>
        <v>---</v>
      </c>
      <c r="J37" t="str">
        <f>"银行转取"</f>
        <v>银行转取</v>
      </c>
      <c r="K37" t="str">
        <f t="shared" si="17"/>
        <v>---</v>
      </c>
      <c r="L37" t="str">
        <f t="shared" si="17"/>
        <v>---</v>
      </c>
      <c r="M37" t="str">
        <f t="shared" si="17"/>
        <v>---</v>
      </c>
      <c r="N37" t="str">
        <f t="shared" si="17"/>
        <v>---</v>
      </c>
      <c r="O37" t="str">
        <f t="shared" si="17"/>
        <v>---</v>
      </c>
      <c r="P37" t="str">
        <f t="shared" si="17"/>
        <v>---</v>
      </c>
    </row>
    <row r="38" spans="1:16" hidden="1" x14ac:dyDescent="0.25">
      <c r="A38" t="str">
        <f t="shared" si="0"/>
        <v>人民币</v>
      </c>
      <c r="B38" t="str">
        <f>"光迅科技"</f>
        <v>光迅科技</v>
      </c>
      <c r="C38" t="str">
        <f t="shared" si="14"/>
        <v>20180227</v>
      </c>
      <c r="D38" t="str">
        <f>"26.220"</f>
        <v>26.220</v>
      </c>
      <c r="E38" t="str">
        <f>"300.00"</f>
        <v>300.00</v>
      </c>
      <c r="F38" t="str">
        <f>"-7871.00"</f>
        <v>-7871.00</v>
      </c>
      <c r="G38" t="str">
        <f>"9832.72"</f>
        <v>9832.72</v>
      </c>
      <c r="H38" t="str">
        <f>"300.00"</f>
        <v>300.00</v>
      </c>
      <c r="I38" t="str">
        <f>"65"</f>
        <v>65</v>
      </c>
      <c r="J38" t="str">
        <f>"证券买入(光迅科技)"</f>
        <v>证券买入(光迅科技)</v>
      </c>
      <c r="K38" t="str">
        <f>"5.00"</f>
        <v>5.00</v>
      </c>
      <c r="L38" t="str">
        <f t="shared" ref="L38:N40" si="18">"0.00"</f>
        <v>0.00</v>
      </c>
      <c r="M38" t="str">
        <f t="shared" si="18"/>
        <v>0.00</v>
      </c>
      <c r="N38" t="str">
        <f t="shared" si="18"/>
        <v>0.00</v>
      </c>
      <c r="O38" t="str">
        <f>"002281"</f>
        <v>002281</v>
      </c>
      <c r="P38" t="str">
        <f>"0153613480"</f>
        <v>0153613480</v>
      </c>
    </row>
    <row r="39" spans="1:16" hidden="1" x14ac:dyDescent="0.25">
      <c r="A39" t="str">
        <f t="shared" si="0"/>
        <v>人民币</v>
      </c>
      <c r="B39" t="str">
        <f>"招商蛇口"</f>
        <v>招商蛇口</v>
      </c>
      <c r="C39" t="str">
        <f t="shared" si="14"/>
        <v>20180227</v>
      </c>
      <c r="D39" t="str">
        <f>"22.200"</f>
        <v>22.200</v>
      </c>
      <c r="E39" t="str">
        <f>"300.00"</f>
        <v>300.00</v>
      </c>
      <c r="F39" t="str">
        <f>"-6665.00"</f>
        <v>-6665.00</v>
      </c>
      <c r="G39" t="str">
        <f>"3167.72"</f>
        <v>3167.72</v>
      </c>
      <c r="H39" t="str">
        <f>"700.00"</f>
        <v>700.00</v>
      </c>
      <c r="I39" t="str">
        <f>"68"</f>
        <v>68</v>
      </c>
      <c r="J39" t="str">
        <f>"证券买入(招商蛇口)"</f>
        <v>证券买入(招商蛇口)</v>
      </c>
      <c r="K39" t="str">
        <f>"5.00"</f>
        <v>5.00</v>
      </c>
      <c r="L39" t="str">
        <f t="shared" si="18"/>
        <v>0.00</v>
      </c>
      <c r="M39" t="str">
        <f t="shared" si="18"/>
        <v>0.00</v>
      </c>
      <c r="N39" t="str">
        <f t="shared" si="18"/>
        <v>0.00</v>
      </c>
      <c r="O39" t="str">
        <f>"001979"</f>
        <v>001979</v>
      </c>
      <c r="P39" t="str">
        <f>"0153613480"</f>
        <v>0153613480</v>
      </c>
    </row>
    <row r="40" spans="1:16" hidden="1" x14ac:dyDescent="0.25">
      <c r="A40" t="str">
        <f t="shared" si="0"/>
        <v>人民币</v>
      </c>
      <c r="B40" t="str">
        <f>"招商蛇口"</f>
        <v>招商蛇口</v>
      </c>
      <c r="C40" t="str">
        <f t="shared" si="14"/>
        <v>20180227</v>
      </c>
      <c r="D40" t="str">
        <f>"21.860"</f>
        <v>21.860</v>
      </c>
      <c r="E40" t="str">
        <f>"100.00"</f>
        <v>100.00</v>
      </c>
      <c r="F40" t="str">
        <f>"-2191.00"</f>
        <v>-2191.00</v>
      </c>
      <c r="G40" t="str">
        <f>"976.72"</f>
        <v>976.72</v>
      </c>
      <c r="H40" t="str">
        <f>"800.00"</f>
        <v>800.00</v>
      </c>
      <c r="I40" t="str">
        <f>"74"</f>
        <v>74</v>
      </c>
      <c r="J40" t="str">
        <f>"证券买入(招商蛇口)"</f>
        <v>证券买入(招商蛇口)</v>
      </c>
      <c r="K40" t="str">
        <f>"5.00"</f>
        <v>5.00</v>
      </c>
      <c r="L40" t="str">
        <f t="shared" si="18"/>
        <v>0.00</v>
      </c>
      <c r="M40" t="str">
        <f t="shared" si="18"/>
        <v>0.00</v>
      </c>
      <c r="N40" t="str">
        <f t="shared" si="18"/>
        <v>0.00</v>
      </c>
      <c r="O40" t="str">
        <f>"001979"</f>
        <v>001979</v>
      </c>
      <c r="P40" t="str">
        <f>"0153613480"</f>
        <v>0153613480</v>
      </c>
    </row>
    <row r="41" spans="1:16" hidden="1" x14ac:dyDescent="0.25">
      <c r="A41" t="str">
        <f t="shared" si="0"/>
        <v>人民币</v>
      </c>
      <c r="B41" t="str">
        <f>" "</f>
        <v xml:space="preserve"> </v>
      </c>
      <c r="C41" t="str">
        <f>"20180301"</f>
        <v>20180301</v>
      </c>
      <c r="D41" t="str">
        <f>"---"</f>
        <v>---</v>
      </c>
      <c r="E41" t="str">
        <f>"---"</f>
        <v>---</v>
      </c>
      <c r="F41" t="str">
        <f>"-900.00"</f>
        <v>-900.00</v>
      </c>
      <c r="G41" t="str">
        <f>"76.72"</f>
        <v>76.72</v>
      </c>
      <c r="H41" t="str">
        <f>"---"</f>
        <v>---</v>
      </c>
      <c r="I41" t="str">
        <f>"---"</f>
        <v>---</v>
      </c>
      <c r="J41" t="str">
        <f>"银行转取"</f>
        <v>银行转取</v>
      </c>
      <c r="K41" t="str">
        <f t="shared" ref="K41:P41" si="19">"---"</f>
        <v>---</v>
      </c>
      <c r="L41" t="str">
        <f t="shared" si="19"/>
        <v>---</v>
      </c>
      <c r="M41" t="str">
        <f t="shared" si="19"/>
        <v>---</v>
      </c>
      <c r="N41" t="str">
        <f t="shared" si="19"/>
        <v>---</v>
      </c>
      <c r="O41" t="str">
        <f t="shared" si="19"/>
        <v>---</v>
      </c>
      <c r="P41" t="str">
        <f t="shared" si="19"/>
        <v>---</v>
      </c>
    </row>
    <row r="42" spans="1:16" hidden="1" x14ac:dyDescent="0.25">
      <c r="A42" t="str">
        <f t="shared" si="0"/>
        <v>人民币</v>
      </c>
      <c r="B42" t="str">
        <f>"光迅科技"</f>
        <v>光迅科技</v>
      </c>
      <c r="C42" t="str">
        <f>"20180306"</f>
        <v>20180306</v>
      </c>
      <c r="D42" t="str">
        <f>"27.210"</f>
        <v>27.210</v>
      </c>
      <c r="E42" t="str">
        <f>"-100.00"</f>
        <v>-100.00</v>
      </c>
      <c r="F42" t="str">
        <f>"2713.28"</f>
        <v>2713.28</v>
      </c>
      <c r="G42" t="str">
        <f>"2790.00"</f>
        <v>2790.00</v>
      </c>
      <c r="H42" t="str">
        <f>"200.00"</f>
        <v>200.00</v>
      </c>
      <c r="I42" t="str">
        <f>"82"</f>
        <v>82</v>
      </c>
      <c r="J42" t="str">
        <f>"证券卖出(光迅科技)"</f>
        <v>证券卖出(光迅科技)</v>
      </c>
      <c r="K42" t="str">
        <f t="shared" ref="K42:K53" si="20">"5.00"</f>
        <v>5.00</v>
      </c>
      <c r="L42" t="str">
        <f>"2.72"</f>
        <v>2.72</v>
      </c>
      <c r="M42" t="str">
        <f t="shared" ref="M42:N52" si="21">"0.00"</f>
        <v>0.00</v>
      </c>
      <c r="N42" t="str">
        <f t="shared" si="21"/>
        <v>0.00</v>
      </c>
      <c r="O42" t="str">
        <f>"002281"</f>
        <v>002281</v>
      </c>
      <c r="P42" t="str">
        <f t="shared" ref="P42:P52" si="22">"0153613480"</f>
        <v>0153613480</v>
      </c>
    </row>
    <row r="43" spans="1:16" hidden="1" x14ac:dyDescent="0.25">
      <c r="A43" t="str">
        <f t="shared" si="0"/>
        <v>人民币</v>
      </c>
      <c r="B43" t="str">
        <f>"光迅科技"</f>
        <v>光迅科技</v>
      </c>
      <c r="C43" t="str">
        <f>"20180306"</f>
        <v>20180306</v>
      </c>
      <c r="D43" t="str">
        <f>"27.420"</f>
        <v>27.420</v>
      </c>
      <c r="E43" t="str">
        <f>"-100.00"</f>
        <v>-100.00</v>
      </c>
      <c r="F43" t="str">
        <f>"2734.26"</f>
        <v>2734.26</v>
      </c>
      <c r="G43" t="str">
        <f>"5524.26"</f>
        <v>5524.26</v>
      </c>
      <c r="H43" t="str">
        <f>"100.00"</f>
        <v>100.00</v>
      </c>
      <c r="I43" t="str">
        <f>"85"</f>
        <v>85</v>
      </c>
      <c r="J43" t="str">
        <f>"证券卖出(光迅科技)"</f>
        <v>证券卖出(光迅科技)</v>
      </c>
      <c r="K43" t="str">
        <f t="shared" si="20"/>
        <v>5.00</v>
      </c>
      <c r="L43" t="str">
        <f>"2.74"</f>
        <v>2.74</v>
      </c>
      <c r="M43" t="str">
        <f t="shared" si="21"/>
        <v>0.00</v>
      </c>
      <c r="N43" t="str">
        <f t="shared" si="21"/>
        <v>0.00</v>
      </c>
      <c r="O43" t="str">
        <f>"002281"</f>
        <v>002281</v>
      </c>
      <c r="P43" t="str">
        <f t="shared" si="22"/>
        <v>0153613480</v>
      </c>
    </row>
    <row r="44" spans="1:16" hidden="1" x14ac:dyDescent="0.25">
      <c r="A44" t="str">
        <f t="shared" si="0"/>
        <v>人民币</v>
      </c>
      <c r="B44" t="str">
        <f>"光迅科技"</f>
        <v>光迅科技</v>
      </c>
      <c r="C44" t="str">
        <f>"20180306"</f>
        <v>20180306</v>
      </c>
      <c r="D44" t="str">
        <f>"27.460"</f>
        <v>27.460</v>
      </c>
      <c r="E44" t="str">
        <f>"-100.00"</f>
        <v>-100.00</v>
      </c>
      <c r="F44" t="str">
        <f>"2738.25"</f>
        <v>2738.25</v>
      </c>
      <c r="G44" t="str">
        <f>"8262.51"</f>
        <v>8262.51</v>
      </c>
      <c r="H44" t="str">
        <f>"0.00"</f>
        <v>0.00</v>
      </c>
      <c r="I44" t="str">
        <f>"88"</f>
        <v>88</v>
      </c>
      <c r="J44" t="str">
        <f>"证券卖出(光迅科技)"</f>
        <v>证券卖出(光迅科技)</v>
      </c>
      <c r="K44" t="str">
        <f t="shared" si="20"/>
        <v>5.00</v>
      </c>
      <c r="L44" t="str">
        <f>"2.75"</f>
        <v>2.75</v>
      </c>
      <c r="M44" t="str">
        <f t="shared" si="21"/>
        <v>0.00</v>
      </c>
      <c r="N44" t="str">
        <f t="shared" si="21"/>
        <v>0.00</v>
      </c>
      <c r="O44" t="str">
        <f>"002281"</f>
        <v>002281</v>
      </c>
      <c r="P44" t="str">
        <f t="shared" si="22"/>
        <v>0153613480</v>
      </c>
    </row>
    <row r="45" spans="1:16" hidden="1" x14ac:dyDescent="0.25">
      <c r="A45" t="str">
        <f t="shared" si="0"/>
        <v>人民币</v>
      </c>
      <c r="B45" t="str">
        <f>"科创信息"</f>
        <v>科创信息</v>
      </c>
      <c r="C45" t="str">
        <f>"20180307"</f>
        <v>20180307</v>
      </c>
      <c r="D45" t="str">
        <f>"33.490"</f>
        <v>33.490</v>
      </c>
      <c r="E45" t="str">
        <f>"100.00"</f>
        <v>100.00</v>
      </c>
      <c r="F45" t="str">
        <f>"-3354.00"</f>
        <v>-3354.00</v>
      </c>
      <c r="G45" t="str">
        <f>"4908.51"</f>
        <v>4908.51</v>
      </c>
      <c r="H45" t="str">
        <f>"100.00"</f>
        <v>100.00</v>
      </c>
      <c r="I45" t="str">
        <f>"97"</f>
        <v>97</v>
      </c>
      <c r="J45" t="str">
        <f>"证券买入(科创信息)"</f>
        <v>证券买入(科创信息)</v>
      </c>
      <c r="K45" t="str">
        <f t="shared" si="20"/>
        <v>5.00</v>
      </c>
      <c r="L45" t="str">
        <f>"0.00"</f>
        <v>0.00</v>
      </c>
      <c r="M45" t="str">
        <f t="shared" si="21"/>
        <v>0.00</v>
      </c>
      <c r="N45" t="str">
        <f t="shared" si="21"/>
        <v>0.00</v>
      </c>
      <c r="O45" t="str">
        <f>"300730"</f>
        <v>300730</v>
      </c>
      <c r="P45" t="str">
        <f t="shared" si="22"/>
        <v>0153613480</v>
      </c>
    </row>
    <row r="46" spans="1:16" hidden="1" x14ac:dyDescent="0.25">
      <c r="A46" t="str">
        <f t="shared" si="0"/>
        <v>人民币</v>
      </c>
      <c r="B46" t="str">
        <f>"科创信息"</f>
        <v>科创信息</v>
      </c>
      <c r="C46" t="str">
        <f>"20180308"</f>
        <v>20180308</v>
      </c>
      <c r="D46" t="str">
        <f>"37.160"</f>
        <v>37.160</v>
      </c>
      <c r="E46" t="str">
        <f>"-100.00"</f>
        <v>-100.00</v>
      </c>
      <c r="F46" t="str">
        <f>"3707.28"</f>
        <v>3707.28</v>
      </c>
      <c r="G46" t="str">
        <f>"8615.79"</f>
        <v>8615.79</v>
      </c>
      <c r="H46" t="str">
        <f>"0.00"</f>
        <v>0.00</v>
      </c>
      <c r="I46" t="str">
        <f>"102"</f>
        <v>102</v>
      </c>
      <c r="J46" t="str">
        <f>"证券卖出(科创信息)"</f>
        <v>证券卖出(科创信息)</v>
      </c>
      <c r="K46" t="str">
        <f t="shared" si="20"/>
        <v>5.00</v>
      </c>
      <c r="L46" t="str">
        <f>"3.72"</f>
        <v>3.72</v>
      </c>
      <c r="M46" t="str">
        <f t="shared" si="21"/>
        <v>0.00</v>
      </c>
      <c r="N46" t="str">
        <f t="shared" si="21"/>
        <v>0.00</v>
      </c>
      <c r="O46" t="str">
        <f>"300730"</f>
        <v>300730</v>
      </c>
      <c r="P46" t="str">
        <f t="shared" si="22"/>
        <v>0153613480</v>
      </c>
    </row>
    <row r="47" spans="1:16" hidden="1" x14ac:dyDescent="0.25">
      <c r="A47" t="str">
        <f t="shared" si="0"/>
        <v>人民币</v>
      </c>
      <c r="B47" t="str">
        <f>"北京君正"</f>
        <v>北京君正</v>
      </c>
      <c r="C47" t="str">
        <f>"20180308"</f>
        <v>20180308</v>
      </c>
      <c r="D47" t="str">
        <f>"28.110"</f>
        <v>28.110</v>
      </c>
      <c r="E47" t="str">
        <f>"200.00"</f>
        <v>200.00</v>
      </c>
      <c r="F47" t="str">
        <f>"-5627.00"</f>
        <v>-5627.00</v>
      </c>
      <c r="G47" t="str">
        <f>"2988.79"</f>
        <v>2988.79</v>
      </c>
      <c r="H47" t="str">
        <f>"200.00"</f>
        <v>200.00</v>
      </c>
      <c r="I47" t="str">
        <f>"105"</f>
        <v>105</v>
      </c>
      <c r="J47" t="str">
        <f>"证券买入(北京君正)"</f>
        <v>证券买入(北京君正)</v>
      </c>
      <c r="K47" t="str">
        <f t="shared" si="20"/>
        <v>5.00</v>
      </c>
      <c r="L47" t="str">
        <f>"0.00"</f>
        <v>0.00</v>
      </c>
      <c r="M47" t="str">
        <f t="shared" si="21"/>
        <v>0.00</v>
      </c>
      <c r="N47" t="str">
        <f t="shared" si="21"/>
        <v>0.00</v>
      </c>
      <c r="O47" t="str">
        <f>"300223"</f>
        <v>300223</v>
      </c>
      <c r="P47" t="str">
        <f t="shared" si="22"/>
        <v>0153613480</v>
      </c>
    </row>
    <row r="48" spans="1:16" hidden="1" x14ac:dyDescent="0.25">
      <c r="A48" t="str">
        <f t="shared" si="0"/>
        <v>人民币</v>
      </c>
      <c r="B48" t="str">
        <f>"北京君正"</f>
        <v>北京君正</v>
      </c>
      <c r="C48" t="str">
        <f>"20180309"</f>
        <v>20180309</v>
      </c>
      <c r="D48" t="str">
        <f>"28.580"</f>
        <v>28.580</v>
      </c>
      <c r="E48" t="str">
        <f>"-100.00"</f>
        <v>-100.00</v>
      </c>
      <c r="F48" t="str">
        <f>"2850.14"</f>
        <v>2850.14</v>
      </c>
      <c r="G48" t="str">
        <f>"5838.93"</f>
        <v>5838.93</v>
      </c>
      <c r="H48" t="str">
        <f>"100.00"</f>
        <v>100.00</v>
      </c>
      <c r="I48" t="str">
        <f>"110"</f>
        <v>110</v>
      </c>
      <c r="J48" t="str">
        <f>"证券卖出(北京君正)"</f>
        <v>证券卖出(北京君正)</v>
      </c>
      <c r="K48" t="str">
        <f t="shared" si="20"/>
        <v>5.00</v>
      </c>
      <c r="L48" t="str">
        <f>"2.86"</f>
        <v>2.86</v>
      </c>
      <c r="M48" t="str">
        <f t="shared" si="21"/>
        <v>0.00</v>
      </c>
      <c r="N48" t="str">
        <f t="shared" si="21"/>
        <v>0.00</v>
      </c>
      <c r="O48" t="str">
        <f>"300223"</f>
        <v>300223</v>
      </c>
      <c r="P48" t="str">
        <f t="shared" si="22"/>
        <v>0153613480</v>
      </c>
    </row>
    <row r="49" spans="1:16" hidden="1" x14ac:dyDescent="0.25">
      <c r="A49" t="str">
        <f t="shared" si="0"/>
        <v>人民币</v>
      </c>
      <c r="B49" t="str">
        <f>"北京君正"</f>
        <v>北京君正</v>
      </c>
      <c r="C49" t="str">
        <f>"20180309"</f>
        <v>20180309</v>
      </c>
      <c r="D49" t="str">
        <f>"28.600"</f>
        <v>28.600</v>
      </c>
      <c r="E49" t="str">
        <f>"-100.00"</f>
        <v>-100.00</v>
      </c>
      <c r="F49" t="str">
        <f>"2852.14"</f>
        <v>2852.14</v>
      </c>
      <c r="G49" t="str">
        <f>"8691.07"</f>
        <v>8691.07</v>
      </c>
      <c r="H49" t="str">
        <f>"0.00"</f>
        <v>0.00</v>
      </c>
      <c r="I49" t="str">
        <f>"113"</f>
        <v>113</v>
      </c>
      <c r="J49" t="str">
        <f>"证券卖出(北京君正)"</f>
        <v>证券卖出(北京君正)</v>
      </c>
      <c r="K49" t="str">
        <f t="shared" si="20"/>
        <v>5.00</v>
      </c>
      <c r="L49" t="str">
        <f>"2.86"</f>
        <v>2.86</v>
      </c>
      <c r="M49" t="str">
        <f t="shared" si="21"/>
        <v>0.00</v>
      </c>
      <c r="N49" t="str">
        <f t="shared" si="21"/>
        <v>0.00</v>
      </c>
      <c r="O49" t="str">
        <f>"300223"</f>
        <v>300223</v>
      </c>
      <c r="P49" t="str">
        <f t="shared" si="22"/>
        <v>0153613480</v>
      </c>
    </row>
    <row r="50" spans="1:16" hidden="1" x14ac:dyDescent="0.25">
      <c r="A50" t="str">
        <f t="shared" si="0"/>
        <v>人民币</v>
      </c>
      <c r="B50" t="str">
        <f>"招商蛇口"</f>
        <v>招商蛇口</v>
      </c>
      <c r="C50" t="str">
        <f>"20180309"</f>
        <v>20180309</v>
      </c>
      <c r="D50" t="str">
        <f>"23.080"</f>
        <v>23.080</v>
      </c>
      <c r="E50" t="str">
        <f>"-300.00"</f>
        <v>-300.00</v>
      </c>
      <c r="F50" t="str">
        <f>"6912.08"</f>
        <v>6912.08</v>
      </c>
      <c r="G50" t="str">
        <f>"15603.15"</f>
        <v>15603.15</v>
      </c>
      <c r="H50" t="str">
        <f>"500.00"</f>
        <v>500.00</v>
      </c>
      <c r="I50" t="str">
        <f>"116"</f>
        <v>116</v>
      </c>
      <c r="J50" t="str">
        <f>"证券卖出(招商蛇口)"</f>
        <v>证券卖出(招商蛇口)</v>
      </c>
      <c r="K50" t="str">
        <f t="shared" si="20"/>
        <v>5.00</v>
      </c>
      <c r="L50" t="str">
        <f>"6.92"</f>
        <v>6.92</v>
      </c>
      <c r="M50" t="str">
        <f t="shared" si="21"/>
        <v>0.00</v>
      </c>
      <c r="N50" t="str">
        <f t="shared" si="21"/>
        <v>0.00</v>
      </c>
      <c r="O50" t="str">
        <f>"001979"</f>
        <v>001979</v>
      </c>
      <c r="P50" t="str">
        <f t="shared" si="22"/>
        <v>0153613480</v>
      </c>
    </row>
    <row r="51" spans="1:16" hidden="1" x14ac:dyDescent="0.25">
      <c r="A51" t="str">
        <f t="shared" si="0"/>
        <v>人民币</v>
      </c>
      <c r="B51" t="str">
        <f>"招商蛇口"</f>
        <v>招商蛇口</v>
      </c>
      <c r="C51" t="str">
        <f>"20180309"</f>
        <v>20180309</v>
      </c>
      <c r="D51" t="str">
        <f>"23.090"</f>
        <v>23.090</v>
      </c>
      <c r="E51" t="str">
        <f>"-300.00"</f>
        <v>-300.00</v>
      </c>
      <c r="F51" t="str">
        <f>"6915.07"</f>
        <v>6915.07</v>
      </c>
      <c r="G51" t="str">
        <f>"22518.22"</f>
        <v>22518.22</v>
      </c>
      <c r="H51" t="str">
        <f>"200.00"</f>
        <v>200.00</v>
      </c>
      <c r="I51" t="str">
        <f>"119"</f>
        <v>119</v>
      </c>
      <c r="J51" t="str">
        <f>"证券卖出(招商蛇口)"</f>
        <v>证券卖出(招商蛇口)</v>
      </c>
      <c r="K51" t="str">
        <f t="shared" si="20"/>
        <v>5.00</v>
      </c>
      <c r="L51" t="str">
        <f>"6.93"</f>
        <v>6.93</v>
      </c>
      <c r="M51" t="str">
        <f t="shared" si="21"/>
        <v>0.00</v>
      </c>
      <c r="N51" t="str">
        <f t="shared" si="21"/>
        <v>0.00</v>
      </c>
      <c r="O51" t="str">
        <f>"001979"</f>
        <v>001979</v>
      </c>
      <c r="P51" t="str">
        <f t="shared" si="22"/>
        <v>0153613480</v>
      </c>
    </row>
    <row r="52" spans="1:16" hidden="1" x14ac:dyDescent="0.25">
      <c r="A52" t="str">
        <f t="shared" si="0"/>
        <v>人民币</v>
      </c>
      <c r="B52" t="str">
        <f>"招商蛇口"</f>
        <v>招商蛇口</v>
      </c>
      <c r="C52" t="str">
        <f>"20180309"</f>
        <v>20180309</v>
      </c>
      <c r="D52" t="str">
        <f>"23.100"</f>
        <v>23.100</v>
      </c>
      <c r="E52" t="str">
        <f>"-200.00"</f>
        <v>-200.00</v>
      </c>
      <c r="F52" t="str">
        <f>"4610.38"</f>
        <v>4610.38</v>
      </c>
      <c r="G52" t="str">
        <f>"27128.60"</f>
        <v>27128.60</v>
      </c>
      <c r="H52" t="str">
        <f>"0.00"</f>
        <v>0.00</v>
      </c>
      <c r="I52" t="str">
        <f>"122"</f>
        <v>122</v>
      </c>
      <c r="J52" t="str">
        <f>"证券卖出(招商蛇口)"</f>
        <v>证券卖出(招商蛇口)</v>
      </c>
      <c r="K52" t="str">
        <f t="shared" si="20"/>
        <v>5.00</v>
      </c>
      <c r="L52" t="str">
        <f>"4.62"</f>
        <v>4.62</v>
      </c>
      <c r="M52" t="str">
        <f t="shared" si="21"/>
        <v>0.00</v>
      </c>
      <c r="N52" t="str">
        <f t="shared" si="21"/>
        <v>0.00</v>
      </c>
      <c r="O52" t="str">
        <f>"001979"</f>
        <v>001979</v>
      </c>
      <c r="P52" t="str">
        <f t="shared" si="22"/>
        <v>0153613480</v>
      </c>
    </row>
    <row r="53" spans="1:16" hidden="1" x14ac:dyDescent="0.25">
      <c r="A53" t="str">
        <f t="shared" si="0"/>
        <v>人民币</v>
      </c>
      <c r="B53" t="str">
        <f>"复星医药"</f>
        <v>复星医药</v>
      </c>
      <c r="C53" t="str">
        <f>"20180313"</f>
        <v>20180313</v>
      </c>
      <c r="D53" t="str">
        <f>"42.900"</f>
        <v>42.900</v>
      </c>
      <c r="E53" t="str">
        <f>"100.00"</f>
        <v>100.00</v>
      </c>
      <c r="F53" t="str">
        <f>"-4295.09"</f>
        <v>-4295.09</v>
      </c>
      <c r="G53" t="str">
        <f>"22833.51"</f>
        <v>22833.51</v>
      </c>
      <c r="H53" t="str">
        <f>"100.00"</f>
        <v>100.00</v>
      </c>
      <c r="I53" t="str">
        <f>"130"</f>
        <v>130</v>
      </c>
      <c r="J53" t="str">
        <f>"证券买入(复星医药)"</f>
        <v>证券买入(复星医药)</v>
      </c>
      <c r="K53" t="str">
        <f t="shared" si="20"/>
        <v>5.00</v>
      </c>
      <c r="L53" t="str">
        <f>"0.00"</f>
        <v>0.00</v>
      </c>
      <c r="M53" t="str">
        <f>"0.09"</f>
        <v>0.09</v>
      </c>
      <c r="N53" t="str">
        <f>"0.00"</f>
        <v>0.00</v>
      </c>
      <c r="O53" t="str">
        <f>"600196"</f>
        <v>600196</v>
      </c>
      <c r="P53" t="str">
        <f>"A400948245"</f>
        <v>A400948245</v>
      </c>
    </row>
    <row r="54" spans="1:16" hidden="1" x14ac:dyDescent="0.25">
      <c r="A54" t="str">
        <f t="shared" si="0"/>
        <v>人民币</v>
      </c>
      <c r="B54" t="str">
        <f>" "</f>
        <v xml:space="preserve"> </v>
      </c>
      <c r="C54" t="str">
        <f>"20180314"</f>
        <v>20180314</v>
      </c>
      <c r="D54" t="str">
        <f>"---"</f>
        <v>---</v>
      </c>
      <c r="E54" t="str">
        <f>"---"</f>
        <v>---</v>
      </c>
      <c r="F54" t="str">
        <f>"-5100.00"</f>
        <v>-5100.00</v>
      </c>
      <c r="G54" t="str">
        <f>"17733.51"</f>
        <v>17733.51</v>
      </c>
      <c r="H54" t="str">
        <f>"---"</f>
        <v>---</v>
      </c>
      <c r="I54" t="str">
        <f>"---"</f>
        <v>---</v>
      </c>
      <c r="J54" t="str">
        <f>"银行转取"</f>
        <v>银行转取</v>
      </c>
      <c r="K54" t="str">
        <f t="shared" ref="K54:P54" si="23">"---"</f>
        <v>---</v>
      </c>
      <c r="L54" t="str">
        <f t="shared" si="23"/>
        <v>---</v>
      </c>
      <c r="M54" t="str">
        <f t="shared" si="23"/>
        <v>---</v>
      </c>
      <c r="N54" t="str">
        <f t="shared" si="23"/>
        <v>---</v>
      </c>
      <c r="O54" t="str">
        <f t="shared" si="23"/>
        <v>---</v>
      </c>
      <c r="P54" t="str">
        <f t="shared" si="23"/>
        <v>---</v>
      </c>
    </row>
    <row r="55" spans="1:16" hidden="1" x14ac:dyDescent="0.25">
      <c r="A55" t="str">
        <f t="shared" si="0"/>
        <v>人民币</v>
      </c>
      <c r="B55" t="str">
        <f>"科蓝软件"</f>
        <v>科蓝软件</v>
      </c>
      <c r="C55" t="str">
        <f>"20180314"</f>
        <v>20180314</v>
      </c>
      <c r="D55" t="str">
        <f>"29.990"</f>
        <v>29.990</v>
      </c>
      <c r="E55" t="str">
        <f>"200.00"</f>
        <v>200.00</v>
      </c>
      <c r="F55" t="str">
        <f>"-6003.00"</f>
        <v>-6003.00</v>
      </c>
      <c r="G55" t="str">
        <f>"11730.51"</f>
        <v>11730.51</v>
      </c>
      <c r="H55" t="str">
        <f>"200.00"</f>
        <v>200.00</v>
      </c>
      <c r="I55" t="str">
        <f>"5"</f>
        <v>5</v>
      </c>
      <c r="J55" t="str">
        <f>"证券买入(科蓝软件)"</f>
        <v>证券买入(科蓝软件)</v>
      </c>
      <c r="K55" t="str">
        <f>"5.00"</f>
        <v>5.00</v>
      </c>
      <c r="L55" t="str">
        <f t="shared" ref="L55:N58" si="24">"0.00"</f>
        <v>0.00</v>
      </c>
      <c r="M55" t="str">
        <f t="shared" si="24"/>
        <v>0.00</v>
      </c>
      <c r="N55" t="str">
        <f t="shared" si="24"/>
        <v>0.00</v>
      </c>
      <c r="O55" t="str">
        <f>"300663"</f>
        <v>300663</v>
      </c>
      <c r="P55" t="str">
        <f>"0153613480"</f>
        <v>0153613480</v>
      </c>
    </row>
    <row r="56" spans="1:16" hidden="1" x14ac:dyDescent="0.25">
      <c r="A56" t="str">
        <f t="shared" si="0"/>
        <v>人民币</v>
      </c>
      <c r="B56" t="str">
        <f>"科蓝软件"</f>
        <v>科蓝软件</v>
      </c>
      <c r="C56" t="str">
        <f>"20180314"</f>
        <v>20180314</v>
      </c>
      <c r="D56" t="str">
        <f>"29.900"</f>
        <v>29.900</v>
      </c>
      <c r="E56" t="str">
        <f>"100.00"</f>
        <v>100.00</v>
      </c>
      <c r="F56" t="str">
        <f>"-2995.00"</f>
        <v>-2995.00</v>
      </c>
      <c r="G56" t="str">
        <f>"8735.51"</f>
        <v>8735.51</v>
      </c>
      <c r="H56" t="str">
        <f>"300.00"</f>
        <v>300.00</v>
      </c>
      <c r="I56" t="str">
        <f>"9"</f>
        <v>9</v>
      </c>
      <c r="J56" t="str">
        <f>"证券买入(科蓝软件)"</f>
        <v>证券买入(科蓝软件)</v>
      </c>
      <c r="K56" t="str">
        <f>"5.00"</f>
        <v>5.00</v>
      </c>
      <c r="L56" t="str">
        <f t="shared" si="24"/>
        <v>0.00</v>
      </c>
      <c r="M56" t="str">
        <f t="shared" si="24"/>
        <v>0.00</v>
      </c>
      <c r="N56" t="str">
        <f t="shared" si="24"/>
        <v>0.00</v>
      </c>
      <c r="O56" t="str">
        <f>"300663"</f>
        <v>300663</v>
      </c>
      <c r="P56" t="str">
        <f>"0153613480"</f>
        <v>0153613480</v>
      </c>
    </row>
    <row r="57" spans="1:16" hidden="1" x14ac:dyDescent="0.25">
      <c r="A57" t="str">
        <f t="shared" si="0"/>
        <v>人民币</v>
      </c>
      <c r="B57" t="str">
        <f>"彩讯股份"</f>
        <v>彩讯股份</v>
      </c>
      <c r="C57" t="str">
        <f>"20180314"</f>
        <v>20180314</v>
      </c>
      <c r="D57" t="str">
        <f>"0.000"</f>
        <v>0.000</v>
      </c>
      <c r="E57" t="str">
        <f>"4.00"</f>
        <v>4.00</v>
      </c>
      <c r="F57" t="str">
        <f>"0.00"</f>
        <v>0.00</v>
      </c>
      <c r="G57" t="str">
        <f>"8735.51"</f>
        <v>8735.51</v>
      </c>
      <c r="H57" t="str">
        <f>"0.00"</f>
        <v>0.00</v>
      </c>
      <c r="I57" t="str">
        <f>"3"</f>
        <v>3</v>
      </c>
      <c r="J57" t="str">
        <f>"申购配号(彩讯股份)"</f>
        <v>申购配号(彩讯股份)</v>
      </c>
      <c r="K57" t="str">
        <f>"0.00"</f>
        <v>0.00</v>
      </c>
      <c r="L57" t="str">
        <f t="shared" si="24"/>
        <v>0.00</v>
      </c>
      <c r="M57" t="str">
        <f t="shared" si="24"/>
        <v>0.00</v>
      </c>
      <c r="N57" t="str">
        <f t="shared" si="24"/>
        <v>0.00</v>
      </c>
      <c r="O57" t="str">
        <f>"300634"</f>
        <v>300634</v>
      </c>
      <c r="P57" t="str">
        <f>"0153613480"</f>
        <v>0153613480</v>
      </c>
    </row>
    <row r="58" spans="1:16" hidden="1" x14ac:dyDescent="0.25">
      <c r="A58" t="str">
        <f t="shared" si="0"/>
        <v>人民币</v>
      </c>
      <c r="B58" t="str">
        <f>"宏川智慧"</f>
        <v>宏川智慧</v>
      </c>
      <c r="C58" t="str">
        <f>"20180314"</f>
        <v>20180314</v>
      </c>
      <c r="D58" t="str">
        <f>"0.000"</f>
        <v>0.000</v>
      </c>
      <c r="E58" t="str">
        <f>"4.00"</f>
        <v>4.00</v>
      </c>
      <c r="F58" t="str">
        <f>"0.00"</f>
        <v>0.00</v>
      </c>
      <c r="G58" t="str">
        <f>"8735.51"</f>
        <v>8735.51</v>
      </c>
      <c r="H58" t="str">
        <f>"0.00"</f>
        <v>0.00</v>
      </c>
      <c r="I58" t="str">
        <f>"1"</f>
        <v>1</v>
      </c>
      <c r="J58" t="str">
        <f>"申购配号(宏川智慧)"</f>
        <v>申购配号(宏川智慧)</v>
      </c>
      <c r="K58" t="str">
        <f>"0.00"</f>
        <v>0.00</v>
      </c>
      <c r="L58" t="str">
        <f t="shared" si="24"/>
        <v>0.00</v>
      </c>
      <c r="M58" t="str">
        <f t="shared" si="24"/>
        <v>0.00</v>
      </c>
      <c r="N58" t="str">
        <f t="shared" si="24"/>
        <v>0.00</v>
      </c>
      <c r="O58" t="str">
        <f>"002930"</f>
        <v>002930</v>
      </c>
      <c r="P58" t="str">
        <f>"0153613480"</f>
        <v>0153613480</v>
      </c>
    </row>
    <row r="59" spans="1:16" hidden="1" x14ac:dyDescent="0.25">
      <c r="A59" t="str">
        <f t="shared" si="0"/>
        <v>人民币</v>
      </c>
      <c r="B59" t="str">
        <f>"复星医药"</f>
        <v>复星医药</v>
      </c>
      <c r="C59" t="str">
        <f>"20180315"</f>
        <v>20180315</v>
      </c>
      <c r="D59" t="str">
        <f>"43.400"</f>
        <v>43.400</v>
      </c>
      <c r="E59" t="str">
        <f>"-100.00"</f>
        <v>-100.00</v>
      </c>
      <c r="F59" t="str">
        <f>"4330.57"</f>
        <v>4330.57</v>
      </c>
      <c r="G59" t="str">
        <f>"13066.08"</f>
        <v>13066.08</v>
      </c>
      <c r="H59" t="str">
        <f>"0.00"</f>
        <v>0.00</v>
      </c>
      <c r="I59" t="str">
        <f>"16"</f>
        <v>16</v>
      </c>
      <c r="J59" t="str">
        <f>"证券卖出(复星医药)"</f>
        <v>证券卖出(复星医药)</v>
      </c>
      <c r="K59" t="str">
        <f>"5.00"</f>
        <v>5.00</v>
      </c>
      <c r="L59" t="str">
        <f>"4.34"</f>
        <v>4.34</v>
      </c>
      <c r="M59" t="str">
        <f>"0.09"</f>
        <v>0.09</v>
      </c>
      <c r="N59" t="str">
        <f>"0.00"</f>
        <v>0.00</v>
      </c>
      <c r="O59" t="str">
        <f>"600196"</f>
        <v>600196</v>
      </c>
      <c r="P59" t="str">
        <f>"A400948245"</f>
        <v>A400948245</v>
      </c>
    </row>
    <row r="60" spans="1:16" hidden="1" x14ac:dyDescent="0.25">
      <c r="A60" t="str">
        <f t="shared" si="0"/>
        <v>人民币</v>
      </c>
      <c r="B60" t="str">
        <f>"科蓝软件"</f>
        <v>科蓝软件</v>
      </c>
      <c r="C60" t="str">
        <f>"20180315"</f>
        <v>20180315</v>
      </c>
      <c r="D60" t="str">
        <f>"28.060"</f>
        <v>28.060</v>
      </c>
      <c r="E60" t="str">
        <f>"100.00"</f>
        <v>100.00</v>
      </c>
      <c r="F60" t="str">
        <f>"-2811.00"</f>
        <v>-2811.00</v>
      </c>
      <c r="G60" t="str">
        <f>"10255.08"</f>
        <v>10255.08</v>
      </c>
      <c r="H60" t="str">
        <f>"400.00"</f>
        <v>400.00</v>
      </c>
      <c r="I60" t="str">
        <f>"19"</f>
        <v>19</v>
      </c>
      <c r="J60" t="str">
        <f>"证券买入(科蓝软件)"</f>
        <v>证券买入(科蓝软件)</v>
      </c>
      <c r="K60" t="str">
        <f>"5.00"</f>
        <v>5.00</v>
      </c>
      <c r="L60" t="str">
        <f t="shared" ref="L60:M62" si="25">"0.00"</f>
        <v>0.00</v>
      </c>
      <c r="M60" t="str">
        <f t="shared" si="25"/>
        <v>0.00</v>
      </c>
      <c r="N60" t="str">
        <f>"0.00"</f>
        <v>0.00</v>
      </c>
      <c r="O60" t="str">
        <f>"300663"</f>
        <v>300663</v>
      </c>
      <c r="P60" t="str">
        <f>"0153613480"</f>
        <v>0153613480</v>
      </c>
    </row>
    <row r="61" spans="1:16" hidden="1" x14ac:dyDescent="0.25">
      <c r="A61" t="str">
        <f t="shared" si="0"/>
        <v>人民币</v>
      </c>
      <c r="B61" t="str">
        <f>"科蓝软件"</f>
        <v>科蓝软件</v>
      </c>
      <c r="C61" t="str">
        <f>"20180315"</f>
        <v>20180315</v>
      </c>
      <c r="D61" t="str">
        <f>"27.980"</f>
        <v>27.980</v>
      </c>
      <c r="E61" t="str">
        <f>"100.00"</f>
        <v>100.00</v>
      </c>
      <c r="F61" t="str">
        <f>"-2803.00"</f>
        <v>-2803.00</v>
      </c>
      <c r="G61" t="str">
        <f>"7452.08"</f>
        <v>7452.08</v>
      </c>
      <c r="H61" t="str">
        <f>"500.00"</f>
        <v>500.00</v>
      </c>
      <c r="I61" t="str">
        <f>"25"</f>
        <v>25</v>
      </c>
      <c r="J61" t="str">
        <f>"证券买入(科蓝软件)"</f>
        <v>证券买入(科蓝软件)</v>
      </c>
      <c r="K61" t="str">
        <f>"5.00"</f>
        <v>5.00</v>
      </c>
      <c r="L61" t="str">
        <f t="shared" si="25"/>
        <v>0.00</v>
      </c>
      <c r="M61" t="str">
        <f t="shared" si="25"/>
        <v>0.00</v>
      </c>
      <c r="N61" t="str">
        <f>"0.00"</f>
        <v>0.00</v>
      </c>
      <c r="O61" t="str">
        <f>"300663"</f>
        <v>300663</v>
      </c>
      <c r="P61" t="str">
        <f>"0153613480"</f>
        <v>0153613480</v>
      </c>
    </row>
    <row r="62" spans="1:16" hidden="1" x14ac:dyDescent="0.25">
      <c r="A62" t="str">
        <f t="shared" si="0"/>
        <v>人民币</v>
      </c>
      <c r="B62" t="str">
        <f>"科蓝软件"</f>
        <v>科蓝软件</v>
      </c>
      <c r="C62" t="str">
        <f>"20180316"</f>
        <v>20180316</v>
      </c>
      <c r="D62" t="str">
        <f>"28.300"</f>
        <v>28.300</v>
      </c>
      <c r="E62" t="str">
        <f>"100.00"</f>
        <v>100.00</v>
      </c>
      <c r="F62" t="str">
        <f>"-2835.00"</f>
        <v>-2835.00</v>
      </c>
      <c r="G62" t="str">
        <f>"4617.08"</f>
        <v>4617.08</v>
      </c>
      <c r="H62" t="str">
        <f>"600.00"</f>
        <v>600.00</v>
      </c>
      <c r="I62" t="str">
        <f>"35"</f>
        <v>35</v>
      </c>
      <c r="J62" t="str">
        <f>"证券买入(科蓝软件)"</f>
        <v>证券买入(科蓝软件)</v>
      </c>
      <c r="K62" t="str">
        <f>"5.00"</f>
        <v>5.00</v>
      </c>
      <c r="L62" t="str">
        <f t="shared" si="25"/>
        <v>0.00</v>
      </c>
      <c r="M62" t="str">
        <f t="shared" si="25"/>
        <v>0.00</v>
      </c>
      <c r="N62" t="str">
        <f>"0.00"</f>
        <v>0.00</v>
      </c>
      <c r="O62" t="str">
        <f>"300663"</f>
        <v>300663</v>
      </c>
      <c r="P62" t="str">
        <f>"0153613480"</f>
        <v>0153613480</v>
      </c>
    </row>
    <row r="63" spans="1:16" hidden="1" x14ac:dyDescent="0.25">
      <c r="A63" t="str">
        <f t="shared" si="0"/>
        <v>人民币</v>
      </c>
      <c r="B63" t="str">
        <f>" "</f>
        <v xml:space="preserve"> </v>
      </c>
      <c r="C63" t="str">
        <f>"20180320"</f>
        <v>20180320</v>
      </c>
      <c r="D63" t="str">
        <f>"---"</f>
        <v>---</v>
      </c>
      <c r="E63" t="str">
        <f>"---"</f>
        <v>---</v>
      </c>
      <c r="F63" t="str">
        <f>"3.09"</f>
        <v>3.09</v>
      </c>
      <c r="G63" t="str">
        <f>"4620.17"</f>
        <v>4620.17</v>
      </c>
      <c r="H63" t="str">
        <f>"---"</f>
        <v>---</v>
      </c>
      <c r="I63" t="str">
        <f>"---"</f>
        <v>---</v>
      </c>
      <c r="J63" t="str">
        <f>"批量利息归本"</f>
        <v>批量利息归本</v>
      </c>
      <c r="K63" t="str">
        <f t="shared" ref="K63:P63" si="26">"---"</f>
        <v>---</v>
      </c>
      <c r="L63" t="str">
        <f t="shared" si="26"/>
        <v>---</v>
      </c>
      <c r="M63" t="str">
        <f t="shared" si="26"/>
        <v>---</v>
      </c>
      <c r="N63" t="str">
        <f t="shared" si="26"/>
        <v>---</v>
      </c>
      <c r="O63" t="str">
        <f t="shared" si="26"/>
        <v>---</v>
      </c>
      <c r="P63" t="str">
        <f t="shared" si="26"/>
        <v>---</v>
      </c>
    </row>
    <row r="64" spans="1:16" hidden="1" x14ac:dyDescent="0.25">
      <c r="A64" t="str">
        <f t="shared" si="0"/>
        <v>人民币</v>
      </c>
      <c r="B64" t="str">
        <f>"科蓝软件"</f>
        <v>科蓝软件</v>
      </c>
      <c r="C64" t="str">
        <f>"20180320"</f>
        <v>20180320</v>
      </c>
      <c r="D64" t="str">
        <f>"27.510"</f>
        <v>27.510</v>
      </c>
      <c r="E64" t="str">
        <f>"100.00"</f>
        <v>100.00</v>
      </c>
      <c r="F64" t="str">
        <f>"-2756.00"</f>
        <v>-2756.00</v>
      </c>
      <c r="G64" t="str">
        <f>"1864.17"</f>
        <v>1864.17</v>
      </c>
      <c r="H64" t="str">
        <f>"700.00"</f>
        <v>700.00</v>
      </c>
      <c r="I64" t="str">
        <f>"39"</f>
        <v>39</v>
      </c>
      <c r="J64" t="str">
        <f>"证券买入(科蓝软件)"</f>
        <v>证券买入(科蓝软件)</v>
      </c>
      <c r="K64" t="str">
        <f>"5.00"</f>
        <v>5.00</v>
      </c>
      <c r="L64" t="str">
        <f>"0.00"</f>
        <v>0.00</v>
      </c>
      <c r="M64" t="str">
        <f>"0.00"</f>
        <v>0.00</v>
      </c>
      <c r="N64" t="str">
        <f>"0.00"</f>
        <v>0.00</v>
      </c>
      <c r="O64" t="str">
        <f>"300663"</f>
        <v>300663</v>
      </c>
      <c r="P64" t="str">
        <f t="shared" ref="P64:P79" si="27">"0153613480"</f>
        <v>0153613480</v>
      </c>
    </row>
    <row r="65" spans="1:16" hidden="1" x14ac:dyDescent="0.25">
      <c r="A65" t="str">
        <f t="shared" si="0"/>
        <v>人民币</v>
      </c>
      <c r="B65" t="str">
        <f>"科蓝软件"</f>
        <v>科蓝软件</v>
      </c>
      <c r="C65" t="str">
        <f>"20180321"</f>
        <v>20180321</v>
      </c>
      <c r="D65" t="str">
        <f>"30.150"</f>
        <v>30.150</v>
      </c>
      <c r="E65" t="str">
        <f>"-300.00"</f>
        <v>-300.00</v>
      </c>
      <c r="F65" t="str">
        <f>"9030.95"</f>
        <v>9030.95</v>
      </c>
      <c r="G65" t="str">
        <f>"10895.12"</f>
        <v>10895.12</v>
      </c>
      <c r="H65" t="str">
        <f>"400.00"</f>
        <v>400.00</v>
      </c>
      <c r="I65" t="str">
        <f>"44"</f>
        <v>44</v>
      </c>
      <c r="J65" t="str">
        <f>"证券卖出(科蓝软件)"</f>
        <v>证券卖出(科蓝软件)</v>
      </c>
      <c r="K65" t="str">
        <f>"5.00"</f>
        <v>5.00</v>
      </c>
      <c r="L65" t="str">
        <f>"9.05"</f>
        <v>9.05</v>
      </c>
      <c r="M65" t="str">
        <f t="shared" ref="M65:N80" si="28">"0.00"</f>
        <v>0.00</v>
      </c>
      <c r="N65" t="str">
        <f t="shared" si="28"/>
        <v>0.00</v>
      </c>
      <c r="O65" t="str">
        <f>"300663"</f>
        <v>300663</v>
      </c>
      <c r="P65" t="str">
        <f t="shared" si="27"/>
        <v>0153613480</v>
      </c>
    </row>
    <row r="66" spans="1:16" hidden="1" x14ac:dyDescent="0.25">
      <c r="A66" t="str">
        <f t="shared" ref="A66:A129" si="29">"人民币"</f>
        <v>人民币</v>
      </c>
      <c r="B66" t="str">
        <f>"天邑股份"</f>
        <v>天邑股份</v>
      </c>
      <c r="C66" t="str">
        <f>"20180321"</f>
        <v>20180321</v>
      </c>
      <c r="D66" t="str">
        <f>"0.000"</f>
        <v>0.000</v>
      </c>
      <c r="E66" t="str">
        <f>"3.00"</f>
        <v>3.00</v>
      </c>
      <c r="F66" t="str">
        <f>"0.00"</f>
        <v>0.00</v>
      </c>
      <c r="G66" t="str">
        <f>"10895.12"</f>
        <v>10895.12</v>
      </c>
      <c r="H66" t="str">
        <f>"0.00"</f>
        <v>0.00</v>
      </c>
      <c r="I66" t="str">
        <f>"48"</f>
        <v>48</v>
      </c>
      <c r="J66" t="str">
        <f>"申购配号(天邑股份)"</f>
        <v>申购配号(天邑股份)</v>
      </c>
      <c r="K66" t="str">
        <f>"0.00"</f>
        <v>0.00</v>
      </c>
      <c r="L66" t="str">
        <f>"0.00"</f>
        <v>0.00</v>
      </c>
      <c r="M66" t="str">
        <f t="shared" si="28"/>
        <v>0.00</v>
      </c>
      <c r="N66" t="str">
        <f t="shared" si="28"/>
        <v>0.00</v>
      </c>
      <c r="O66" t="str">
        <f>"300504"</f>
        <v>300504</v>
      </c>
      <c r="P66" t="str">
        <f t="shared" si="27"/>
        <v>0153613480</v>
      </c>
    </row>
    <row r="67" spans="1:16" hidden="1" x14ac:dyDescent="0.25">
      <c r="A67" t="str">
        <f t="shared" si="29"/>
        <v>人民币</v>
      </c>
      <c r="B67" t="str">
        <f>"科蓝软件"</f>
        <v>科蓝软件</v>
      </c>
      <c r="C67" t="str">
        <f>"20180322"</f>
        <v>20180322</v>
      </c>
      <c r="D67" t="str">
        <f>"30.180"</f>
        <v>30.180</v>
      </c>
      <c r="E67" t="str">
        <f>"-200.00"</f>
        <v>-200.00</v>
      </c>
      <c r="F67" t="str">
        <f>"6024.96"</f>
        <v>6024.96</v>
      </c>
      <c r="G67" t="str">
        <f>"16920.08"</f>
        <v>16920.08</v>
      </c>
      <c r="H67" t="str">
        <f>"200.00"</f>
        <v>200.00</v>
      </c>
      <c r="I67" t="str">
        <f>"60"</f>
        <v>60</v>
      </c>
      <c r="J67" t="str">
        <f>"证券卖出(科蓝软件)"</f>
        <v>证券卖出(科蓝软件)</v>
      </c>
      <c r="K67" t="str">
        <f>"5.00"</f>
        <v>5.00</v>
      </c>
      <c r="L67" t="str">
        <f>"6.04"</f>
        <v>6.04</v>
      </c>
      <c r="M67" t="str">
        <f t="shared" si="28"/>
        <v>0.00</v>
      </c>
      <c r="N67" t="str">
        <f t="shared" si="28"/>
        <v>0.00</v>
      </c>
      <c r="O67" t="str">
        <f>"300663"</f>
        <v>300663</v>
      </c>
      <c r="P67" t="str">
        <f t="shared" si="27"/>
        <v>0153613480</v>
      </c>
    </row>
    <row r="68" spans="1:16" hidden="1" x14ac:dyDescent="0.25">
      <c r="A68" t="str">
        <f t="shared" si="29"/>
        <v>人民币</v>
      </c>
      <c r="B68" t="str">
        <f>"科蓝软件"</f>
        <v>科蓝软件</v>
      </c>
      <c r="C68" t="str">
        <f>"20180322"</f>
        <v>20180322</v>
      </c>
      <c r="D68" t="str">
        <f>"29.980"</f>
        <v>29.980</v>
      </c>
      <c r="E68" t="str">
        <f>"-200.00"</f>
        <v>-200.00</v>
      </c>
      <c r="F68" t="str">
        <f>"5985.00"</f>
        <v>5985.00</v>
      </c>
      <c r="G68" t="str">
        <f>"22905.08"</f>
        <v>22905.08</v>
      </c>
      <c r="H68" t="str">
        <f>"0.00"</f>
        <v>0.00</v>
      </c>
      <c r="I68" t="str">
        <f>"63"</f>
        <v>63</v>
      </c>
      <c r="J68" t="str">
        <f>"证券卖出(科蓝软件)"</f>
        <v>证券卖出(科蓝软件)</v>
      </c>
      <c r="K68" t="str">
        <f>"5.00"</f>
        <v>5.00</v>
      </c>
      <c r="L68" t="str">
        <f>"6.00"</f>
        <v>6.00</v>
      </c>
      <c r="M68" t="str">
        <f t="shared" si="28"/>
        <v>0.00</v>
      </c>
      <c r="N68" t="str">
        <f t="shared" si="28"/>
        <v>0.00</v>
      </c>
      <c r="O68" t="str">
        <f>"300663"</f>
        <v>300663</v>
      </c>
      <c r="P68" t="str">
        <f t="shared" si="27"/>
        <v>0153613480</v>
      </c>
    </row>
    <row r="69" spans="1:16" hidden="1" x14ac:dyDescent="0.25">
      <c r="A69" t="str">
        <f t="shared" si="29"/>
        <v>人民币</v>
      </c>
      <c r="B69" t="str">
        <f>"锋龙股份"</f>
        <v>锋龙股份</v>
      </c>
      <c r="C69" t="str">
        <f>"20180322"</f>
        <v>20180322</v>
      </c>
      <c r="D69" t="str">
        <f>"0.000"</f>
        <v>0.000</v>
      </c>
      <c r="E69" t="str">
        <f>"3.00"</f>
        <v>3.00</v>
      </c>
      <c r="F69" t="str">
        <f>"0.00"</f>
        <v>0.00</v>
      </c>
      <c r="G69" t="str">
        <f>"22905.08"</f>
        <v>22905.08</v>
      </c>
      <c r="H69" t="str">
        <f>"0.00"</f>
        <v>0.00</v>
      </c>
      <c r="I69" t="str">
        <f>"52"</f>
        <v>52</v>
      </c>
      <c r="J69" t="str">
        <f>"申购配号(锋龙股份)"</f>
        <v>申购配号(锋龙股份)</v>
      </c>
      <c r="K69" t="str">
        <f>"0.00"</f>
        <v>0.00</v>
      </c>
      <c r="L69" t="str">
        <f>"0.00"</f>
        <v>0.00</v>
      </c>
      <c r="M69" t="str">
        <f t="shared" si="28"/>
        <v>0.00</v>
      </c>
      <c r="N69" t="str">
        <f t="shared" si="28"/>
        <v>0.00</v>
      </c>
      <c r="O69" t="str">
        <f>"002931"</f>
        <v>002931</v>
      </c>
      <c r="P69" t="str">
        <f t="shared" si="27"/>
        <v>0153613480</v>
      </c>
    </row>
    <row r="70" spans="1:16" hidden="1" x14ac:dyDescent="0.25">
      <c r="A70" t="str">
        <f t="shared" si="29"/>
        <v>人民币</v>
      </c>
      <c r="B70" t="str">
        <f>"中电鑫龙"</f>
        <v>中电鑫龙</v>
      </c>
      <c r="C70" t="str">
        <f t="shared" ref="C70:C76" si="30">"20180323"</f>
        <v>20180323</v>
      </c>
      <c r="D70" t="str">
        <f>"8.260"</f>
        <v>8.260</v>
      </c>
      <c r="E70" t="str">
        <f>"400.00"</f>
        <v>400.00</v>
      </c>
      <c r="F70" t="str">
        <f>"-3309.00"</f>
        <v>-3309.00</v>
      </c>
      <c r="G70" t="str">
        <f>"19596.08"</f>
        <v>19596.08</v>
      </c>
      <c r="H70" t="str">
        <f>"400.00"</f>
        <v>400.00</v>
      </c>
      <c r="I70" t="str">
        <f>"69"</f>
        <v>69</v>
      </c>
      <c r="J70" t="str">
        <f>"证券买入(中电鑫龙)"</f>
        <v>证券买入(中电鑫龙)</v>
      </c>
      <c r="K70" t="str">
        <f t="shared" ref="K70:K89" si="31">"5.00"</f>
        <v>5.00</v>
      </c>
      <c r="L70" t="str">
        <f t="shared" ref="L70:L76" si="32">"0.00"</f>
        <v>0.00</v>
      </c>
      <c r="M70" t="str">
        <f t="shared" si="28"/>
        <v>0.00</v>
      </c>
      <c r="N70" t="str">
        <f t="shared" si="28"/>
        <v>0.00</v>
      </c>
      <c r="O70" t="str">
        <f>"002298"</f>
        <v>002298</v>
      </c>
      <c r="P70" t="str">
        <f t="shared" si="27"/>
        <v>0153613480</v>
      </c>
    </row>
    <row r="71" spans="1:16" hidden="1" x14ac:dyDescent="0.25">
      <c r="A71" t="str">
        <f t="shared" si="29"/>
        <v>人民币</v>
      </c>
      <c r="B71" t="str">
        <f>"中电鑫龙"</f>
        <v>中电鑫龙</v>
      </c>
      <c r="C71" t="str">
        <f t="shared" si="30"/>
        <v>20180323</v>
      </c>
      <c r="D71" t="str">
        <f>"8.040"</f>
        <v>8.040</v>
      </c>
      <c r="E71" t="str">
        <f>"200.00"</f>
        <v>200.00</v>
      </c>
      <c r="F71" t="str">
        <f>"-1613.00"</f>
        <v>-1613.00</v>
      </c>
      <c r="G71" t="str">
        <f>"17983.08"</f>
        <v>17983.08</v>
      </c>
      <c r="H71" t="str">
        <f>"600.00"</f>
        <v>600.00</v>
      </c>
      <c r="I71" t="str">
        <f>"102"</f>
        <v>102</v>
      </c>
      <c r="J71" t="str">
        <f>"证券买入(中电鑫龙)"</f>
        <v>证券买入(中电鑫龙)</v>
      </c>
      <c r="K71" t="str">
        <f t="shared" si="31"/>
        <v>5.00</v>
      </c>
      <c r="L71" t="str">
        <f t="shared" si="32"/>
        <v>0.00</v>
      </c>
      <c r="M71" t="str">
        <f t="shared" si="28"/>
        <v>0.00</v>
      </c>
      <c r="N71" t="str">
        <f t="shared" si="28"/>
        <v>0.00</v>
      </c>
      <c r="O71" t="str">
        <f>"002298"</f>
        <v>002298</v>
      </c>
      <c r="P71" t="str">
        <f t="shared" si="27"/>
        <v>0153613480</v>
      </c>
    </row>
    <row r="72" spans="1:16" hidden="1" x14ac:dyDescent="0.25">
      <c r="A72" t="str">
        <f t="shared" si="29"/>
        <v>人民币</v>
      </c>
      <c r="B72" t="str">
        <f>"安达维尔"</f>
        <v>安达维尔</v>
      </c>
      <c r="C72" t="str">
        <f t="shared" si="30"/>
        <v>20180323</v>
      </c>
      <c r="D72" t="str">
        <f>"25.010"</f>
        <v>25.010</v>
      </c>
      <c r="E72" t="str">
        <f>"100.00"</f>
        <v>100.00</v>
      </c>
      <c r="F72" t="str">
        <f>"-2506.00"</f>
        <v>-2506.00</v>
      </c>
      <c r="G72" t="str">
        <f>"15477.08"</f>
        <v>15477.08</v>
      </c>
      <c r="H72" t="str">
        <f>"100.00"</f>
        <v>100.00</v>
      </c>
      <c r="I72" t="str">
        <f>"79"</f>
        <v>79</v>
      </c>
      <c r="J72" t="str">
        <f>"证券买入(安达维尔)"</f>
        <v>证券买入(安达维尔)</v>
      </c>
      <c r="K72" t="str">
        <f t="shared" si="31"/>
        <v>5.00</v>
      </c>
      <c r="L72" t="str">
        <f t="shared" si="32"/>
        <v>0.00</v>
      </c>
      <c r="M72" t="str">
        <f t="shared" si="28"/>
        <v>0.00</v>
      </c>
      <c r="N72" t="str">
        <f t="shared" si="28"/>
        <v>0.00</v>
      </c>
      <c r="O72" t="str">
        <f>"300719"</f>
        <v>300719</v>
      </c>
      <c r="P72" t="str">
        <f t="shared" si="27"/>
        <v>0153613480</v>
      </c>
    </row>
    <row r="73" spans="1:16" hidden="1" x14ac:dyDescent="0.25">
      <c r="A73" t="str">
        <f t="shared" si="29"/>
        <v>人民币</v>
      </c>
      <c r="B73" t="str">
        <f>"安达维尔"</f>
        <v>安达维尔</v>
      </c>
      <c r="C73" t="str">
        <f t="shared" si="30"/>
        <v>20180323</v>
      </c>
      <c r="D73" t="str">
        <f>"24.960"</f>
        <v>24.960</v>
      </c>
      <c r="E73" t="str">
        <f>"100.00"</f>
        <v>100.00</v>
      </c>
      <c r="F73" t="str">
        <f>"-2501.00"</f>
        <v>-2501.00</v>
      </c>
      <c r="G73" t="str">
        <f>"12976.08"</f>
        <v>12976.08</v>
      </c>
      <c r="H73" t="str">
        <f>"200.00"</f>
        <v>200.00</v>
      </c>
      <c r="I73" t="str">
        <f>"84"</f>
        <v>84</v>
      </c>
      <c r="J73" t="str">
        <f>"证券买入(安达维尔)"</f>
        <v>证券买入(安达维尔)</v>
      </c>
      <c r="K73" t="str">
        <f t="shared" si="31"/>
        <v>5.00</v>
      </c>
      <c r="L73" t="str">
        <f t="shared" si="32"/>
        <v>0.00</v>
      </c>
      <c r="M73" t="str">
        <f t="shared" si="28"/>
        <v>0.00</v>
      </c>
      <c r="N73" t="str">
        <f t="shared" si="28"/>
        <v>0.00</v>
      </c>
      <c r="O73" t="str">
        <f>"300719"</f>
        <v>300719</v>
      </c>
      <c r="P73" t="str">
        <f t="shared" si="27"/>
        <v>0153613480</v>
      </c>
    </row>
    <row r="74" spans="1:16" hidden="1" x14ac:dyDescent="0.25">
      <c r="A74" t="str">
        <f t="shared" si="29"/>
        <v>人民币</v>
      </c>
      <c r="B74" t="str">
        <f>"安达维尔"</f>
        <v>安达维尔</v>
      </c>
      <c r="C74" t="str">
        <f t="shared" si="30"/>
        <v>20180323</v>
      </c>
      <c r="D74" t="str">
        <f>"24.860"</f>
        <v>24.860</v>
      </c>
      <c r="E74" t="str">
        <f>"100.00"</f>
        <v>100.00</v>
      </c>
      <c r="F74" t="str">
        <f>"-2491.00"</f>
        <v>-2491.00</v>
      </c>
      <c r="G74" t="str">
        <f>"10485.08"</f>
        <v>10485.08</v>
      </c>
      <c r="H74" t="str">
        <f>"300.00"</f>
        <v>300.00</v>
      </c>
      <c r="I74" t="str">
        <f>"87"</f>
        <v>87</v>
      </c>
      <c r="J74" t="str">
        <f>"证券买入(安达维尔)"</f>
        <v>证券买入(安达维尔)</v>
      </c>
      <c r="K74" t="str">
        <f t="shared" si="31"/>
        <v>5.00</v>
      </c>
      <c r="L74" t="str">
        <f t="shared" si="32"/>
        <v>0.00</v>
      </c>
      <c r="M74" t="str">
        <f t="shared" si="28"/>
        <v>0.00</v>
      </c>
      <c r="N74" t="str">
        <f t="shared" si="28"/>
        <v>0.00</v>
      </c>
      <c r="O74" t="str">
        <f>"300719"</f>
        <v>300719</v>
      </c>
      <c r="P74" t="str">
        <f t="shared" si="27"/>
        <v>0153613480</v>
      </c>
    </row>
    <row r="75" spans="1:16" hidden="1" x14ac:dyDescent="0.25">
      <c r="A75" t="str">
        <f t="shared" si="29"/>
        <v>人民币</v>
      </c>
      <c r="B75" t="str">
        <f>"安达维尔"</f>
        <v>安达维尔</v>
      </c>
      <c r="C75" t="str">
        <f t="shared" si="30"/>
        <v>20180323</v>
      </c>
      <c r="D75" t="str">
        <f>"24.600"</f>
        <v>24.600</v>
      </c>
      <c r="E75" t="str">
        <f>"100.00"</f>
        <v>100.00</v>
      </c>
      <c r="F75" t="str">
        <f>"-2465.00"</f>
        <v>-2465.00</v>
      </c>
      <c r="G75" t="str">
        <f>"8020.08"</f>
        <v>8020.08</v>
      </c>
      <c r="H75" t="str">
        <f>"400.00"</f>
        <v>400.00</v>
      </c>
      <c r="I75" t="str">
        <f>"95"</f>
        <v>95</v>
      </c>
      <c r="J75" t="str">
        <f>"证券买入(安达维尔)"</f>
        <v>证券买入(安达维尔)</v>
      </c>
      <c r="K75" t="str">
        <f t="shared" si="31"/>
        <v>5.00</v>
      </c>
      <c r="L75" t="str">
        <f t="shared" si="32"/>
        <v>0.00</v>
      </c>
      <c r="M75" t="str">
        <f t="shared" si="28"/>
        <v>0.00</v>
      </c>
      <c r="N75" t="str">
        <f t="shared" si="28"/>
        <v>0.00</v>
      </c>
      <c r="O75" t="str">
        <f>"300719"</f>
        <v>300719</v>
      </c>
      <c r="P75" t="str">
        <f t="shared" si="27"/>
        <v>0153613480</v>
      </c>
    </row>
    <row r="76" spans="1:16" hidden="1" x14ac:dyDescent="0.25">
      <c r="A76" t="str">
        <f t="shared" si="29"/>
        <v>人民币</v>
      </c>
      <c r="B76" t="str">
        <f>"新晨科技"</f>
        <v>新晨科技</v>
      </c>
      <c r="C76" t="str">
        <f t="shared" si="30"/>
        <v>20180323</v>
      </c>
      <c r="D76" t="str">
        <f>"35.490"</f>
        <v>35.490</v>
      </c>
      <c r="E76" t="str">
        <f>"100.00"</f>
        <v>100.00</v>
      </c>
      <c r="F76" t="str">
        <f>"-3554.00"</f>
        <v>-3554.00</v>
      </c>
      <c r="G76" t="str">
        <f>"4466.08"</f>
        <v>4466.08</v>
      </c>
      <c r="H76" t="str">
        <f>"100.00"</f>
        <v>100.00</v>
      </c>
      <c r="I76" t="str">
        <f>"99"</f>
        <v>99</v>
      </c>
      <c r="J76" t="str">
        <f>"证券买入(新晨科技)"</f>
        <v>证券买入(新晨科技)</v>
      </c>
      <c r="K76" t="str">
        <f t="shared" si="31"/>
        <v>5.00</v>
      </c>
      <c r="L76" t="str">
        <f t="shared" si="32"/>
        <v>0.00</v>
      </c>
      <c r="M76" t="str">
        <f t="shared" si="28"/>
        <v>0.00</v>
      </c>
      <c r="N76" t="str">
        <f t="shared" si="28"/>
        <v>0.00</v>
      </c>
      <c r="O76" t="str">
        <f>"300542"</f>
        <v>300542</v>
      </c>
      <c r="P76" t="str">
        <f t="shared" si="27"/>
        <v>0153613480</v>
      </c>
    </row>
    <row r="77" spans="1:16" hidden="1" x14ac:dyDescent="0.25">
      <c r="A77" t="str">
        <f t="shared" si="29"/>
        <v>人民币</v>
      </c>
      <c r="B77" t="str">
        <f>"安达维尔"</f>
        <v>安达维尔</v>
      </c>
      <c r="C77" t="str">
        <f>"20180326"</f>
        <v>20180326</v>
      </c>
      <c r="D77" t="str">
        <f>"28.000"</f>
        <v>28.000</v>
      </c>
      <c r="E77" t="str">
        <f>"-300.00"</f>
        <v>-300.00</v>
      </c>
      <c r="F77" t="str">
        <f>"8386.60"</f>
        <v>8386.60</v>
      </c>
      <c r="G77" t="str">
        <f>"12852.68"</f>
        <v>12852.68</v>
      </c>
      <c r="H77" t="str">
        <f>"100.00"</f>
        <v>100.00</v>
      </c>
      <c r="I77" t="str">
        <f>"112"</f>
        <v>112</v>
      </c>
      <c r="J77" t="str">
        <f>"证券卖出(安达维尔)"</f>
        <v>证券卖出(安达维尔)</v>
      </c>
      <c r="K77" t="str">
        <f t="shared" si="31"/>
        <v>5.00</v>
      </c>
      <c r="L77" t="str">
        <f>"8.40"</f>
        <v>8.40</v>
      </c>
      <c r="M77" t="str">
        <f t="shared" si="28"/>
        <v>0.00</v>
      </c>
      <c r="N77" t="str">
        <f t="shared" si="28"/>
        <v>0.00</v>
      </c>
      <c r="O77" t="str">
        <f>"300719"</f>
        <v>300719</v>
      </c>
      <c r="P77" t="str">
        <f t="shared" si="27"/>
        <v>0153613480</v>
      </c>
    </row>
    <row r="78" spans="1:16" hidden="1" x14ac:dyDescent="0.25">
      <c r="A78" t="str">
        <f t="shared" si="29"/>
        <v>人民币</v>
      </c>
      <c r="B78" t="str">
        <f>"安达维尔"</f>
        <v>安达维尔</v>
      </c>
      <c r="C78" t="str">
        <f>"20180326"</f>
        <v>20180326</v>
      </c>
      <c r="D78" t="str">
        <f>"28.450"</f>
        <v>28.450</v>
      </c>
      <c r="E78" t="str">
        <f>"-100.00"</f>
        <v>-100.00</v>
      </c>
      <c r="F78" t="str">
        <f>"2837.15"</f>
        <v>2837.15</v>
      </c>
      <c r="G78" t="str">
        <f>"15689.83"</f>
        <v>15689.83</v>
      </c>
      <c r="H78" t="str">
        <f>"0.00"</f>
        <v>0.00</v>
      </c>
      <c r="I78" t="str">
        <f>"115"</f>
        <v>115</v>
      </c>
      <c r="J78" t="str">
        <f>"证券卖出(安达维尔)"</f>
        <v>证券卖出(安达维尔)</v>
      </c>
      <c r="K78" t="str">
        <f t="shared" si="31"/>
        <v>5.00</v>
      </c>
      <c r="L78" t="str">
        <f>"2.85"</f>
        <v>2.85</v>
      </c>
      <c r="M78" t="str">
        <f t="shared" si="28"/>
        <v>0.00</v>
      </c>
      <c r="N78" t="str">
        <f t="shared" si="28"/>
        <v>0.00</v>
      </c>
      <c r="O78" t="str">
        <f>"300719"</f>
        <v>300719</v>
      </c>
      <c r="P78" t="str">
        <f t="shared" si="27"/>
        <v>0153613480</v>
      </c>
    </row>
    <row r="79" spans="1:16" hidden="1" x14ac:dyDescent="0.25">
      <c r="A79" t="str">
        <f t="shared" si="29"/>
        <v>人民币</v>
      </c>
      <c r="B79" t="str">
        <f>"新晨科技"</f>
        <v>新晨科技</v>
      </c>
      <c r="C79" t="str">
        <f>"20180326"</f>
        <v>20180326</v>
      </c>
      <c r="D79" t="str">
        <f>"36.580"</f>
        <v>36.580</v>
      </c>
      <c r="E79" t="str">
        <f>"-100.00"</f>
        <v>-100.00</v>
      </c>
      <c r="F79" t="str">
        <f>"3649.34"</f>
        <v>3649.34</v>
      </c>
      <c r="G79" t="str">
        <f>"19339.17"</f>
        <v>19339.17</v>
      </c>
      <c r="H79" t="str">
        <f>"0.00"</f>
        <v>0.00</v>
      </c>
      <c r="I79" t="str">
        <f>"118"</f>
        <v>118</v>
      </c>
      <c r="J79" t="str">
        <f>"证券卖出(新晨科技)"</f>
        <v>证券卖出(新晨科技)</v>
      </c>
      <c r="K79" t="str">
        <f t="shared" si="31"/>
        <v>5.00</v>
      </c>
      <c r="L79" t="str">
        <f>"3.66"</f>
        <v>3.66</v>
      </c>
      <c r="M79" t="str">
        <f t="shared" si="28"/>
        <v>0.00</v>
      </c>
      <c r="N79" t="str">
        <f t="shared" si="28"/>
        <v>0.00</v>
      </c>
      <c r="O79" t="str">
        <f>"300542"</f>
        <v>300542</v>
      </c>
      <c r="P79" t="str">
        <f t="shared" si="27"/>
        <v>0153613480</v>
      </c>
    </row>
    <row r="80" spans="1:16" hidden="1" x14ac:dyDescent="0.25">
      <c r="A80" t="str">
        <f t="shared" si="29"/>
        <v>人民币</v>
      </c>
      <c r="B80" t="str">
        <f>"华夏幸福"</f>
        <v>华夏幸福</v>
      </c>
      <c r="C80" t="str">
        <f>"20180327"</f>
        <v>20180327</v>
      </c>
      <c r="D80" t="str">
        <f>"31.900"</f>
        <v>31.900</v>
      </c>
      <c r="E80" t="str">
        <f>"200.00"</f>
        <v>200.00</v>
      </c>
      <c r="F80" t="str">
        <f>"-6385.13"</f>
        <v>-6385.13</v>
      </c>
      <c r="G80" t="str">
        <f>"12954.04"</f>
        <v>12954.04</v>
      </c>
      <c r="H80" t="str">
        <f>"200.00"</f>
        <v>200.00</v>
      </c>
      <c r="I80" t="str">
        <f>"130"</f>
        <v>130</v>
      </c>
      <c r="J80" t="str">
        <f>"证券买入(华夏幸福)"</f>
        <v>证券买入(华夏幸福)</v>
      </c>
      <c r="K80" t="str">
        <f t="shared" si="31"/>
        <v>5.00</v>
      </c>
      <c r="L80" t="str">
        <f>"0.00"</f>
        <v>0.00</v>
      </c>
      <c r="M80" t="str">
        <f>"0.13"</f>
        <v>0.13</v>
      </c>
      <c r="N80" t="str">
        <f t="shared" si="28"/>
        <v>0.00</v>
      </c>
      <c r="O80" t="str">
        <f>"600340"</f>
        <v>600340</v>
      </c>
      <c r="P80" t="str">
        <f>"A400948245"</f>
        <v>A400948245</v>
      </c>
    </row>
    <row r="81" spans="1:16" hidden="1" x14ac:dyDescent="0.25">
      <c r="A81" t="str">
        <f t="shared" si="29"/>
        <v>人民币</v>
      </c>
      <c r="B81" t="str">
        <f>"华夏幸福"</f>
        <v>华夏幸福</v>
      </c>
      <c r="C81" t="str">
        <f>"20180327"</f>
        <v>20180327</v>
      </c>
      <c r="D81" t="str">
        <f>"31.910"</f>
        <v>31.910</v>
      </c>
      <c r="E81" t="str">
        <f>"100.00"</f>
        <v>100.00</v>
      </c>
      <c r="F81" t="str">
        <f>"-3196.06"</f>
        <v>-3196.06</v>
      </c>
      <c r="G81" t="str">
        <f>"9757.98"</f>
        <v>9757.98</v>
      </c>
      <c r="H81" t="str">
        <f>"300.00"</f>
        <v>300.00</v>
      </c>
      <c r="I81" t="str">
        <f>"135"</f>
        <v>135</v>
      </c>
      <c r="J81" t="str">
        <f>"证券买入(华夏幸福)"</f>
        <v>证券买入(华夏幸福)</v>
      </c>
      <c r="K81" t="str">
        <f t="shared" si="31"/>
        <v>5.00</v>
      </c>
      <c r="L81" t="str">
        <f>"0.00"</f>
        <v>0.00</v>
      </c>
      <c r="M81" t="str">
        <f>"0.06"</f>
        <v>0.06</v>
      </c>
      <c r="N81" t="str">
        <f t="shared" ref="N81:N89" si="33">"0.00"</f>
        <v>0.00</v>
      </c>
      <c r="O81" t="str">
        <f>"600340"</f>
        <v>600340</v>
      </c>
      <c r="P81" t="str">
        <f>"A400948245"</f>
        <v>A400948245</v>
      </c>
    </row>
    <row r="82" spans="1:16" hidden="1" x14ac:dyDescent="0.25">
      <c r="A82" t="str">
        <f t="shared" si="29"/>
        <v>人民币</v>
      </c>
      <c r="B82" t="str">
        <f>"华夏幸福"</f>
        <v>华夏幸福</v>
      </c>
      <c r="C82" t="str">
        <f>"20180327"</f>
        <v>20180327</v>
      </c>
      <c r="D82" t="str">
        <f>"31.710"</f>
        <v>31.710</v>
      </c>
      <c r="E82" t="str">
        <f>"100.00"</f>
        <v>100.00</v>
      </c>
      <c r="F82" t="str">
        <f>"-3176.06"</f>
        <v>-3176.06</v>
      </c>
      <c r="G82" t="str">
        <f>"6581.92"</f>
        <v>6581.92</v>
      </c>
      <c r="H82" t="str">
        <f>"400.00"</f>
        <v>400.00</v>
      </c>
      <c r="I82" t="str">
        <f>"140"</f>
        <v>140</v>
      </c>
      <c r="J82" t="str">
        <f>"证券买入(华夏幸福)"</f>
        <v>证券买入(华夏幸福)</v>
      </c>
      <c r="K82" t="str">
        <f t="shared" si="31"/>
        <v>5.00</v>
      </c>
      <c r="L82" t="str">
        <f>"0.00"</f>
        <v>0.00</v>
      </c>
      <c r="M82" t="str">
        <f>"0.06"</f>
        <v>0.06</v>
      </c>
      <c r="N82" t="str">
        <f t="shared" si="33"/>
        <v>0.00</v>
      </c>
      <c r="O82" t="str">
        <f>"600340"</f>
        <v>600340</v>
      </c>
      <c r="P82" t="str">
        <f>"A400948245"</f>
        <v>A400948245</v>
      </c>
    </row>
    <row r="83" spans="1:16" hidden="1" x14ac:dyDescent="0.25">
      <c r="A83" t="str">
        <f t="shared" si="29"/>
        <v>人民币</v>
      </c>
      <c r="B83" t="str">
        <f>"中电鑫龙"</f>
        <v>中电鑫龙</v>
      </c>
      <c r="C83" t="str">
        <f>"20180327"</f>
        <v>20180327</v>
      </c>
      <c r="D83" t="str">
        <f>"8.310"</f>
        <v>8.310</v>
      </c>
      <c r="E83" t="str">
        <f>"-600.00"</f>
        <v>-600.00</v>
      </c>
      <c r="F83" t="str">
        <f>"4976.02"</f>
        <v>4976.02</v>
      </c>
      <c r="G83" t="str">
        <f>"11557.94"</f>
        <v>11557.94</v>
      </c>
      <c r="H83" t="str">
        <f>"0.00"</f>
        <v>0.00</v>
      </c>
      <c r="I83" t="str">
        <f>"124"</f>
        <v>124</v>
      </c>
      <c r="J83" t="str">
        <f>"证券卖出(中电鑫龙)"</f>
        <v>证券卖出(中电鑫龙)</v>
      </c>
      <c r="K83" t="str">
        <f t="shared" si="31"/>
        <v>5.00</v>
      </c>
      <c r="L83" t="str">
        <f>"4.98"</f>
        <v>4.98</v>
      </c>
      <c r="M83" t="str">
        <f>"0.00"</f>
        <v>0.00</v>
      </c>
      <c r="N83" t="str">
        <f t="shared" si="33"/>
        <v>0.00</v>
      </c>
      <c r="O83" t="str">
        <f>"002298"</f>
        <v>002298</v>
      </c>
      <c r="P83" t="str">
        <f>"0153613480"</f>
        <v>0153613480</v>
      </c>
    </row>
    <row r="84" spans="1:16" hidden="1" x14ac:dyDescent="0.25">
      <c r="A84" t="str">
        <f t="shared" si="29"/>
        <v>人民币</v>
      </c>
      <c r="B84" t="str">
        <f>"华夏幸福"</f>
        <v>华夏幸福</v>
      </c>
      <c r="C84" t="str">
        <f t="shared" ref="C84:C89" si="34">"20180328"</f>
        <v>20180328</v>
      </c>
      <c r="D84" t="str">
        <f>"31.970"</f>
        <v>31.970</v>
      </c>
      <c r="E84" t="str">
        <f>"-200.00"</f>
        <v>-200.00</v>
      </c>
      <c r="F84" t="str">
        <f>"6382.48"</f>
        <v>6382.48</v>
      </c>
      <c r="G84" t="str">
        <f>"17940.42"</f>
        <v>17940.42</v>
      </c>
      <c r="H84" t="str">
        <f>"200.00"</f>
        <v>200.00</v>
      </c>
      <c r="I84" t="str">
        <f>"151"</f>
        <v>151</v>
      </c>
      <c r="J84" t="str">
        <f>"证券卖出(华夏幸福)"</f>
        <v>证券卖出(华夏幸福)</v>
      </c>
      <c r="K84" t="str">
        <f t="shared" si="31"/>
        <v>5.00</v>
      </c>
      <c r="L84" t="str">
        <f>"6.39"</f>
        <v>6.39</v>
      </c>
      <c r="M84" t="str">
        <f>"0.13"</f>
        <v>0.13</v>
      </c>
      <c r="N84" t="str">
        <f t="shared" si="33"/>
        <v>0.00</v>
      </c>
      <c r="O84" t="str">
        <f>"600340"</f>
        <v>600340</v>
      </c>
      <c r="P84" t="str">
        <f>"A400948245"</f>
        <v>A400948245</v>
      </c>
    </row>
    <row r="85" spans="1:16" hidden="1" x14ac:dyDescent="0.25">
      <c r="A85" t="str">
        <f t="shared" si="29"/>
        <v>人民币</v>
      </c>
      <c r="B85" t="str">
        <f>"华夏幸福"</f>
        <v>华夏幸福</v>
      </c>
      <c r="C85" t="str">
        <f t="shared" si="34"/>
        <v>20180328</v>
      </c>
      <c r="D85" t="str">
        <f>"31.900"</f>
        <v>31.900</v>
      </c>
      <c r="E85" t="str">
        <f>"-200.00"</f>
        <v>-200.00</v>
      </c>
      <c r="F85" t="str">
        <f>"6368.49"</f>
        <v>6368.49</v>
      </c>
      <c r="G85" t="str">
        <f>"24308.91"</f>
        <v>24308.91</v>
      </c>
      <c r="H85" t="str">
        <f>"0.00"</f>
        <v>0.00</v>
      </c>
      <c r="I85" t="str">
        <f>"158"</f>
        <v>158</v>
      </c>
      <c r="J85" t="str">
        <f>"证券卖出(华夏幸福)"</f>
        <v>证券卖出(华夏幸福)</v>
      </c>
      <c r="K85" t="str">
        <f t="shared" si="31"/>
        <v>5.00</v>
      </c>
      <c r="L85" t="str">
        <f>"6.38"</f>
        <v>6.38</v>
      </c>
      <c r="M85" t="str">
        <f>"0.13"</f>
        <v>0.13</v>
      </c>
      <c r="N85" t="str">
        <f t="shared" si="33"/>
        <v>0.00</v>
      </c>
      <c r="O85" t="str">
        <f>"600340"</f>
        <v>600340</v>
      </c>
      <c r="P85" t="str">
        <f>"A400948245"</f>
        <v>A400948245</v>
      </c>
    </row>
    <row r="86" spans="1:16" hidden="1" x14ac:dyDescent="0.25">
      <c r="A86" t="str">
        <f t="shared" si="29"/>
        <v>人民币</v>
      </c>
      <c r="B86" t="str">
        <f>"华森制药"</f>
        <v>华森制药</v>
      </c>
      <c r="C86" t="str">
        <f t="shared" si="34"/>
        <v>20180328</v>
      </c>
      <c r="D86" t="str">
        <f>"38.970"</f>
        <v>38.970</v>
      </c>
      <c r="E86" t="str">
        <f>"200.00"</f>
        <v>200.00</v>
      </c>
      <c r="F86" t="str">
        <f>"-7799.00"</f>
        <v>-7799.00</v>
      </c>
      <c r="G86" t="str">
        <f>"16509.91"</f>
        <v>16509.91</v>
      </c>
      <c r="H86" t="str">
        <f>"200.00"</f>
        <v>200.00</v>
      </c>
      <c r="I86" t="str">
        <f>"147"</f>
        <v>147</v>
      </c>
      <c r="J86" t="str">
        <f>"证券买入(华森制药)"</f>
        <v>证券买入(华森制药)</v>
      </c>
      <c r="K86" t="str">
        <f t="shared" si="31"/>
        <v>5.00</v>
      </c>
      <c r="L86" t="str">
        <f t="shared" ref="L86:M89" si="35">"0.00"</f>
        <v>0.00</v>
      </c>
      <c r="M86" t="str">
        <f t="shared" si="35"/>
        <v>0.00</v>
      </c>
      <c r="N86" t="str">
        <f t="shared" si="33"/>
        <v>0.00</v>
      </c>
      <c r="O86" t="str">
        <f>"002907"</f>
        <v>002907</v>
      </c>
      <c r="P86" t="str">
        <f>"0153613480"</f>
        <v>0153613480</v>
      </c>
    </row>
    <row r="87" spans="1:16" hidden="1" x14ac:dyDescent="0.25">
      <c r="A87" t="str">
        <f t="shared" si="29"/>
        <v>人民币</v>
      </c>
      <c r="B87" t="str">
        <f>"科蓝软件"</f>
        <v>科蓝软件</v>
      </c>
      <c r="C87" t="str">
        <f t="shared" si="34"/>
        <v>20180328</v>
      </c>
      <c r="D87" t="str">
        <f>"29.380"</f>
        <v>29.380</v>
      </c>
      <c r="E87" t="str">
        <f>"200.00"</f>
        <v>200.00</v>
      </c>
      <c r="F87" t="str">
        <f>"-5881.00"</f>
        <v>-5881.00</v>
      </c>
      <c r="G87" t="str">
        <f>"10628.91"</f>
        <v>10628.91</v>
      </c>
      <c r="H87" t="str">
        <f>"200.00"</f>
        <v>200.00</v>
      </c>
      <c r="I87" t="str">
        <f>"154"</f>
        <v>154</v>
      </c>
      <c r="J87" t="str">
        <f>"证券买入(科蓝软件)"</f>
        <v>证券买入(科蓝软件)</v>
      </c>
      <c r="K87" t="str">
        <f t="shared" si="31"/>
        <v>5.00</v>
      </c>
      <c r="L87" t="str">
        <f t="shared" si="35"/>
        <v>0.00</v>
      </c>
      <c r="M87" t="str">
        <f t="shared" si="35"/>
        <v>0.00</v>
      </c>
      <c r="N87" t="str">
        <f t="shared" si="33"/>
        <v>0.00</v>
      </c>
      <c r="O87" t="str">
        <f>"300663"</f>
        <v>300663</v>
      </c>
      <c r="P87" t="str">
        <f>"0153613480"</f>
        <v>0153613480</v>
      </c>
    </row>
    <row r="88" spans="1:16" hidden="1" x14ac:dyDescent="0.25">
      <c r="A88" t="str">
        <f t="shared" si="29"/>
        <v>人民币</v>
      </c>
      <c r="B88" t="str">
        <f>"科蓝软件"</f>
        <v>科蓝软件</v>
      </c>
      <c r="C88" t="str">
        <f t="shared" si="34"/>
        <v>20180328</v>
      </c>
      <c r="D88" t="str">
        <f>"29.580"</f>
        <v>29.580</v>
      </c>
      <c r="E88" t="str">
        <f>"100.00"</f>
        <v>100.00</v>
      </c>
      <c r="F88" t="str">
        <f>"-2963.00"</f>
        <v>-2963.00</v>
      </c>
      <c r="G88" t="str">
        <f>"7665.91"</f>
        <v>7665.91</v>
      </c>
      <c r="H88" t="str">
        <f>"300.00"</f>
        <v>300.00</v>
      </c>
      <c r="I88" t="str">
        <f>"161"</f>
        <v>161</v>
      </c>
      <c r="J88" t="str">
        <f>"证券买入(科蓝软件)"</f>
        <v>证券买入(科蓝软件)</v>
      </c>
      <c r="K88" t="str">
        <f t="shared" si="31"/>
        <v>5.00</v>
      </c>
      <c r="L88" t="str">
        <f t="shared" si="35"/>
        <v>0.00</v>
      </c>
      <c r="M88" t="str">
        <f t="shared" si="35"/>
        <v>0.00</v>
      </c>
      <c r="N88" t="str">
        <f t="shared" si="33"/>
        <v>0.00</v>
      </c>
      <c r="O88" t="str">
        <f>"300663"</f>
        <v>300663</v>
      </c>
      <c r="P88" t="str">
        <f>"0153613480"</f>
        <v>0153613480</v>
      </c>
    </row>
    <row r="89" spans="1:16" hidden="1" x14ac:dyDescent="0.25">
      <c r="A89" t="str">
        <f t="shared" si="29"/>
        <v>人民币</v>
      </c>
      <c r="B89" t="str">
        <f>"华森制药"</f>
        <v>华森制药</v>
      </c>
      <c r="C89" t="str">
        <f t="shared" si="34"/>
        <v>20180328</v>
      </c>
      <c r="D89" t="str">
        <f>"38.960"</f>
        <v>38.960</v>
      </c>
      <c r="E89" t="str">
        <f>"100.00"</f>
        <v>100.00</v>
      </c>
      <c r="F89" t="str">
        <f>"-3901.00"</f>
        <v>-3901.00</v>
      </c>
      <c r="G89" t="str">
        <f>"3764.91"</f>
        <v>3764.91</v>
      </c>
      <c r="H89" t="str">
        <f>"300.00"</f>
        <v>300.00</v>
      </c>
      <c r="I89" t="str">
        <f>"164"</f>
        <v>164</v>
      </c>
      <c r="J89" t="str">
        <f>"证券买入(华森制药)"</f>
        <v>证券买入(华森制药)</v>
      </c>
      <c r="K89" t="str">
        <f t="shared" si="31"/>
        <v>5.00</v>
      </c>
      <c r="L89" t="str">
        <f t="shared" si="35"/>
        <v>0.00</v>
      </c>
      <c r="M89" t="str">
        <f t="shared" si="35"/>
        <v>0.00</v>
      </c>
      <c r="N89" t="str">
        <f t="shared" si="33"/>
        <v>0.00</v>
      </c>
      <c r="O89" t="str">
        <f>"002907"</f>
        <v>002907</v>
      </c>
      <c r="P89" t="str">
        <f>"0153613480"</f>
        <v>0153613480</v>
      </c>
    </row>
    <row r="90" spans="1:16" hidden="1" x14ac:dyDescent="0.25">
      <c r="A90" t="str">
        <f t="shared" si="29"/>
        <v>人民币</v>
      </c>
      <c r="B90" t="str">
        <f>" "</f>
        <v xml:space="preserve"> </v>
      </c>
      <c r="C90" t="str">
        <f>"20180329"</f>
        <v>20180329</v>
      </c>
      <c r="D90" t="str">
        <f>"---"</f>
        <v>---</v>
      </c>
      <c r="E90" t="str">
        <f>"---"</f>
        <v>---</v>
      </c>
      <c r="F90" t="str">
        <f>"1000.00"</f>
        <v>1000.00</v>
      </c>
      <c r="G90" t="str">
        <f>"4764.91"</f>
        <v>4764.91</v>
      </c>
      <c r="H90" t="str">
        <f>"---"</f>
        <v>---</v>
      </c>
      <c r="I90" t="str">
        <f>"---"</f>
        <v>---</v>
      </c>
      <c r="J90" t="str">
        <f>"银行转存"</f>
        <v>银行转存</v>
      </c>
      <c r="K90" t="str">
        <f t="shared" ref="K90:P90" si="36">"---"</f>
        <v>---</v>
      </c>
      <c r="L90" t="str">
        <f t="shared" si="36"/>
        <v>---</v>
      </c>
      <c r="M90" t="str">
        <f t="shared" si="36"/>
        <v>---</v>
      </c>
      <c r="N90" t="str">
        <f t="shared" si="36"/>
        <v>---</v>
      </c>
      <c r="O90" t="str">
        <f t="shared" si="36"/>
        <v>---</v>
      </c>
      <c r="P90" t="str">
        <f t="shared" si="36"/>
        <v>---</v>
      </c>
    </row>
    <row r="91" spans="1:16" hidden="1" x14ac:dyDescent="0.25">
      <c r="A91" t="str">
        <f t="shared" si="29"/>
        <v>人民币</v>
      </c>
      <c r="B91" t="str">
        <f>"华森制药"</f>
        <v>华森制药</v>
      </c>
      <c r="C91" t="str">
        <f>"20180329"</f>
        <v>20180329</v>
      </c>
      <c r="D91" t="str">
        <f>"37.630"</f>
        <v>37.630</v>
      </c>
      <c r="E91" t="str">
        <f>"100.00"</f>
        <v>100.00</v>
      </c>
      <c r="F91" t="str">
        <f>"-3768.00"</f>
        <v>-3768.00</v>
      </c>
      <c r="G91" t="str">
        <f>"996.91"</f>
        <v>996.91</v>
      </c>
      <c r="H91" t="str">
        <f>"400.00"</f>
        <v>400.00</v>
      </c>
      <c r="I91" t="str">
        <f>"174"</f>
        <v>174</v>
      </c>
      <c r="J91" t="str">
        <f>"证券买入(华森制药)"</f>
        <v>证券买入(华森制药)</v>
      </c>
      <c r="K91" t="str">
        <f>"5.00"</f>
        <v>5.00</v>
      </c>
      <c r="L91" t="str">
        <f>"0.00"</f>
        <v>0.00</v>
      </c>
      <c r="M91" t="str">
        <f>"0.00"</f>
        <v>0.00</v>
      </c>
      <c r="N91" t="str">
        <f>"0.00"</f>
        <v>0.00</v>
      </c>
      <c r="O91" t="str">
        <f>"002907"</f>
        <v>002907</v>
      </c>
      <c r="P91" t="str">
        <f>"0153613480"</f>
        <v>0153613480</v>
      </c>
    </row>
    <row r="92" spans="1:16" hidden="1" x14ac:dyDescent="0.25">
      <c r="A92" t="str">
        <f t="shared" si="29"/>
        <v>人民币</v>
      </c>
      <c r="B92" t="str">
        <f>"科蓝软件"</f>
        <v>科蓝软件</v>
      </c>
      <c r="C92" t="str">
        <f>"20180330"</f>
        <v>20180330</v>
      </c>
      <c r="D92" t="str">
        <f>"30.880"</f>
        <v>30.880</v>
      </c>
      <c r="E92" t="str">
        <f>"-200.00"</f>
        <v>-200.00</v>
      </c>
      <c r="F92" t="str">
        <f>"6164.82"</f>
        <v>6164.82</v>
      </c>
      <c r="G92" t="str">
        <f>"7161.73"</f>
        <v>7161.73</v>
      </c>
      <c r="H92" t="str">
        <f>"100.00"</f>
        <v>100.00</v>
      </c>
      <c r="I92" t="str">
        <f>"178"</f>
        <v>178</v>
      </c>
      <c r="J92" t="str">
        <f>"证券卖出(科蓝软件)"</f>
        <v>证券卖出(科蓝软件)</v>
      </c>
      <c r="K92" t="str">
        <f>"5.00"</f>
        <v>5.00</v>
      </c>
      <c r="L92" t="str">
        <f>"6.18"</f>
        <v>6.18</v>
      </c>
      <c r="M92" t="str">
        <f>"0.00"</f>
        <v>0.00</v>
      </c>
      <c r="N92" t="str">
        <f>"0.00"</f>
        <v>0.00</v>
      </c>
      <c r="O92" t="str">
        <f>"300663"</f>
        <v>300663</v>
      </c>
      <c r="P92" t="str">
        <f>"0153613480"</f>
        <v>0153613480</v>
      </c>
    </row>
    <row r="93" spans="1:16" hidden="1" x14ac:dyDescent="0.25">
      <c r="A93" t="str">
        <f t="shared" si="29"/>
        <v>人民币</v>
      </c>
      <c r="B93" t="str">
        <f>"科蓝软件"</f>
        <v>科蓝软件</v>
      </c>
      <c r="C93" t="str">
        <f>"20180330"</f>
        <v>20180330</v>
      </c>
      <c r="D93" t="str">
        <f>"30.950"</f>
        <v>30.950</v>
      </c>
      <c r="E93" t="str">
        <f>"-100.00"</f>
        <v>-100.00</v>
      </c>
      <c r="F93" t="str">
        <f>"3086.90"</f>
        <v>3086.90</v>
      </c>
      <c r="G93" t="str">
        <f>"10248.63"</f>
        <v>10248.63</v>
      </c>
      <c r="H93" t="str">
        <f>"0.00"</f>
        <v>0.00</v>
      </c>
      <c r="I93" t="str">
        <f>"181"</f>
        <v>181</v>
      </c>
      <c r="J93" t="str">
        <f>"证券卖出(科蓝软件)"</f>
        <v>证券卖出(科蓝软件)</v>
      </c>
      <c r="K93" t="str">
        <f>"5.00"</f>
        <v>5.00</v>
      </c>
      <c r="L93" t="str">
        <f>"3.10"</f>
        <v>3.10</v>
      </c>
      <c r="M93" t="str">
        <f>"0.00"</f>
        <v>0.00</v>
      </c>
      <c r="N93" t="str">
        <f>"0.00"</f>
        <v>0.00</v>
      </c>
      <c r="O93" t="str">
        <f>"300663"</f>
        <v>300663</v>
      </c>
      <c r="P93" t="str">
        <f>"0153613480"</f>
        <v>0153613480</v>
      </c>
    </row>
    <row r="94" spans="1:16" hidden="1" x14ac:dyDescent="0.25">
      <c r="A94" t="str">
        <f t="shared" si="29"/>
        <v>人民币</v>
      </c>
      <c r="B94" t="str">
        <f>" "</f>
        <v xml:space="preserve"> </v>
      </c>
      <c r="C94" t="str">
        <f>"20180402"</f>
        <v>20180402</v>
      </c>
      <c r="D94" t="str">
        <f>"---"</f>
        <v>---</v>
      </c>
      <c r="E94" t="str">
        <f>"---"</f>
        <v>---</v>
      </c>
      <c r="F94" t="str">
        <f>"20000.00"</f>
        <v>20000.00</v>
      </c>
      <c r="G94" t="str">
        <f>"30248.63"</f>
        <v>30248.63</v>
      </c>
      <c r="H94" t="str">
        <f>"---"</f>
        <v>---</v>
      </c>
      <c r="I94" t="str">
        <f>"---"</f>
        <v>---</v>
      </c>
      <c r="J94" t="str">
        <f>"银行转存"</f>
        <v>银行转存</v>
      </c>
      <c r="K94" t="str">
        <f t="shared" ref="K94:P94" si="37">"---"</f>
        <v>---</v>
      </c>
      <c r="L94" t="str">
        <f t="shared" si="37"/>
        <v>---</v>
      </c>
      <c r="M94" t="str">
        <f t="shared" si="37"/>
        <v>---</v>
      </c>
      <c r="N94" t="str">
        <f t="shared" si="37"/>
        <v>---</v>
      </c>
      <c r="O94" t="str">
        <f t="shared" si="37"/>
        <v>---</v>
      </c>
      <c r="P94" t="str">
        <f t="shared" si="37"/>
        <v>---</v>
      </c>
    </row>
    <row r="95" spans="1:16" hidden="1" x14ac:dyDescent="0.25">
      <c r="A95" t="str">
        <f t="shared" si="29"/>
        <v>人民币</v>
      </c>
      <c r="B95" t="str">
        <f>"安达维尔"</f>
        <v>安达维尔</v>
      </c>
      <c r="C95" t="str">
        <f>"20180402"</f>
        <v>20180402</v>
      </c>
      <c r="D95" t="str">
        <f>"28.750"</f>
        <v>28.750</v>
      </c>
      <c r="E95" t="str">
        <f>"200.00"</f>
        <v>200.00</v>
      </c>
      <c r="F95" t="str">
        <f>"-5755.00"</f>
        <v>-5755.00</v>
      </c>
      <c r="G95" t="str">
        <f>"24493.63"</f>
        <v>24493.63</v>
      </c>
      <c r="H95" t="str">
        <f>"200.00"</f>
        <v>200.00</v>
      </c>
      <c r="I95" t="str">
        <f>"187"</f>
        <v>187</v>
      </c>
      <c r="J95" t="str">
        <f>"证券买入(安达维尔)"</f>
        <v>证券买入(安达维尔)</v>
      </c>
      <c r="K95" t="str">
        <f t="shared" ref="K95:K111" si="38">"5.00"</f>
        <v>5.00</v>
      </c>
      <c r="L95" t="str">
        <f t="shared" ref="L95:N110" si="39">"0.00"</f>
        <v>0.00</v>
      </c>
      <c r="M95" t="str">
        <f t="shared" si="39"/>
        <v>0.00</v>
      </c>
      <c r="N95" t="str">
        <f t="shared" si="39"/>
        <v>0.00</v>
      </c>
      <c r="O95" t="str">
        <f>"300719"</f>
        <v>300719</v>
      </c>
      <c r="P95" t="str">
        <f>"0153613480"</f>
        <v>0153613480</v>
      </c>
    </row>
    <row r="96" spans="1:16" hidden="1" x14ac:dyDescent="0.25">
      <c r="A96" t="str">
        <f t="shared" si="29"/>
        <v>人民币</v>
      </c>
      <c r="B96" t="str">
        <f>"华森制药"</f>
        <v>华森制药</v>
      </c>
      <c r="C96" t="str">
        <f>"20180402"</f>
        <v>20180402</v>
      </c>
      <c r="D96" t="str">
        <f>"37.950"</f>
        <v>37.950</v>
      </c>
      <c r="E96" t="str">
        <f>"100.00"</f>
        <v>100.00</v>
      </c>
      <c r="F96" t="str">
        <f>"-3800.00"</f>
        <v>-3800.00</v>
      </c>
      <c r="G96" t="str">
        <f>"20693.63"</f>
        <v>20693.63</v>
      </c>
      <c r="H96" t="str">
        <f>"500.00"</f>
        <v>500.00</v>
      </c>
      <c r="I96" t="str">
        <f>"196"</f>
        <v>196</v>
      </c>
      <c r="J96" t="str">
        <f>"证券买入(华森制药)"</f>
        <v>证券买入(华森制药)</v>
      </c>
      <c r="K96" t="str">
        <f t="shared" si="38"/>
        <v>5.00</v>
      </c>
      <c r="L96" t="str">
        <f t="shared" si="39"/>
        <v>0.00</v>
      </c>
      <c r="M96" t="str">
        <f t="shared" si="39"/>
        <v>0.00</v>
      </c>
      <c r="N96" t="str">
        <f t="shared" si="39"/>
        <v>0.00</v>
      </c>
      <c r="O96" t="str">
        <f>"002907"</f>
        <v>002907</v>
      </c>
      <c r="P96" t="str">
        <f>"0153613480"</f>
        <v>0153613480</v>
      </c>
    </row>
    <row r="97" spans="1:16" hidden="1" x14ac:dyDescent="0.25">
      <c r="A97" t="str">
        <f t="shared" si="29"/>
        <v>人民币</v>
      </c>
      <c r="B97" t="str">
        <f>"安达维尔"</f>
        <v>安达维尔</v>
      </c>
      <c r="C97" t="str">
        <f>"20180402"</f>
        <v>20180402</v>
      </c>
      <c r="D97" t="str">
        <f>"28.870"</f>
        <v>28.870</v>
      </c>
      <c r="E97" t="str">
        <f>"100.00"</f>
        <v>100.00</v>
      </c>
      <c r="F97" t="str">
        <f>"-2892.00"</f>
        <v>-2892.00</v>
      </c>
      <c r="G97" t="str">
        <f>"17801.63"</f>
        <v>17801.63</v>
      </c>
      <c r="H97" t="str">
        <f>"300.00"</f>
        <v>300.00</v>
      </c>
      <c r="I97" t="str">
        <f>"199"</f>
        <v>199</v>
      </c>
      <c r="J97" t="str">
        <f>"证券买入(安达维尔)"</f>
        <v>证券买入(安达维尔)</v>
      </c>
      <c r="K97" t="str">
        <f t="shared" si="38"/>
        <v>5.00</v>
      </c>
      <c r="L97" t="str">
        <f t="shared" si="39"/>
        <v>0.00</v>
      </c>
      <c r="M97" t="str">
        <f t="shared" si="39"/>
        <v>0.00</v>
      </c>
      <c r="N97" t="str">
        <f t="shared" si="39"/>
        <v>0.00</v>
      </c>
      <c r="O97" t="str">
        <f>"300719"</f>
        <v>300719</v>
      </c>
      <c r="P97" t="str">
        <f>"0153613480"</f>
        <v>0153613480</v>
      </c>
    </row>
    <row r="98" spans="1:16" hidden="1" x14ac:dyDescent="0.25">
      <c r="A98" t="str">
        <f t="shared" si="29"/>
        <v>人民币</v>
      </c>
      <c r="B98" t="str">
        <f>"中通国脉"</f>
        <v>中通国脉</v>
      </c>
      <c r="C98" t="str">
        <f t="shared" ref="C98:C105" si="40">"20180403"</f>
        <v>20180403</v>
      </c>
      <c r="D98" t="str">
        <f>"35.900"</f>
        <v>35.900</v>
      </c>
      <c r="E98" t="str">
        <f>"100.00"</f>
        <v>100.00</v>
      </c>
      <c r="F98" t="str">
        <f>"-3595.07"</f>
        <v>-3595.07</v>
      </c>
      <c r="G98" t="str">
        <f>"14206.56"</f>
        <v>14206.56</v>
      </c>
      <c r="H98" t="str">
        <f>"100.00"</f>
        <v>100.00</v>
      </c>
      <c r="I98" t="str">
        <f>"236"</f>
        <v>236</v>
      </c>
      <c r="J98" t="str">
        <f>"证券买入(中通国脉)"</f>
        <v>证券买入(中通国脉)</v>
      </c>
      <c r="K98" t="str">
        <f t="shared" si="38"/>
        <v>5.00</v>
      </c>
      <c r="L98" t="str">
        <f>"0.00"</f>
        <v>0.00</v>
      </c>
      <c r="M98" t="str">
        <f>"0.07"</f>
        <v>0.07</v>
      </c>
      <c r="N98" t="str">
        <f t="shared" si="39"/>
        <v>0.00</v>
      </c>
      <c r="O98" t="str">
        <f>"603559"</f>
        <v>603559</v>
      </c>
      <c r="P98" t="str">
        <f>"A400948245"</f>
        <v>A400948245</v>
      </c>
    </row>
    <row r="99" spans="1:16" hidden="1" x14ac:dyDescent="0.25">
      <c r="A99" t="str">
        <f t="shared" si="29"/>
        <v>人民币</v>
      </c>
      <c r="B99" t="str">
        <f>"中通国脉"</f>
        <v>中通国脉</v>
      </c>
      <c r="C99" t="str">
        <f t="shared" si="40"/>
        <v>20180403</v>
      </c>
      <c r="D99" t="str">
        <f>"35.810"</f>
        <v>35.810</v>
      </c>
      <c r="E99" t="str">
        <f>"100.00"</f>
        <v>100.00</v>
      </c>
      <c r="F99" t="str">
        <f>"-3586.07"</f>
        <v>-3586.07</v>
      </c>
      <c r="G99" t="str">
        <f>"10620.49"</f>
        <v>10620.49</v>
      </c>
      <c r="H99" t="str">
        <f>"200.00"</f>
        <v>200.00</v>
      </c>
      <c r="I99" t="str">
        <f>"239"</f>
        <v>239</v>
      </c>
      <c r="J99" t="str">
        <f>"证券买入(中通国脉)"</f>
        <v>证券买入(中通国脉)</v>
      </c>
      <c r="K99" t="str">
        <f t="shared" si="38"/>
        <v>5.00</v>
      </c>
      <c r="L99" t="str">
        <f>"0.00"</f>
        <v>0.00</v>
      </c>
      <c r="M99" t="str">
        <f>"0.07"</f>
        <v>0.07</v>
      </c>
      <c r="N99" t="str">
        <f t="shared" si="39"/>
        <v>0.00</v>
      </c>
      <c r="O99" t="str">
        <f>"603559"</f>
        <v>603559</v>
      </c>
      <c r="P99" t="str">
        <f>"A400948245"</f>
        <v>A400948245</v>
      </c>
    </row>
    <row r="100" spans="1:16" hidden="1" x14ac:dyDescent="0.25">
      <c r="A100" t="str">
        <f t="shared" si="29"/>
        <v>人民币</v>
      </c>
      <c r="B100" t="str">
        <f>"安达维尔"</f>
        <v>安达维尔</v>
      </c>
      <c r="C100" t="str">
        <f t="shared" si="40"/>
        <v>20180403</v>
      </c>
      <c r="D100" t="str">
        <f>"28.060"</f>
        <v>28.060</v>
      </c>
      <c r="E100" t="str">
        <f>"100.00"</f>
        <v>100.00</v>
      </c>
      <c r="F100" t="str">
        <f>"-2811.00"</f>
        <v>-2811.00</v>
      </c>
      <c r="G100" t="str">
        <f>"7809.49"</f>
        <v>7809.49</v>
      </c>
      <c r="H100" t="str">
        <f>"400.00"</f>
        <v>400.00</v>
      </c>
      <c r="I100" t="str">
        <f>"209"</f>
        <v>209</v>
      </c>
      <c r="J100" t="str">
        <f>"证券买入(安达维尔)"</f>
        <v>证券买入(安达维尔)</v>
      </c>
      <c r="K100" t="str">
        <f t="shared" si="38"/>
        <v>5.00</v>
      </c>
      <c r="L100" t="str">
        <f>"0.00"</f>
        <v>0.00</v>
      </c>
      <c r="M100" t="str">
        <f t="shared" ref="M100:M105" si="41">"0.00"</f>
        <v>0.00</v>
      </c>
      <c r="N100" t="str">
        <f t="shared" si="39"/>
        <v>0.00</v>
      </c>
      <c r="O100" t="str">
        <f>"300719"</f>
        <v>300719</v>
      </c>
      <c r="P100" t="str">
        <f t="shared" ref="P100:P105" si="42">"0153613480"</f>
        <v>0153613480</v>
      </c>
    </row>
    <row r="101" spans="1:16" hidden="1" x14ac:dyDescent="0.25">
      <c r="A101" t="str">
        <f t="shared" si="29"/>
        <v>人民币</v>
      </c>
      <c r="B101" t="str">
        <f>"科蓝软件"</f>
        <v>科蓝软件</v>
      </c>
      <c r="C101" t="str">
        <f t="shared" si="40"/>
        <v>20180403</v>
      </c>
      <c r="D101" t="str">
        <f>"29.500"</f>
        <v>29.500</v>
      </c>
      <c r="E101" t="str">
        <f>"200.00"</f>
        <v>200.00</v>
      </c>
      <c r="F101" t="str">
        <f>"-5905.00"</f>
        <v>-5905.00</v>
      </c>
      <c r="G101" t="str">
        <f>"1904.49"</f>
        <v>1904.49</v>
      </c>
      <c r="H101" t="str">
        <f>"200.00"</f>
        <v>200.00</v>
      </c>
      <c r="I101" t="str">
        <f>"229"</f>
        <v>229</v>
      </c>
      <c r="J101" t="str">
        <f>"证券买入(科蓝软件)"</f>
        <v>证券买入(科蓝软件)</v>
      </c>
      <c r="K101" t="str">
        <f t="shared" si="38"/>
        <v>5.00</v>
      </c>
      <c r="L101" t="str">
        <f>"0.00"</f>
        <v>0.00</v>
      </c>
      <c r="M101" t="str">
        <f t="shared" si="41"/>
        <v>0.00</v>
      </c>
      <c r="N101" t="str">
        <f t="shared" si="39"/>
        <v>0.00</v>
      </c>
      <c r="O101" t="str">
        <f>"300663"</f>
        <v>300663</v>
      </c>
      <c r="P101" t="str">
        <f t="shared" si="42"/>
        <v>0153613480</v>
      </c>
    </row>
    <row r="102" spans="1:16" hidden="1" x14ac:dyDescent="0.25">
      <c r="A102" t="str">
        <f t="shared" si="29"/>
        <v>人民币</v>
      </c>
      <c r="B102" t="str">
        <f>"华森制药"</f>
        <v>华森制药</v>
      </c>
      <c r="C102" t="str">
        <f t="shared" si="40"/>
        <v>20180403</v>
      </c>
      <c r="D102" t="str">
        <f>"36.480"</f>
        <v>36.480</v>
      </c>
      <c r="E102" t="str">
        <f>"100.00"</f>
        <v>100.00</v>
      </c>
      <c r="F102" t="str">
        <f>"-3653.00"</f>
        <v>-3653.00</v>
      </c>
      <c r="G102" t="str">
        <f>"-1748.51"</f>
        <v>-1748.51</v>
      </c>
      <c r="H102" t="str">
        <f>"600.00"</f>
        <v>600.00</v>
      </c>
      <c r="I102" t="str">
        <f>"205"</f>
        <v>205</v>
      </c>
      <c r="J102" t="str">
        <f>"证券买入(华森制药)"</f>
        <v>证券买入(华森制药)</v>
      </c>
      <c r="K102" t="str">
        <f t="shared" si="38"/>
        <v>5.00</v>
      </c>
      <c r="L102" t="str">
        <f>"0.00"</f>
        <v>0.00</v>
      </c>
      <c r="M102" t="str">
        <f t="shared" si="41"/>
        <v>0.00</v>
      </c>
      <c r="N102" t="str">
        <f t="shared" si="39"/>
        <v>0.00</v>
      </c>
      <c r="O102" t="str">
        <f>"002907"</f>
        <v>002907</v>
      </c>
      <c r="P102" t="str">
        <f t="shared" si="42"/>
        <v>0153613480</v>
      </c>
    </row>
    <row r="103" spans="1:16" hidden="1" x14ac:dyDescent="0.25">
      <c r="A103" t="str">
        <f t="shared" si="29"/>
        <v>人民币</v>
      </c>
      <c r="B103" t="str">
        <f>"华森制药"</f>
        <v>华森制药</v>
      </c>
      <c r="C103" t="str">
        <f t="shared" si="40"/>
        <v>20180403</v>
      </c>
      <c r="D103" t="str">
        <f>"38.980"</f>
        <v>38.980</v>
      </c>
      <c r="E103" t="str">
        <f>"-300.00"</f>
        <v>-300.00</v>
      </c>
      <c r="F103" t="str">
        <f>"11677.31"</f>
        <v>11677.31</v>
      </c>
      <c r="G103" t="str">
        <f>"9928.80"</f>
        <v>9928.80</v>
      </c>
      <c r="H103" t="str">
        <f>"300.00"</f>
        <v>300.00</v>
      </c>
      <c r="I103" t="str">
        <f>"212"</f>
        <v>212</v>
      </c>
      <c r="J103" t="str">
        <f>"证券卖出(华森制药)"</f>
        <v>证券卖出(华森制药)</v>
      </c>
      <c r="K103" t="str">
        <f t="shared" si="38"/>
        <v>5.00</v>
      </c>
      <c r="L103" t="str">
        <f>"11.69"</f>
        <v>11.69</v>
      </c>
      <c r="M103" t="str">
        <f t="shared" si="41"/>
        <v>0.00</v>
      </c>
      <c r="N103" t="str">
        <f t="shared" si="39"/>
        <v>0.00</v>
      </c>
      <c r="O103" t="str">
        <f>"002907"</f>
        <v>002907</v>
      </c>
      <c r="P103" t="str">
        <f t="shared" si="42"/>
        <v>0153613480</v>
      </c>
    </row>
    <row r="104" spans="1:16" hidden="1" x14ac:dyDescent="0.25">
      <c r="A104" t="str">
        <f t="shared" si="29"/>
        <v>人民币</v>
      </c>
      <c r="B104" t="str">
        <f>"华森制药"</f>
        <v>华森制药</v>
      </c>
      <c r="C104" t="str">
        <f t="shared" si="40"/>
        <v>20180403</v>
      </c>
      <c r="D104" t="str">
        <f>"40.130"</f>
        <v>40.130</v>
      </c>
      <c r="E104" t="str">
        <f>"-100.00"</f>
        <v>-100.00</v>
      </c>
      <c r="F104" t="str">
        <f>"4003.99"</f>
        <v>4003.99</v>
      </c>
      <c r="G104" t="str">
        <f>"13932.79"</f>
        <v>13932.79</v>
      </c>
      <c r="H104" t="str">
        <f>"200.00"</f>
        <v>200.00</v>
      </c>
      <c r="I104" t="str">
        <f>"221"</f>
        <v>221</v>
      </c>
      <c r="J104" t="str">
        <f>"证券卖出(华森制药)"</f>
        <v>证券卖出(华森制药)</v>
      </c>
      <c r="K104" t="str">
        <f t="shared" si="38"/>
        <v>5.00</v>
      </c>
      <c r="L104" t="str">
        <f>"4.01"</f>
        <v>4.01</v>
      </c>
      <c r="M104" t="str">
        <f t="shared" si="41"/>
        <v>0.00</v>
      </c>
      <c r="N104" t="str">
        <f t="shared" si="39"/>
        <v>0.00</v>
      </c>
      <c r="O104" t="str">
        <f>"002907"</f>
        <v>002907</v>
      </c>
      <c r="P104" t="str">
        <f t="shared" si="42"/>
        <v>0153613480</v>
      </c>
    </row>
    <row r="105" spans="1:16" hidden="1" x14ac:dyDescent="0.25">
      <c r="A105" t="str">
        <f t="shared" si="29"/>
        <v>人民币</v>
      </c>
      <c r="B105" t="str">
        <f>"华森制药"</f>
        <v>华森制药</v>
      </c>
      <c r="C105" t="str">
        <f t="shared" si="40"/>
        <v>20180403</v>
      </c>
      <c r="D105" t="str">
        <f>"40.120"</f>
        <v>40.120</v>
      </c>
      <c r="E105" t="str">
        <f>"-100.00"</f>
        <v>-100.00</v>
      </c>
      <c r="F105" t="str">
        <f>"4002.99"</f>
        <v>4002.99</v>
      </c>
      <c r="G105" t="str">
        <f>"17935.78"</f>
        <v>17935.78</v>
      </c>
      <c r="H105" t="str">
        <f>"100.00"</f>
        <v>100.00</v>
      </c>
      <c r="I105" t="str">
        <f>"224"</f>
        <v>224</v>
      </c>
      <c r="J105" t="str">
        <f>"证券卖出(华森制药)"</f>
        <v>证券卖出(华森制药)</v>
      </c>
      <c r="K105" t="str">
        <f t="shared" si="38"/>
        <v>5.00</v>
      </c>
      <c r="L105" t="str">
        <f>"4.01"</f>
        <v>4.01</v>
      </c>
      <c r="M105" t="str">
        <f t="shared" si="41"/>
        <v>0.00</v>
      </c>
      <c r="N105" t="str">
        <f t="shared" si="39"/>
        <v>0.00</v>
      </c>
      <c r="O105" t="str">
        <f>"002907"</f>
        <v>002907</v>
      </c>
      <c r="P105" t="str">
        <f t="shared" si="42"/>
        <v>0153613480</v>
      </c>
    </row>
    <row r="106" spans="1:16" hidden="1" x14ac:dyDescent="0.25">
      <c r="A106" t="str">
        <f t="shared" si="29"/>
        <v>人民币</v>
      </c>
      <c r="B106" t="str">
        <f>"中通国脉"</f>
        <v>中通国脉</v>
      </c>
      <c r="C106" t="str">
        <f t="shared" ref="C106:C112" si="43">"20180404"</f>
        <v>20180404</v>
      </c>
      <c r="D106" t="str">
        <f>"35.550"</f>
        <v>35.550</v>
      </c>
      <c r="E106" t="str">
        <f>"200.00"</f>
        <v>200.00</v>
      </c>
      <c r="F106" t="str">
        <f>"-7115.14"</f>
        <v>-7115.14</v>
      </c>
      <c r="G106" t="str">
        <f>"10820.64"</f>
        <v>10820.64</v>
      </c>
      <c r="H106" t="str">
        <f>"400.00"</f>
        <v>400.00</v>
      </c>
      <c r="I106" t="str">
        <f>"274"</f>
        <v>274</v>
      </c>
      <c r="J106" t="str">
        <f>"证券买入(中通国脉)"</f>
        <v>证券买入(中通国脉)</v>
      </c>
      <c r="K106" t="str">
        <f t="shared" si="38"/>
        <v>5.00</v>
      </c>
      <c r="L106" t="str">
        <f>"0.00"</f>
        <v>0.00</v>
      </c>
      <c r="M106" t="str">
        <f>"0.14"</f>
        <v>0.14</v>
      </c>
      <c r="N106" t="str">
        <f t="shared" si="39"/>
        <v>0.00</v>
      </c>
      <c r="O106" t="str">
        <f>"603559"</f>
        <v>603559</v>
      </c>
      <c r="P106" t="str">
        <f>"A400948245"</f>
        <v>A400948245</v>
      </c>
    </row>
    <row r="107" spans="1:16" hidden="1" x14ac:dyDescent="0.25">
      <c r="A107" t="str">
        <f t="shared" si="29"/>
        <v>人民币</v>
      </c>
      <c r="B107" t="str">
        <f>"中通国脉"</f>
        <v>中通国脉</v>
      </c>
      <c r="C107" t="str">
        <f t="shared" si="43"/>
        <v>20180404</v>
      </c>
      <c r="D107" t="str">
        <f>"35.050"</f>
        <v>35.050</v>
      </c>
      <c r="E107" t="str">
        <f>"100.00"</f>
        <v>100.00</v>
      </c>
      <c r="F107" t="str">
        <f>"-3510.07"</f>
        <v>-3510.07</v>
      </c>
      <c r="G107" t="str">
        <f>"7310.57"</f>
        <v>7310.57</v>
      </c>
      <c r="H107" t="str">
        <f>"500.00"</f>
        <v>500.00</v>
      </c>
      <c r="I107" t="str">
        <f>"282"</f>
        <v>282</v>
      </c>
      <c r="J107" t="str">
        <f>"证券买入(中通国脉)"</f>
        <v>证券买入(中通国脉)</v>
      </c>
      <c r="K107" t="str">
        <f t="shared" si="38"/>
        <v>5.00</v>
      </c>
      <c r="L107" t="str">
        <f>"0.00"</f>
        <v>0.00</v>
      </c>
      <c r="M107" t="str">
        <f>"0.07"</f>
        <v>0.07</v>
      </c>
      <c r="N107" t="str">
        <f t="shared" si="39"/>
        <v>0.00</v>
      </c>
      <c r="O107" t="str">
        <f>"603559"</f>
        <v>603559</v>
      </c>
      <c r="P107" t="str">
        <f>"A400948245"</f>
        <v>A400948245</v>
      </c>
    </row>
    <row r="108" spans="1:16" hidden="1" x14ac:dyDescent="0.25">
      <c r="A108" t="str">
        <f t="shared" si="29"/>
        <v>人民币</v>
      </c>
      <c r="B108" t="str">
        <f>"安达维尔"</f>
        <v>安达维尔</v>
      </c>
      <c r="C108" t="str">
        <f t="shared" si="43"/>
        <v>20180404</v>
      </c>
      <c r="D108" t="str">
        <f>"30.950"</f>
        <v>30.950</v>
      </c>
      <c r="E108" t="str">
        <f>"-200.00"</f>
        <v>-200.00</v>
      </c>
      <c r="F108" t="str">
        <f>"6178.81"</f>
        <v>6178.81</v>
      </c>
      <c r="G108" t="str">
        <f>"13489.38"</f>
        <v>13489.38</v>
      </c>
      <c r="H108" t="str">
        <f>"200.00"</f>
        <v>200.00</v>
      </c>
      <c r="I108" t="str">
        <f>"268"</f>
        <v>268</v>
      </c>
      <c r="J108" t="str">
        <f>"证券卖出(安达维尔)"</f>
        <v>证券卖出(安达维尔)</v>
      </c>
      <c r="K108" t="str">
        <f t="shared" si="38"/>
        <v>5.00</v>
      </c>
      <c r="L108" t="str">
        <f>"6.19"</f>
        <v>6.19</v>
      </c>
      <c r="M108" t="str">
        <f t="shared" ref="M108:N123" si="44">"0.00"</f>
        <v>0.00</v>
      </c>
      <c r="N108" t="str">
        <f t="shared" si="39"/>
        <v>0.00</v>
      </c>
      <c r="O108" t="str">
        <f>"300719"</f>
        <v>300719</v>
      </c>
      <c r="P108" t="str">
        <f t="shared" ref="P108:P113" si="45">"0153613480"</f>
        <v>0153613480</v>
      </c>
    </row>
    <row r="109" spans="1:16" hidden="1" x14ac:dyDescent="0.25">
      <c r="A109" t="str">
        <f t="shared" si="29"/>
        <v>人民币</v>
      </c>
      <c r="B109" t="str">
        <f>"安达维尔"</f>
        <v>安达维尔</v>
      </c>
      <c r="C109" t="str">
        <f t="shared" si="43"/>
        <v>20180404</v>
      </c>
      <c r="D109" t="str">
        <f>"31.250"</f>
        <v>31.250</v>
      </c>
      <c r="E109" t="str">
        <f>"-200.00"</f>
        <v>-200.00</v>
      </c>
      <c r="F109" t="str">
        <f>"6238.75"</f>
        <v>6238.75</v>
      </c>
      <c r="G109" t="str">
        <f>"19728.13"</f>
        <v>19728.13</v>
      </c>
      <c r="H109" t="str">
        <f>"0.00"</f>
        <v>0.00</v>
      </c>
      <c r="I109" t="str">
        <f>"271"</f>
        <v>271</v>
      </c>
      <c r="J109" t="str">
        <f>"证券卖出(安达维尔)"</f>
        <v>证券卖出(安达维尔)</v>
      </c>
      <c r="K109" t="str">
        <f t="shared" si="38"/>
        <v>5.00</v>
      </c>
      <c r="L109" t="str">
        <f>"6.25"</f>
        <v>6.25</v>
      </c>
      <c r="M109" t="str">
        <f t="shared" si="44"/>
        <v>0.00</v>
      </c>
      <c r="N109" t="str">
        <f t="shared" si="39"/>
        <v>0.00</v>
      </c>
      <c r="O109" t="str">
        <f>"300719"</f>
        <v>300719</v>
      </c>
      <c r="P109" t="str">
        <f t="shared" si="45"/>
        <v>0153613480</v>
      </c>
    </row>
    <row r="110" spans="1:16" hidden="1" x14ac:dyDescent="0.25">
      <c r="A110" t="str">
        <f t="shared" si="29"/>
        <v>人民币</v>
      </c>
      <c r="B110" t="str">
        <f>"科蓝软件"</f>
        <v>科蓝软件</v>
      </c>
      <c r="C110" t="str">
        <f t="shared" si="43"/>
        <v>20180404</v>
      </c>
      <c r="D110" t="str">
        <f>"30.480"</f>
        <v>30.480</v>
      </c>
      <c r="E110" t="str">
        <f>"-200.00"</f>
        <v>-200.00</v>
      </c>
      <c r="F110" t="str">
        <f>"6084.90"</f>
        <v>6084.90</v>
      </c>
      <c r="G110" t="str">
        <f>"25813.03"</f>
        <v>25813.03</v>
      </c>
      <c r="H110" t="str">
        <f>"0.00"</f>
        <v>0.00</v>
      </c>
      <c r="I110" t="str">
        <f>"265"</f>
        <v>265</v>
      </c>
      <c r="J110" t="str">
        <f>"证券卖出(科蓝软件)"</f>
        <v>证券卖出(科蓝软件)</v>
      </c>
      <c r="K110" t="str">
        <f t="shared" si="38"/>
        <v>5.00</v>
      </c>
      <c r="L110" t="str">
        <f>"6.10"</f>
        <v>6.10</v>
      </c>
      <c r="M110" t="str">
        <f t="shared" si="44"/>
        <v>0.00</v>
      </c>
      <c r="N110" t="str">
        <f t="shared" si="39"/>
        <v>0.00</v>
      </c>
      <c r="O110" t="str">
        <f>"300663"</f>
        <v>300663</v>
      </c>
      <c r="P110" t="str">
        <f t="shared" si="45"/>
        <v>0153613480</v>
      </c>
    </row>
    <row r="111" spans="1:16" hidden="1" x14ac:dyDescent="0.25">
      <c r="A111" t="str">
        <f t="shared" si="29"/>
        <v>人民币</v>
      </c>
      <c r="B111" t="str">
        <f>"华森制药"</f>
        <v>华森制药</v>
      </c>
      <c r="C111" t="str">
        <f t="shared" si="43"/>
        <v>20180404</v>
      </c>
      <c r="D111" t="str">
        <f>"42.610"</f>
        <v>42.610</v>
      </c>
      <c r="E111" t="str">
        <f>"-100.00"</f>
        <v>-100.00</v>
      </c>
      <c r="F111" t="str">
        <f>"4251.74"</f>
        <v>4251.74</v>
      </c>
      <c r="G111" t="str">
        <f>"30064.77"</f>
        <v>30064.77</v>
      </c>
      <c r="H111" t="str">
        <f>"0.00"</f>
        <v>0.00</v>
      </c>
      <c r="I111" t="str">
        <f>"256"</f>
        <v>256</v>
      </c>
      <c r="J111" t="str">
        <f>"证券卖出(华森制药)"</f>
        <v>证券卖出(华森制药)</v>
      </c>
      <c r="K111" t="str">
        <f t="shared" si="38"/>
        <v>5.00</v>
      </c>
      <c r="L111" t="str">
        <f>"4.26"</f>
        <v>4.26</v>
      </c>
      <c r="M111" t="str">
        <f t="shared" si="44"/>
        <v>0.00</v>
      </c>
      <c r="N111" t="str">
        <f t="shared" si="44"/>
        <v>0.00</v>
      </c>
      <c r="O111" t="str">
        <f>"002907"</f>
        <v>002907</v>
      </c>
      <c r="P111" t="str">
        <f t="shared" si="45"/>
        <v>0153613480</v>
      </c>
    </row>
    <row r="112" spans="1:16" hidden="1" x14ac:dyDescent="0.25">
      <c r="A112" t="str">
        <f t="shared" si="29"/>
        <v>人民币</v>
      </c>
      <c r="B112" t="str">
        <f>"天地数码"</f>
        <v>天地数码</v>
      </c>
      <c r="C112" t="str">
        <f t="shared" si="43"/>
        <v>20180404</v>
      </c>
      <c r="D112" t="str">
        <f>"0.000"</f>
        <v>0.000</v>
      </c>
      <c r="E112" t="str">
        <f>"2.00"</f>
        <v>2.00</v>
      </c>
      <c r="F112" t="str">
        <f>"0.00"</f>
        <v>0.00</v>
      </c>
      <c r="G112" t="str">
        <f>"30064.77"</f>
        <v>30064.77</v>
      </c>
      <c r="H112" t="str">
        <f>"0.00"</f>
        <v>0.00</v>
      </c>
      <c r="I112" t="str">
        <f>"277"</f>
        <v>277</v>
      </c>
      <c r="J112" t="str">
        <f>"申购配号(天地数码)"</f>
        <v>申购配号(天地数码)</v>
      </c>
      <c r="K112" t="str">
        <f>"0.00"</f>
        <v>0.00</v>
      </c>
      <c r="L112" t="str">
        <f>"0.00"</f>
        <v>0.00</v>
      </c>
      <c r="M112" t="str">
        <f t="shared" si="44"/>
        <v>0.00</v>
      </c>
      <c r="N112" t="str">
        <f t="shared" si="44"/>
        <v>0.00</v>
      </c>
      <c r="O112" t="str">
        <f>"300743"</f>
        <v>300743</v>
      </c>
      <c r="P112" t="str">
        <f t="shared" si="45"/>
        <v>0153613480</v>
      </c>
    </row>
    <row r="113" spans="1:16" hidden="1" x14ac:dyDescent="0.25">
      <c r="A113" t="str">
        <f t="shared" si="29"/>
        <v>人民币</v>
      </c>
      <c r="B113" t="str">
        <f>"安达维尔"</f>
        <v>安达维尔</v>
      </c>
      <c r="C113" t="str">
        <f>"20180409"</f>
        <v>20180409</v>
      </c>
      <c r="D113" t="str">
        <f>"31.330"</f>
        <v>31.330</v>
      </c>
      <c r="E113" t="str">
        <f>"100.00"</f>
        <v>100.00</v>
      </c>
      <c r="F113" t="str">
        <f>"-3138.00"</f>
        <v>-3138.00</v>
      </c>
      <c r="G113" t="str">
        <f>"26926.77"</f>
        <v>26926.77</v>
      </c>
      <c r="H113" t="str">
        <f>"100.00"</f>
        <v>100.00</v>
      </c>
      <c r="I113" t="str">
        <f>"292"</f>
        <v>292</v>
      </c>
      <c r="J113" t="str">
        <f>"证券买入(安达维尔)"</f>
        <v>证券买入(安达维尔)</v>
      </c>
      <c r="K113" t="str">
        <f t="shared" ref="K113:K127" si="46">"5.00"</f>
        <v>5.00</v>
      </c>
      <c r="L113" t="str">
        <f t="shared" ref="L113:L120" si="47">"0.00"</f>
        <v>0.00</v>
      </c>
      <c r="M113" t="str">
        <f t="shared" si="44"/>
        <v>0.00</v>
      </c>
      <c r="N113" t="str">
        <f t="shared" si="44"/>
        <v>0.00</v>
      </c>
      <c r="O113" t="str">
        <f>"300719"</f>
        <v>300719</v>
      </c>
      <c r="P113" t="str">
        <f t="shared" si="45"/>
        <v>0153613480</v>
      </c>
    </row>
    <row r="114" spans="1:16" hidden="1" x14ac:dyDescent="0.25">
      <c r="A114" t="str">
        <f t="shared" si="29"/>
        <v>人民币</v>
      </c>
      <c r="B114" t="str">
        <f>"中通国脉"</f>
        <v>中通国脉</v>
      </c>
      <c r="C114" t="str">
        <f>"20180410"</f>
        <v>20180410</v>
      </c>
      <c r="D114" t="str">
        <f>"32.410"</f>
        <v>32.410</v>
      </c>
      <c r="E114" t="str">
        <f>"200.00"</f>
        <v>200.00</v>
      </c>
      <c r="F114" t="str">
        <f>"-6487.13"</f>
        <v>-6487.13</v>
      </c>
      <c r="G114" t="str">
        <f>"20439.64"</f>
        <v>20439.64</v>
      </c>
      <c r="H114" t="str">
        <f>"700.00"</f>
        <v>700.00</v>
      </c>
      <c r="I114" t="str">
        <f>"310"</f>
        <v>310</v>
      </c>
      <c r="J114" t="str">
        <f>"证券买入(中通国脉)"</f>
        <v>证券买入(中通国脉)</v>
      </c>
      <c r="K114" t="str">
        <f t="shared" si="46"/>
        <v>5.00</v>
      </c>
      <c r="L114" t="str">
        <f t="shared" si="47"/>
        <v>0.00</v>
      </c>
      <c r="M114" t="str">
        <f>"0.13"</f>
        <v>0.13</v>
      </c>
      <c r="N114" t="str">
        <f t="shared" si="44"/>
        <v>0.00</v>
      </c>
      <c r="O114" t="str">
        <f>"603559"</f>
        <v>603559</v>
      </c>
      <c r="P114" t="str">
        <f>"A400948245"</f>
        <v>A400948245</v>
      </c>
    </row>
    <row r="115" spans="1:16" hidden="1" x14ac:dyDescent="0.25">
      <c r="A115" t="str">
        <f t="shared" si="29"/>
        <v>人民币</v>
      </c>
      <c r="B115" t="str">
        <f>"安达维尔"</f>
        <v>安达维尔</v>
      </c>
      <c r="C115" t="str">
        <f>"20180410"</f>
        <v>20180410</v>
      </c>
      <c r="D115" t="str">
        <f>"29.500"</f>
        <v>29.500</v>
      </c>
      <c r="E115" t="str">
        <f t="shared" ref="E115:E120" si="48">"100.00"</f>
        <v>100.00</v>
      </c>
      <c r="F115" t="str">
        <f>"-2955.00"</f>
        <v>-2955.00</v>
      </c>
      <c r="G115" t="str">
        <f>"17484.64"</f>
        <v>17484.64</v>
      </c>
      <c r="H115" t="str">
        <f>"200.00"</f>
        <v>200.00</v>
      </c>
      <c r="I115" t="str">
        <f>"300"</f>
        <v>300</v>
      </c>
      <c r="J115" t="str">
        <f>"证券买入(安达维尔)"</f>
        <v>证券买入(安达维尔)</v>
      </c>
      <c r="K115" t="str">
        <f t="shared" si="46"/>
        <v>5.00</v>
      </c>
      <c r="L115" t="str">
        <f t="shared" si="47"/>
        <v>0.00</v>
      </c>
      <c r="M115" t="str">
        <f>"0.00"</f>
        <v>0.00</v>
      </c>
      <c r="N115" t="str">
        <f t="shared" si="44"/>
        <v>0.00</v>
      </c>
      <c r="O115" t="str">
        <f>"300719"</f>
        <v>300719</v>
      </c>
      <c r="P115" t="str">
        <f>"0153613480"</f>
        <v>0153613480</v>
      </c>
    </row>
    <row r="116" spans="1:16" hidden="1" x14ac:dyDescent="0.25">
      <c r="A116" t="str">
        <f t="shared" si="29"/>
        <v>人民币</v>
      </c>
      <c r="B116" t="str">
        <f>"安达维尔"</f>
        <v>安达维尔</v>
      </c>
      <c r="C116" t="str">
        <f>"20180410"</f>
        <v>20180410</v>
      </c>
      <c r="D116" t="str">
        <f>"29.200"</f>
        <v>29.200</v>
      </c>
      <c r="E116" t="str">
        <f t="shared" si="48"/>
        <v>100.00</v>
      </c>
      <c r="F116" t="str">
        <f>"-2925.00"</f>
        <v>-2925.00</v>
      </c>
      <c r="G116" t="str">
        <f>"14559.64"</f>
        <v>14559.64</v>
      </c>
      <c r="H116" t="str">
        <f>"300.00"</f>
        <v>300.00</v>
      </c>
      <c r="I116" t="str">
        <f>"306"</f>
        <v>306</v>
      </c>
      <c r="J116" t="str">
        <f>"证券买入(安达维尔)"</f>
        <v>证券买入(安达维尔)</v>
      </c>
      <c r="K116" t="str">
        <f t="shared" si="46"/>
        <v>5.00</v>
      </c>
      <c r="L116" t="str">
        <f t="shared" si="47"/>
        <v>0.00</v>
      </c>
      <c r="M116" t="str">
        <f>"0.00"</f>
        <v>0.00</v>
      </c>
      <c r="N116" t="str">
        <f t="shared" si="44"/>
        <v>0.00</v>
      </c>
      <c r="O116" t="str">
        <f>"300719"</f>
        <v>300719</v>
      </c>
      <c r="P116" t="str">
        <f>"0153613480"</f>
        <v>0153613480</v>
      </c>
    </row>
    <row r="117" spans="1:16" hidden="1" x14ac:dyDescent="0.25">
      <c r="A117" t="str">
        <f t="shared" si="29"/>
        <v>人民币</v>
      </c>
      <c r="B117" t="str">
        <f>"安达维尔"</f>
        <v>安达维尔</v>
      </c>
      <c r="C117" t="str">
        <f>"20180410"</f>
        <v>20180410</v>
      </c>
      <c r="D117" t="str">
        <f>"28.650"</f>
        <v>28.650</v>
      </c>
      <c r="E117" t="str">
        <f t="shared" si="48"/>
        <v>100.00</v>
      </c>
      <c r="F117" t="str">
        <f>"-2870.00"</f>
        <v>-2870.00</v>
      </c>
      <c r="G117" t="str">
        <f>"11689.64"</f>
        <v>11689.64</v>
      </c>
      <c r="H117" t="str">
        <f>"400.00"</f>
        <v>400.00</v>
      </c>
      <c r="I117" t="str">
        <f>"304"</f>
        <v>304</v>
      </c>
      <c r="J117" t="str">
        <f>"证券买入(安达维尔)"</f>
        <v>证券买入(安达维尔)</v>
      </c>
      <c r="K117" t="str">
        <f t="shared" si="46"/>
        <v>5.00</v>
      </c>
      <c r="L117" t="str">
        <f t="shared" si="47"/>
        <v>0.00</v>
      </c>
      <c r="M117" t="str">
        <f>"0.00"</f>
        <v>0.00</v>
      </c>
      <c r="N117" t="str">
        <f t="shared" si="44"/>
        <v>0.00</v>
      </c>
      <c r="O117" t="str">
        <f>"300719"</f>
        <v>300719</v>
      </c>
      <c r="P117" t="str">
        <f>"0153613480"</f>
        <v>0153613480</v>
      </c>
    </row>
    <row r="118" spans="1:16" hidden="1" x14ac:dyDescent="0.25">
      <c r="A118" t="str">
        <f t="shared" si="29"/>
        <v>人民币</v>
      </c>
      <c r="B118" t="str">
        <f>"韦尔股份"</f>
        <v>韦尔股份</v>
      </c>
      <c r="C118" t="str">
        <f>"20180412"</f>
        <v>20180412</v>
      </c>
      <c r="D118" t="str">
        <f>"40.260"</f>
        <v>40.260</v>
      </c>
      <c r="E118" t="str">
        <f t="shared" si="48"/>
        <v>100.00</v>
      </c>
      <c r="F118" t="str">
        <f>"-4031.08"</f>
        <v>-4031.08</v>
      </c>
      <c r="G118" t="str">
        <f>"7658.56"</f>
        <v>7658.56</v>
      </c>
      <c r="H118" t="str">
        <f>"100.00"</f>
        <v>100.00</v>
      </c>
      <c r="I118" t="str">
        <f>"329"</f>
        <v>329</v>
      </c>
      <c r="J118" t="str">
        <f>"证券买入(韦尔股份)"</f>
        <v>证券买入(韦尔股份)</v>
      </c>
      <c r="K118" t="str">
        <f t="shared" si="46"/>
        <v>5.00</v>
      </c>
      <c r="L118" t="str">
        <f t="shared" si="47"/>
        <v>0.00</v>
      </c>
      <c r="M118" t="str">
        <f>"0.08"</f>
        <v>0.08</v>
      </c>
      <c r="N118" t="str">
        <f t="shared" si="44"/>
        <v>0.00</v>
      </c>
      <c r="O118" t="str">
        <f>"603501"</f>
        <v>603501</v>
      </c>
      <c r="P118" t="str">
        <f>"A400948245"</f>
        <v>A400948245</v>
      </c>
    </row>
    <row r="119" spans="1:16" hidden="1" x14ac:dyDescent="0.25">
      <c r="A119" t="str">
        <f t="shared" si="29"/>
        <v>人民币</v>
      </c>
      <c r="B119" t="str">
        <f>"韦尔股份"</f>
        <v>韦尔股份</v>
      </c>
      <c r="C119" t="str">
        <f>"20180412"</f>
        <v>20180412</v>
      </c>
      <c r="D119" t="str">
        <f>"39.990"</f>
        <v>39.990</v>
      </c>
      <c r="E119" t="str">
        <f t="shared" si="48"/>
        <v>100.00</v>
      </c>
      <c r="F119" t="str">
        <f>"-4004.08"</f>
        <v>-4004.08</v>
      </c>
      <c r="G119" t="str">
        <f>"3654.48"</f>
        <v>3654.48</v>
      </c>
      <c r="H119" t="str">
        <f>"200.00"</f>
        <v>200.00</v>
      </c>
      <c r="I119" t="str">
        <f>"333"</f>
        <v>333</v>
      </c>
      <c r="J119" t="str">
        <f>"证券买入(韦尔股份)"</f>
        <v>证券买入(韦尔股份)</v>
      </c>
      <c r="K119" t="str">
        <f t="shared" si="46"/>
        <v>5.00</v>
      </c>
      <c r="L119" t="str">
        <f t="shared" si="47"/>
        <v>0.00</v>
      </c>
      <c r="M119" t="str">
        <f>"0.08"</f>
        <v>0.08</v>
      </c>
      <c r="N119" t="str">
        <f t="shared" si="44"/>
        <v>0.00</v>
      </c>
      <c r="O119" t="str">
        <f>"603501"</f>
        <v>603501</v>
      </c>
      <c r="P119" t="str">
        <f>"A400948245"</f>
        <v>A400948245</v>
      </c>
    </row>
    <row r="120" spans="1:16" hidden="1" x14ac:dyDescent="0.25">
      <c r="A120" t="str">
        <f t="shared" si="29"/>
        <v>人民币</v>
      </c>
      <c r="B120" t="str">
        <f>"韦尔股份"</f>
        <v>韦尔股份</v>
      </c>
      <c r="C120" t="str">
        <f>"20180412"</f>
        <v>20180412</v>
      </c>
      <c r="D120" t="str">
        <f>"39.700"</f>
        <v>39.700</v>
      </c>
      <c r="E120" t="str">
        <f t="shared" si="48"/>
        <v>100.00</v>
      </c>
      <c r="F120" t="str">
        <f>"-3975.08"</f>
        <v>-3975.08</v>
      </c>
      <c r="G120" t="str">
        <f>"-320.60"</f>
        <v>-320.60</v>
      </c>
      <c r="H120" t="str">
        <f>"300.00"</f>
        <v>300.00</v>
      </c>
      <c r="I120" t="str">
        <f>"337"</f>
        <v>337</v>
      </c>
      <c r="J120" t="str">
        <f>"证券买入(韦尔股份)"</f>
        <v>证券买入(韦尔股份)</v>
      </c>
      <c r="K120" t="str">
        <f t="shared" si="46"/>
        <v>5.00</v>
      </c>
      <c r="L120" t="str">
        <f t="shared" si="47"/>
        <v>0.00</v>
      </c>
      <c r="M120" t="str">
        <f>"0.08"</f>
        <v>0.08</v>
      </c>
      <c r="N120" t="str">
        <f t="shared" si="44"/>
        <v>0.00</v>
      </c>
      <c r="O120" t="str">
        <f>"603501"</f>
        <v>603501</v>
      </c>
      <c r="P120" t="str">
        <f>"A400948245"</f>
        <v>A400948245</v>
      </c>
    </row>
    <row r="121" spans="1:16" hidden="1" x14ac:dyDescent="0.25">
      <c r="A121" t="str">
        <f t="shared" si="29"/>
        <v>人民币</v>
      </c>
      <c r="B121" t="str">
        <f>"安达维尔"</f>
        <v>安达维尔</v>
      </c>
      <c r="C121" t="str">
        <f>"20180412"</f>
        <v>20180412</v>
      </c>
      <c r="D121" t="str">
        <f>"32.250"</f>
        <v>32.250</v>
      </c>
      <c r="E121" t="str">
        <f>"-200.00"</f>
        <v>-200.00</v>
      </c>
      <c r="F121" t="str">
        <f>"6438.55"</f>
        <v>6438.55</v>
      </c>
      <c r="G121" t="str">
        <f>"6117.95"</f>
        <v>6117.95</v>
      </c>
      <c r="H121" t="str">
        <f>"200.00"</f>
        <v>200.00</v>
      </c>
      <c r="I121" t="str">
        <f>"321"</f>
        <v>321</v>
      </c>
      <c r="J121" t="str">
        <f>"证券卖出(安达维尔)"</f>
        <v>证券卖出(安达维尔)</v>
      </c>
      <c r="K121" t="str">
        <f t="shared" si="46"/>
        <v>5.00</v>
      </c>
      <c r="L121" t="str">
        <f>"6.45"</f>
        <v>6.45</v>
      </c>
      <c r="M121" t="str">
        <f>"0.00"</f>
        <v>0.00</v>
      </c>
      <c r="N121" t="str">
        <f t="shared" si="44"/>
        <v>0.00</v>
      </c>
      <c r="O121" t="str">
        <f>"300719"</f>
        <v>300719</v>
      </c>
      <c r="P121" t="str">
        <f>"0153613480"</f>
        <v>0153613480</v>
      </c>
    </row>
    <row r="122" spans="1:16" hidden="1" x14ac:dyDescent="0.25">
      <c r="A122" t="str">
        <f t="shared" si="29"/>
        <v>人民币</v>
      </c>
      <c r="B122" t="str">
        <f>"安达维尔"</f>
        <v>安达维尔</v>
      </c>
      <c r="C122" t="str">
        <f>"20180412"</f>
        <v>20180412</v>
      </c>
      <c r="D122" t="str">
        <f>"32.500"</f>
        <v>32.500</v>
      </c>
      <c r="E122" t="str">
        <f>"-200.00"</f>
        <v>-200.00</v>
      </c>
      <c r="F122" t="str">
        <f>"6488.50"</f>
        <v>6488.50</v>
      </c>
      <c r="G122" t="str">
        <f>"12606.45"</f>
        <v>12606.45</v>
      </c>
      <c r="H122" t="str">
        <f>"0.00"</f>
        <v>0.00</v>
      </c>
      <c r="I122" t="str">
        <f>"327"</f>
        <v>327</v>
      </c>
      <c r="J122" t="str">
        <f>"证券卖出(安达维尔)"</f>
        <v>证券卖出(安达维尔)</v>
      </c>
      <c r="K122" t="str">
        <f t="shared" si="46"/>
        <v>5.00</v>
      </c>
      <c r="L122" t="str">
        <f>"6.50"</f>
        <v>6.50</v>
      </c>
      <c r="M122" t="str">
        <f>"0.00"</f>
        <v>0.00</v>
      </c>
      <c r="N122" t="str">
        <f t="shared" si="44"/>
        <v>0.00</v>
      </c>
      <c r="O122" t="str">
        <f>"300719"</f>
        <v>300719</v>
      </c>
      <c r="P122" t="str">
        <f>"0153613480"</f>
        <v>0153613480</v>
      </c>
    </row>
    <row r="123" spans="1:16" hidden="1" x14ac:dyDescent="0.25">
      <c r="A123" t="str">
        <f t="shared" si="29"/>
        <v>人民币</v>
      </c>
      <c r="B123" t="str">
        <f>"韦尔股份"</f>
        <v>韦尔股份</v>
      </c>
      <c r="C123" t="str">
        <f>"20180413"</f>
        <v>20180413</v>
      </c>
      <c r="D123" t="str">
        <f>"39.110"</f>
        <v>39.110</v>
      </c>
      <c r="E123" t="str">
        <f>"100.00"</f>
        <v>100.00</v>
      </c>
      <c r="F123" t="str">
        <f>"-3916.08"</f>
        <v>-3916.08</v>
      </c>
      <c r="G123" t="str">
        <f>"8690.37"</f>
        <v>8690.37</v>
      </c>
      <c r="H123" t="str">
        <f>"400.00"</f>
        <v>400.00</v>
      </c>
      <c r="I123" t="str">
        <f>"353"</f>
        <v>353</v>
      </c>
      <c r="J123" t="str">
        <f>"证券买入(韦尔股份)"</f>
        <v>证券买入(韦尔股份)</v>
      </c>
      <c r="K123" t="str">
        <f t="shared" si="46"/>
        <v>5.00</v>
      </c>
      <c r="L123" t="str">
        <f>"0.00"</f>
        <v>0.00</v>
      </c>
      <c r="M123" t="str">
        <f>"0.08"</f>
        <v>0.08</v>
      </c>
      <c r="N123" t="str">
        <f t="shared" si="44"/>
        <v>0.00</v>
      </c>
      <c r="O123" t="str">
        <f>"603501"</f>
        <v>603501</v>
      </c>
      <c r="P123" t="str">
        <f>"A400948245"</f>
        <v>A400948245</v>
      </c>
    </row>
    <row r="124" spans="1:16" hidden="1" x14ac:dyDescent="0.25">
      <c r="A124" t="str">
        <f t="shared" si="29"/>
        <v>人民币</v>
      </c>
      <c r="B124" t="str">
        <f>"科大国创"</f>
        <v>科大国创</v>
      </c>
      <c r="C124" t="str">
        <f>"20180413"</f>
        <v>20180413</v>
      </c>
      <c r="D124" t="str">
        <f>"24.420"</f>
        <v>24.420</v>
      </c>
      <c r="E124" t="str">
        <f>"100.00"</f>
        <v>100.00</v>
      </c>
      <c r="F124" t="str">
        <f>"-2447.00"</f>
        <v>-2447.00</v>
      </c>
      <c r="G124" t="str">
        <f>"6243.37"</f>
        <v>6243.37</v>
      </c>
      <c r="H124" t="str">
        <f>"100.00"</f>
        <v>100.00</v>
      </c>
      <c r="I124" t="str">
        <f>"347"</f>
        <v>347</v>
      </c>
      <c r="J124" t="str">
        <f>"证券买入(科大国创)"</f>
        <v>证券买入(科大国创)</v>
      </c>
      <c r="K124" t="str">
        <f t="shared" si="46"/>
        <v>5.00</v>
      </c>
      <c r="L124" t="str">
        <f>"0.00"</f>
        <v>0.00</v>
      </c>
      <c r="M124" t="str">
        <f>"0.00"</f>
        <v>0.00</v>
      </c>
      <c r="N124" t="str">
        <f t="shared" ref="N124:N139" si="49">"0.00"</f>
        <v>0.00</v>
      </c>
      <c r="O124" t="str">
        <f>"300520"</f>
        <v>300520</v>
      </c>
      <c r="P124" t="str">
        <f>"0153613480"</f>
        <v>0153613480</v>
      </c>
    </row>
    <row r="125" spans="1:16" hidden="1" x14ac:dyDescent="0.25">
      <c r="A125" t="str">
        <f t="shared" si="29"/>
        <v>人民币</v>
      </c>
      <c r="B125" t="str">
        <f>"科大国创"</f>
        <v>科大国创</v>
      </c>
      <c r="C125" t="str">
        <f>"20180416"</f>
        <v>20180416</v>
      </c>
      <c r="D125" t="str">
        <f>"24.640"</f>
        <v>24.640</v>
      </c>
      <c r="E125" t="str">
        <f>"-100.00"</f>
        <v>-100.00</v>
      </c>
      <c r="F125" t="str">
        <f>"2456.54"</f>
        <v>2456.54</v>
      </c>
      <c r="G125" t="str">
        <f>"8699.91"</f>
        <v>8699.91</v>
      </c>
      <c r="H125" t="str">
        <f>"0.00"</f>
        <v>0.00</v>
      </c>
      <c r="I125" t="str">
        <f>"359"</f>
        <v>359</v>
      </c>
      <c r="J125" t="str">
        <f>"证券卖出(科大国创)"</f>
        <v>证券卖出(科大国创)</v>
      </c>
      <c r="K125" t="str">
        <f t="shared" si="46"/>
        <v>5.00</v>
      </c>
      <c r="L125" t="str">
        <f>"2.46"</f>
        <v>2.46</v>
      </c>
      <c r="M125" t="str">
        <f>"0.00"</f>
        <v>0.00</v>
      </c>
      <c r="N125" t="str">
        <f t="shared" si="49"/>
        <v>0.00</v>
      </c>
      <c r="O125" t="str">
        <f>"300520"</f>
        <v>300520</v>
      </c>
      <c r="P125" t="str">
        <f>"0153613480"</f>
        <v>0153613480</v>
      </c>
    </row>
    <row r="126" spans="1:16" hidden="1" x14ac:dyDescent="0.25">
      <c r="A126" t="str">
        <f t="shared" si="29"/>
        <v>人民币</v>
      </c>
      <c r="B126" t="str">
        <f>"韦尔股份"</f>
        <v>韦尔股份</v>
      </c>
      <c r="C126" t="str">
        <f>"20180417"</f>
        <v>20180417</v>
      </c>
      <c r="D126" t="str">
        <f>"39.310"</f>
        <v>39.310</v>
      </c>
      <c r="E126" t="str">
        <f>"100.00"</f>
        <v>100.00</v>
      </c>
      <c r="F126" t="str">
        <f>"-3936.08"</f>
        <v>-3936.08</v>
      </c>
      <c r="G126" t="str">
        <f>"4763.83"</f>
        <v>4763.83</v>
      </c>
      <c r="H126" t="str">
        <f>"500.00"</f>
        <v>500.00</v>
      </c>
      <c r="I126" t="str">
        <f>"370"</f>
        <v>370</v>
      </c>
      <c r="J126" t="str">
        <f>"证券买入(韦尔股份)"</f>
        <v>证券买入(韦尔股份)</v>
      </c>
      <c r="K126" t="str">
        <f t="shared" si="46"/>
        <v>5.00</v>
      </c>
      <c r="L126" t="str">
        <f>"0.00"</f>
        <v>0.00</v>
      </c>
      <c r="M126" t="str">
        <f>"0.08"</f>
        <v>0.08</v>
      </c>
      <c r="N126" t="str">
        <f t="shared" si="49"/>
        <v>0.00</v>
      </c>
      <c r="O126" t="str">
        <f>"603501"</f>
        <v>603501</v>
      </c>
      <c r="P126" t="str">
        <f>"A400948245"</f>
        <v>A400948245</v>
      </c>
    </row>
    <row r="127" spans="1:16" hidden="1" x14ac:dyDescent="0.25">
      <c r="A127" t="str">
        <f t="shared" si="29"/>
        <v>人民币</v>
      </c>
      <c r="B127" t="str">
        <f>"安达维尔"</f>
        <v>安达维尔</v>
      </c>
      <c r="C127" t="str">
        <f>"20180417"</f>
        <v>20180417</v>
      </c>
      <c r="D127" t="str">
        <f>"30.800"</f>
        <v>30.800</v>
      </c>
      <c r="E127" t="str">
        <f>"100.00"</f>
        <v>100.00</v>
      </c>
      <c r="F127" t="str">
        <f>"-3085.00"</f>
        <v>-3085.00</v>
      </c>
      <c r="G127" t="str">
        <f>"1678.83"</f>
        <v>1678.83</v>
      </c>
      <c r="H127" t="str">
        <f>"100.00"</f>
        <v>100.00</v>
      </c>
      <c r="I127" t="str">
        <f>"366"</f>
        <v>366</v>
      </c>
      <c r="J127" t="str">
        <f>"证券买入(安达维尔)"</f>
        <v>证券买入(安达维尔)</v>
      </c>
      <c r="K127" t="str">
        <f t="shared" si="46"/>
        <v>5.00</v>
      </c>
      <c r="L127" t="str">
        <f>"0.00"</f>
        <v>0.00</v>
      </c>
      <c r="M127" t="str">
        <f>"0.00"</f>
        <v>0.00</v>
      </c>
      <c r="N127" t="str">
        <f t="shared" si="49"/>
        <v>0.00</v>
      </c>
      <c r="O127" t="str">
        <f>"300719"</f>
        <v>300719</v>
      </c>
      <c r="P127" t="str">
        <f>"0153613480"</f>
        <v>0153613480</v>
      </c>
    </row>
    <row r="128" spans="1:16" hidden="1" x14ac:dyDescent="0.25">
      <c r="A128" t="str">
        <f t="shared" si="29"/>
        <v>人民币</v>
      </c>
      <c r="B128" t="str">
        <f>"伯特配号"</f>
        <v>伯特配号</v>
      </c>
      <c r="C128" t="str">
        <f>"20180418"</f>
        <v>20180418</v>
      </c>
      <c r="D128" t="str">
        <f>"0.000"</f>
        <v>0.000</v>
      </c>
      <c r="E128" t="str">
        <f>"1.00"</f>
        <v>1.00</v>
      </c>
      <c r="F128" t="str">
        <f>"0.00"</f>
        <v>0.00</v>
      </c>
      <c r="G128" t="str">
        <f>"1678.83"</f>
        <v>1678.83</v>
      </c>
      <c r="H128" t="str">
        <f>"0.00"</f>
        <v>0.00</v>
      </c>
      <c r="I128" t="str">
        <f>"376"</f>
        <v>376</v>
      </c>
      <c r="J128" t="str">
        <f>"申购配号(伯特配号)"</f>
        <v>申购配号(伯特配号)</v>
      </c>
      <c r="K128" t="str">
        <f>"0.00"</f>
        <v>0.00</v>
      </c>
      <c r="L128" t="str">
        <f>"0.00"</f>
        <v>0.00</v>
      </c>
      <c r="M128" t="str">
        <f>"0.00"</f>
        <v>0.00</v>
      </c>
      <c r="N128" t="str">
        <f t="shared" si="49"/>
        <v>0.00</v>
      </c>
      <c r="O128" t="str">
        <f>"736596"</f>
        <v>736596</v>
      </c>
      <c r="P128" t="str">
        <f>"A400948245"</f>
        <v>A400948245</v>
      </c>
    </row>
    <row r="129" spans="1:16" hidden="1" x14ac:dyDescent="0.25">
      <c r="A129" t="str">
        <f t="shared" si="29"/>
        <v>人民币</v>
      </c>
      <c r="B129" t="str">
        <f>"韦尔股份"</f>
        <v>韦尔股份</v>
      </c>
      <c r="C129" t="str">
        <f>"20180418"</f>
        <v>20180418</v>
      </c>
      <c r="D129" t="str">
        <f>"41.800"</f>
        <v>41.800</v>
      </c>
      <c r="E129" t="str">
        <f>"-300.00"</f>
        <v>-300.00</v>
      </c>
      <c r="F129" t="str">
        <f>"12522.21"</f>
        <v>12522.21</v>
      </c>
      <c r="G129" t="str">
        <f>"14201.04"</f>
        <v>14201.04</v>
      </c>
      <c r="H129" t="str">
        <f>"200.00"</f>
        <v>200.00</v>
      </c>
      <c r="I129" t="str">
        <f>"381"</f>
        <v>381</v>
      </c>
      <c r="J129" t="str">
        <f>"证券卖出(韦尔股份)"</f>
        <v>证券卖出(韦尔股份)</v>
      </c>
      <c r="K129" t="str">
        <f t="shared" ref="K129:K134" si="50">"5.00"</f>
        <v>5.00</v>
      </c>
      <c r="L129" t="str">
        <f>"12.54"</f>
        <v>12.54</v>
      </c>
      <c r="M129" t="str">
        <f>"0.25"</f>
        <v>0.25</v>
      </c>
      <c r="N129" t="str">
        <f t="shared" si="49"/>
        <v>0.00</v>
      </c>
      <c r="O129" t="str">
        <f>"603501"</f>
        <v>603501</v>
      </c>
      <c r="P129" t="str">
        <f>"A400948245"</f>
        <v>A400948245</v>
      </c>
    </row>
    <row r="130" spans="1:16" hidden="1" x14ac:dyDescent="0.25">
      <c r="A130" t="str">
        <f t="shared" ref="A130:A193" si="51">"人民币"</f>
        <v>人民币</v>
      </c>
      <c r="B130" t="str">
        <f>"韦尔股份"</f>
        <v>韦尔股份</v>
      </c>
      <c r="C130" t="str">
        <f>"20180418"</f>
        <v>20180418</v>
      </c>
      <c r="D130" t="str">
        <f>"42.850"</f>
        <v>42.850</v>
      </c>
      <c r="E130" t="str">
        <f>"-200.00"</f>
        <v>-200.00</v>
      </c>
      <c r="F130" t="str">
        <f>"8556.26"</f>
        <v>8556.26</v>
      </c>
      <c r="G130" t="str">
        <f>"22757.30"</f>
        <v>22757.30</v>
      </c>
      <c r="H130" t="str">
        <f>"0.00"</f>
        <v>0.00</v>
      </c>
      <c r="I130" t="str">
        <f>"387"</f>
        <v>387</v>
      </c>
      <c r="J130" t="str">
        <f>"证券卖出(韦尔股份)"</f>
        <v>证券卖出(韦尔股份)</v>
      </c>
      <c r="K130" t="str">
        <f t="shared" si="50"/>
        <v>5.00</v>
      </c>
      <c r="L130" t="str">
        <f>"8.57"</f>
        <v>8.57</v>
      </c>
      <c r="M130" t="str">
        <f>"0.17"</f>
        <v>0.17</v>
      </c>
      <c r="N130" t="str">
        <f t="shared" si="49"/>
        <v>0.00</v>
      </c>
      <c r="O130" t="str">
        <f>"603501"</f>
        <v>603501</v>
      </c>
      <c r="P130" t="str">
        <f>"A400948245"</f>
        <v>A400948245</v>
      </c>
    </row>
    <row r="131" spans="1:16" hidden="1" x14ac:dyDescent="0.25">
      <c r="A131" t="str">
        <f t="shared" si="51"/>
        <v>人民币</v>
      </c>
      <c r="B131" t="str">
        <f>"中通国脉"</f>
        <v>中通国脉</v>
      </c>
      <c r="C131" t="str">
        <f>"20180419"</f>
        <v>20180419</v>
      </c>
      <c r="D131" t="str">
        <f>"30.910"</f>
        <v>30.910</v>
      </c>
      <c r="E131" t="str">
        <f>"100.00"</f>
        <v>100.00</v>
      </c>
      <c r="F131" t="str">
        <f>"-3096.06"</f>
        <v>-3096.06</v>
      </c>
      <c r="G131" t="str">
        <f>"19661.24"</f>
        <v>19661.24</v>
      </c>
      <c r="H131" t="str">
        <f>"800.00"</f>
        <v>800.00</v>
      </c>
      <c r="I131" t="str">
        <f>"403"</f>
        <v>403</v>
      </c>
      <c r="J131" t="str">
        <f>"证券买入(中通国脉)"</f>
        <v>证券买入(中通国脉)</v>
      </c>
      <c r="K131" t="str">
        <f t="shared" si="50"/>
        <v>5.00</v>
      </c>
      <c r="L131" t="str">
        <f t="shared" ref="L131:M139" si="52">"0.00"</f>
        <v>0.00</v>
      </c>
      <c r="M131" t="str">
        <f>"0.06"</f>
        <v>0.06</v>
      </c>
      <c r="N131" t="str">
        <f t="shared" si="49"/>
        <v>0.00</v>
      </c>
      <c r="O131" t="str">
        <f>"603559"</f>
        <v>603559</v>
      </c>
      <c r="P131" t="str">
        <f>"A400948245"</f>
        <v>A400948245</v>
      </c>
    </row>
    <row r="132" spans="1:16" hidden="1" x14ac:dyDescent="0.25">
      <c r="A132" t="str">
        <f t="shared" si="51"/>
        <v>人民币</v>
      </c>
      <c r="B132" t="str">
        <f>"安达维尔"</f>
        <v>安达维尔</v>
      </c>
      <c r="C132" t="str">
        <f>"20180419"</f>
        <v>20180419</v>
      </c>
      <c r="D132" t="str">
        <f>"28.950"</f>
        <v>28.950</v>
      </c>
      <c r="E132" t="str">
        <f>"100.00"</f>
        <v>100.00</v>
      </c>
      <c r="F132" t="str">
        <f>"-2900.00"</f>
        <v>-2900.00</v>
      </c>
      <c r="G132" t="str">
        <f>"16761.24"</f>
        <v>16761.24</v>
      </c>
      <c r="H132" t="str">
        <f>"200.00"</f>
        <v>200.00</v>
      </c>
      <c r="I132" t="str">
        <f>"393"</f>
        <v>393</v>
      </c>
      <c r="J132" t="str">
        <f>"证券买入(安达维尔)"</f>
        <v>证券买入(安达维尔)</v>
      </c>
      <c r="K132" t="str">
        <f t="shared" si="50"/>
        <v>5.00</v>
      </c>
      <c r="L132" t="str">
        <f t="shared" si="52"/>
        <v>0.00</v>
      </c>
      <c r="M132" t="str">
        <f t="shared" si="52"/>
        <v>0.00</v>
      </c>
      <c r="N132" t="str">
        <f t="shared" si="49"/>
        <v>0.00</v>
      </c>
      <c r="O132" t="str">
        <f>"300719"</f>
        <v>300719</v>
      </c>
      <c r="P132" t="str">
        <f>"0153613480"</f>
        <v>0153613480</v>
      </c>
    </row>
    <row r="133" spans="1:16" hidden="1" x14ac:dyDescent="0.25">
      <c r="A133" t="str">
        <f t="shared" si="51"/>
        <v>人民币</v>
      </c>
      <c r="B133" t="str">
        <f>"安达维尔"</f>
        <v>安达维尔</v>
      </c>
      <c r="C133" t="str">
        <f>"20180420"</f>
        <v>20180420</v>
      </c>
      <c r="D133" t="str">
        <f>"28.220"</f>
        <v>28.220</v>
      </c>
      <c r="E133" t="str">
        <f>"200.00"</f>
        <v>200.00</v>
      </c>
      <c r="F133" t="str">
        <f>"-5649.00"</f>
        <v>-5649.00</v>
      </c>
      <c r="G133" t="str">
        <f>"11112.24"</f>
        <v>11112.24</v>
      </c>
      <c r="H133" t="str">
        <f>"400.00"</f>
        <v>400.00</v>
      </c>
      <c r="I133" t="str">
        <f>"409"</f>
        <v>409</v>
      </c>
      <c r="J133" t="str">
        <f>"证券买入(安达维尔)"</f>
        <v>证券买入(安达维尔)</v>
      </c>
      <c r="K133" t="str">
        <f t="shared" si="50"/>
        <v>5.00</v>
      </c>
      <c r="L133" t="str">
        <f t="shared" si="52"/>
        <v>0.00</v>
      </c>
      <c r="M133" t="str">
        <f t="shared" si="52"/>
        <v>0.00</v>
      </c>
      <c r="N133" t="str">
        <f t="shared" si="49"/>
        <v>0.00</v>
      </c>
      <c r="O133" t="str">
        <f>"300719"</f>
        <v>300719</v>
      </c>
      <c r="P133" t="str">
        <f>"0153613480"</f>
        <v>0153613480</v>
      </c>
    </row>
    <row r="134" spans="1:16" hidden="1" x14ac:dyDescent="0.25">
      <c r="A134" t="str">
        <f t="shared" si="51"/>
        <v>人民币</v>
      </c>
      <c r="B134" t="str">
        <f>"安达维尔"</f>
        <v>安达维尔</v>
      </c>
      <c r="C134" t="str">
        <f>"20180420"</f>
        <v>20180420</v>
      </c>
      <c r="D134" t="str">
        <f>"27.250"</f>
        <v>27.250</v>
      </c>
      <c r="E134" t="str">
        <f>"200.00"</f>
        <v>200.00</v>
      </c>
      <c r="F134" t="str">
        <f>"-5455.00"</f>
        <v>-5455.00</v>
      </c>
      <c r="G134" t="str">
        <f>"5657.24"</f>
        <v>5657.24</v>
      </c>
      <c r="H134" t="str">
        <f>"600.00"</f>
        <v>600.00</v>
      </c>
      <c r="I134" t="str">
        <f>"412"</f>
        <v>412</v>
      </c>
      <c r="J134" t="str">
        <f>"证券买入(安达维尔)"</f>
        <v>证券买入(安达维尔)</v>
      </c>
      <c r="K134" t="str">
        <f t="shared" si="50"/>
        <v>5.00</v>
      </c>
      <c r="L134" t="str">
        <f t="shared" si="52"/>
        <v>0.00</v>
      </c>
      <c r="M134" t="str">
        <f t="shared" si="52"/>
        <v>0.00</v>
      </c>
      <c r="N134" t="str">
        <f t="shared" si="49"/>
        <v>0.00</v>
      </c>
      <c r="O134" t="str">
        <f>"300719"</f>
        <v>300719</v>
      </c>
      <c r="P134" t="str">
        <f>"0153613480"</f>
        <v>0153613480</v>
      </c>
    </row>
    <row r="135" spans="1:16" hidden="1" x14ac:dyDescent="0.25">
      <c r="A135" t="str">
        <f t="shared" si="51"/>
        <v>人民币</v>
      </c>
      <c r="B135" t="str">
        <f>"药明配号"</f>
        <v>药明配号</v>
      </c>
      <c r="C135" t="str">
        <f>"20180424"</f>
        <v>20180424</v>
      </c>
      <c r="D135" t="str">
        <f>"0.000"</f>
        <v>0.000</v>
      </c>
      <c r="E135" t="str">
        <f>"1.00"</f>
        <v>1.00</v>
      </c>
      <c r="F135" t="str">
        <f>"0.00"</f>
        <v>0.00</v>
      </c>
      <c r="G135" t="str">
        <f>"5657.24"</f>
        <v>5657.24</v>
      </c>
      <c r="H135" t="str">
        <f>"0.00"</f>
        <v>0.00</v>
      </c>
      <c r="I135" t="str">
        <f>"417"</f>
        <v>417</v>
      </c>
      <c r="J135" t="str">
        <f>"申购配号(药明配号)"</f>
        <v>申购配号(药明配号)</v>
      </c>
      <c r="K135" t="str">
        <f>"0.00"</f>
        <v>0.00</v>
      </c>
      <c r="L135" t="str">
        <f t="shared" si="52"/>
        <v>0.00</v>
      </c>
      <c r="M135" t="str">
        <f t="shared" si="52"/>
        <v>0.00</v>
      </c>
      <c r="N135" t="str">
        <f t="shared" si="49"/>
        <v>0.00</v>
      </c>
      <c r="O135" t="str">
        <f>"736259"</f>
        <v>736259</v>
      </c>
      <c r="P135" t="str">
        <f>"A400948245"</f>
        <v>A400948245</v>
      </c>
    </row>
    <row r="136" spans="1:16" hidden="1" x14ac:dyDescent="0.25">
      <c r="A136" t="str">
        <f t="shared" si="51"/>
        <v>人民币</v>
      </c>
      <c r="B136" t="str">
        <f>"亚普配号"</f>
        <v>亚普配号</v>
      </c>
      <c r="C136" t="str">
        <f>"20180425"</f>
        <v>20180425</v>
      </c>
      <c r="D136" t="str">
        <f>"0.000"</f>
        <v>0.000</v>
      </c>
      <c r="E136" t="str">
        <f>"1.00"</f>
        <v>1.00</v>
      </c>
      <c r="F136" t="str">
        <f>"0.00"</f>
        <v>0.00</v>
      </c>
      <c r="G136" t="str">
        <f>"5657.24"</f>
        <v>5657.24</v>
      </c>
      <c r="H136" t="str">
        <f>"0.00"</f>
        <v>0.00</v>
      </c>
      <c r="I136" t="str">
        <f>"1"</f>
        <v>1</v>
      </c>
      <c r="J136" t="str">
        <f>"申购配号(亚普配号)"</f>
        <v>申购配号(亚普配号)</v>
      </c>
      <c r="K136" t="str">
        <f>"0.00"</f>
        <v>0.00</v>
      </c>
      <c r="L136" t="str">
        <f t="shared" si="52"/>
        <v>0.00</v>
      </c>
      <c r="M136" t="str">
        <f t="shared" si="52"/>
        <v>0.00</v>
      </c>
      <c r="N136" t="str">
        <f t="shared" si="49"/>
        <v>0.00</v>
      </c>
      <c r="O136" t="str">
        <f>"736013"</f>
        <v>736013</v>
      </c>
      <c r="P136" t="str">
        <f>"A400948245"</f>
        <v>A400948245</v>
      </c>
    </row>
    <row r="137" spans="1:16" hidden="1" x14ac:dyDescent="0.25">
      <c r="A137" t="str">
        <f t="shared" si="51"/>
        <v>人民币</v>
      </c>
      <c r="B137" t="str">
        <f>"越博动力"</f>
        <v>越博动力</v>
      </c>
      <c r="C137" t="str">
        <f>"20180425"</f>
        <v>20180425</v>
      </c>
      <c r="D137" t="str">
        <f>"0.000"</f>
        <v>0.000</v>
      </c>
      <c r="E137" t="str">
        <f>"2.00"</f>
        <v>2.00</v>
      </c>
      <c r="F137" t="str">
        <f>"0.00"</f>
        <v>0.00</v>
      </c>
      <c r="G137" t="str">
        <f>"5657.24"</f>
        <v>5657.24</v>
      </c>
      <c r="H137" t="str">
        <f>"0.00"</f>
        <v>0.00</v>
      </c>
      <c r="I137" t="str">
        <f>"3"</f>
        <v>3</v>
      </c>
      <c r="J137" t="str">
        <f>"申购配号(越博动力)"</f>
        <v>申购配号(越博动力)</v>
      </c>
      <c r="K137" t="str">
        <f>"0.00"</f>
        <v>0.00</v>
      </c>
      <c r="L137" t="str">
        <f t="shared" si="52"/>
        <v>0.00</v>
      </c>
      <c r="M137" t="str">
        <f t="shared" si="52"/>
        <v>0.00</v>
      </c>
      <c r="N137" t="str">
        <f t="shared" si="49"/>
        <v>0.00</v>
      </c>
      <c r="O137" t="str">
        <f>"300742"</f>
        <v>300742</v>
      </c>
      <c r="P137" t="str">
        <f>"0153613480"</f>
        <v>0153613480</v>
      </c>
    </row>
    <row r="138" spans="1:16" hidden="1" x14ac:dyDescent="0.25">
      <c r="A138" t="str">
        <f t="shared" si="51"/>
        <v>人民币</v>
      </c>
      <c r="B138" t="str">
        <f>"中通国脉"</f>
        <v>中通国脉</v>
      </c>
      <c r="C138" t="str">
        <f>"20180426"</f>
        <v>20180426</v>
      </c>
      <c r="D138" t="str">
        <f>"31.610"</f>
        <v>31.610</v>
      </c>
      <c r="E138" t="str">
        <f>"100.00"</f>
        <v>100.00</v>
      </c>
      <c r="F138" t="str">
        <f>"-3166.06"</f>
        <v>-3166.06</v>
      </c>
      <c r="G138" t="str">
        <f>"2491.18"</f>
        <v>2491.18</v>
      </c>
      <c r="H138" t="str">
        <f>"900.00"</f>
        <v>900.00</v>
      </c>
      <c r="I138" t="str">
        <f>"10"</f>
        <v>10</v>
      </c>
      <c r="J138" t="str">
        <f>"证券买入(中通国脉)"</f>
        <v>证券买入(中通国脉)</v>
      </c>
      <c r="K138" t="str">
        <f>"5.00"</f>
        <v>5.00</v>
      </c>
      <c r="L138" t="str">
        <f t="shared" si="52"/>
        <v>0.00</v>
      </c>
      <c r="M138" t="str">
        <f>"0.06"</f>
        <v>0.06</v>
      </c>
      <c r="N138" t="str">
        <f t="shared" si="49"/>
        <v>0.00</v>
      </c>
      <c r="O138" t="str">
        <f>"603559"</f>
        <v>603559</v>
      </c>
      <c r="P138" t="str">
        <f>"A400948245"</f>
        <v>A400948245</v>
      </c>
    </row>
    <row r="139" spans="1:16" hidden="1" x14ac:dyDescent="0.25">
      <c r="A139" t="str">
        <f t="shared" si="51"/>
        <v>人民币</v>
      </c>
      <c r="B139" t="str">
        <f>"安达维尔"</f>
        <v>安达维尔</v>
      </c>
      <c r="C139" t="str">
        <f>"20180508"</f>
        <v>20180508</v>
      </c>
      <c r="D139" t="str">
        <f>"0.000"</f>
        <v>0.000</v>
      </c>
      <c r="E139" t="str">
        <f>"300.00"</f>
        <v>300.00</v>
      </c>
      <c r="F139" t="str">
        <f>"0.00"</f>
        <v>0.00</v>
      </c>
      <c r="G139" t="str">
        <f>"2491.18"</f>
        <v>2491.18</v>
      </c>
      <c r="H139" t="str">
        <f>"900.00"</f>
        <v>900.00</v>
      </c>
      <c r="I139" t="str">
        <f>" "</f>
        <v xml:space="preserve"> </v>
      </c>
      <c r="J139" t="str">
        <f>"红股入帐(安达维尔)"</f>
        <v>红股入帐(安达维尔)</v>
      </c>
      <c r="K139" t="str">
        <f>"0.00"</f>
        <v>0.00</v>
      </c>
      <c r="L139" t="str">
        <f t="shared" si="52"/>
        <v>0.00</v>
      </c>
      <c r="M139" t="str">
        <f>"0.00"</f>
        <v>0.00</v>
      </c>
      <c r="N139" t="str">
        <f t="shared" si="49"/>
        <v>0.00</v>
      </c>
      <c r="O139" t="str">
        <f>"300719"</f>
        <v>300719</v>
      </c>
      <c r="P139" t="str">
        <f>"0153613480"</f>
        <v>0153613480</v>
      </c>
    </row>
    <row r="140" spans="1:16" hidden="1" x14ac:dyDescent="0.25">
      <c r="A140" t="str">
        <f t="shared" si="51"/>
        <v>人民币</v>
      </c>
      <c r="B140" t="str">
        <f>"安达维尔"</f>
        <v>安达维尔</v>
      </c>
      <c r="C140" t="str">
        <f>"20180508"</f>
        <v>20180508</v>
      </c>
      <c r="D140" t="str">
        <f>"0.000"</f>
        <v>0.000</v>
      </c>
      <c r="E140" t="str">
        <f>"0.00"</f>
        <v>0.00</v>
      </c>
      <c r="F140" t="str">
        <f>"300.00"</f>
        <v>300.00</v>
      </c>
      <c r="G140" t="str">
        <f>"2791.18"</f>
        <v>2791.18</v>
      </c>
      <c r="H140" t="str">
        <f>"900.00"</f>
        <v>900.00</v>
      </c>
      <c r="I140" t="str">
        <f>"---"</f>
        <v>---</v>
      </c>
      <c r="J140" t="str">
        <f>"股息入帐(安达维尔)"</f>
        <v>股息入帐(安达维尔)</v>
      </c>
      <c r="K140" t="str">
        <f>"---"</f>
        <v>---</v>
      </c>
      <c r="L140" t="str">
        <f>"---"</f>
        <v>---</v>
      </c>
      <c r="M140" t="str">
        <f>"---"</f>
        <v>---</v>
      </c>
      <c r="N140" t="str">
        <f>"---"</f>
        <v>---</v>
      </c>
      <c r="O140" t="str">
        <f>"300719"</f>
        <v>300719</v>
      </c>
      <c r="P140" t="str">
        <f>"0153613480"</f>
        <v>0153613480</v>
      </c>
    </row>
    <row r="141" spans="1:16" hidden="1" x14ac:dyDescent="0.25">
      <c r="A141" t="str">
        <f t="shared" si="51"/>
        <v>人民币</v>
      </c>
      <c r="B141" t="str">
        <f>"安达维尔"</f>
        <v>安达维尔</v>
      </c>
      <c r="C141" t="str">
        <f>"20180514"</f>
        <v>20180514</v>
      </c>
      <c r="D141" t="str">
        <f>"18.000"</f>
        <v>18.000</v>
      </c>
      <c r="E141" t="str">
        <f>"100.00"</f>
        <v>100.00</v>
      </c>
      <c r="F141" t="str">
        <f>"-1805.00"</f>
        <v>-1805.00</v>
      </c>
      <c r="G141" t="str">
        <f>"986.18"</f>
        <v>986.18</v>
      </c>
      <c r="H141" t="str">
        <f>"1000.00"</f>
        <v>1000.00</v>
      </c>
      <c r="I141" t="str">
        <f>"18"</f>
        <v>18</v>
      </c>
      <c r="J141" t="str">
        <f>"证券买入(安达维尔)"</f>
        <v>证券买入(安达维尔)</v>
      </c>
      <c r="K141" t="str">
        <f>"5.00"</f>
        <v>5.00</v>
      </c>
      <c r="L141" t="str">
        <f t="shared" ref="L141:N142" si="53">"0.00"</f>
        <v>0.00</v>
      </c>
      <c r="M141" t="str">
        <f t="shared" si="53"/>
        <v>0.00</v>
      </c>
      <c r="N141" t="str">
        <f t="shared" si="53"/>
        <v>0.00</v>
      </c>
      <c r="O141" t="str">
        <f>"300719"</f>
        <v>300719</v>
      </c>
      <c r="P141" t="str">
        <f>"0153613480"</f>
        <v>0153613480</v>
      </c>
    </row>
    <row r="142" spans="1:16" hidden="1" x14ac:dyDescent="0.25">
      <c r="A142" t="str">
        <f t="shared" si="51"/>
        <v>人民币</v>
      </c>
      <c r="B142" t="str">
        <f>"欣锐科技"</f>
        <v>欣锐科技</v>
      </c>
      <c r="C142" t="str">
        <f>"20180514"</f>
        <v>20180514</v>
      </c>
      <c r="D142" t="str">
        <f>"0.000"</f>
        <v>0.000</v>
      </c>
      <c r="E142" t="str">
        <f>"2.00"</f>
        <v>2.00</v>
      </c>
      <c r="F142" t="str">
        <f>"0.00"</f>
        <v>0.00</v>
      </c>
      <c r="G142" t="str">
        <f>"986.18"</f>
        <v>986.18</v>
      </c>
      <c r="H142" t="str">
        <f>"0.00"</f>
        <v>0.00</v>
      </c>
      <c r="I142" t="str">
        <f>"16"</f>
        <v>16</v>
      </c>
      <c r="J142" t="str">
        <f>"申购配号(欣锐科技)"</f>
        <v>申购配号(欣锐科技)</v>
      </c>
      <c r="K142" t="str">
        <f>"0.00"</f>
        <v>0.00</v>
      </c>
      <c r="L142" t="str">
        <f t="shared" si="53"/>
        <v>0.00</v>
      </c>
      <c r="M142" t="str">
        <f t="shared" si="53"/>
        <v>0.00</v>
      </c>
      <c r="N142" t="str">
        <f t="shared" si="53"/>
        <v>0.00</v>
      </c>
      <c r="O142" t="str">
        <f>"300745"</f>
        <v>300745</v>
      </c>
      <c r="P142" t="str">
        <f>"0153613480"</f>
        <v>0153613480</v>
      </c>
    </row>
    <row r="143" spans="1:16" hidden="1" x14ac:dyDescent="0.25">
      <c r="A143" t="str">
        <f t="shared" si="51"/>
        <v>人民币</v>
      </c>
      <c r="B143" t="str">
        <f>"中通国脉"</f>
        <v>中通国脉</v>
      </c>
      <c r="C143" t="str">
        <f>"20180515"</f>
        <v>20180515</v>
      </c>
      <c r="D143" t="str">
        <f>"0.000"</f>
        <v>0.000</v>
      </c>
      <c r="E143" t="str">
        <f>"0.00"</f>
        <v>0.00</v>
      </c>
      <c r="F143" t="str">
        <f>"40.50"</f>
        <v>40.50</v>
      </c>
      <c r="G143" t="str">
        <f>"1026.68"</f>
        <v>1026.68</v>
      </c>
      <c r="H143" t="str">
        <f>"900.00"</f>
        <v>900.00</v>
      </c>
      <c r="I143" t="str">
        <f>"---"</f>
        <v>---</v>
      </c>
      <c r="J143" t="str">
        <f>"股息入帐(中通国脉)"</f>
        <v>股息入帐(中通国脉)</v>
      </c>
      <c r="K143" t="str">
        <f>"---"</f>
        <v>---</v>
      </c>
      <c r="L143" t="str">
        <f>"---"</f>
        <v>---</v>
      </c>
      <c r="M143" t="str">
        <f>"---"</f>
        <v>---</v>
      </c>
      <c r="N143" t="str">
        <f>"---"</f>
        <v>---</v>
      </c>
      <c r="O143" t="str">
        <f>"603559"</f>
        <v>603559</v>
      </c>
      <c r="P143" t="str">
        <f>"A400948245"</f>
        <v>A400948245</v>
      </c>
    </row>
    <row r="144" spans="1:16" hidden="1" x14ac:dyDescent="0.25">
      <c r="A144" t="str">
        <f t="shared" si="51"/>
        <v>人民币</v>
      </c>
      <c r="B144" t="str">
        <f>"科沃配号"</f>
        <v>科沃配号</v>
      </c>
      <c r="C144" t="str">
        <f>"20180516"</f>
        <v>20180516</v>
      </c>
      <c r="D144" t="str">
        <f>"0.000"</f>
        <v>0.000</v>
      </c>
      <c r="E144" t="str">
        <f>"2.00"</f>
        <v>2.00</v>
      </c>
      <c r="F144" t="str">
        <f>"0.00"</f>
        <v>0.00</v>
      </c>
      <c r="G144" t="str">
        <f>"1026.68"</f>
        <v>1026.68</v>
      </c>
      <c r="H144" t="str">
        <f>"0.00"</f>
        <v>0.00</v>
      </c>
      <c r="I144" t="str">
        <f>"24"</f>
        <v>24</v>
      </c>
      <c r="J144" t="str">
        <f>"申购配号(科沃配号)"</f>
        <v>申购配号(科沃配号)</v>
      </c>
      <c r="K144" t="str">
        <f t="shared" ref="K144:N145" si="54">"0.00"</f>
        <v>0.00</v>
      </c>
      <c r="L144" t="str">
        <f t="shared" si="54"/>
        <v>0.00</v>
      </c>
      <c r="M144" t="str">
        <f t="shared" si="54"/>
        <v>0.00</v>
      </c>
      <c r="N144" t="str">
        <f t="shared" si="54"/>
        <v>0.00</v>
      </c>
      <c r="O144" t="str">
        <f>"736486"</f>
        <v>736486</v>
      </c>
      <c r="P144" t="str">
        <f>"A400948245"</f>
        <v>A400948245</v>
      </c>
    </row>
    <row r="145" spans="1:16" hidden="1" x14ac:dyDescent="0.25">
      <c r="A145" t="str">
        <f t="shared" si="51"/>
        <v>人民币</v>
      </c>
      <c r="B145" t="str">
        <f>"汉嘉设计"</f>
        <v>汉嘉设计</v>
      </c>
      <c r="C145" t="str">
        <f>"20180516"</f>
        <v>20180516</v>
      </c>
      <c r="D145" t="str">
        <f>"0.000"</f>
        <v>0.000</v>
      </c>
      <c r="E145" t="str">
        <f>"2.00"</f>
        <v>2.00</v>
      </c>
      <c r="F145" t="str">
        <f>"0.00"</f>
        <v>0.00</v>
      </c>
      <c r="G145" t="str">
        <f>"1026.68"</f>
        <v>1026.68</v>
      </c>
      <c r="H145" t="str">
        <f>"0.00"</f>
        <v>0.00</v>
      </c>
      <c r="I145" t="str">
        <f>"26"</f>
        <v>26</v>
      </c>
      <c r="J145" t="str">
        <f>"申购配号(汉嘉设计)"</f>
        <v>申购配号(汉嘉设计)</v>
      </c>
      <c r="K145" t="str">
        <f t="shared" si="54"/>
        <v>0.00</v>
      </c>
      <c r="L145" t="str">
        <f t="shared" si="54"/>
        <v>0.00</v>
      </c>
      <c r="M145" t="str">
        <f t="shared" si="54"/>
        <v>0.00</v>
      </c>
      <c r="N145" t="str">
        <f t="shared" si="54"/>
        <v>0.00</v>
      </c>
      <c r="O145" t="str">
        <f>"300746"</f>
        <v>300746</v>
      </c>
      <c r="P145" t="str">
        <f>"0153613480"</f>
        <v>0153613480</v>
      </c>
    </row>
    <row r="146" spans="1:16" hidden="1" x14ac:dyDescent="0.25">
      <c r="A146" t="str">
        <f t="shared" si="51"/>
        <v>人民币</v>
      </c>
      <c r="B146" t="str">
        <f>"安达维尔"</f>
        <v>安达维尔</v>
      </c>
      <c r="C146" t="str">
        <f>"20180521"</f>
        <v>20180521</v>
      </c>
      <c r="D146" t="str">
        <f>"19.010"</f>
        <v>19.010</v>
      </c>
      <c r="E146" t="str">
        <f>"-500.00"</f>
        <v>-500.00</v>
      </c>
      <c r="F146" t="str">
        <f>"9490.49"</f>
        <v>9490.49</v>
      </c>
      <c r="G146" t="str">
        <f>"10517.17"</f>
        <v>10517.17</v>
      </c>
      <c r="H146" t="str">
        <f>"500.00"</f>
        <v>500.00</v>
      </c>
      <c r="I146" t="str">
        <f>"30"</f>
        <v>30</v>
      </c>
      <c r="J146" t="str">
        <f>"证券卖出(安达维尔)"</f>
        <v>证券卖出(安达维尔)</v>
      </c>
      <c r="K146" t="str">
        <f>"5.00"</f>
        <v>5.00</v>
      </c>
      <c r="L146" t="str">
        <f>"9.51"</f>
        <v>9.51</v>
      </c>
      <c r="M146" t="str">
        <f>"0.00"</f>
        <v>0.00</v>
      </c>
      <c r="N146" t="str">
        <f>"0.00"</f>
        <v>0.00</v>
      </c>
      <c r="O146" t="str">
        <f>"300719"</f>
        <v>300719</v>
      </c>
      <c r="P146" t="str">
        <f>"0153613480"</f>
        <v>0153613480</v>
      </c>
    </row>
    <row r="147" spans="1:16" hidden="1" x14ac:dyDescent="0.25">
      <c r="A147" t="str">
        <f t="shared" si="51"/>
        <v>人民币</v>
      </c>
      <c r="B147" t="str">
        <f>"安达维尔"</f>
        <v>安达维尔</v>
      </c>
      <c r="C147" t="str">
        <f>"20180521"</f>
        <v>20180521</v>
      </c>
      <c r="D147" t="str">
        <f>"19.010"</f>
        <v>19.010</v>
      </c>
      <c r="E147" t="str">
        <f>"-500.00"</f>
        <v>-500.00</v>
      </c>
      <c r="F147" t="str">
        <f>"9490.50"</f>
        <v>9490.50</v>
      </c>
      <c r="G147" t="str">
        <f>"20007.67"</f>
        <v>20007.67</v>
      </c>
      <c r="H147" t="str">
        <f>"0.00"</f>
        <v>0.00</v>
      </c>
      <c r="I147" t="str">
        <f>"36"</f>
        <v>36</v>
      </c>
      <c r="J147" t="str">
        <f>"证券卖出(安达维尔)"</f>
        <v>证券卖出(安达维尔)</v>
      </c>
      <c r="K147" t="str">
        <f>"5.00"</f>
        <v>5.00</v>
      </c>
      <c r="L147" t="str">
        <f>"9.50"</f>
        <v>9.50</v>
      </c>
      <c r="M147" t="str">
        <f>"0.00"</f>
        <v>0.00</v>
      </c>
      <c r="N147" t="str">
        <f>"0.00"</f>
        <v>0.00</v>
      </c>
      <c r="O147" t="str">
        <f>"300719"</f>
        <v>300719</v>
      </c>
      <c r="P147" t="str">
        <f>"0153613480"</f>
        <v>0153613480</v>
      </c>
    </row>
    <row r="148" spans="1:16" hidden="1" x14ac:dyDescent="0.25">
      <c r="A148" t="str">
        <f t="shared" si="51"/>
        <v>人民币</v>
      </c>
      <c r="B148" t="str">
        <f>"安达维尔"</f>
        <v>安达维尔</v>
      </c>
      <c r="C148" t="str">
        <f>"20180522"</f>
        <v>20180522</v>
      </c>
      <c r="D148" t="str">
        <f>"0.000"</f>
        <v>0.000</v>
      </c>
      <c r="E148" t="str">
        <f>"0.00"</f>
        <v>0.00</v>
      </c>
      <c r="F148" t="str">
        <f>"-30.00"</f>
        <v>-30.00</v>
      </c>
      <c r="G148" t="str">
        <f>"19977.67"</f>
        <v>19977.67</v>
      </c>
      <c r="H148" t="str">
        <f>"0.00"</f>
        <v>0.00</v>
      </c>
      <c r="I148" t="str">
        <f>"---"</f>
        <v>---</v>
      </c>
      <c r="J148" t="str">
        <f>"红利差异税扣税(安达维尔)"</f>
        <v>红利差异税扣税(安达维尔)</v>
      </c>
      <c r="K148" t="str">
        <f>"---"</f>
        <v>---</v>
      </c>
      <c r="L148" t="str">
        <f>"---"</f>
        <v>---</v>
      </c>
      <c r="M148" t="str">
        <f>"---"</f>
        <v>---</v>
      </c>
      <c r="N148" t="str">
        <f>"---"</f>
        <v>---</v>
      </c>
      <c r="O148" t="str">
        <f>"300719"</f>
        <v>300719</v>
      </c>
      <c r="P148" t="str">
        <f>"0153613480"</f>
        <v>0153613480</v>
      </c>
    </row>
    <row r="149" spans="1:16" hidden="1" x14ac:dyDescent="0.25">
      <c r="A149" t="str">
        <f t="shared" si="51"/>
        <v>人民币</v>
      </c>
      <c r="B149" t="str">
        <f>"赛隆药业"</f>
        <v>赛隆药业</v>
      </c>
      <c r="C149" t="str">
        <f>"20180522"</f>
        <v>20180522</v>
      </c>
      <c r="D149" t="str">
        <f>"24.440"</f>
        <v>24.440</v>
      </c>
      <c r="E149" t="str">
        <f>"200.00"</f>
        <v>200.00</v>
      </c>
      <c r="F149" t="str">
        <f>"-4893.00"</f>
        <v>-4893.00</v>
      </c>
      <c r="G149" t="str">
        <f>"15084.67"</f>
        <v>15084.67</v>
      </c>
      <c r="H149" t="str">
        <f>"200.00"</f>
        <v>200.00</v>
      </c>
      <c r="I149" t="str">
        <f>"43"</f>
        <v>43</v>
      </c>
      <c r="J149" t="str">
        <f>"证券买入(赛隆药业)"</f>
        <v>证券买入(赛隆药业)</v>
      </c>
      <c r="K149" t="str">
        <f>"5.00"</f>
        <v>5.00</v>
      </c>
      <c r="L149" t="str">
        <f>"0.00"</f>
        <v>0.00</v>
      </c>
      <c r="M149" t="str">
        <f>"0.00"</f>
        <v>0.00</v>
      </c>
      <c r="N149" t="str">
        <f>"0.00"</f>
        <v>0.00</v>
      </c>
      <c r="O149" t="str">
        <f>"002898"</f>
        <v>002898</v>
      </c>
      <c r="P149" t="str">
        <f>"0153613480"</f>
        <v>0153613480</v>
      </c>
    </row>
    <row r="150" spans="1:16" hidden="1" x14ac:dyDescent="0.25">
      <c r="A150" t="str">
        <f t="shared" si="51"/>
        <v>人民币</v>
      </c>
      <c r="B150" t="str">
        <f>"中通国脉"</f>
        <v>中通国脉</v>
      </c>
      <c r="C150" t="str">
        <f>"20180523"</f>
        <v>20180523</v>
      </c>
      <c r="D150" t="str">
        <f>"31.270"</f>
        <v>31.270</v>
      </c>
      <c r="E150" t="str">
        <f>"100.00"</f>
        <v>100.00</v>
      </c>
      <c r="F150" t="str">
        <f>"-3132.06"</f>
        <v>-3132.06</v>
      </c>
      <c r="G150" t="str">
        <f>"11952.61"</f>
        <v>11952.61</v>
      </c>
      <c r="H150" t="str">
        <f>"1000.00"</f>
        <v>1000.00</v>
      </c>
      <c r="I150" t="str">
        <f>"53"</f>
        <v>53</v>
      </c>
      <c r="J150" t="str">
        <f>"证券买入(中通国脉)"</f>
        <v>证券买入(中通国脉)</v>
      </c>
      <c r="K150" t="str">
        <f>"5.00"</f>
        <v>5.00</v>
      </c>
      <c r="L150" t="str">
        <f>"0.00"</f>
        <v>0.00</v>
      </c>
      <c r="M150" t="str">
        <f>"0.06"</f>
        <v>0.06</v>
      </c>
      <c r="N150" t="str">
        <f>"0.00"</f>
        <v>0.00</v>
      </c>
      <c r="O150" t="str">
        <f>"603559"</f>
        <v>603559</v>
      </c>
      <c r="P150" t="str">
        <f>"A400948245"</f>
        <v>A400948245</v>
      </c>
    </row>
    <row r="151" spans="1:16" hidden="1" x14ac:dyDescent="0.25">
      <c r="A151" t="str">
        <f t="shared" si="51"/>
        <v>人民币</v>
      </c>
      <c r="B151" t="str">
        <f>"赛隆药业"</f>
        <v>赛隆药业</v>
      </c>
      <c r="C151" t="str">
        <f>"20180523"</f>
        <v>20180523</v>
      </c>
      <c r="D151" t="str">
        <f>"24.950"</f>
        <v>24.950</v>
      </c>
      <c r="E151" t="str">
        <f>"-200.00"</f>
        <v>-200.00</v>
      </c>
      <c r="F151" t="str">
        <f>"4980.01"</f>
        <v>4980.01</v>
      </c>
      <c r="G151" t="str">
        <f>"16932.62"</f>
        <v>16932.62</v>
      </c>
      <c r="H151" t="str">
        <f>"0.00"</f>
        <v>0.00</v>
      </c>
      <c r="I151" t="str">
        <f>"50"</f>
        <v>50</v>
      </c>
      <c r="J151" t="str">
        <f>"证券卖出(赛隆药业)"</f>
        <v>证券卖出(赛隆药业)</v>
      </c>
      <c r="K151" t="str">
        <f>"5.00"</f>
        <v>5.00</v>
      </c>
      <c r="L151" t="str">
        <f>"4.99"</f>
        <v>4.99</v>
      </c>
      <c r="M151" t="str">
        <f>"0.00"</f>
        <v>0.00</v>
      </c>
      <c r="N151" t="str">
        <f>"0.00"</f>
        <v>0.00</v>
      </c>
      <c r="O151" t="str">
        <f>"002898"</f>
        <v>002898</v>
      </c>
      <c r="P151" t="str">
        <f>"0153613480"</f>
        <v>0153613480</v>
      </c>
    </row>
    <row r="152" spans="1:16" hidden="1" x14ac:dyDescent="0.25">
      <c r="A152" t="str">
        <f t="shared" si="51"/>
        <v>人民币</v>
      </c>
      <c r="B152" t="str">
        <f>"宏达电子"</f>
        <v>宏达电子</v>
      </c>
      <c r="C152" t="str">
        <f>"20180523"</f>
        <v>20180523</v>
      </c>
      <c r="D152" t="str">
        <f>"34.370"</f>
        <v>34.370</v>
      </c>
      <c r="E152" t="str">
        <f>"100.00"</f>
        <v>100.00</v>
      </c>
      <c r="F152" t="str">
        <f>"-3442.00"</f>
        <v>-3442.00</v>
      </c>
      <c r="G152" t="str">
        <f>"13490.62"</f>
        <v>13490.62</v>
      </c>
      <c r="H152" t="str">
        <f>"100.00"</f>
        <v>100.00</v>
      </c>
      <c r="I152" t="str">
        <f>"47"</f>
        <v>47</v>
      </c>
      <c r="J152" t="str">
        <f>"证券买入(宏达电子)"</f>
        <v>证券买入(宏达电子)</v>
      </c>
      <c r="K152" t="str">
        <f>"5.00"</f>
        <v>5.00</v>
      </c>
      <c r="L152" t="str">
        <f>"0.00"</f>
        <v>0.00</v>
      </c>
      <c r="M152" t="str">
        <f>"0.00"</f>
        <v>0.00</v>
      </c>
      <c r="N152" t="str">
        <f>"0.00"</f>
        <v>0.00</v>
      </c>
      <c r="O152" t="str">
        <f>"300726"</f>
        <v>300726</v>
      </c>
      <c r="P152" t="str">
        <f>"0153613480"</f>
        <v>0153613480</v>
      </c>
    </row>
    <row r="153" spans="1:16" hidden="1" x14ac:dyDescent="0.25">
      <c r="A153" t="str">
        <f t="shared" si="51"/>
        <v>人民币</v>
      </c>
      <c r="B153" t="str">
        <f>"宏达电子"</f>
        <v>宏达电子</v>
      </c>
      <c r="C153" t="str">
        <f>"20180523"</f>
        <v>20180523</v>
      </c>
      <c r="D153" t="str">
        <f>"34.210"</f>
        <v>34.210</v>
      </c>
      <c r="E153" t="str">
        <f>"200.00"</f>
        <v>200.00</v>
      </c>
      <c r="F153" t="str">
        <f>"-6847.00"</f>
        <v>-6847.00</v>
      </c>
      <c r="G153" t="str">
        <f>"6643.62"</f>
        <v>6643.62</v>
      </c>
      <c r="H153" t="str">
        <f>"300.00"</f>
        <v>300.00</v>
      </c>
      <c r="I153" t="str">
        <f>"56"</f>
        <v>56</v>
      </c>
      <c r="J153" t="str">
        <f>"证券买入(宏达电子)"</f>
        <v>证券买入(宏达电子)</v>
      </c>
      <c r="K153" t="str">
        <f>"5.00"</f>
        <v>5.00</v>
      </c>
      <c r="L153" t="str">
        <f>"0.00"</f>
        <v>0.00</v>
      </c>
      <c r="M153" t="str">
        <f>"0.00"</f>
        <v>0.00</v>
      </c>
      <c r="N153" t="str">
        <f>"0.00"</f>
        <v>0.00</v>
      </c>
      <c r="O153" t="str">
        <f>"300726"</f>
        <v>300726</v>
      </c>
      <c r="P153" t="str">
        <f>"0153613480"</f>
        <v>0153613480</v>
      </c>
    </row>
    <row r="154" spans="1:16" hidden="1" x14ac:dyDescent="0.25">
      <c r="A154" t="str">
        <f t="shared" si="51"/>
        <v>人民币</v>
      </c>
      <c r="B154" t="str">
        <f>" "</f>
        <v xml:space="preserve"> </v>
      </c>
      <c r="C154" t="str">
        <f>"20180524"</f>
        <v>20180524</v>
      </c>
      <c r="D154" t="str">
        <f>"---"</f>
        <v>---</v>
      </c>
      <c r="E154" t="str">
        <f>"---"</f>
        <v>---</v>
      </c>
      <c r="F154" t="str">
        <f>"-6000.00"</f>
        <v>-6000.00</v>
      </c>
      <c r="G154" t="str">
        <f>"643.62"</f>
        <v>643.62</v>
      </c>
      <c r="H154" t="str">
        <f>"---"</f>
        <v>---</v>
      </c>
      <c r="I154" t="str">
        <f>"---"</f>
        <v>---</v>
      </c>
      <c r="J154" t="str">
        <f>"银行转取"</f>
        <v>银行转取</v>
      </c>
      <c r="K154" t="str">
        <f t="shared" ref="K154:P154" si="55">"---"</f>
        <v>---</v>
      </c>
      <c r="L154" t="str">
        <f t="shared" si="55"/>
        <v>---</v>
      </c>
      <c r="M154" t="str">
        <f t="shared" si="55"/>
        <v>---</v>
      </c>
      <c r="N154" t="str">
        <f t="shared" si="55"/>
        <v>---</v>
      </c>
      <c r="O154" t="str">
        <f t="shared" si="55"/>
        <v>---</v>
      </c>
      <c r="P154" t="str">
        <f t="shared" si="55"/>
        <v>---</v>
      </c>
    </row>
    <row r="155" spans="1:16" hidden="1" x14ac:dyDescent="0.25">
      <c r="A155" t="str">
        <f t="shared" si="51"/>
        <v>人民币</v>
      </c>
      <c r="B155" t="str">
        <f>"富联配号"</f>
        <v>富联配号</v>
      </c>
      <c r="C155" t="str">
        <f>"20180524"</f>
        <v>20180524</v>
      </c>
      <c r="D155" t="str">
        <f>"0.000"</f>
        <v>0.000</v>
      </c>
      <c r="E155" t="str">
        <f>"2.00"</f>
        <v>2.00</v>
      </c>
      <c r="F155" t="str">
        <f>"0.00"</f>
        <v>0.00</v>
      </c>
      <c r="G155" t="str">
        <f>"643.62"</f>
        <v>643.62</v>
      </c>
      <c r="H155" t="str">
        <f>"0.00"</f>
        <v>0.00</v>
      </c>
      <c r="I155" t="str">
        <f>"63"</f>
        <v>63</v>
      </c>
      <c r="J155" t="str">
        <f>"申购配号(富联配号)"</f>
        <v>申购配号(富联配号)</v>
      </c>
      <c r="K155" t="str">
        <f>"0.00"</f>
        <v>0.00</v>
      </c>
      <c r="L155" t="str">
        <f>"0.00"</f>
        <v>0.00</v>
      </c>
      <c r="M155" t="str">
        <f>"0.00"</f>
        <v>0.00</v>
      </c>
      <c r="N155" t="str">
        <f>"0.00"</f>
        <v>0.00</v>
      </c>
      <c r="O155" t="str">
        <f>"791138"</f>
        <v>791138</v>
      </c>
      <c r="P155" t="str">
        <f>"A400948245"</f>
        <v>A400948245</v>
      </c>
    </row>
    <row r="156" spans="1:16" hidden="1" x14ac:dyDescent="0.25">
      <c r="A156" t="str">
        <f t="shared" si="51"/>
        <v>人民币</v>
      </c>
      <c r="B156" t="str">
        <f>" "</f>
        <v xml:space="preserve"> </v>
      </c>
      <c r="C156" t="str">
        <f>"20180528"</f>
        <v>20180528</v>
      </c>
      <c r="D156" t="str">
        <f>"---"</f>
        <v>---</v>
      </c>
      <c r="E156" t="str">
        <f>"---"</f>
        <v>---</v>
      </c>
      <c r="F156" t="str">
        <f>"3000.00"</f>
        <v>3000.00</v>
      </c>
      <c r="G156" t="str">
        <f>"3643.62"</f>
        <v>3643.62</v>
      </c>
      <c r="H156" t="str">
        <f>"---"</f>
        <v>---</v>
      </c>
      <c r="I156" t="str">
        <f>"---"</f>
        <v>---</v>
      </c>
      <c r="J156" t="str">
        <f>"银行转存"</f>
        <v>银行转存</v>
      </c>
      <c r="K156" t="str">
        <f t="shared" ref="K156:P156" si="56">"---"</f>
        <v>---</v>
      </c>
      <c r="L156" t="str">
        <f t="shared" si="56"/>
        <v>---</v>
      </c>
      <c r="M156" t="str">
        <f t="shared" si="56"/>
        <v>---</v>
      </c>
      <c r="N156" t="str">
        <f t="shared" si="56"/>
        <v>---</v>
      </c>
      <c r="O156" t="str">
        <f t="shared" si="56"/>
        <v>---</v>
      </c>
      <c r="P156" t="str">
        <f t="shared" si="56"/>
        <v>---</v>
      </c>
    </row>
    <row r="157" spans="1:16" hidden="1" x14ac:dyDescent="0.25">
      <c r="A157" t="str">
        <f t="shared" si="51"/>
        <v>人民币</v>
      </c>
      <c r="B157" t="str">
        <f>"宏达电子"</f>
        <v>宏达电子</v>
      </c>
      <c r="C157" t="str">
        <f>"20180528"</f>
        <v>20180528</v>
      </c>
      <c r="D157" t="str">
        <f>"33.440"</f>
        <v>33.440</v>
      </c>
      <c r="E157" t="str">
        <f>"100.00"</f>
        <v>100.00</v>
      </c>
      <c r="F157" t="str">
        <f>"-3349.00"</f>
        <v>-3349.00</v>
      </c>
      <c r="G157" t="str">
        <f>"294.62"</f>
        <v>294.62</v>
      </c>
      <c r="H157" t="str">
        <f>"400.00"</f>
        <v>400.00</v>
      </c>
      <c r="I157" t="str">
        <f>"68"</f>
        <v>68</v>
      </c>
      <c r="J157" t="str">
        <f>"证券买入(宏达电子)"</f>
        <v>证券买入(宏达电子)</v>
      </c>
      <c r="K157" t="str">
        <f>"5.00"</f>
        <v>5.00</v>
      </c>
      <c r="L157" t="str">
        <f>"0.00"</f>
        <v>0.00</v>
      </c>
      <c r="M157" t="str">
        <f>"0.00"</f>
        <v>0.00</v>
      </c>
      <c r="N157" t="str">
        <f>"0.00"</f>
        <v>0.00</v>
      </c>
      <c r="O157" t="str">
        <f>"300726"</f>
        <v>300726</v>
      </c>
      <c r="P157" t="str">
        <f>"0153613480"</f>
        <v>0153613480</v>
      </c>
    </row>
    <row r="158" spans="1:16" hidden="1" x14ac:dyDescent="0.25">
      <c r="A158" t="str">
        <f t="shared" si="51"/>
        <v>人民币</v>
      </c>
      <c r="B158" t="str">
        <f>"中通国脉"</f>
        <v>中通国脉</v>
      </c>
      <c r="C158" t="str">
        <f>"20180529"</f>
        <v>20180529</v>
      </c>
      <c r="D158" t="str">
        <f>"29.920"</f>
        <v>29.920</v>
      </c>
      <c r="E158" t="str">
        <f>"-400.00"</f>
        <v>-400.00</v>
      </c>
      <c r="F158" t="str">
        <f>"11950.79"</f>
        <v>11950.79</v>
      </c>
      <c r="G158" t="str">
        <f>"12245.41"</f>
        <v>12245.41</v>
      </c>
      <c r="H158" t="str">
        <f>"600.00"</f>
        <v>600.00</v>
      </c>
      <c r="I158" t="str">
        <f>"73"</f>
        <v>73</v>
      </c>
      <c r="J158" t="str">
        <f>"证券卖出(中通国脉)"</f>
        <v>证券卖出(中通国脉)</v>
      </c>
      <c r="K158" t="str">
        <f>"5.00"</f>
        <v>5.00</v>
      </c>
      <c r="L158" t="str">
        <f>"11.97"</f>
        <v>11.97</v>
      </c>
      <c r="M158" t="str">
        <f>"0.24"</f>
        <v>0.24</v>
      </c>
      <c r="N158" t="str">
        <f>"0.00"</f>
        <v>0.00</v>
      </c>
      <c r="O158" t="str">
        <f>"603559"</f>
        <v>603559</v>
      </c>
      <c r="P158" t="str">
        <f>"A400948245"</f>
        <v>A400948245</v>
      </c>
    </row>
    <row r="159" spans="1:16" hidden="1" x14ac:dyDescent="0.25">
      <c r="A159" t="str">
        <f t="shared" si="51"/>
        <v>人民币</v>
      </c>
      <c r="B159" t="str">
        <f>"江龙船艇"</f>
        <v>江龙船艇</v>
      </c>
      <c r="C159" t="str">
        <f>"20180529"</f>
        <v>20180529</v>
      </c>
      <c r="D159" t="str">
        <f>"16.350"</f>
        <v>16.350</v>
      </c>
      <c r="E159" t="str">
        <f>"500.00"</f>
        <v>500.00</v>
      </c>
      <c r="F159" t="str">
        <f>"-8180.00"</f>
        <v>-8180.00</v>
      </c>
      <c r="G159" t="str">
        <f>"4065.41"</f>
        <v>4065.41</v>
      </c>
      <c r="H159" t="str">
        <f>"500.00"</f>
        <v>500.00</v>
      </c>
      <c r="I159" t="str">
        <f>"76"</f>
        <v>76</v>
      </c>
      <c r="J159" t="str">
        <f>"证券买入(江龙船艇)"</f>
        <v>证券买入(江龙船艇)</v>
      </c>
      <c r="K159" t="str">
        <f>"5.00"</f>
        <v>5.00</v>
      </c>
      <c r="L159" t="str">
        <f>"0.00"</f>
        <v>0.00</v>
      </c>
      <c r="M159" t="str">
        <f>"0.00"</f>
        <v>0.00</v>
      </c>
      <c r="N159" t="str">
        <f>"0.00"</f>
        <v>0.00</v>
      </c>
      <c r="O159" t="str">
        <f>"300589"</f>
        <v>300589</v>
      </c>
      <c r="P159" t="str">
        <f>"0153613480"</f>
        <v>0153613480</v>
      </c>
    </row>
    <row r="160" spans="1:16" hidden="1" x14ac:dyDescent="0.25">
      <c r="A160" t="str">
        <f t="shared" si="51"/>
        <v>人民币</v>
      </c>
      <c r="B160" t="str">
        <f>"中通国脉"</f>
        <v>中通国脉</v>
      </c>
      <c r="C160" t="str">
        <f t="shared" ref="C160:C166" si="57">"20180530"</f>
        <v>20180530</v>
      </c>
      <c r="D160" t="str">
        <f>"0.000"</f>
        <v>0.000</v>
      </c>
      <c r="E160" t="str">
        <f>"0.00"</f>
        <v>0.00</v>
      </c>
      <c r="F160" t="str">
        <f>"-0.90"</f>
        <v>-0.90</v>
      </c>
      <c r="G160" t="str">
        <f>"4064.51"</f>
        <v>4064.51</v>
      </c>
      <c r="H160" t="str">
        <f>"600.00"</f>
        <v>600.00</v>
      </c>
      <c r="I160" t="str">
        <f>"---"</f>
        <v>---</v>
      </c>
      <c r="J160" t="str">
        <f>"红利差异税扣税(中通国脉)"</f>
        <v>红利差异税扣税(中通国脉)</v>
      </c>
      <c r="K160" t="str">
        <f t="shared" ref="K160:N161" si="58">"---"</f>
        <v>---</v>
      </c>
      <c r="L160" t="str">
        <f t="shared" si="58"/>
        <v>---</v>
      </c>
      <c r="M160" t="str">
        <f t="shared" si="58"/>
        <v>---</v>
      </c>
      <c r="N160" t="str">
        <f t="shared" si="58"/>
        <v>---</v>
      </c>
      <c r="O160" t="str">
        <f>"603559"</f>
        <v>603559</v>
      </c>
      <c r="P160" t="str">
        <f>"A400948245"</f>
        <v>A400948245</v>
      </c>
    </row>
    <row r="161" spans="1:16" hidden="1" x14ac:dyDescent="0.25">
      <c r="A161" t="str">
        <f t="shared" si="51"/>
        <v>人民币</v>
      </c>
      <c r="B161" t="str">
        <f>"中通国脉"</f>
        <v>中通国脉</v>
      </c>
      <c r="C161" t="str">
        <f t="shared" si="57"/>
        <v>20180530</v>
      </c>
      <c r="D161" t="str">
        <f>"0.000"</f>
        <v>0.000</v>
      </c>
      <c r="E161" t="str">
        <f>"0.00"</f>
        <v>0.00</v>
      </c>
      <c r="F161" t="str">
        <f>"-0.90"</f>
        <v>-0.90</v>
      </c>
      <c r="G161" t="str">
        <f>"4063.61"</f>
        <v>4063.61</v>
      </c>
      <c r="H161" t="str">
        <f>"600.00"</f>
        <v>600.00</v>
      </c>
      <c r="I161" t="str">
        <f>"---"</f>
        <v>---</v>
      </c>
      <c r="J161" t="str">
        <f>"红利差异税扣税(中通国脉)"</f>
        <v>红利差异税扣税(中通国脉)</v>
      </c>
      <c r="K161" t="str">
        <f t="shared" si="58"/>
        <v>---</v>
      </c>
      <c r="L161" t="str">
        <f t="shared" si="58"/>
        <v>---</v>
      </c>
      <c r="M161" t="str">
        <f t="shared" si="58"/>
        <v>---</v>
      </c>
      <c r="N161" t="str">
        <f t="shared" si="58"/>
        <v>---</v>
      </c>
      <c r="O161" t="str">
        <f>"603559"</f>
        <v>603559</v>
      </c>
      <c r="P161" t="str">
        <f>"A400948245"</f>
        <v>A400948245</v>
      </c>
    </row>
    <row r="162" spans="1:16" hidden="1" x14ac:dyDescent="0.25">
      <c r="A162" t="str">
        <f t="shared" si="51"/>
        <v>人民币</v>
      </c>
      <c r="B162" t="str">
        <f>"绿动配号"</f>
        <v>绿动配号</v>
      </c>
      <c r="C162" t="str">
        <f t="shared" si="57"/>
        <v>20180530</v>
      </c>
      <c r="D162" t="str">
        <f>"0.000"</f>
        <v>0.000</v>
      </c>
      <c r="E162" t="str">
        <f>"2.00"</f>
        <v>2.00</v>
      </c>
      <c r="F162" t="str">
        <f>"0.00"</f>
        <v>0.00</v>
      </c>
      <c r="G162" t="str">
        <f>"4063.61"</f>
        <v>4063.61</v>
      </c>
      <c r="H162" t="str">
        <f>"0.00"</f>
        <v>0.00</v>
      </c>
      <c r="I162" t="str">
        <f>"84"</f>
        <v>84</v>
      </c>
      <c r="J162" t="str">
        <f>"申购配号(绿动配号)"</f>
        <v>申购配号(绿动配号)</v>
      </c>
      <c r="K162" t="str">
        <f>"0.00"</f>
        <v>0.00</v>
      </c>
      <c r="L162" t="str">
        <f>"0.00"</f>
        <v>0.00</v>
      </c>
      <c r="M162" t="str">
        <f>"0.00"</f>
        <v>0.00</v>
      </c>
      <c r="N162" t="str">
        <f>"0.00"</f>
        <v>0.00</v>
      </c>
      <c r="O162" t="str">
        <f>"791330"</f>
        <v>791330</v>
      </c>
      <c r="P162" t="str">
        <f>"A400948245"</f>
        <v>A400948245</v>
      </c>
    </row>
    <row r="163" spans="1:16" hidden="1" x14ac:dyDescent="0.25">
      <c r="A163" t="str">
        <f t="shared" si="51"/>
        <v>人民币</v>
      </c>
      <c r="B163" t="str">
        <f>"中通国脉"</f>
        <v>中通国脉</v>
      </c>
      <c r="C163" t="str">
        <f t="shared" si="57"/>
        <v>20180530</v>
      </c>
      <c r="D163" t="str">
        <f>"27.710"</f>
        <v>27.710</v>
      </c>
      <c r="E163" t="str">
        <f>"100.00"</f>
        <v>100.00</v>
      </c>
      <c r="F163" t="str">
        <f>"-2776.06"</f>
        <v>-2776.06</v>
      </c>
      <c r="G163" t="str">
        <f>"1287.55"</f>
        <v>1287.55</v>
      </c>
      <c r="H163" t="str">
        <f>"700.00"</f>
        <v>700.00</v>
      </c>
      <c r="I163" t="str">
        <f>"88"</f>
        <v>88</v>
      </c>
      <c r="J163" t="str">
        <f>"证券买入(中通国脉)"</f>
        <v>证券买入(中通国脉)</v>
      </c>
      <c r="K163" t="str">
        <f>"5.00"</f>
        <v>5.00</v>
      </c>
      <c r="L163" t="str">
        <f>"0.00"</f>
        <v>0.00</v>
      </c>
      <c r="M163" t="str">
        <f>"0.06"</f>
        <v>0.06</v>
      </c>
      <c r="N163" t="str">
        <f t="shared" ref="N163:N168" si="59">"0.00"</f>
        <v>0.00</v>
      </c>
      <c r="O163" t="str">
        <f>"603559"</f>
        <v>603559</v>
      </c>
      <c r="P163" t="str">
        <f>"A400948245"</f>
        <v>A400948245</v>
      </c>
    </row>
    <row r="164" spans="1:16" hidden="1" x14ac:dyDescent="0.25">
      <c r="A164" t="str">
        <f t="shared" si="51"/>
        <v>人民币</v>
      </c>
      <c r="B164" t="str">
        <f>"中通国脉"</f>
        <v>中通国脉</v>
      </c>
      <c r="C164" t="str">
        <f t="shared" si="57"/>
        <v>20180530</v>
      </c>
      <c r="D164" t="str">
        <f>"28.370"</f>
        <v>28.370</v>
      </c>
      <c r="E164" t="str">
        <f>"-100.00"</f>
        <v>-100.00</v>
      </c>
      <c r="F164" t="str">
        <f>"2829.10"</f>
        <v>2829.10</v>
      </c>
      <c r="G164" t="str">
        <f>"4116.65"</f>
        <v>4116.65</v>
      </c>
      <c r="H164" t="str">
        <f>"600.00"</f>
        <v>600.00</v>
      </c>
      <c r="I164" t="str">
        <f>"91"</f>
        <v>91</v>
      </c>
      <c r="J164" t="str">
        <f>"证券卖出(中通国脉)"</f>
        <v>证券卖出(中通国脉)</v>
      </c>
      <c r="K164" t="str">
        <f>"5.00"</f>
        <v>5.00</v>
      </c>
      <c r="L164" t="str">
        <f>"2.84"</f>
        <v>2.84</v>
      </c>
      <c r="M164" t="str">
        <f>"0.06"</f>
        <v>0.06</v>
      </c>
      <c r="N164" t="str">
        <f t="shared" si="59"/>
        <v>0.00</v>
      </c>
      <c r="O164" t="str">
        <f>"603559"</f>
        <v>603559</v>
      </c>
      <c r="P164" t="str">
        <f>"A400948245"</f>
        <v>A400948245</v>
      </c>
    </row>
    <row r="165" spans="1:16" hidden="1" x14ac:dyDescent="0.25">
      <c r="A165" t="str">
        <f t="shared" si="51"/>
        <v>人民币</v>
      </c>
      <c r="B165" t="str">
        <f>"宏达电子"</f>
        <v>宏达电子</v>
      </c>
      <c r="C165" t="str">
        <f t="shared" si="57"/>
        <v>20180530</v>
      </c>
      <c r="D165" t="str">
        <f>"30.100"</f>
        <v>30.100</v>
      </c>
      <c r="E165" t="str">
        <f>"100.00"</f>
        <v>100.00</v>
      </c>
      <c r="F165" t="str">
        <f>"-3015.00"</f>
        <v>-3015.00</v>
      </c>
      <c r="G165" t="str">
        <f>"1101.65"</f>
        <v>1101.65</v>
      </c>
      <c r="H165" t="str">
        <f>"500.00"</f>
        <v>500.00</v>
      </c>
      <c r="I165" t="str">
        <f>"94"</f>
        <v>94</v>
      </c>
      <c r="J165" t="str">
        <f>"证券买入(宏达电子)"</f>
        <v>证券买入(宏达电子)</v>
      </c>
      <c r="K165" t="str">
        <f>"5.00"</f>
        <v>5.00</v>
      </c>
      <c r="L165" t="str">
        <f t="shared" ref="L165:M168" si="60">"0.00"</f>
        <v>0.00</v>
      </c>
      <c r="M165" t="str">
        <f t="shared" si="60"/>
        <v>0.00</v>
      </c>
      <c r="N165" t="str">
        <f t="shared" si="59"/>
        <v>0.00</v>
      </c>
      <c r="O165" t="str">
        <f>"300726"</f>
        <v>300726</v>
      </c>
      <c r="P165" t="str">
        <f>"0153613480"</f>
        <v>0153613480</v>
      </c>
    </row>
    <row r="166" spans="1:16" hidden="1" x14ac:dyDescent="0.25">
      <c r="A166" t="str">
        <f t="shared" si="51"/>
        <v>人民币</v>
      </c>
      <c r="B166" t="str">
        <f>"宁德时代"</f>
        <v>宁德时代</v>
      </c>
      <c r="C166" t="str">
        <f t="shared" si="57"/>
        <v>20180530</v>
      </c>
      <c r="D166" t="str">
        <f>"0.000"</f>
        <v>0.000</v>
      </c>
      <c r="E166" t="str">
        <f>"2.00"</f>
        <v>2.00</v>
      </c>
      <c r="F166" t="str">
        <f>"0.00"</f>
        <v>0.00</v>
      </c>
      <c r="G166" t="str">
        <f>"1101.65"</f>
        <v>1101.65</v>
      </c>
      <c r="H166" t="str">
        <f>"0.00"</f>
        <v>0.00</v>
      </c>
      <c r="I166" t="str">
        <f>"86"</f>
        <v>86</v>
      </c>
      <c r="J166" t="str">
        <f>"申购配号(宁德时代)"</f>
        <v>申购配号(宁德时代)</v>
      </c>
      <c r="K166" t="str">
        <f>"0.00"</f>
        <v>0.00</v>
      </c>
      <c r="L166" t="str">
        <f t="shared" si="60"/>
        <v>0.00</v>
      </c>
      <c r="M166" t="str">
        <f t="shared" si="60"/>
        <v>0.00</v>
      </c>
      <c r="N166" t="str">
        <f t="shared" si="59"/>
        <v>0.00</v>
      </c>
      <c r="O166" t="str">
        <f>"300750"</f>
        <v>300750</v>
      </c>
      <c r="P166" t="str">
        <f>"0153613480"</f>
        <v>0153613480</v>
      </c>
    </row>
    <row r="167" spans="1:16" hidden="1" x14ac:dyDescent="0.25">
      <c r="A167" t="str">
        <f t="shared" si="51"/>
        <v>人民币</v>
      </c>
      <c r="B167" t="str">
        <f>"亿嘉配号"</f>
        <v>亿嘉配号</v>
      </c>
      <c r="C167" t="str">
        <f>"20180531"</f>
        <v>20180531</v>
      </c>
      <c r="D167" t="str">
        <f>"0.000"</f>
        <v>0.000</v>
      </c>
      <c r="E167" t="str">
        <f>"2.00"</f>
        <v>2.00</v>
      </c>
      <c r="F167" t="str">
        <f>"0.00"</f>
        <v>0.00</v>
      </c>
      <c r="G167" t="str">
        <f>"1101.65"</f>
        <v>1101.65</v>
      </c>
      <c r="H167" t="str">
        <f>"0.00"</f>
        <v>0.00</v>
      </c>
      <c r="I167" t="str">
        <f>"102"</f>
        <v>102</v>
      </c>
      <c r="J167" t="str">
        <f>"申购配号(亿嘉配号)"</f>
        <v>申购配号(亿嘉配号)</v>
      </c>
      <c r="K167" t="str">
        <f>"0.00"</f>
        <v>0.00</v>
      </c>
      <c r="L167" t="str">
        <f t="shared" si="60"/>
        <v>0.00</v>
      </c>
      <c r="M167" t="str">
        <f t="shared" si="60"/>
        <v>0.00</v>
      </c>
      <c r="N167" t="str">
        <f t="shared" si="59"/>
        <v>0.00</v>
      </c>
      <c r="O167" t="str">
        <f>"736666"</f>
        <v>736666</v>
      </c>
      <c r="P167" t="str">
        <f>"A400948245"</f>
        <v>A400948245</v>
      </c>
    </row>
    <row r="168" spans="1:16" hidden="1" x14ac:dyDescent="0.25">
      <c r="A168" t="str">
        <f t="shared" si="51"/>
        <v>人民币</v>
      </c>
      <c r="B168" t="str">
        <f>"南证配号"</f>
        <v>南证配号</v>
      </c>
      <c r="C168" t="str">
        <f>"20180601"</f>
        <v>20180601</v>
      </c>
      <c r="D168" t="str">
        <f>"0.000"</f>
        <v>0.000</v>
      </c>
      <c r="E168" t="str">
        <f>"2.00"</f>
        <v>2.00</v>
      </c>
      <c r="F168" t="str">
        <f>"0.00"</f>
        <v>0.00</v>
      </c>
      <c r="G168" t="str">
        <f>"1101.65"</f>
        <v>1101.65</v>
      </c>
      <c r="H168" t="str">
        <f>"0.00"</f>
        <v>0.00</v>
      </c>
      <c r="I168" t="str">
        <f>"105"</f>
        <v>105</v>
      </c>
      <c r="J168" t="str">
        <f>"申购配号(南证配号)"</f>
        <v>申购配号(南证配号)</v>
      </c>
      <c r="K168" t="str">
        <f>"0.00"</f>
        <v>0.00</v>
      </c>
      <c r="L168" t="str">
        <f t="shared" si="60"/>
        <v>0.00</v>
      </c>
      <c r="M168" t="str">
        <f t="shared" si="60"/>
        <v>0.00</v>
      </c>
      <c r="N168" t="str">
        <f t="shared" si="59"/>
        <v>0.00</v>
      </c>
      <c r="O168" t="str">
        <f>"791990"</f>
        <v>791990</v>
      </c>
      <c r="P168" t="str">
        <f>"A400948245"</f>
        <v>A400948245</v>
      </c>
    </row>
    <row r="169" spans="1:16" hidden="1" x14ac:dyDescent="0.25">
      <c r="A169" t="str">
        <f t="shared" si="51"/>
        <v>人民币</v>
      </c>
      <c r="B169" t="str">
        <f>" "</f>
        <v xml:space="preserve"> </v>
      </c>
      <c r="C169" t="str">
        <f>"20180605"</f>
        <v>20180605</v>
      </c>
      <c r="D169" t="str">
        <f>"---"</f>
        <v>---</v>
      </c>
      <c r="E169" t="str">
        <f>"---"</f>
        <v>---</v>
      </c>
      <c r="F169" t="str">
        <f>"8000.00"</f>
        <v>8000.00</v>
      </c>
      <c r="G169" t="str">
        <f>"9101.65"</f>
        <v>9101.65</v>
      </c>
      <c r="H169" t="str">
        <f>"---"</f>
        <v>---</v>
      </c>
      <c r="I169" t="str">
        <f>"---"</f>
        <v>---</v>
      </c>
      <c r="J169" t="str">
        <f>"银行转存"</f>
        <v>银行转存</v>
      </c>
      <c r="K169" t="str">
        <f t="shared" ref="K169:P169" si="61">"---"</f>
        <v>---</v>
      </c>
      <c r="L169" t="str">
        <f t="shared" si="61"/>
        <v>---</v>
      </c>
      <c r="M169" t="str">
        <f t="shared" si="61"/>
        <v>---</v>
      </c>
      <c r="N169" t="str">
        <f t="shared" si="61"/>
        <v>---</v>
      </c>
      <c r="O169" t="str">
        <f t="shared" si="61"/>
        <v>---</v>
      </c>
      <c r="P169" t="str">
        <f t="shared" si="61"/>
        <v>---</v>
      </c>
    </row>
    <row r="170" spans="1:16" hidden="1" x14ac:dyDescent="0.25">
      <c r="A170" t="str">
        <f t="shared" si="51"/>
        <v>人民币</v>
      </c>
      <c r="B170" t="str">
        <f>"江龙船艇"</f>
        <v>江龙船艇</v>
      </c>
      <c r="C170" t="str">
        <f>"20180605"</f>
        <v>20180605</v>
      </c>
      <c r="D170" t="str">
        <f>"15.900"</f>
        <v>15.900</v>
      </c>
      <c r="E170" t="str">
        <f>"200.00"</f>
        <v>200.00</v>
      </c>
      <c r="F170" t="str">
        <f>"-3185.00"</f>
        <v>-3185.00</v>
      </c>
      <c r="G170" t="str">
        <f>"5916.65"</f>
        <v>5916.65</v>
      </c>
      <c r="H170" t="str">
        <f>"700.00"</f>
        <v>700.00</v>
      </c>
      <c r="I170" t="str">
        <f>"115"</f>
        <v>115</v>
      </c>
      <c r="J170" t="str">
        <f>"证券买入(江龙船艇)"</f>
        <v>证券买入(江龙船艇)</v>
      </c>
      <c r="K170" t="str">
        <f>"5.00"</f>
        <v>5.00</v>
      </c>
      <c r="L170" t="str">
        <f t="shared" ref="L170:N171" si="62">"0.00"</f>
        <v>0.00</v>
      </c>
      <c r="M170" t="str">
        <f t="shared" si="62"/>
        <v>0.00</v>
      </c>
      <c r="N170" t="str">
        <f t="shared" si="62"/>
        <v>0.00</v>
      </c>
      <c r="O170" t="str">
        <f>"300589"</f>
        <v>300589</v>
      </c>
      <c r="P170" t="str">
        <f>"0153613480"</f>
        <v>0153613480</v>
      </c>
    </row>
    <row r="171" spans="1:16" hidden="1" x14ac:dyDescent="0.25">
      <c r="A171" t="str">
        <f t="shared" si="51"/>
        <v>人民币</v>
      </c>
      <c r="B171" t="str">
        <f>"宏达电子"</f>
        <v>宏达电子</v>
      </c>
      <c r="C171" t="str">
        <f>"20180605"</f>
        <v>20180605</v>
      </c>
      <c r="D171" t="str">
        <f>"29.300"</f>
        <v>29.300</v>
      </c>
      <c r="E171" t="str">
        <f>"100.00"</f>
        <v>100.00</v>
      </c>
      <c r="F171" t="str">
        <f>"-2935.00"</f>
        <v>-2935.00</v>
      </c>
      <c r="G171" t="str">
        <f>"2981.65"</f>
        <v>2981.65</v>
      </c>
      <c r="H171" t="str">
        <f>"600.00"</f>
        <v>600.00</v>
      </c>
      <c r="I171" t="str">
        <f>"109"</f>
        <v>109</v>
      </c>
      <c r="J171" t="str">
        <f>"证券买入(宏达电子)"</f>
        <v>证券买入(宏达电子)</v>
      </c>
      <c r="K171" t="str">
        <f>"5.00"</f>
        <v>5.00</v>
      </c>
      <c r="L171" t="str">
        <f t="shared" si="62"/>
        <v>0.00</v>
      </c>
      <c r="M171" t="str">
        <f t="shared" si="62"/>
        <v>0.00</v>
      </c>
      <c r="N171" t="str">
        <f t="shared" si="62"/>
        <v>0.00</v>
      </c>
      <c r="O171" t="str">
        <f>"300726"</f>
        <v>300726</v>
      </c>
      <c r="P171" t="str">
        <f>"0153613480"</f>
        <v>0153613480</v>
      </c>
    </row>
    <row r="172" spans="1:16" hidden="1" x14ac:dyDescent="0.25">
      <c r="A172" t="str">
        <f t="shared" si="51"/>
        <v>人民币</v>
      </c>
      <c r="B172" t="str">
        <f>" "</f>
        <v xml:space="preserve"> </v>
      </c>
      <c r="C172" t="str">
        <f>"20180606"</f>
        <v>20180606</v>
      </c>
      <c r="D172" t="str">
        <f>"---"</f>
        <v>---</v>
      </c>
      <c r="E172" t="str">
        <f>"---"</f>
        <v>---</v>
      </c>
      <c r="F172" t="str">
        <f>"15000.00"</f>
        <v>15000.00</v>
      </c>
      <c r="G172" t="str">
        <f>"17981.65"</f>
        <v>17981.65</v>
      </c>
      <c r="H172" t="str">
        <f>"---"</f>
        <v>---</v>
      </c>
      <c r="I172" t="str">
        <f>"---"</f>
        <v>---</v>
      </c>
      <c r="J172" t="str">
        <f>"银行转存"</f>
        <v>银行转存</v>
      </c>
      <c r="K172" t="str">
        <f t="shared" ref="K172:P172" si="63">"---"</f>
        <v>---</v>
      </c>
      <c r="L172" t="str">
        <f t="shared" si="63"/>
        <v>---</v>
      </c>
      <c r="M172" t="str">
        <f t="shared" si="63"/>
        <v>---</v>
      </c>
      <c r="N172" t="str">
        <f t="shared" si="63"/>
        <v>---</v>
      </c>
      <c r="O172" t="str">
        <f t="shared" si="63"/>
        <v>---</v>
      </c>
      <c r="P172" t="str">
        <f t="shared" si="63"/>
        <v>---</v>
      </c>
    </row>
    <row r="173" spans="1:16" hidden="1" x14ac:dyDescent="0.25">
      <c r="A173" t="str">
        <f t="shared" si="51"/>
        <v>人民币</v>
      </c>
      <c r="B173" t="str">
        <f>"江龙船艇"</f>
        <v>江龙船艇</v>
      </c>
      <c r="C173" t="str">
        <f>"20180606"</f>
        <v>20180606</v>
      </c>
      <c r="D173" t="str">
        <f>"16.000"</f>
        <v>16.000</v>
      </c>
      <c r="E173" t="str">
        <f>"300.00"</f>
        <v>300.00</v>
      </c>
      <c r="F173" t="str">
        <f>"-4805.00"</f>
        <v>-4805.00</v>
      </c>
      <c r="G173" t="str">
        <f>"13176.65"</f>
        <v>13176.65</v>
      </c>
      <c r="H173" t="str">
        <f>"1000.00"</f>
        <v>1000.00</v>
      </c>
      <c r="I173" t="str">
        <f>"5"</f>
        <v>5</v>
      </c>
      <c r="J173" t="str">
        <f>"证券买入(江龙船艇)"</f>
        <v>证券买入(江龙船艇)</v>
      </c>
      <c r="K173" t="str">
        <f>"5.00"</f>
        <v>5.00</v>
      </c>
      <c r="L173" t="str">
        <f t="shared" ref="L173:N178" si="64">"0.00"</f>
        <v>0.00</v>
      </c>
      <c r="M173" t="str">
        <f t="shared" si="64"/>
        <v>0.00</v>
      </c>
      <c r="N173" t="str">
        <f t="shared" si="64"/>
        <v>0.00</v>
      </c>
      <c r="O173" t="str">
        <f>"300589"</f>
        <v>300589</v>
      </c>
      <c r="P173" t="str">
        <f>"0153613480"</f>
        <v>0153613480</v>
      </c>
    </row>
    <row r="174" spans="1:16" hidden="1" x14ac:dyDescent="0.25">
      <c r="A174" t="str">
        <f t="shared" si="51"/>
        <v>人民币</v>
      </c>
      <c r="B174" t="str">
        <f>"建投配号"</f>
        <v>建投配号</v>
      </c>
      <c r="C174" t="str">
        <f>"20180607"</f>
        <v>20180607</v>
      </c>
      <c r="D174" t="str">
        <f>"0.000"</f>
        <v>0.000</v>
      </c>
      <c r="E174" t="str">
        <f>"2.00"</f>
        <v>2.00</v>
      </c>
      <c r="F174" t="str">
        <f>"0.00"</f>
        <v>0.00</v>
      </c>
      <c r="G174" t="str">
        <f>"13176.65"</f>
        <v>13176.65</v>
      </c>
      <c r="H174" t="str">
        <f>"0.00"</f>
        <v>0.00</v>
      </c>
      <c r="I174" t="str">
        <f>"9"</f>
        <v>9</v>
      </c>
      <c r="J174" t="str">
        <f>"申购配号(建投配号)"</f>
        <v>申购配号(建投配号)</v>
      </c>
      <c r="K174" t="str">
        <f>"0.00"</f>
        <v>0.00</v>
      </c>
      <c r="L174" t="str">
        <f t="shared" si="64"/>
        <v>0.00</v>
      </c>
      <c r="M174" t="str">
        <f t="shared" si="64"/>
        <v>0.00</v>
      </c>
      <c r="N174" t="str">
        <f t="shared" si="64"/>
        <v>0.00</v>
      </c>
      <c r="O174" t="str">
        <f>"791066"</f>
        <v>791066</v>
      </c>
      <c r="P174" t="str">
        <f>"A400948245"</f>
        <v>A400948245</v>
      </c>
    </row>
    <row r="175" spans="1:16" hidden="1" x14ac:dyDescent="0.25">
      <c r="A175" t="str">
        <f t="shared" si="51"/>
        <v>人民币</v>
      </c>
      <c r="B175" t="str">
        <f>"宏达电子"</f>
        <v>宏达电子</v>
      </c>
      <c r="C175" t="str">
        <f>"20180607"</f>
        <v>20180607</v>
      </c>
      <c r="D175" t="str">
        <f>"29.550"</f>
        <v>29.550</v>
      </c>
      <c r="E175" t="str">
        <f>"100.00"</f>
        <v>100.00</v>
      </c>
      <c r="F175" t="str">
        <f>"-2960.00"</f>
        <v>-2960.00</v>
      </c>
      <c r="G175" t="str">
        <f>"10216.65"</f>
        <v>10216.65</v>
      </c>
      <c r="H175" t="str">
        <f>"700.00"</f>
        <v>700.00</v>
      </c>
      <c r="I175" t="str">
        <f>"11"</f>
        <v>11</v>
      </c>
      <c r="J175" t="str">
        <f>"证券买入(宏达电子)"</f>
        <v>证券买入(宏达电子)</v>
      </c>
      <c r="K175" t="str">
        <f>"5.00"</f>
        <v>5.00</v>
      </c>
      <c r="L175" t="str">
        <f t="shared" si="64"/>
        <v>0.00</v>
      </c>
      <c r="M175" t="str">
        <f t="shared" si="64"/>
        <v>0.00</v>
      </c>
      <c r="N175" t="str">
        <f t="shared" si="64"/>
        <v>0.00</v>
      </c>
      <c r="O175" t="str">
        <f>"300726"</f>
        <v>300726</v>
      </c>
      <c r="P175" t="str">
        <f>"0153613480"</f>
        <v>0153613480</v>
      </c>
    </row>
    <row r="176" spans="1:16" hidden="1" x14ac:dyDescent="0.25">
      <c r="A176" t="str">
        <f t="shared" si="51"/>
        <v>人民币</v>
      </c>
      <c r="B176" t="str">
        <f>"宏达电子"</f>
        <v>宏达电子</v>
      </c>
      <c r="C176" t="str">
        <f>"20180607"</f>
        <v>20180607</v>
      </c>
      <c r="D176" t="str">
        <f>"29.300"</f>
        <v>29.300</v>
      </c>
      <c r="E176" t="str">
        <f>"100.00"</f>
        <v>100.00</v>
      </c>
      <c r="F176" t="str">
        <f>"-2935.00"</f>
        <v>-2935.00</v>
      </c>
      <c r="G176" t="str">
        <f>"7281.65"</f>
        <v>7281.65</v>
      </c>
      <c r="H176" t="str">
        <f>"800.00"</f>
        <v>800.00</v>
      </c>
      <c r="I176" t="str">
        <f>"14"</f>
        <v>14</v>
      </c>
      <c r="J176" t="str">
        <f>"证券买入(宏达电子)"</f>
        <v>证券买入(宏达电子)</v>
      </c>
      <c r="K176" t="str">
        <f>"5.00"</f>
        <v>5.00</v>
      </c>
      <c r="L176" t="str">
        <f t="shared" si="64"/>
        <v>0.00</v>
      </c>
      <c r="M176" t="str">
        <f t="shared" si="64"/>
        <v>0.00</v>
      </c>
      <c r="N176" t="str">
        <f t="shared" si="64"/>
        <v>0.00</v>
      </c>
      <c r="O176" t="str">
        <f>"300726"</f>
        <v>300726</v>
      </c>
      <c r="P176" t="str">
        <f>"0153613480"</f>
        <v>0153613480</v>
      </c>
    </row>
    <row r="177" spans="1:16" hidden="1" x14ac:dyDescent="0.25">
      <c r="A177" t="str">
        <f t="shared" si="51"/>
        <v>人民币</v>
      </c>
      <c r="B177" t="str">
        <f>"地素配号"</f>
        <v>地素配号</v>
      </c>
      <c r="C177" t="str">
        <f>"20180612"</f>
        <v>20180612</v>
      </c>
      <c r="D177" t="str">
        <f>"0.000"</f>
        <v>0.000</v>
      </c>
      <c r="E177" t="str">
        <f>"2.00"</f>
        <v>2.00</v>
      </c>
      <c r="F177" t="str">
        <f>"0.00"</f>
        <v>0.00</v>
      </c>
      <c r="G177" t="str">
        <f>"7281.65"</f>
        <v>7281.65</v>
      </c>
      <c r="H177" t="str">
        <f>"0.00"</f>
        <v>0.00</v>
      </c>
      <c r="I177" t="str">
        <f>"20"</f>
        <v>20</v>
      </c>
      <c r="J177" t="str">
        <f>"申购配号(地素配号)"</f>
        <v>申购配号(地素配号)</v>
      </c>
      <c r="K177" t="str">
        <f>"0.00"</f>
        <v>0.00</v>
      </c>
      <c r="L177" t="str">
        <f t="shared" si="64"/>
        <v>0.00</v>
      </c>
      <c r="M177" t="str">
        <f t="shared" si="64"/>
        <v>0.00</v>
      </c>
      <c r="N177" t="str">
        <f t="shared" si="64"/>
        <v>0.00</v>
      </c>
      <c r="O177" t="str">
        <f>"736587"</f>
        <v>736587</v>
      </c>
      <c r="P177" t="str">
        <f>"A400948245"</f>
        <v>A400948245</v>
      </c>
    </row>
    <row r="178" spans="1:16" hidden="1" x14ac:dyDescent="0.25">
      <c r="A178" t="str">
        <f t="shared" si="51"/>
        <v>人民币</v>
      </c>
      <c r="B178" t="str">
        <f>"宏达电子"</f>
        <v>宏达电子</v>
      </c>
      <c r="C178" t="str">
        <f>"20180612"</f>
        <v>20180612</v>
      </c>
      <c r="D178" t="str">
        <f>"27.510"</f>
        <v>27.510</v>
      </c>
      <c r="E178" t="str">
        <f>"200.00"</f>
        <v>200.00</v>
      </c>
      <c r="F178" t="str">
        <f>"-5507.00"</f>
        <v>-5507.00</v>
      </c>
      <c r="G178" t="str">
        <f>"1774.65"</f>
        <v>1774.65</v>
      </c>
      <c r="H178" t="str">
        <f>"1000.00"</f>
        <v>1000.00</v>
      </c>
      <c r="I178" t="str">
        <f>"25"</f>
        <v>25</v>
      </c>
      <c r="J178" t="str">
        <f>"证券买入(宏达电子)"</f>
        <v>证券买入(宏达电子)</v>
      </c>
      <c r="K178" t="str">
        <f>"5.00"</f>
        <v>5.00</v>
      </c>
      <c r="L178" t="str">
        <f t="shared" si="64"/>
        <v>0.00</v>
      </c>
      <c r="M178" t="str">
        <f t="shared" si="64"/>
        <v>0.00</v>
      </c>
      <c r="N178" t="str">
        <f t="shared" si="64"/>
        <v>0.00</v>
      </c>
      <c r="O178" t="str">
        <f>"300726"</f>
        <v>300726</v>
      </c>
      <c r="P178" t="str">
        <f>"0153613480"</f>
        <v>0153613480</v>
      </c>
    </row>
    <row r="179" spans="1:16" hidden="1" x14ac:dyDescent="0.25">
      <c r="A179" t="str">
        <f t="shared" si="51"/>
        <v>人民币</v>
      </c>
      <c r="B179" t="str">
        <f>" "</f>
        <v xml:space="preserve"> </v>
      </c>
      <c r="C179" t="str">
        <f>"20180615"</f>
        <v>20180615</v>
      </c>
      <c r="D179" t="str">
        <f>"---"</f>
        <v>---</v>
      </c>
      <c r="E179" t="str">
        <f>"---"</f>
        <v>---</v>
      </c>
      <c r="F179" t="str">
        <f>"15000.00"</f>
        <v>15000.00</v>
      </c>
      <c r="G179" t="str">
        <f>"16774.65"</f>
        <v>16774.65</v>
      </c>
      <c r="H179" t="str">
        <f>"---"</f>
        <v>---</v>
      </c>
      <c r="I179" t="str">
        <f>"---"</f>
        <v>---</v>
      </c>
      <c r="J179" t="str">
        <f>"银行转存"</f>
        <v>银行转存</v>
      </c>
      <c r="K179" t="str">
        <f t="shared" ref="K179:P179" si="65">"---"</f>
        <v>---</v>
      </c>
      <c r="L179" t="str">
        <f t="shared" si="65"/>
        <v>---</v>
      </c>
      <c r="M179" t="str">
        <f t="shared" si="65"/>
        <v>---</v>
      </c>
      <c r="N179" t="str">
        <f t="shared" si="65"/>
        <v>---</v>
      </c>
      <c r="O179" t="str">
        <f t="shared" si="65"/>
        <v>---</v>
      </c>
      <c r="P179" t="str">
        <f t="shared" si="65"/>
        <v>---</v>
      </c>
    </row>
    <row r="180" spans="1:16" hidden="1" x14ac:dyDescent="0.25">
      <c r="A180" t="str">
        <f t="shared" si="51"/>
        <v>人民币</v>
      </c>
      <c r="B180" t="str">
        <f>"江龙船艇"</f>
        <v>江龙船艇</v>
      </c>
      <c r="C180" t="str">
        <f>"20180615"</f>
        <v>20180615</v>
      </c>
      <c r="D180" t="str">
        <f>"13.700"</f>
        <v>13.700</v>
      </c>
      <c r="E180" t="str">
        <f>"500.00"</f>
        <v>500.00</v>
      </c>
      <c r="F180" t="str">
        <f>"-6855.00"</f>
        <v>-6855.00</v>
      </c>
      <c r="G180" t="str">
        <f>"9919.65"</f>
        <v>9919.65</v>
      </c>
      <c r="H180" t="str">
        <f>"1500.00"</f>
        <v>1500.00</v>
      </c>
      <c r="I180" t="str">
        <f>"31"</f>
        <v>31</v>
      </c>
      <c r="J180" t="str">
        <f>"证券买入(江龙船艇)"</f>
        <v>证券买入(江龙船艇)</v>
      </c>
      <c r="K180" t="str">
        <f>"5.00"</f>
        <v>5.00</v>
      </c>
      <c r="L180" t="str">
        <f t="shared" ref="L180:N182" si="66">"0.00"</f>
        <v>0.00</v>
      </c>
      <c r="M180" t="str">
        <f t="shared" si="66"/>
        <v>0.00</v>
      </c>
      <c r="N180" t="str">
        <f t="shared" si="66"/>
        <v>0.00</v>
      </c>
      <c r="O180" t="str">
        <f>"300589"</f>
        <v>300589</v>
      </c>
      <c r="P180" t="str">
        <f>"0153613480"</f>
        <v>0153613480</v>
      </c>
    </row>
    <row r="181" spans="1:16" hidden="1" x14ac:dyDescent="0.25">
      <c r="A181" t="str">
        <f t="shared" si="51"/>
        <v>人民币</v>
      </c>
      <c r="B181" t="str">
        <f>"江龙船艇"</f>
        <v>江龙船艇</v>
      </c>
      <c r="C181" t="str">
        <f>"20180615"</f>
        <v>20180615</v>
      </c>
      <c r="D181" t="str">
        <f>"13.040"</f>
        <v>13.040</v>
      </c>
      <c r="E181" t="str">
        <f>"400.00"</f>
        <v>400.00</v>
      </c>
      <c r="F181" t="str">
        <f>"-5221.00"</f>
        <v>-5221.00</v>
      </c>
      <c r="G181" t="str">
        <f>"4698.65"</f>
        <v>4698.65</v>
      </c>
      <c r="H181" t="str">
        <f>"1900.00"</f>
        <v>1900.00</v>
      </c>
      <c r="I181" t="str">
        <f>"34"</f>
        <v>34</v>
      </c>
      <c r="J181" t="str">
        <f>"证券买入(江龙船艇)"</f>
        <v>证券买入(江龙船艇)</v>
      </c>
      <c r="K181" t="str">
        <f>"5.00"</f>
        <v>5.00</v>
      </c>
      <c r="L181" t="str">
        <f t="shared" si="66"/>
        <v>0.00</v>
      </c>
      <c r="M181" t="str">
        <f t="shared" si="66"/>
        <v>0.00</v>
      </c>
      <c r="N181" t="str">
        <f t="shared" si="66"/>
        <v>0.00</v>
      </c>
      <c r="O181" t="str">
        <f>"300589"</f>
        <v>300589</v>
      </c>
      <c r="P181" t="str">
        <f>"0153613480"</f>
        <v>0153613480</v>
      </c>
    </row>
    <row r="182" spans="1:16" hidden="1" x14ac:dyDescent="0.25">
      <c r="A182" t="str">
        <f t="shared" si="51"/>
        <v>人民币</v>
      </c>
      <c r="B182" t="str">
        <f>"江龙船艇"</f>
        <v>江龙船艇</v>
      </c>
      <c r="C182" t="str">
        <f>"20180619"</f>
        <v>20180619</v>
      </c>
      <c r="D182" t="str">
        <f>"12.930"</f>
        <v>12.930</v>
      </c>
      <c r="E182" t="str">
        <f>"300.00"</f>
        <v>300.00</v>
      </c>
      <c r="F182" t="str">
        <f>"-3884.00"</f>
        <v>-3884.00</v>
      </c>
      <c r="G182" t="str">
        <f>"814.65"</f>
        <v>814.65</v>
      </c>
      <c r="H182" t="str">
        <f>"2200.00"</f>
        <v>2200.00</v>
      </c>
      <c r="I182" t="str">
        <f>"40"</f>
        <v>40</v>
      </c>
      <c r="J182" t="str">
        <f>"证券买入(江龙船艇)"</f>
        <v>证券买入(江龙船艇)</v>
      </c>
      <c r="K182" t="str">
        <f>"5.00"</f>
        <v>5.00</v>
      </c>
      <c r="L182" t="str">
        <f t="shared" si="66"/>
        <v>0.00</v>
      </c>
      <c r="M182" t="str">
        <f t="shared" si="66"/>
        <v>0.00</v>
      </c>
      <c r="N182" t="str">
        <f t="shared" si="66"/>
        <v>0.00</v>
      </c>
      <c r="O182" t="str">
        <f>"300589"</f>
        <v>300589</v>
      </c>
      <c r="P182" t="str">
        <f>"0153613480"</f>
        <v>0153613480</v>
      </c>
    </row>
    <row r="183" spans="1:16" hidden="1" x14ac:dyDescent="0.25">
      <c r="A183" t="str">
        <f t="shared" si="51"/>
        <v>人民币</v>
      </c>
      <c r="B183" t="str">
        <f>" "</f>
        <v xml:space="preserve"> </v>
      </c>
      <c r="C183" t="str">
        <f>"20180620"</f>
        <v>20180620</v>
      </c>
      <c r="D183" t="str">
        <f>"---"</f>
        <v>---</v>
      </c>
      <c r="E183" t="str">
        <f>"---"</f>
        <v>---</v>
      </c>
      <c r="F183" t="str">
        <f>"10000.00"</f>
        <v>10000.00</v>
      </c>
      <c r="G183" t="str">
        <f>"10814.65"</f>
        <v>10814.65</v>
      </c>
      <c r="H183" t="str">
        <f>"---"</f>
        <v>---</v>
      </c>
      <c r="I183" t="str">
        <f>"---"</f>
        <v>---</v>
      </c>
      <c r="J183" t="str">
        <f>"银行转存"</f>
        <v>银行转存</v>
      </c>
      <c r="K183" t="str">
        <f t="shared" ref="K183:P184" si="67">"---"</f>
        <v>---</v>
      </c>
      <c r="L183" t="str">
        <f t="shared" si="67"/>
        <v>---</v>
      </c>
      <c r="M183" t="str">
        <f t="shared" si="67"/>
        <v>---</v>
      </c>
      <c r="N183" t="str">
        <f t="shared" si="67"/>
        <v>---</v>
      </c>
      <c r="O183" t="str">
        <f t="shared" si="67"/>
        <v>---</v>
      </c>
      <c r="P183" t="str">
        <f t="shared" si="67"/>
        <v>---</v>
      </c>
    </row>
    <row r="184" spans="1:16" hidden="1" x14ac:dyDescent="0.25">
      <c r="A184" t="str">
        <f t="shared" si="51"/>
        <v>人民币</v>
      </c>
      <c r="B184" t="str">
        <f>" "</f>
        <v xml:space="preserve"> </v>
      </c>
      <c r="C184" t="str">
        <f>"20180620"</f>
        <v>20180620</v>
      </c>
      <c r="D184" t="str">
        <f>"---"</f>
        <v>---</v>
      </c>
      <c r="E184" t="str">
        <f>"---"</f>
        <v>---</v>
      </c>
      <c r="F184" t="str">
        <f>"6.35"</f>
        <v>6.35</v>
      </c>
      <c r="G184" t="str">
        <f>"10821.00"</f>
        <v>10821.00</v>
      </c>
      <c r="H184" t="str">
        <f>"---"</f>
        <v>---</v>
      </c>
      <c r="I184" t="str">
        <f>"---"</f>
        <v>---</v>
      </c>
      <c r="J184" t="str">
        <f>"批量利息归本"</f>
        <v>批量利息归本</v>
      </c>
      <c r="K184" t="str">
        <f t="shared" si="67"/>
        <v>---</v>
      </c>
      <c r="L184" t="str">
        <f t="shared" si="67"/>
        <v>---</v>
      </c>
      <c r="M184" t="str">
        <f t="shared" si="67"/>
        <v>---</v>
      </c>
      <c r="N184" t="str">
        <f t="shared" si="67"/>
        <v>---</v>
      </c>
      <c r="O184" t="str">
        <f t="shared" si="67"/>
        <v>---</v>
      </c>
      <c r="P184" t="str">
        <f t="shared" si="67"/>
        <v>---</v>
      </c>
    </row>
    <row r="185" spans="1:16" hidden="1" x14ac:dyDescent="0.25">
      <c r="A185" t="str">
        <f t="shared" si="51"/>
        <v>人民币</v>
      </c>
      <c r="B185" t="str">
        <f>"江龙船艇"</f>
        <v>江龙船艇</v>
      </c>
      <c r="C185" t="str">
        <f>"20180620"</f>
        <v>20180620</v>
      </c>
      <c r="D185" t="str">
        <f>"12.540"</f>
        <v>12.540</v>
      </c>
      <c r="E185" t="str">
        <f>"300.00"</f>
        <v>300.00</v>
      </c>
      <c r="F185" t="str">
        <f>"-3767.00"</f>
        <v>-3767.00</v>
      </c>
      <c r="G185" t="str">
        <f>"7054.00"</f>
        <v>7054.00</v>
      </c>
      <c r="H185" t="str">
        <f>"2500.00"</f>
        <v>2500.00</v>
      </c>
      <c r="I185" t="str">
        <f>"46"</f>
        <v>46</v>
      </c>
      <c r="J185" t="str">
        <f>"证券买入(江龙船艇)"</f>
        <v>证券买入(江龙船艇)</v>
      </c>
      <c r="K185" t="str">
        <f>"5.00"</f>
        <v>5.00</v>
      </c>
      <c r="L185" t="str">
        <f t="shared" ref="L185:N193" si="68">"0.00"</f>
        <v>0.00</v>
      </c>
      <c r="M185" t="str">
        <f t="shared" si="68"/>
        <v>0.00</v>
      </c>
      <c r="N185" t="str">
        <f t="shared" si="68"/>
        <v>0.00</v>
      </c>
      <c r="O185" t="str">
        <f>"300589"</f>
        <v>300589</v>
      </c>
      <c r="P185" t="str">
        <f>"0153613480"</f>
        <v>0153613480</v>
      </c>
    </row>
    <row r="186" spans="1:16" hidden="1" x14ac:dyDescent="0.25">
      <c r="A186" t="str">
        <f t="shared" si="51"/>
        <v>人民币</v>
      </c>
      <c r="B186" t="str">
        <f>"新能配号"</f>
        <v>新能配号</v>
      </c>
      <c r="C186" t="str">
        <f>"20180621"</f>
        <v>20180621</v>
      </c>
      <c r="D186" t="str">
        <f>"0.000"</f>
        <v>0.000</v>
      </c>
      <c r="E186" t="str">
        <f>"1.00"</f>
        <v>1.00</v>
      </c>
      <c r="F186" t="str">
        <f>"0.00"</f>
        <v>0.00</v>
      </c>
      <c r="G186" t="str">
        <f>"7054.00"</f>
        <v>7054.00</v>
      </c>
      <c r="H186" t="str">
        <f>"0.00"</f>
        <v>0.00</v>
      </c>
      <c r="I186" t="str">
        <f>"54"</f>
        <v>54</v>
      </c>
      <c r="J186" t="str">
        <f>"申购配号(新能配号)"</f>
        <v>申购配号(新能配号)</v>
      </c>
      <c r="K186" t="str">
        <f>"0.00"</f>
        <v>0.00</v>
      </c>
      <c r="L186" t="str">
        <f t="shared" si="68"/>
        <v>0.00</v>
      </c>
      <c r="M186" t="str">
        <f t="shared" si="68"/>
        <v>0.00</v>
      </c>
      <c r="N186" t="str">
        <f t="shared" si="68"/>
        <v>0.00</v>
      </c>
      <c r="O186" t="str">
        <f>"736693"</f>
        <v>736693</v>
      </c>
      <c r="P186" t="str">
        <f>"A400948245"</f>
        <v>A400948245</v>
      </c>
    </row>
    <row r="187" spans="1:16" hidden="1" x14ac:dyDescent="0.25">
      <c r="A187" t="str">
        <f t="shared" si="51"/>
        <v>人民币</v>
      </c>
      <c r="B187" t="str">
        <f>"宏达电子"</f>
        <v>宏达电子</v>
      </c>
      <c r="C187" t="str">
        <f>"20180621"</f>
        <v>20180621</v>
      </c>
      <c r="D187" t="str">
        <f>"25.920"</f>
        <v>25.920</v>
      </c>
      <c r="E187" t="str">
        <f>"200.00"</f>
        <v>200.00</v>
      </c>
      <c r="F187" t="str">
        <f>"-5189.00"</f>
        <v>-5189.00</v>
      </c>
      <c r="G187" t="str">
        <f>"1865.00"</f>
        <v>1865.00</v>
      </c>
      <c r="H187" t="str">
        <f>"1200.00"</f>
        <v>1200.00</v>
      </c>
      <c r="I187" t="str">
        <f>"52"</f>
        <v>52</v>
      </c>
      <c r="J187" t="str">
        <f>"证券买入(宏达电子)"</f>
        <v>证券买入(宏达电子)</v>
      </c>
      <c r="K187" t="str">
        <f>"5.00"</f>
        <v>5.00</v>
      </c>
      <c r="L187" t="str">
        <f t="shared" si="68"/>
        <v>0.00</v>
      </c>
      <c r="M187" t="str">
        <f t="shared" si="68"/>
        <v>0.00</v>
      </c>
      <c r="N187" t="str">
        <f t="shared" si="68"/>
        <v>0.00</v>
      </c>
      <c r="O187" t="str">
        <f>"300726"</f>
        <v>300726</v>
      </c>
      <c r="P187" t="str">
        <f>"0153613480"</f>
        <v>0153613480</v>
      </c>
    </row>
    <row r="188" spans="1:16" hidden="1" x14ac:dyDescent="0.25">
      <c r="A188" t="str">
        <f t="shared" si="51"/>
        <v>人民币</v>
      </c>
      <c r="B188" t="str">
        <f>"环宇配号"</f>
        <v>环宇配号</v>
      </c>
      <c r="C188" t="str">
        <f>"20180627"</f>
        <v>20180627</v>
      </c>
      <c r="D188" t="str">
        <f>"0.000"</f>
        <v>0.000</v>
      </c>
      <c r="E188" t="str">
        <f>"1.00"</f>
        <v>1.00</v>
      </c>
      <c r="F188" t="str">
        <f>"0.00"</f>
        <v>0.00</v>
      </c>
      <c r="G188" t="str">
        <f>"1865.00"</f>
        <v>1865.00</v>
      </c>
      <c r="H188" t="str">
        <f>"0.00"</f>
        <v>0.00</v>
      </c>
      <c r="I188" t="str">
        <f>"64"</f>
        <v>64</v>
      </c>
      <c r="J188" t="str">
        <f>"申购配号(环宇配号)"</f>
        <v>申购配号(环宇配号)</v>
      </c>
      <c r="K188" t="str">
        <f>"0.00"</f>
        <v>0.00</v>
      </c>
      <c r="L188" t="str">
        <f t="shared" si="68"/>
        <v>0.00</v>
      </c>
      <c r="M188" t="str">
        <f t="shared" si="68"/>
        <v>0.00</v>
      </c>
      <c r="N188" t="str">
        <f t="shared" si="68"/>
        <v>0.00</v>
      </c>
      <c r="O188" t="str">
        <f>"736706"</f>
        <v>736706</v>
      </c>
      <c r="P188" t="str">
        <f>"A400948245"</f>
        <v>A400948245</v>
      </c>
    </row>
    <row r="189" spans="1:16" hidden="1" x14ac:dyDescent="0.25">
      <c r="A189" t="str">
        <f t="shared" si="51"/>
        <v>人民币</v>
      </c>
      <c r="B189" t="str">
        <f>"芯能配号"</f>
        <v>芯能配号</v>
      </c>
      <c r="C189" t="str">
        <f>"20180627"</f>
        <v>20180627</v>
      </c>
      <c r="D189" t="str">
        <f>"0.000"</f>
        <v>0.000</v>
      </c>
      <c r="E189" t="str">
        <f>"1.00"</f>
        <v>1.00</v>
      </c>
      <c r="F189" t="str">
        <f>"0.00"</f>
        <v>0.00</v>
      </c>
      <c r="G189" t="str">
        <f>"1865.00"</f>
        <v>1865.00</v>
      </c>
      <c r="H189" t="str">
        <f>"0.00"</f>
        <v>0.00</v>
      </c>
      <c r="I189" t="str">
        <f>"66"</f>
        <v>66</v>
      </c>
      <c r="J189" t="str">
        <f>"申购配号(芯能配号)"</f>
        <v>申购配号(芯能配号)</v>
      </c>
      <c r="K189" t="str">
        <f>"0.00"</f>
        <v>0.00</v>
      </c>
      <c r="L189" t="str">
        <f t="shared" si="68"/>
        <v>0.00</v>
      </c>
      <c r="M189" t="str">
        <f t="shared" si="68"/>
        <v>0.00</v>
      </c>
      <c r="N189" t="str">
        <f t="shared" si="68"/>
        <v>0.00</v>
      </c>
      <c r="O189" t="str">
        <f>"736105"</f>
        <v>736105</v>
      </c>
      <c r="P189" t="str">
        <f>"A400948245"</f>
        <v>A400948245</v>
      </c>
    </row>
    <row r="190" spans="1:16" hidden="1" x14ac:dyDescent="0.25">
      <c r="A190" t="str">
        <f t="shared" si="51"/>
        <v>人民币</v>
      </c>
      <c r="B190" t="str">
        <f>"江龙船艇"</f>
        <v>江龙船艇</v>
      </c>
      <c r="C190" t="str">
        <f>"20180627"</f>
        <v>20180627</v>
      </c>
      <c r="D190" t="str">
        <f>"13.880"</f>
        <v>13.880</v>
      </c>
      <c r="E190" t="str">
        <f>"-1000.00"</f>
        <v>-1000.00</v>
      </c>
      <c r="F190" t="str">
        <f>"13861.12"</f>
        <v>13861.12</v>
      </c>
      <c r="G190" t="str">
        <f>"15726.12"</f>
        <v>15726.12</v>
      </c>
      <c r="H190" t="str">
        <f>"1500.00"</f>
        <v>1500.00</v>
      </c>
      <c r="I190" t="str">
        <f>"70"</f>
        <v>70</v>
      </c>
      <c r="J190" t="str">
        <f>"证券卖出(江龙船艇)"</f>
        <v>证券卖出(江龙船艇)</v>
      </c>
      <c r="K190" t="str">
        <f>"5.00"</f>
        <v>5.00</v>
      </c>
      <c r="L190" t="str">
        <f>"13.88"</f>
        <v>13.88</v>
      </c>
      <c r="M190" t="str">
        <f t="shared" si="68"/>
        <v>0.00</v>
      </c>
      <c r="N190" t="str">
        <f t="shared" si="68"/>
        <v>0.00</v>
      </c>
      <c r="O190" t="str">
        <f>"300589"</f>
        <v>300589</v>
      </c>
      <c r="P190" t="str">
        <f>"0153613480"</f>
        <v>0153613480</v>
      </c>
    </row>
    <row r="191" spans="1:16" hidden="1" x14ac:dyDescent="0.25">
      <c r="A191" t="str">
        <f t="shared" si="51"/>
        <v>人民币</v>
      </c>
      <c r="B191" t="str">
        <f>"宏达电子"</f>
        <v>宏达电子</v>
      </c>
      <c r="C191" t="str">
        <f>"20180628"</f>
        <v>20180628</v>
      </c>
      <c r="D191" t="str">
        <f>"27.600"</f>
        <v>27.600</v>
      </c>
      <c r="E191" t="str">
        <f>"-200.00"</f>
        <v>-200.00</v>
      </c>
      <c r="F191" t="str">
        <f>"5509.48"</f>
        <v>5509.48</v>
      </c>
      <c r="G191" t="str">
        <f>"21235.60"</f>
        <v>21235.60</v>
      </c>
      <c r="H191" t="str">
        <f>"1000.00"</f>
        <v>1000.00</v>
      </c>
      <c r="I191" t="str">
        <f>"81"</f>
        <v>81</v>
      </c>
      <c r="J191" t="str">
        <f>"证券卖出(宏达电子)"</f>
        <v>证券卖出(宏达电子)</v>
      </c>
      <c r="K191" t="str">
        <f>"5.00"</f>
        <v>5.00</v>
      </c>
      <c r="L191" t="str">
        <f>"5.52"</f>
        <v>5.52</v>
      </c>
      <c r="M191" t="str">
        <f t="shared" si="68"/>
        <v>0.00</v>
      </c>
      <c r="N191" t="str">
        <f t="shared" si="68"/>
        <v>0.00</v>
      </c>
      <c r="O191" t="str">
        <f>"300726"</f>
        <v>300726</v>
      </c>
      <c r="P191" t="str">
        <f>"0153613480"</f>
        <v>0153613480</v>
      </c>
    </row>
    <row r="192" spans="1:16" hidden="1" x14ac:dyDescent="0.25">
      <c r="A192" t="str">
        <f t="shared" si="51"/>
        <v>人民币</v>
      </c>
      <c r="B192" t="str">
        <f>"宏达电子"</f>
        <v>宏达电子</v>
      </c>
      <c r="C192" t="str">
        <f>"20180628"</f>
        <v>20180628</v>
      </c>
      <c r="D192" t="str">
        <f>"27.220"</f>
        <v>27.220</v>
      </c>
      <c r="E192" t="str">
        <f>"200.00"</f>
        <v>200.00</v>
      </c>
      <c r="F192" t="str">
        <f>"-5449.00"</f>
        <v>-5449.00</v>
      </c>
      <c r="G192" t="str">
        <f>"15786.60"</f>
        <v>15786.60</v>
      </c>
      <c r="H192" t="str">
        <f>"1200.00"</f>
        <v>1200.00</v>
      </c>
      <c r="I192" t="str">
        <f>"84"</f>
        <v>84</v>
      </c>
      <c r="J192" t="str">
        <f>"证券买入(宏达电子)"</f>
        <v>证券买入(宏达电子)</v>
      </c>
      <c r="K192" t="str">
        <f>"5.00"</f>
        <v>5.00</v>
      </c>
      <c r="L192" t="str">
        <f>"0.00"</f>
        <v>0.00</v>
      </c>
      <c r="M192" t="str">
        <f t="shared" si="68"/>
        <v>0.00</v>
      </c>
      <c r="N192" t="str">
        <f t="shared" si="68"/>
        <v>0.00</v>
      </c>
      <c r="O192" t="str">
        <f>"300726"</f>
        <v>300726</v>
      </c>
      <c r="P192" t="str">
        <f>"0153613480"</f>
        <v>0153613480</v>
      </c>
    </row>
    <row r="193" spans="1:16" hidden="1" x14ac:dyDescent="0.25">
      <c r="A193" t="str">
        <f t="shared" si="51"/>
        <v>人民币</v>
      </c>
      <c r="B193" t="str">
        <f>"江龙船艇"</f>
        <v>江龙船艇</v>
      </c>
      <c r="C193" t="str">
        <f>"20180628"</f>
        <v>20180628</v>
      </c>
      <c r="D193" t="str">
        <f>"13.480"</f>
        <v>13.480</v>
      </c>
      <c r="E193" t="str">
        <f>"500.00"</f>
        <v>500.00</v>
      </c>
      <c r="F193" t="str">
        <f>"-6745.00"</f>
        <v>-6745.00</v>
      </c>
      <c r="G193" t="str">
        <f>"9041.60"</f>
        <v>9041.60</v>
      </c>
      <c r="H193" t="str">
        <f>"2000.00"</f>
        <v>2000.00</v>
      </c>
      <c r="I193" t="str">
        <f>"77"</f>
        <v>77</v>
      </c>
      <c r="J193" t="str">
        <f>"证券买入(江龙船艇)"</f>
        <v>证券买入(江龙船艇)</v>
      </c>
      <c r="K193" t="str">
        <f>"5.00"</f>
        <v>5.00</v>
      </c>
      <c r="L193" t="str">
        <f>"0.00"</f>
        <v>0.00</v>
      </c>
      <c r="M193" t="str">
        <f t="shared" si="68"/>
        <v>0.00</v>
      </c>
      <c r="N193" t="str">
        <f t="shared" si="68"/>
        <v>0.00</v>
      </c>
      <c r="O193" t="str">
        <f>"300589"</f>
        <v>300589</v>
      </c>
      <c r="P193" t="str">
        <f>"0153613480"</f>
        <v>0153613480</v>
      </c>
    </row>
    <row r="194" spans="1:16" hidden="1" x14ac:dyDescent="0.25">
      <c r="A194" t="str">
        <f t="shared" ref="A194:A257" si="69">"人民币"</f>
        <v>人民币</v>
      </c>
      <c r="B194" t="str">
        <f>" "</f>
        <v xml:space="preserve"> </v>
      </c>
      <c r="C194" t="str">
        <f>"20180629"</f>
        <v>20180629</v>
      </c>
      <c r="D194" t="str">
        <f>"---"</f>
        <v>---</v>
      </c>
      <c r="E194" t="str">
        <f>"---"</f>
        <v>---</v>
      </c>
      <c r="F194" t="str">
        <f>"-9000.00"</f>
        <v>-9000.00</v>
      </c>
      <c r="G194" t="str">
        <f>"41.60"</f>
        <v>41.60</v>
      </c>
      <c r="H194" t="str">
        <f>"---"</f>
        <v>---</v>
      </c>
      <c r="I194" t="str">
        <f>"---"</f>
        <v>---</v>
      </c>
      <c r="J194" t="str">
        <f>"银行转取"</f>
        <v>银行转取</v>
      </c>
      <c r="K194" t="str">
        <f t="shared" ref="K194:P194" si="70">"---"</f>
        <v>---</v>
      </c>
      <c r="L194" t="str">
        <f t="shared" si="70"/>
        <v>---</v>
      </c>
      <c r="M194" t="str">
        <f t="shared" si="70"/>
        <v>---</v>
      </c>
      <c r="N194" t="str">
        <f t="shared" si="70"/>
        <v>---</v>
      </c>
      <c r="O194" t="str">
        <f t="shared" si="70"/>
        <v>---</v>
      </c>
      <c r="P194" t="str">
        <f t="shared" si="70"/>
        <v>---</v>
      </c>
    </row>
    <row r="195" spans="1:16" hidden="1" x14ac:dyDescent="0.25">
      <c r="A195" t="str">
        <f t="shared" si="69"/>
        <v>人民币</v>
      </c>
      <c r="B195" t="str">
        <f>"宏达电子"</f>
        <v>宏达电子</v>
      </c>
      <c r="C195" t="str">
        <f>"20180629"</f>
        <v>20180629</v>
      </c>
      <c r="D195" t="str">
        <f>"28.420"</f>
        <v>28.420</v>
      </c>
      <c r="E195" t="str">
        <f>"-200.00"</f>
        <v>-200.00</v>
      </c>
      <c r="F195" t="str">
        <f>"5673.32"</f>
        <v>5673.32</v>
      </c>
      <c r="G195" t="str">
        <f>"5714.92"</f>
        <v>5714.92</v>
      </c>
      <c r="H195" t="str">
        <f>"1000.00"</f>
        <v>1000.00</v>
      </c>
      <c r="I195" t="str">
        <f>"90"</f>
        <v>90</v>
      </c>
      <c r="J195" t="str">
        <f>"证券卖出(宏达电子)"</f>
        <v>证券卖出(宏达电子)</v>
      </c>
      <c r="K195" t="str">
        <f>"5.00"</f>
        <v>5.00</v>
      </c>
      <c r="L195" t="str">
        <f>"5.68"</f>
        <v>5.68</v>
      </c>
      <c r="M195" t="str">
        <f>"0.00"</f>
        <v>0.00</v>
      </c>
      <c r="N195" t="str">
        <f>"0.00"</f>
        <v>0.00</v>
      </c>
      <c r="O195" t="str">
        <f>"300726"</f>
        <v>300726</v>
      </c>
      <c r="P195" t="str">
        <f>"0153613480"</f>
        <v>0153613480</v>
      </c>
    </row>
    <row r="196" spans="1:16" hidden="1" x14ac:dyDescent="0.25">
      <c r="A196" t="str">
        <f t="shared" si="69"/>
        <v>人民币</v>
      </c>
      <c r="B196" t="str">
        <f>"明德生物"</f>
        <v>明德生物</v>
      </c>
      <c r="C196" t="str">
        <f>"20180629"</f>
        <v>20180629</v>
      </c>
      <c r="D196" t="str">
        <f>"0.000"</f>
        <v>0.000</v>
      </c>
      <c r="E196" t="str">
        <f>"8.00"</f>
        <v>8.00</v>
      </c>
      <c r="F196" t="str">
        <f>"0.00"</f>
        <v>0.00</v>
      </c>
      <c r="G196" t="str">
        <f>"5714.92"</f>
        <v>5714.92</v>
      </c>
      <c r="H196" t="str">
        <f>"0.00"</f>
        <v>0.00</v>
      </c>
      <c r="I196" t="str">
        <f>"94"</f>
        <v>94</v>
      </c>
      <c r="J196" t="str">
        <f>"申购配号(明德生物)"</f>
        <v>申购配号(明德生物)</v>
      </c>
      <c r="K196" t="str">
        <f>"0.00"</f>
        <v>0.00</v>
      </c>
      <c r="L196" t="str">
        <f>"0.00"</f>
        <v>0.00</v>
      </c>
      <c r="M196" t="str">
        <f>"0.00"</f>
        <v>0.00</v>
      </c>
      <c r="N196" t="str">
        <f>"0.00"</f>
        <v>0.00</v>
      </c>
      <c r="O196" t="str">
        <f>"002932"</f>
        <v>002932</v>
      </c>
      <c r="P196" t="str">
        <f>"0153613480"</f>
        <v>0153613480</v>
      </c>
    </row>
    <row r="197" spans="1:16" hidden="1" x14ac:dyDescent="0.25">
      <c r="A197" t="str">
        <f t="shared" si="69"/>
        <v>人民币</v>
      </c>
      <c r="B197" t="str">
        <f>" "</f>
        <v xml:space="preserve"> </v>
      </c>
      <c r="C197" t="str">
        <f>"20180702"</f>
        <v>20180702</v>
      </c>
      <c r="D197" t="str">
        <f>"---"</f>
        <v>---</v>
      </c>
      <c r="E197" t="str">
        <f>"---"</f>
        <v>---</v>
      </c>
      <c r="F197" t="str">
        <f>"9000.00"</f>
        <v>9000.00</v>
      </c>
      <c r="G197" t="str">
        <f>"14714.92"</f>
        <v>14714.92</v>
      </c>
      <c r="H197" t="str">
        <f>"---"</f>
        <v>---</v>
      </c>
      <c r="I197" t="str">
        <f>"---"</f>
        <v>---</v>
      </c>
      <c r="J197" t="str">
        <f>"银行转存"</f>
        <v>银行转存</v>
      </c>
      <c r="K197" t="str">
        <f t="shared" ref="K197:P197" si="71">"---"</f>
        <v>---</v>
      </c>
      <c r="L197" t="str">
        <f t="shared" si="71"/>
        <v>---</v>
      </c>
      <c r="M197" t="str">
        <f t="shared" si="71"/>
        <v>---</v>
      </c>
      <c r="N197" t="str">
        <f t="shared" si="71"/>
        <v>---</v>
      </c>
      <c r="O197" t="str">
        <f t="shared" si="71"/>
        <v>---</v>
      </c>
      <c r="P197" t="str">
        <f t="shared" si="71"/>
        <v>---</v>
      </c>
    </row>
    <row r="198" spans="1:16" hidden="1" x14ac:dyDescent="0.25">
      <c r="A198" t="str">
        <f t="shared" si="69"/>
        <v>人民币</v>
      </c>
      <c r="B198" t="str">
        <f>"宏达电子"</f>
        <v>宏达电子</v>
      </c>
      <c r="C198" t="str">
        <f>"20180702"</f>
        <v>20180702</v>
      </c>
      <c r="D198" t="str">
        <f>"28.710"</f>
        <v>28.710</v>
      </c>
      <c r="E198" t="str">
        <f>"300.00"</f>
        <v>300.00</v>
      </c>
      <c r="F198" t="str">
        <f>"-8618.00"</f>
        <v>-8618.00</v>
      </c>
      <c r="G198" t="str">
        <f>"6096.92"</f>
        <v>6096.92</v>
      </c>
      <c r="H198" t="str">
        <f>"1300.00"</f>
        <v>1300.00</v>
      </c>
      <c r="I198" t="str">
        <f>"100"</f>
        <v>100</v>
      </c>
      <c r="J198" t="str">
        <f>"证券买入(宏达电子)"</f>
        <v>证券买入(宏达电子)</v>
      </c>
      <c r="K198" t="str">
        <f>"5.00"</f>
        <v>5.00</v>
      </c>
      <c r="L198" t="str">
        <f t="shared" ref="L198:N207" si="72">"0.00"</f>
        <v>0.00</v>
      </c>
      <c r="M198" t="str">
        <f t="shared" si="72"/>
        <v>0.00</v>
      </c>
      <c r="N198" t="str">
        <f t="shared" si="72"/>
        <v>0.00</v>
      </c>
      <c r="O198" t="str">
        <f>"300726"</f>
        <v>300726</v>
      </c>
      <c r="P198" t="str">
        <f>"0153613480"</f>
        <v>0153613480</v>
      </c>
    </row>
    <row r="199" spans="1:16" hidden="1" x14ac:dyDescent="0.25">
      <c r="A199" t="str">
        <f t="shared" si="69"/>
        <v>人民币</v>
      </c>
      <c r="B199" t="str">
        <f>"宏达电子"</f>
        <v>宏达电子</v>
      </c>
      <c r="C199" t="str">
        <f>"20180702"</f>
        <v>20180702</v>
      </c>
      <c r="D199" t="str">
        <f>"28.320"</f>
        <v>28.320</v>
      </c>
      <c r="E199" t="str">
        <f>"200.00"</f>
        <v>200.00</v>
      </c>
      <c r="F199" t="str">
        <f>"-5669.00"</f>
        <v>-5669.00</v>
      </c>
      <c r="G199" t="str">
        <f>"427.92"</f>
        <v>427.92</v>
      </c>
      <c r="H199" t="str">
        <f>"1500.00"</f>
        <v>1500.00</v>
      </c>
      <c r="I199" t="str">
        <f>"104"</f>
        <v>104</v>
      </c>
      <c r="J199" t="str">
        <f>"证券买入(宏达电子)"</f>
        <v>证券买入(宏达电子)</v>
      </c>
      <c r="K199" t="str">
        <f>"5.00"</f>
        <v>5.00</v>
      </c>
      <c r="L199" t="str">
        <f t="shared" si="72"/>
        <v>0.00</v>
      </c>
      <c r="M199" t="str">
        <f t="shared" si="72"/>
        <v>0.00</v>
      </c>
      <c r="N199" t="str">
        <f t="shared" si="72"/>
        <v>0.00</v>
      </c>
      <c r="O199" t="str">
        <f>"300726"</f>
        <v>300726</v>
      </c>
      <c r="P199" t="str">
        <f>"0153613480"</f>
        <v>0153613480</v>
      </c>
    </row>
    <row r="200" spans="1:16" hidden="1" x14ac:dyDescent="0.25">
      <c r="A200" t="str">
        <f t="shared" si="69"/>
        <v>人民币</v>
      </c>
      <c r="B200" t="str">
        <f>"宏达电子"</f>
        <v>宏达电子</v>
      </c>
      <c r="C200" t="str">
        <f>"20180703"</f>
        <v>20180703</v>
      </c>
      <c r="D200" t="str">
        <f>"29.190"</f>
        <v>29.190</v>
      </c>
      <c r="E200" t="str">
        <f>"-500.00"</f>
        <v>-500.00</v>
      </c>
      <c r="F200" t="str">
        <f>"14575.40"</f>
        <v>14575.40</v>
      </c>
      <c r="G200" t="str">
        <f>"15003.32"</f>
        <v>15003.32</v>
      </c>
      <c r="H200" t="str">
        <f>"1000.00"</f>
        <v>1000.00</v>
      </c>
      <c r="I200" t="str">
        <f>"112"</f>
        <v>112</v>
      </c>
      <c r="J200" t="str">
        <f>"证券卖出(宏达电子)"</f>
        <v>证券卖出(宏达电子)</v>
      </c>
      <c r="K200" t="str">
        <f>"5.00"</f>
        <v>5.00</v>
      </c>
      <c r="L200" t="str">
        <f>"14.60"</f>
        <v>14.60</v>
      </c>
      <c r="M200" t="str">
        <f t="shared" si="72"/>
        <v>0.00</v>
      </c>
      <c r="N200" t="str">
        <f t="shared" si="72"/>
        <v>0.00</v>
      </c>
      <c r="O200" t="str">
        <f>"300726"</f>
        <v>300726</v>
      </c>
      <c r="P200" t="str">
        <f>"0153613480"</f>
        <v>0153613480</v>
      </c>
    </row>
    <row r="201" spans="1:16" hidden="1" x14ac:dyDescent="0.25">
      <c r="A201" t="str">
        <f t="shared" si="69"/>
        <v>人民币</v>
      </c>
      <c r="B201" t="str">
        <f>"密尔配号"</f>
        <v>密尔配号</v>
      </c>
      <c r="C201" t="str">
        <f t="shared" ref="C201:C208" si="73">"20180704"</f>
        <v>20180704</v>
      </c>
      <c r="D201" t="str">
        <f>"0.000"</f>
        <v>0.000</v>
      </c>
      <c r="E201" t="str">
        <f>"1.00"</f>
        <v>1.00</v>
      </c>
      <c r="F201" t="str">
        <f>"0.00"</f>
        <v>0.00</v>
      </c>
      <c r="G201" t="str">
        <f>"15003.32"</f>
        <v>15003.32</v>
      </c>
      <c r="H201" t="str">
        <f>"0.00"</f>
        <v>0.00</v>
      </c>
      <c r="I201" t="str">
        <f>"120"</f>
        <v>120</v>
      </c>
      <c r="J201" t="str">
        <f>"申购配号(密尔配号)"</f>
        <v>申购配号(密尔配号)</v>
      </c>
      <c r="K201" t="str">
        <f>"0.00"</f>
        <v>0.00</v>
      </c>
      <c r="L201" t="str">
        <f>"0.00"</f>
        <v>0.00</v>
      </c>
      <c r="M201" t="str">
        <f t="shared" si="72"/>
        <v>0.00</v>
      </c>
      <c r="N201" t="str">
        <f t="shared" si="72"/>
        <v>0.00</v>
      </c>
      <c r="O201" t="str">
        <f>"736713"</f>
        <v>736713</v>
      </c>
      <c r="P201" t="str">
        <f>"A400948245"</f>
        <v>A400948245</v>
      </c>
    </row>
    <row r="202" spans="1:16" hidden="1" x14ac:dyDescent="0.25">
      <c r="A202" t="str">
        <f t="shared" si="69"/>
        <v>人民币</v>
      </c>
      <c r="B202" t="str">
        <f>"江龙船艇"</f>
        <v>江龙船艇</v>
      </c>
      <c r="C202" t="str">
        <f t="shared" si="73"/>
        <v>20180704</v>
      </c>
      <c r="D202" t="str">
        <f>"15.350"</f>
        <v>15.350</v>
      </c>
      <c r="E202" t="str">
        <f>"-800.00"</f>
        <v>-800.00</v>
      </c>
      <c r="F202" t="str">
        <f>"12262.72"</f>
        <v>12262.72</v>
      </c>
      <c r="G202" t="str">
        <f>"27266.04"</f>
        <v>27266.04</v>
      </c>
      <c r="H202" t="str">
        <f>"1200.00"</f>
        <v>1200.00</v>
      </c>
      <c r="I202" t="str">
        <f>"128"</f>
        <v>128</v>
      </c>
      <c r="J202" t="str">
        <f>"证券卖出(江龙船艇)"</f>
        <v>证券卖出(江龙船艇)</v>
      </c>
      <c r="K202" t="str">
        <f t="shared" ref="K202:K207" si="74">"5.00"</f>
        <v>5.00</v>
      </c>
      <c r="L202" t="str">
        <f>"12.28"</f>
        <v>12.28</v>
      </c>
      <c r="M202" t="str">
        <f t="shared" si="72"/>
        <v>0.00</v>
      </c>
      <c r="N202" t="str">
        <f t="shared" si="72"/>
        <v>0.00</v>
      </c>
      <c r="O202" t="str">
        <f>"300589"</f>
        <v>300589</v>
      </c>
      <c r="P202" t="str">
        <f t="shared" ref="P202:P220" si="75">"0153613480"</f>
        <v>0153613480</v>
      </c>
    </row>
    <row r="203" spans="1:16" hidden="1" x14ac:dyDescent="0.25">
      <c r="A203" t="str">
        <f t="shared" si="69"/>
        <v>人民币</v>
      </c>
      <c r="B203" t="str">
        <f>"江龙船艇"</f>
        <v>江龙船艇</v>
      </c>
      <c r="C203" t="str">
        <f t="shared" si="73"/>
        <v>20180704</v>
      </c>
      <c r="D203" t="str">
        <f>"15.620"</f>
        <v>15.620</v>
      </c>
      <c r="E203" t="str">
        <f>"-800.00"</f>
        <v>-800.00</v>
      </c>
      <c r="F203" t="str">
        <f>"12478.50"</f>
        <v>12478.50</v>
      </c>
      <c r="G203" t="str">
        <f>"39744.54"</f>
        <v>39744.54</v>
      </c>
      <c r="H203" t="str">
        <f>"400.00"</f>
        <v>400.00</v>
      </c>
      <c r="I203" t="str">
        <f>"137"</f>
        <v>137</v>
      </c>
      <c r="J203" t="str">
        <f>"证券卖出(江龙船艇)"</f>
        <v>证券卖出(江龙船艇)</v>
      </c>
      <c r="K203" t="str">
        <f t="shared" si="74"/>
        <v>5.00</v>
      </c>
      <c r="L203" t="str">
        <f>"12.50"</f>
        <v>12.50</v>
      </c>
      <c r="M203" t="str">
        <f t="shared" si="72"/>
        <v>0.00</v>
      </c>
      <c r="N203" t="str">
        <f t="shared" si="72"/>
        <v>0.00</v>
      </c>
      <c r="O203" t="str">
        <f>"300589"</f>
        <v>300589</v>
      </c>
      <c r="P203" t="str">
        <f t="shared" si="75"/>
        <v>0153613480</v>
      </c>
    </row>
    <row r="204" spans="1:16" hidden="1" x14ac:dyDescent="0.25">
      <c r="A204" t="str">
        <f t="shared" si="69"/>
        <v>人民币</v>
      </c>
      <c r="B204" t="str">
        <f t="shared" ref="B204:B209" si="76">"宏达电子"</f>
        <v>宏达电子</v>
      </c>
      <c r="C204" t="str">
        <f t="shared" si="73"/>
        <v>20180704</v>
      </c>
      <c r="D204" t="str">
        <f>"28.980"</f>
        <v>28.980</v>
      </c>
      <c r="E204" t="str">
        <f>"200.00"</f>
        <v>200.00</v>
      </c>
      <c r="F204" t="str">
        <f>"-5801.00"</f>
        <v>-5801.00</v>
      </c>
      <c r="G204" t="str">
        <f>"33943.54"</f>
        <v>33943.54</v>
      </c>
      <c r="H204" t="str">
        <f>"1200.00"</f>
        <v>1200.00</v>
      </c>
      <c r="I204" t="str">
        <f>"116"</f>
        <v>116</v>
      </c>
      <c r="J204" t="str">
        <f>"证券买入(宏达电子)"</f>
        <v>证券买入(宏达电子)</v>
      </c>
      <c r="K204" t="str">
        <f t="shared" si="74"/>
        <v>5.00</v>
      </c>
      <c r="L204" t="str">
        <f>"0.00"</f>
        <v>0.00</v>
      </c>
      <c r="M204" t="str">
        <f t="shared" si="72"/>
        <v>0.00</v>
      </c>
      <c r="N204" t="str">
        <f t="shared" si="72"/>
        <v>0.00</v>
      </c>
      <c r="O204" t="str">
        <f t="shared" ref="O204:O209" si="77">"300726"</f>
        <v>300726</v>
      </c>
      <c r="P204" t="str">
        <f t="shared" si="75"/>
        <v>0153613480</v>
      </c>
    </row>
    <row r="205" spans="1:16" hidden="1" x14ac:dyDescent="0.25">
      <c r="A205" t="str">
        <f t="shared" si="69"/>
        <v>人民币</v>
      </c>
      <c r="B205" t="str">
        <f t="shared" si="76"/>
        <v>宏达电子</v>
      </c>
      <c r="C205" t="str">
        <f t="shared" si="73"/>
        <v>20180704</v>
      </c>
      <c r="D205" t="str">
        <f>"28.750"</f>
        <v>28.750</v>
      </c>
      <c r="E205" t="str">
        <f>"100.00"</f>
        <v>100.00</v>
      </c>
      <c r="F205" t="str">
        <f>"-2880.00"</f>
        <v>-2880.00</v>
      </c>
      <c r="G205" t="str">
        <f>"31063.54"</f>
        <v>31063.54</v>
      </c>
      <c r="H205" t="str">
        <f>"1300.00"</f>
        <v>1300.00</v>
      </c>
      <c r="I205" t="str">
        <f>"125"</f>
        <v>125</v>
      </c>
      <c r="J205" t="str">
        <f>"证券买入(宏达电子)"</f>
        <v>证券买入(宏达电子)</v>
      </c>
      <c r="K205" t="str">
        <f t="shared" si="74"/>
        <v>5.00</v>
      </c>
      <c r="L205" t="str">
        <f>"0.00"</f>
        <v>0.00</v>
      </c>
      <c r="M205" t="str">
        <f t="shared" si="72"/>
        <v>0.00</v>
      </c>
      <c r="N205" t="str">
        <f t="shared" si="72"/>
        <v>0.00</v>
      </c>
      <c r="O205" t="str">
        <f t="shared" si="77"/>
        <v>300726</v>
      </c>
      <c r="P205" t="str">
        <f t="shared" si="75"/>
        <v>0153613480</v>
      </c>
    </row>
    <row r="206" spans="1:16" hidden="1" x14ac:dyDescent="0.25">
      <c r="A206" t="str">
        <f t="shared" si="69"/>
        <v>人民币</v>
      </c>
      <c r="B206" t="str">
        <f t="shared" si="76"/>
        <v>宏达电子</v>
      </c>
      <c r="C206" t="str">
        <f t="shared" si="73"/>
        <v>20180704</v>
      </c>
      <c r="D206" t="str">
        <f>"28.220"</f>
        <v>28.220</v>
      </c>
      <c r="E206" t="str">
        <f>"200.00"</f>
        <v>200.00</v>
      </c>
      <c r="F206" t="str">
        <f>"-5649.00"</f>
        <v>-5649.00</v>
      </c>
      <c r="G206" t="str">
        <f>"25414.54"</f>
        <v>25414.54</v>
      </c>
      <c r="H206" t="str">
        <f>"1500.00"</f>
        <v>1500.00</v>
      </c>
      <c r="I206" t="str">
        <f>"131"</f>
        <v>131</v>
      </c>
      <c r="J206" t="str">
        <f>"证券买入(宏达电子)"</f>
        <v>证券买入(宏达电子)</v>
      </c>
      <c r="K206" t="str">
        <f t="shared" si="74"/>
        <v>5.00</v>
      </c>
      <c r="L206" t="str">
        <f>"0.00"</f>
        <v>0.00</v>
      </c>
      <c r="M206" t="str">
        <f t="shared" si="72"/>
        <v>0.00</v>
      </c>
      <c r="N206" t="str">
        <f t="shared" si="72"/>
        <v>0.00</v>
      </c>
      <c r="O206" t="str">
        <f t="shared" si="77"/>
        <v>300726</v>
      </c>
      <c r="P206" t="str">
        <f t="shared" si="75"/>
        <v>0153613480</v>
      </c>
    </row>
    <row r="207" spans="1:16" hidden="1" x14ac:dyDescent="0.25">
      <c r="A207" t="str">
        <f t="shared" si="69"/>
        <v>人民币</v>
      </c>
      <c r="B207" t="str">
        <f t="shared" si="76"/>
        <v>宏达电子</v>
      </c>
      <c r="C207" t="str">
        <f t="shared" si="73"/>
        <v>20180704</v>
      </c>
      <c r="D207" t="str">
        <f>"27.660"</f>
        <v>27.660</v>
      </c>
      <c r="E207" t="str">
        <f>"200.00"</f>
        <v>200.00</v>
      </c>
      <c r="F207" t="str">
        <f>"-5537.00"</f>
        <v>-5537.00</v>
      </c>
      <c r="G207" t="str">
        <f>"19877.54"</f>
        <v>19877.54</v>
      </c>
      <c r="H207" t="str">
        <f>"1700.00"</f>
        <v>1700.00</v>
      </c>
      <c r="I207" t="str">
        <f>"134"</f>
        <v>134</v>
      </c>
      <c r="J207" t="str">
        <f>"证券买入(宏达电子)"</f>
        <v>证券买入(宏达电子)</v>
      </c>
      <c r="K207" t="str">
        <f t="shared" si="74"/>
        <v>5.00</v>
      </c>
      <c r="L207" t="str">
        <f>"0.00"</f>
        <v>0.00</v>
      </c>
      <c r="M207" t="str">
        <f t="shared" si="72"/>
        <v>0.00</v>
      </c>
      <c r="N207" t="str">
        <f t="shared" si="72"/>
        <v>0.00</v>
      </c>
      <c r="O207" t="str">
        <f t="shared" si="77"/>
        <v>300726</v>
      </c>
      <c r="P207" t="str">
        <f t="shared" si="75"/>
        <v>0153613480</v>
      </c>
    </row>
    <row r="208" spans="1:16" hidden="1" x14ac:dyDescent="0.25">
      <c r="A208" t="str">
        <f t="shared" si="69"/>
        <v>人民币</v>
      </c>
      <c r="B208" t="str">
        <f t="shared" si="76"/>
        <v>宏达电子</v>
      </c>
      <c r="C208" t="str">
        <f t="shared" si="73"/>
        <v>20180704</v>
      </c>
      <c r="D208" t="str">
        <f>"0.000"</f>
        <v>0.000</v>
      </c>
      <c r="E208" t="str">
        <f>"0.00"</f>
        <v>0.00</v>
      </c>
      <c r="F208" t="str">
        <f>"170.00"</f>
        <v>170.00</v>
      </c>
      <c r="G208" t="str">
        <f>"20047.54"</f>
        <v>20047.54</v>
      </c>
      <c r="H208" t="str">
        <f>"1700.00"</f>
        <v>1700.00</v>
      </c>
      <c r="I208" t="str">
        <f>"---"</f>
        <v>---</v>
      </c>
      <c r="J208" t="str">
        <f>"股息入帐(宏达电子)"</f>
        <v>股息入帐(宏达电子)</v>
      </c>
      <c r="K208" t="str">
        <f>"---"</f>
        <v>---</v>
      </c>
      <c r="L208" t="str">
        <f>"---"</f>
        <v>---</v>
      </c>
      <c r="M208" t="str">
        <f>"---"</f>
        <v>---</v>
      </c>
      <c r="N208" t="str">
        <f>"---"</f>
        <v>---</v>
      </c>
      <c r="O208" t="str">
        <f t="shared" si="77"/>
        <v>300726</v>
      </c>
      <c r="P208" t="str">
        <f t="shared" si="75"/>
        <v>0153613480</v>
      </c>
    </row>
    <row r="209" spans="1:16" hidden="1" x14ac:dyDescent="0.25">
      <c r="A209" t="str">
        <f t="shared" si="69"/>
        <v>人民币</v>
      </c>
      <c r="B209" t="str">
        <f t="shared" si="76"/>
        <v>宏达电子</v>
      </c>
      <c r="C209" t="str">
        <f>"20180705"</f>
        <v>20180705</v>
      </c>
      <c r="D209" t="str">
        <f>"26.700"</f>
        <v>26.700</v>
      </c>
      <c r="E209" t="str">
        <f>"200.00"</f>
        <v>200.00</v>
      </c>
      <c r="F209" t="str">
        <f>"-5345.00"</f>
        <v>-5345.00</v>
      </c>
      <c r="G209" t="str">
        <f>"14702.54"</f>
        <v>14702.54</v>
      </c>
      <c r="H209" t="str">
        <f>"1900.00"</f>
        <v>1900.00</v>
      </c>
      <c r="I209" t="str">
        <f>"157"</f>
        <v>157</v>
      </c>
      <c r="J209" t="str">
        <f>"证券买入(宏达电子)"</f>
        <v>证券买入(宏达电子)</v>
      </c>
      <c r="K209" t="str">
        <f>"5.00"</f>
        <v>5.00</v>
      </c>
      <c r="L209" t="str">
        <f t="shared" ref="L209:N211" si="78">"0.00"</f>
        <v>0.00</v>
      </c>
      <c r="M209" t="str">
        <f t="shared" si="78"/>
        <v>0.00</v>
      </c>
      <c r="N209" t="str">
        <f t="shared" si="78"/>
        <v>0.00</v>
      </c>
      <c r="O209" t="str">
        <f t="shared" si="77"/>
        <v>300726</v>
      </c>
      <c r="P209" t="str">
        <f t="shared" si="75"/>
        <v>0153613480</v>
      </c>
    </row>
    <row r="210" spans="1:16" hidden="1" x14ac:dyDescent="0.25">
      <c r="A210" t="str">
        <f t="shared" si="69"/>
        <v>人民币</v>
      </c>
      <c r="B210" t="str">
        <f>"江龙船艇"</f>
        <v>江龙船艇</v>
      </c>
      <c r="C210" t="str">
        <f>"20180705"</f>
        <v>20180705</v>
      </c>
      <c r="D210" t="str">
        <f>"14.750"</f>
        <v>14.750</v>
      </c>
      <c r="E210" t="str">
        <f>"400.00"</f>
        <v>400.00</v>
      </c>
      <c r="F210" t="str">
        <f>"-5905.00"</f>
        <v>-5905.00</v>
      </c>
      <c r="G210" t="str">
        <f>"8797.54"</f>
        <v>8797.54</v>
      </c>
      <c r="H210" t="str">
        <f>"800.00"</f>
        <v>800.00</v>
      </c>
      <c r="I210" t="str">
        <f>"151"</f>
        <v>151</v>
      </c>
      <c r="J210" t="str">
        <f>"证券买入(江龙船艇)"</f>
        <v>证券买入(江龙船艇)</v>
      </c>
      <c r="K210" t="str">
        <f>"5.00"</f>
        <v>5.00</v>
      </c>
      <c r="L210" t="str">
        <f t="shared" si="78"/>
        <v>0.00</v>
      </c>
      <c r="M210" t="str">
        <f t="shared" si="78"/>
        <v>0.00</v>
      </c>
      <c r="N210" t="str">
        <f t="shared" si="78"/>
        <v>0.00</v>
      </c>
      <c r="O210" t="str">
        <f>"300589"</f>
        <v>300589</v>
      </c>
      <c r="P210" t="str">
        <f t="shared" si="75"/>
        <v>0153613480</v>
      </c>
    </row>
    <row r="211" spans="1:16" hidden="1" x14ac:dyDescent="0.25">
      <c r="A211" t="str">
        <f t="shared" si="69"/>
        <v>人民币</v>
      </c>
      <c r="B211" t="str">
        <f>"江龙船艇"</f>
        <v>江龙船艇</v>
      </c>
      <c r="C211" t="str">
        <f>"20180705"</f>
        <v>20180705</v>
      </c>
      <c r="D211" t="str">
        <f>"14.320"</f>
        <v>14.320</v>
      </c>
      <c r="E211" t="str">
        <f>"300.00"</f>
        <v>300.00</v>
      </c>
      <c r="F211" t="str">
        <f>"-4301.00"</f>
        <v>-4301.00</v>
      </c>
      <c r="G211" t="str">
        <f>"4496.54"</f>
        <v>4496.54</v>
      </c>
      <c r="H211" t="str">
        <f>"1100.00"</f>
        <v>1100.00</v>
      </c>
      <c r="I211" t="str">
        <f>"154"</f>
        <v>154</v>
      </c>
      <c r="J211" t="str">
        <f>"证券买入(江龙船艇)"</f>
        <v>证券买入(江龙船艇)</v>
      </c>
      <c r="K211" t="str">
        <f>"5.00"</f>
        <v>5.00</v>
      </c>
      <c r="L211" t="str">
        <f t="shared" si="78"/>
        <v>0.00</v>
      </c>
      <c r="M211" t="str">
        <f t="shared" si="78"/>
        <v>0.00</v>
      </c>
      <c r="N211" t="str">
        <f t="shared" si="78"/>
        <v>0.00</v>
      </c>
      <c r="O211" t="str">
        <f>"300589"</f>
        <v>300589</v>
      </c>
      <c r="P211" t="str">
        <f t="shared" si="75"/>
        <v>0153613480</v>
      </c>
    </row>
    <row r="212" spans="1:16" hidden="1" x14ac:dyDescent="0.25">
      <c r="A212" t="str">
        <f t="shared" si="69"/>
        <v>人民币</v>
      </c>
      <c r="B212" t="str">
        <f>"宏达电子"</f>
        <v>宏达电子</v>
      </c>
      <c r="C212" t="str">
        <f>"20180706"</f>
        <v>20180706</v>
      </c>
      <c r="D212" t="str">
        <f>"26.850"</f>
        <v>26.850</v>
      </c>
      <c r="E212" t="str">
        <f>"-200.00"</f>
        <v>-200.00</v>
      </c>
      <c r="F212" t="str">
        <f>"5359.63"</f>
        <v>5359.63</v>
      </c>
      <c r="G212" t="str">
        <f>"9856.17"</f>
        <v>9856.17</v>
      </c>
      <c r="H212" t="str">
        <f>"1700.00"</f>
        <v>1700.00</v>
      </c>
      <c r="I212" t="str">
        <f>"163"</f>
        <v>163</v>
      </c>
      <c r="J212" t="str">
        <f>"证券卖出(宏达电子)"</f>
        <v>证券卖出(宏达电子)</v>
      </c>
      <c r="K212" t="str">
        <f>"5.00"</f>
        <v>5.00</v>
      </c>
      <c r="L212" t="str">
        <f>"5.37"</f>
        <v>5.37</v>
      </c>
      <c r="M212" t="str">
        <f>"0.00"</f>
        <v>0.00</v>
      </c>
      <c r="N212" t="str">
        <f>"0.00"</f>
        <v>0.00</v>
      </c>
      <c r="O212" t="str">
        <f>"300726"</f>
        <v>300726</v>
      </c>
      <c r="P212" t="str">
        <f t="shared" si="75"/>
        <v>0153613480</v>
      </c>
    </row>
    <row r="213" spans="1:16" hidden="1" x14ac:dyDescent="0.25">
      <c r="A213" t="str">
        <f t="shared" si="69"/>
        <v>人民币</v>
      </c>
      <c r="B213" t="str">
        <f>"宏达电子"</f>
        <v>宏达电子</v>
      </c>
      <c r="C213" t="str">
        <f>"20180709"</f>
        <v>20180709</v>
      </c>
      <c r="D213" t="str">
        <f>"0.000"</f>
        <v>0.000</v>
      </c>
      <c r="E213" t="str">
        <f>"0.00"</f>
        <v>0.00</v>
      </c>
      <c r="F213" t="str">
        <f>"-4.00"</f>
        <v>-4.00</v>
      </c>
      <c r="G213" t="str">
        <f>"9852.17"</f>
        <v>9852.17</v>
      </c>
      <c r="H213" t="str">
        <f>"1700.00"</f>
        <v>1700.00</v>
      </c>
      <c r="I213" t="str">
        <f>"---"</f>
        <v>---</v>
      </c>
      <c r="J213" t="str">
        <f>"红利差异税扣税(宏达电子)"</f>
        <v>红利差异税扣税(宏达电子)</v>
      </c>
      <c r="K213" t="str">
        <f>"---"</f>
        <v>---</v>
      </c>
      <c r="L213" t="str">
        <f>"---"</f>
        <v>---</v>
      </c>
      <c r="M213" t="str">
        <f>"---"</f>
        <v>---</v>
      </c>
      <c r="N213" t="str">
        <f>"---"</f>
        <v>---</v>
      </c>
      <c r="O213" t="str">
        <f>"300726"</f>
        <v>300726</v>
      </c>
      <c r="P213" t="str">
        <f t="shared" si="75"/>
        <v>0153613480</v>
      </c>
    </row>
    <row r="214" spans="1:16" hidden="1" x14ac:dyDescent="0.25">
      <c r="A214" t="str">
        <f t="shared" si="69"/>
        <v>人民币</v>
      </c>
      <c r="B214" t="str">
        <f>"宏达电子"</f>
        <v>宏达电子</v>
      </c>
      <c r="C214" t="str">
        <f>"20180709"</f>
        <v>20180709</v>
      </c>
      <c r="D214" t="str">
        <f>"29.950"</f>
        <v>29.950</v>
      </c>
      <c r="E214" t="str">
        <f>"-700.00"</f>
        <v>-700.00</v>
      </c>
      <c r="F214" t="str">
        <f>"20937.53"</f>
        <v>20937.53</v>
      </c>
      <c r="G214" t="str">
        <f>"30789.70"</f>
        <v>30789.70</v>
      </c>
      <c r="H214" t="str">
        <f>"1000.00"</f>
        <v>1000.00</v>
      </c>
      <c r="I214" t="str">
        <f>"175"</f>
        <v>175</v>
      </c>
      <c r="J214" t="str">
        <f>"证券卖出(宏达电子)"</f>
        <v>证券卖出(宏达电子)</v>
      </c>
      <c r="K214" t="str">
        <f>"6.50"</f>
        <v>6.50</v>
      </c>
      <c r="L214" t="str">
        <f>"20.97"</f>
        <v>20.97</v>
      </c>
      <c r="M214" t="str">
        <f t="shared" ref="M214:N216" si="79">"0.00"</f>
        <v>0.00</v>
      </c>
      <c r="N214" t="str">
        <f t="shared" si="79"/>
        <v>0.00</v>
      </c>
      <c r="O214" t="str">
        <f>"300726"</f>
        <v>300726</v>
      </c>
      <c r="P214" t="str">
        <f t="shared" si="75"/>
        <v>0153613480</v>
      </c>
    </row>
    <row r="215" spans="1:16" hidden="1" x14ac:dyDescent="0.25">
      <c r="A215" t="str">
        <f t="shared" si="69"/>
        <v>人民币</v>
      </c>
      <c r="B215" t="str">
        <f>"江龙船艇"</f>
        <v>江龙船艇</v>
      </c>
      <c r="C215" t="str">
        <f>"20180709"</f>
        <v>20180709</v>
      </c>
      <c r="D215" t="str">
        <f>"14.670"</f>
        <v>14.670</v>
      </c>
      <c r="E215" t="str">
        <f>"-700.00"</f>
        <v>-700.00</v>
      </c>
      <c r="F215" t="str">
        <f>"10253.73"</f>
        <v>10253.73</v>
      </c>
      <c r="G215" t="str">
        <f>"41043.43"</f>
        <v>41043.43</v>
      </c>
      <c r="H215" t="str">
        <f>"400.00"</f>
        <v>400.00</v>
      </c>
      <c r="I215" t="str">
        <f>"168"</f>
        <v>168</v>
      </c>
      <c r="J215" t="str">
        <f>"证券卖出(江龙船艇)"</f>
        <v>证券卖出(江龙船艇)</v>
      </c>
      <c r="K215" t="str">
        <f>"5.00"</f>
        <v>5.00</v>
      </c>
      <c r="L215" t="str">
        <f>"10.27"</f>
        <v>10.27</v>
      </c>
      <c r="M215" t="str">
        <f t="shared" si="79"/>
        <v>0.00</v>
      </c>
      <c r="N215" t="str">
        <f t="shared" si="79"/>
        <v>0.00</v>
      </c>
      <c r="O215" t="str">
        <f>"300589"</f>
        <v>300589</v>
      </c>
      <c r="P215" t="str">
        <f t="shared" si="75"/>
        <v>0153613480</v>
      </c>
    </row>
    <row r="216" spans="1:16" hidden="1" x14ac:dyDescent="0.25">
      <c r="A216" t="str">
        <f t="shared" si="69"/>
        <v>人民币</v>
      </c>
      <c r="B216" t="str">
        <f>"江龙船艇"</f>
        <v>江龙船艇</v>
      </c>
      <c r="C216" t="str">
        <f>"20180709"</f>
        <v>20180709</v>
      </c>
      <c r="D216" t="str">
        <f>"14.680"</f>
        <v>14.680</v>
      </c>
      <c r="E216" t="str">
        <f>"-400.00"</f>
        <v>-400.00</v>
      </c>
      <c r="F216" t="str">
        <f>"5861.13"</f>
        <v>5861.13</v>
      </c>
      <c r="G216" t="str">
        <f>"46904.56"</f>
        <v>46904.56</v>
      </c>
      <c r="H216" t="str">
        <f>"0.00"</f>
        <v>0.00</v>
      </c>
      <c r="I216" t="str">
        <f>"171"</f>
        <v>171</v>
      </c>
      <c r="J216" t="str">
        <f>"证券卖出(江龙船艇)"</f>
        <v>证券卖出(江龙船艇)</v>
      </c>
      <c r="K216" t="str">
        <f>"5.00"</f>
        <v>5.00</v>
      </c>
      <c r="L216" t="str">
        <f>"5.87"</f>
        <v>5.87</v>
      </c>
      <c r="M216" t="str">
        <f t="shared" si="79"/>
        <v>0.00</v>
      </c>
      <c r="N216" t="str">
        <f t="shared" si="79"/>
        <v>0.00</v>
      </c>
      <c r="O216" t="str">
        <f>"300589"</f>
        <v>300589</v>
      </c>
      <c r="P216" t="str">
        <f t="shared" si="75"/>
        <v>0153613480</v>
      </c>
    </row>
    <row r="217" spans="1:16" hidden="1" x14ac:dyDescent="0.25">
      <c r="A217" t="str">
        <f t="shared" si="69"/>
        <v>人民币</v>
      </c>
      <c r="B217" t="str">
        <f>"宏达电子"</f>
        <v>宏达电子</v>
      </c>
      <c r="C217" t="str">
        <f>"20180710"</f>
        <v>20180710</v>
      </c>
      <c r="D217" t="str">
        <f>"0.000"</f>
        <v>0.000</v>
      </c>
      <c r="E217" t="str">
        <f>"0.00"</f>
        <v>0.00</v>
      </c>
      <c r="F217" t="str">
        <f>"-14.00"</f>
        <v>-14.00</v>
      </c>
      <c r="G217" t="str">
        <f>"46890.56"</f>
        <v>46890.56</v>
      </c>
      <c r="H217" t="str">
        <f>"1000.00"</f>
        <v>1000.00</v>
      </c>
      <c r="I217" t="str">
        <f>"---"</f>
        <v>---</v>
      </c>
      <c r="J217" t="str">
        <f>"红利差异税扣税(宏达电子)"</f>
        <v>红利差异税扣税(宏达电子)</v>
      </c>
      <c r="K217" t="str">
        <f>"---"</f>
        <v>---</v>
      </c>
      <c r="L217" t="str">
        <f>"---"</f>
        <v>---</v>
      </c>
      <c r="M217" t="str">
        <f>"---"</f>
        <v>---</v>
      </c>
      <c r="N217" t="str">
        <f>"---"</f>
        <v>---</v>
      </c>
      <c r="O217" t="str">
        <f>"300726"</f>
        <v>300726</v>
      </c>
      <c r="P217" t="str">
        <f t="shared" si="75"/>
        <v>0153613480</v>
      </c>
    </row>
    <row r="218" spans="1:16" hidden="1" x14ac:dyDescent="0.25">
      <c r="A218" t="str">
        <f t="shared" si="69"/>
        <v>人民币</v>
      </c>
      <c r="B218" t="str">
        <f>"江龙船艇"</f>
        <v>江龙船艇</v>
      </c>
      <c r="C218" t="str">
        <f>"20180711"</f>
        <v>20180711</v>
      </c>
      <c r="D218" t="str">
        <f>"14.600"</f>
        <v>14.600</v>
      </c>
      <c r="E218" t="str">
        <f>"500.00"</f>
        <v>500.00</v>
      </c>
      <c r="F218" t="str">
        <f>"-7305.00"</f>
        <v>-7305.00</v>
      </c>
      <c r="G218" t="str">
        <f>"39585.56"</f>
        <v>39585.56</v>
      </c>
      <c r="H218" t="str">
        <f>"500.00"</f>
        <v>500.00</v>
      </c>
      <c r="I218" t="str">
        <f>"183"</f>
        <v>183</v>
      </c>
      <c r="J218" t="str">
        <f>"证券买入(江龙船艇)"</f>
        <v>证券买入(江龙船艇)</v>
      </c>
      <c r="K218" t="str">
        <f t="shared" ref="K218:K224" si="80">"5.00"</f>
        <v>5.00</v>
      </c>
      <c r="L218" t="str">
        <f t="shared" ref="L218:N220" si="81">"0.00"</f>
        <v>0.00</v>
      </c>
      <c r="M218" t="str">
        <f t="shared" si="81"/>
        <v>0.00</v>
      </c>
      <c r="N218" t="str">
        <f t="shared" si="81"/>
        <v>0.00</v>
      </c>
      <c r="O218" t="str">
        <f>"300589"</f>
        <v>300589</v>
      </c>
      <c r="P218" t="str">
        <f t="shared" si="75"/>
        <v>0153613480</v>
      </c>
    </row>
    <row r="219" spans="1:16" hidden="1" x14ac:dyDescent="0.25">
      <c r="A219" t="str">
        <f t="shared" si="69"/>
        <v>人民币</v>
      </c>
      <c r="B219" t="str">
        <f>"江龙船艇"</f>
        <v>江龙船艇</v>
      </c>
      <c r="C219" t="str">
        <f>"20180711"</f>
        <v>20180711</v>
      </c>
      <c r="D219" t="str">
        <f>"14.670"</f>
        <v>14.670</v>
      </c>
      <c r="E219" t="str">
        <f>"500.00"</f>
        <v>500.00</v>
      </c>
      <c r="F219" t="str">
        <f>"-7340.00"</f>
        <v>-7340.00</v>
      </c>
      <c r="G219" t="str">
        <f>"32245.56"</f>
        <v>32245.56</v>
      </c>
      <c r="H219" t="str">
        <f>"1000.00"</f>
        <v>1000.00</v>
      </c>
      <c r="I219" t="str">
        <f>"186"</f>
        <v>186</v>
      </c>
      <c r="J219" t="str">
        <f>"证券买入(江龙船艇)"</f>
        <v>证券买入(江龙船艇)</v>
      </c>
      <c r="K219" t="str">
        <f t="shared" si="80"/>
        <v>5.00</v>
      </c>
      <c r="L219" t="str">
        <f t="shared" si="81"/>
        <v>0.00</v>
      </c>
      <c r="M219" t="str">
        <f t="shared" si="81"/>
        <v>0.00</v>
      </c>
      <c r="N219" t="str">
        <f t="shared" si="81"/>
        <v>0.00</v>
      </c>
      <c r="O219" t="str">
        <f>"300589"</f>
        <v>300589</v>
      </c>
      <c r="P219" t="str">
        <f t="shared" si="75"/>
        <v>0153613480</v>
      </c>
    </row>
    <row r="220" spans="1:16" hidden="1" x14ac:dyDescent="0.25">
      <c r="A220" t="str">
        <f t="shared" si="69"/>
        <v>人民币</v>
      </c>
      <c r="B220" t="str">
        <f>"江龙船艇"</f>
        <v>江龙船艇</v>
      </c>
      <c r="C220" t="str">
        <f>"20180711"</f>
        <v>20180711</v>
      </c>
      <c r="D220" t="str">
        <f>"14.100"</f>
        <v>14.100</v>
      </c>
      <c r="E220" t="str">
        <f>"500.00"</f>
        <v>500.00</v>
      </c>
      <c r="F220" t="str">
        <f>"-7055.00"</f>
        <v>-7055.00</v>
      </c>
      <c r="G220" t="str">
        <f>"25190.56"</f>
        <v>25190.56</v>
      </c>
      <c r="H220" t="str">
        <f>"1500.00"</f>
        <v>1500.00</v>
      </c>
      <c r="I220" t="str">
        <f>"190"</f>
        <v>190</v>
      </c>
      <c r="J220" t="str">
        <f>"证券买入(江龙船艇)"</f>
        <v>证券买入(江龙船艇)</v>
      </c>
      <c r="K220" t="str">
        <f t="shared" si="80"/>
        <v>5.00</v>
      </c>
      <c r="L220" t="str">
        <f t="shared" si="81"/>
        <v>0.00</v>
      </c>
      <c r="M220" t="str">
        <f t="shared" si="81"/>
        <v>0.00</v>
      </c>
      <c r="N220" t="str">
        <f t="shared" si="81"/>
        <v>0.00</v>
      </c>
      <c r="O220" t="str">
        <f>"300589"</f>
        <v>300589</v>
      </c>
      <c r="P220" t="str">
        <f t="shared" si="75"/>
        <v>0153613480</v>
      </c>
    </row>
    <row r="221" spans="1:16" hidden="1" x14ac:dyDescent="0.25">
      <c r="A221" t="str">
        <f t="shared" si="69"/>
        <v>人民币</v>
      </c>
      <c r="B221" t="str">
        <f>"七一二"</f>
        <v>七一二</v>
      </c>
      <c r="C221" t="str">
        <f>"20180712"</f>
        <v>20180712</v>
      </c>
      <c r="D221" t="str">
        <f>"27.580"</f>
        <v>27.580</v>
      </c>
      <c r="E221" t="str">
        <f>"300.00"</f>
        <v>300.00</v>
      </c>
      <c r="F221" t="str">
        <f>"-8279.17"</f>
        <v>-8279.17</v>
      </c>
      <c r="G221" t="str">
        <f>"16911.39"</f>
        <v>16911.39</v>
      </c>
      <c r="H221" t="str">
        <f>"300.00"</f>
        <v>300.00</v>
      </c>
      <c r="I221" t="str">
        <f>"202"</f>
        <v>202</v>
      </c>
      <c r="J221" t="str">
        <f>"证券买入(七一二)"</f>
        <v>证券买入(七一二)</v>
      </c>
      <c r="K221" t="str">
        <f t="shared" si="80"/>
        <v>5.00</v>
      </c>
      <c r="L221" t="str">
        <f>"0.00"</f>
        <v>0.00</v>
      </c>
      <c r="M221" t="str">
        <f>"0.17"</f>
        <v>0.17</v>
      </c>
      <c r="N221" t="str">
        <f>"0.00"</f>
        <v>0.00</v>
      </c>
      <c r="O221" t="str">
        <f>"603712"</f>
        <v>603712</v>
      </c>
      <c r="P221" t="str">
        <f>"A400948245"</f>
        <v>A400948245</v>
      </c>
    </row>
    <row r="222" spans="1:16" hidden="1" x14ac:dyDescent="0.25">
      <c r="A222" t="str">
        <f t="shared" si="69"/>
        <v>人民币</v>
      </c>
      <c r="B222" t="str">
        <f>"七一二"</f>
        <v>七一二</v>
      </c>
      <c r="C222" t="str">
        <f>"20180712"</f>
        <v>20180712</v>
      </c>
      <c r="D222" t="str">
        <f>"27.400"</f>
        <v>27.400</v>
      </c>
      <c r="E222" t="str">
        <f>"200.00"</f>
        <v>200.00</v>
      </c>
      <c r="F222" t="str">
        <f>"-5485.11"</f>
        <v>-5485.11</v>
      </c>
      <c r="G222" t="str">
        <f>"11426.28"</f>
        <v>11426.28</v>
      </c>
      <c r="H222" t="str">
        <f>"500.00"</f>
        <v>500.00</v>
      </c>
      <c r="I222" t="str">
        <f>"208"</f>
        <v>208</v>
      </c>
      <c r="J222" t="str">
        <f>"证券买入(七一二)"</f>
        <v>证券买入(七一二)</v>
      </c>
      <c r="K222" t="str">
        <f t="shared" si="80"/>
        <v>5.00</v>
      </c>
      <c r="L222" t="str">
        <f>"0.00"</f>
        <v>0.00</v>
      </c>
      <c r="M222" t="str">
        <f>"0.11"</f>
        <v>0.11</v>
      </c>
      <c r="N222" t="str">
        <f>"0.00"</f>
        <v>0.00</v>
      </c>
      <c r="O222" t="str">
        <f>"603712"</f>
        <v>603712</v>
      </c>
      <c r="P222" t="str">
        <f>"A400948245"</f>
        <v>A400948245</v>
      </c>
    </row>
    <row r="223" spans="1:16" hidden="1" x14ac:dyDescent="0.25">
      <c r="A223" t="str">
        <f t="shared" si="69"/>
        <v>人民币</v>
      </c>
      <c r="B223" t="str">
        <f>"宏达电子"</f>
        <v>宏达电子</v>
      </c>
      <c r="C223" t="str">
        <f>"20180712"</f>
        <v>20180712</v>
      </c>
      <c r="D223" t="str">
        <f>"30.700"</f>
        <v>30.700</v>
      </c>
      <c r="E223" t="str">
        <f>"-500.00"</f>
        <v>-500.00</v>
      </c>
      <c r="F223" t="str">
        <f>"15329.65"</f>
        <v>15329.65</v>
      </c>
      <c r="G223" t="str">
        <f>"26755.93"</f>
        <v>26755.93</v>
      </c>
      <c r="H223" t="str">
        <f>"500.00"</f>
        <v>500.00</v>
      </c>
      <c r="I223" t="str">
        <f>"196"</f>
        <v>196</v>
      </c>
      <c r="J223" t="str">
        <f>"证券卖出(宏达电子)"</f>
        <v>证券卖出(宏达电子)</v>
      </c>
      <c r="K223" t="str">
        <f t="shared" si="80"/>
        <v>5.00</v>
      </c>
      <c r="L223" t="str">
        <f>"15.35"</f>
        <v>15.35</v>
      </c>
      <c r="M223" t="str">
        <f>"0.00"</f>
        <v>0.00</v>
      </c>
      <c r="N223" t="str">
        <f>"0.00"</f>
        <v>0.00</v>
      </c>
      <c r="O223" t="str">
        <f>"300726"</f>
        <v>300726</v>
      </c>
      <c r="P223" t="str">
        <f>"0153613480"</f>
        <v>0153613480</v>
      </c>
    </row>
    <row r="224" spans="1:16" hidden="1" x14ac:dyDescent="0.25">
      <c r="A224" t="str">
        <f t="shared" si="69"/>
        <v>人民币</v>
      </c>
      <c r="B224" t="str">
        <f>"宏达电子"</f>
        <v>宏达电子</v>
      </c>
      <c r="C224" t="str">
        <f>"20180712"</f>
        <v>20180712</v>
      </c>
      <c r="D224" t="str">
        <f>"30.700"</f>
        <v>30.700</v>
      </c>
      <c r="E224" t="str">
        <f>"-500.00"</f>
        <v>-500.00</v>
      </c>
      <c r="F224" t="str">
        <f>"15329.65"</f>
        <v>15329.65</v>
      </c>
      <c r="G224" t="str">
        <f>"42085.58"</f>
        <v>42085.58</v>
      </c>
      <c r="H224" t="str">
        <f>"0.00"</f>
        <v>0.00</v>
      </c>
      <c r="I224" t="str">
        <f>"199"</f>
        <v>199</v>
      </c>
      <c r="J224" t="str">
        <f>"证券卖出(宏达电子)"</f>
        <v>证券卖出(宏达电子)</v>
      </c>
      <c r="K224" t="str">
        <f t="shared" si="80"/>
        <v>5.00</v>
      </c>
      <c r="L224" t="str">
        <f>"15.35"</f>
        <v>15.35</v>
      </c>
      <c r="M224" t="str">
        <f>"0.00"</f>
        <v>0.00</v>
      </c>
      <c r="N224" t="str">
        <f>"0.00"</f>
        <v>0.00</v>
      </c>
      <c r="O224" t="str">
        <f>"300726"</f>
        <v>300726</v>
      </c>
      <c r="P224" t="str">
        <f>"0153613480"</f>
        <v>0153613480</v>
      </c>
    </row>
    <row r="225" spans="1:16" hidden="1" x14ac:dyDescent="0.25">
      <c r="A225" t="str">
        <f t="shared" si="69"/>
        <v>人民币</v>
      </c>
      <c r="B225" t="str">
        <f>"宏达电子"</f>
        <v>宏达电子</v>
      </c>
      <c r="C225" t="str">
        <f>"20180713"</f>
        <v>20180713</v>
      </c>
      <c r="D225" t="str">
        <f>"0.000"</f>
        <v>0.000</v>
      </c>
      <c r="E225" t="str">
        <f>"0.00"</f>
        <v>0.00</v>
      </c>
      <c r="F225" t="str">
        <f>"-16.00"</f>
        <v>-16.00</v>
      </c>
      <c r="G225" t="str">
        <f>"42069.58"</f>
        <v>42069.58</v>
      </c>
      <c r="H225" t="str">
        <f>"0.00"</f>
        <v>0.00</v>
      </c>
      <c r="I225" t="str">
        <f>"---"</f>
        <v>---</v>
      </c>
      <c r="J225" t="str">
        <f>"红利差异税扣税(宏达电子)"</f>
        <v>红利差异税扣税(宏达电子)</v>
      </c>
      <c r="K225" t="str">
        <f>"---"</f>
        <v>---</v>
      </c>
      <c r="L225" t="str">
        <f>"---"</f>
        <v>---</v>
      </c>
      <c r="M225" t="str">
        <f>"---"</f>
        <v>---</v>
      </c>
      <c r="N225" t="str">
        <f>"---"</f>
        <v>---</v>
      </c>
      <c r="O225" t="str">
        <f>"300726"</f>
        <v>300726</v>
      </c>
      <c r="P225" t="str">
        <f>"0153613480"</f>
        <v>0153613480</v>
      </c>
    </row>
    <row r="226" spans="1:16" hidden="1" x14ac:dyDescent="0.25">
      <c r="A226" t="str">
        <f t="shared" si="69"/>
        <v>人民币</v>
      </c>
      <c r="B226" t="str">
        <f>"七一二"</f>
        <v>七一二</v>
      </c>
      <c r="C226" t="str">
        <f>"20180713"</f>
        <v>20180713</v>
      </c>
      <c r="D226" t="str">
        <f>"27.070"</f>
        <v>27.070</v>
      </c>
      <c r="E226" t="str">
        <f>"300.00"</f>
        <v>300.00</v>
      </c>
      <c r="F226" t="str">
        <f>"-8126.16"</f>
        <v>-8126.16</v>
      </c>
      <c r="G226" t="str">
        <f>"33943.42"</f>
        <v>33943.42</v>
      </c>
      <c r="H226" t="str">
        <f>"800.00"</f>
        <v>800.00</v>
      </c>
      <c r="I226" t="str">
        <f>"217"</f>
        <v>217</v>
      </c>
      <c r="J226" t="str">
        <f>"证券买入(七一二)"</f>
        <v>证券买入(七一二)</v>
      </c>
      <c r="K226" t="str">
        <f t="shared" ref="K226:K231" si="82">"5.00"</f>
        <v>5.00</v>
      </c>
      <c r="L226" t="str">
        <f>"0.00"</f>
        <v>0.00</v>
      </c>
      <c r="M226" t="str">
        <f>"0.16"</f>
        <v>0.16</v>
      </c>
      <c r="N226" t="str">
        <f t="shared" ref="N226:N236" si="83">"0.00"</f>
        <v>0.00</v>
      </c>
      <c r="O226" t="str">
        <f>"603712"</f>
        <v>603712</v>
      </c>
      <c r="P226" t="str">
        <f>"A400948245"</f>
        <v>A400948245</v>
      </c>
    </row>
    <row r="227" spans="1:16" hidden="1" x14ac:dyDescent="0.25">
      <c r="A227" t="str">
        <f t="shared" si="69"/>
        <v>人民币</v>
      </c>
      <c r="B227" t="str">
        <f>"上海新阳"</f>
        <v>上海新阳</v>
      </c>
      <c r="C227" t="str">
        <f>"20180716"</f>
        <v>20180716</v>
      </c>
      <c r="D227" t="str">
        <f>"29.910"</f>
        <v>29.910</v>
      </c>
      <c r="E227" t="str">
        <f>"200.00"</f>
        <v>200.00</v>
      </c>
      <c r="F227" t="str">
        <f>"-5987.00"</f>
        <v>-5987.00</v>
      </c>
      <c r="G227" t="str">
        <f>"27956.42"</f>
        <v>27956.42</v>
      </c>
      <c r="H227" t="str">
        <f>"200.00"</f>
        <v>200.00</v>
      </c>
      <c r="I227" t="str">
        <f>"222"</f>
        <v>222</v>
      </c>
      <c r="J227" t="str">
        <f>"证券买入(上海新阳)"</f>
        <v>证券买入(上海新阳)</v>
      </c>
      <c r="K227" t="str">
        <f t="shared" si="82"/>
        <v>5.00</v>
      </c>
      <c r="L227" t="str">
        <f>"0.00"</f>
        <v>0.00</v>
      </c>
      <c r="M227" t="str">
        <f>"0.00"</f>
        <v>0.00</v>
      </c>
      <c r="N227" t="str">
        <f t="shared" si="83"/>
        <v>0.00</v>
      </c>
      <c r="O227" t="str">
        <f>"300236"</f>
        <v>300236</v>
      </c>
      <c r="P227" t="str">
        <f>"0153613480"</f>
        <v>0153613480</v>
      </c>
    </row>
    <row r="228" spans="1:16" hidden="1" x14ac:dyDescent="0.25">
      <c r="A228" t="str">
        <f t="shared" si="69"/>
        <v>人民币</v>
      </c>
      <c r="B228" t="str">
        <f>"上海新阳"</f>
        <v>上海新阳</v>
      </c>
      <c r="C228" t="str">
        <f>"20180716"</f>
        <v>20180716</v>
      </c>
      <c r="D228" t="str">
        <f>"29.870"</f>
        <v>29.870</v>
      </c>
      <c r="E228" t="str">
        <f>"200.00"</f>
        <v>200.00</v>
      </c>
      <c r="F228" t="str">
        <f>"-5979.00"</f>
        <v>-5979.00</v>
      </c>
      <c r="G228" t="str">
        <f>"21977.42"</f>
        <v>21977.42</v>
      </c>
      <c r="H228" t="str">
        <f>"400.00"</f>
        <v>400.00</v>
      </c>
      <c r="I228" t="str">
        <f>"225"</f>
        <v>225</v>
      </c>
      <c r="J228" t="str">
        <f>"证券买入(上海新阳)"</f>
        <v>证券买入(上海新阳)</v>
      </c>
      <c r="K228" t="str">
        <f t="shared" si="82"/>
        <v>5.00</v>
      </c>
      <c r="L228" t="str">
        <f>"0.00"</f>
        <v>0.00</v>
      </c>
      <c r="M228" t="str">
        <f>"0.00"</f>
        <v>0.00</v>
      </c>
      <c r="N228" t="str">
        <f t="shared" si="83"/>
        <v>0.00</v>
      </c>
      <c r="O228" t="str">
        <f>"300236"</f>
        <v>300236</v>
      </c>
      <c r="P228" t="str">
        <f>"0153613480"</f>
        <v>0153613480</v>
      </c>
    </row>
    <row r="229" spans="1:16" hidden="1" x14ac:dyDescent="0.25">
      <c r="A229" t="str">
        <f t="shared" si="69"/>
        <v>人民币</v>
      </c>
      <c r="B229" t="str">
        <f>"复星医药"</f>
        <v>复星医药</v>
      </c>
      <c r="C229" t="str">
        <f>"20180717"</f>
        <v>20180717</v>
      </c>
      <c r="D229" t="str">
        <f>"40.860"</f>
        <v>40.860</v>
      </c>
      <c r="E229" t="str">
        <f>"100.00"</f>
        <v>100.00</v>
      </c>
      <c r="F229" t="str">
        <f>"-4091.08"</f>
        <v>-4091.08</v>
      </c>
      <c r="G229" t="str">
        <f>"17886.34"</f>
        <v>17886.34</v>
      </c>
      <c r="H229" t="str">
        <f>"100.00"</f>
        <v>100.00</v>
      </c>
      <c r="I229" t="str">
        <f>"1"</f>
        <v>1</v>
      </c>
      <c r="J229" t="str">
        <f>"证券买入(复星医药)"</f>
        <v>证券买入(复星医药)</v>
      </c>
      <c r="K229" t="str">
        <f t="shared" si="82"/>
        <v>5.00</v>
      </c>
      <c r="L229" t="str">
        <f>"0.00"</f>
        <v>0.00</v>
      </c>
      <c r="M229" t="str">
        <f>"0.08"</f>
        <v>0.08</v>
      </c>
      <c r="N229" t="str">
        <f t="shared" si="83"/>
        <v>0.00</v>
      </c>
      <c r="O229" t="str">
        <f>"600196"</f>
        <v>600196</v>
      </c>
      <c r="P229" t="str">
        <f>"A400948245"</f>
        <v>A400948245</v>
      </c>
    </row>
    <row r="230" spans="1:16" hidden="1" x14ac:dyDescent="0.25">
      <c r="A230" t="str">
        <f t="shared" si="69"/>
        <v>人民币</v>
      </c>
      <c r="B230" t="str">
        <f>"江龙船艇"</f>
        <v>江龙船艇</v>
      </c>
      <c r="C230" t="str">
        <f>"20180717"</f>
        <v>20180717</v>
      </c>
      <c r="D230" t="str">
        <f>"14.290"</f>
        <v>14.290</v>
      </c>
      <c r="E230" t="str">
        <f>"300.00"</f>
        <v>300.00</v>
      </c>
      <c r="F230" t="str">
        <f>"-4292.00"</f>
        <v>-4292.00</v>
      </c>
      <c r="G230" t="str">
        <f>"13594.34"</f>
        <v>13594.34</v>
      </c>
      <c r="H230" t="str">
        <f>"1800.00"</f>
        <v>1800.00</v>
      </c>
      <c r="I230" t="str">
        <f>"4"</f>
        <v>4</v>
      </c>
      <c r="J230" t="str">
        <f>"证券买入(江龙船艇)"</f>
        <v>证券买入(江龙船艇)</v>
      </c>
      <c r="K230" t="str">
        <f t="shared" si="82"/>
        <v>5.00</v>
      </c>
      <c r="L230" t="str">
        <f>"0.00"</f>
        <v>0.00</v>
      </c>
      <c r="M230" t="str">
        <f>"0.00"</f>
        <v>0.00</v>
      </c>
      <c r="N230" t="str">
        <f t="shared" si="83"/>
        <v>0.00</v>
      </c>
      <c r="O230" t="str">
        <f>"300589"</f>
        <v>300589</v>
      </c>
      <c r="P230" t="str">
        <f>"0153613480"</f>
        <v>0153613480</v>
      </c>
    </row>
    <row r="231" spans="1:16" hidden="1" x14ac:dyDescent="0.25">
      <c r="A231" t="str">
        <f t="shared" si="69"/>
        <v>人民币</v>
      </c>
      <c r="B231" t="str">
        <f>"复星医药"</f>
        <v>复星医药</v>
      </c>
      <c r="C231" t="str">
        <f>"20180718"</f>
        <v>20180718</v>
      </c>
      <c r="D231" t="str">
        <f>"41.780"</f>
        <v>41.780</v>
      </c>
      <c r="E231" t="str">
        <f>"-100.00"</f>
        <v>-100.00</v>
      </c>
      <c r="F231" t="str">
        <f>"4168.74"</f>
        <v>4168.74</v>
      </c>
      <c r="G231" t="str">
        <f>"17763.08"</f>
        <v>17763.08</v>
      </c>
      <c r="H231" t="str">
        <f>"0.00"</f>
        <v>0.00</v>
      </c>
      <c r="I231" t="str">
        <f>"9"</f>
        <v>9</v>
      </c>
      <c r="J231" t="str">
        <f>"证券卖出(复星医药)"</f>
        <v>证券卖出(复星医药)</v>
      </c>
      <c r="K231" t="str">
        <f t="shared" si="82"/>
        <v>5.00</v>
      </c>
      <c r="L231" t="str">
        <f>"4.18"</f>
        <v>4.18</v>
      </c>
      <c r="M231" t="str">
        <f>"0.08"</f>
        <v>0.08</v>
      </c>
      <c r="N231" t="str">
        <f t="shared" si="83"/>
        <v>0.00</v>
      </c>
      <c r="O231" t="str">
        <f>"600196"</f>
        <v>600196</v>
      </c>
      <c r="P231" t="str">
        <f>"A400948245"</f>
        <v>A400948245</v>
      </c>
    </row>
    <row r="232" spans="1:16" hidden="1" x14ac:dyDescent="0.25">
      <c r="A232" t="str">
        <f t="shared" si="69"/>
        <v>人民币</v>
      </c>
      <c r="B232" t="str">
        <f>"春光配号"</f>
        <v>春光配号</v>
      </c>
      <c r="C232" t="str">
        <f>"20180718"</f>
        <v>20180718</v>
      </c>
      <c r="D232" t="str">
        <f>"0.000"</f>
        <v>0.000</v>
      </c>
      <c r="E232" t="str">
        <f>"1.00"</f>
        <v>1.00</v>
      </c>
      <c r="F232" t="str">
        <f>"0.00"</f>
        <v>0.00</v>
      </c>
      <c r="G232" t="str">
        <f>"17763.08"</f>
        <v>17763.08</v>
      </c>
      <c r="H232" t="str">
        <f>"0.00"</f>
        <v>0.00</v>
      </c>
      <c r="I232" t="str">
        <f>"12"</f>
        <v>12</v>
      </c>
      <c r="J232" t="str">
        <f>"申购配号(春光配号)"</f>
        <v>申购配号(春光配号)</v>
      </c>
      <c r="K232" t="str">
        <f>"0.00"</f>
        <v>0.00</v>
      </c>
      <c r="L232" t="str">
        <f>"0.00"</f>
        <v>0.00</v>
      </c>
      <c r="M232" t="str">
        <f>"0.00"</f>
        <v>0.00</v>
      </c>
      <c r="N232" t="str">
        <f t="shared" si="83"/>
        <v>0.00</v>
      </c>
      <c r="O232" t="str">
        <f>"736657"</f>
        <v>736657</v>
      </c>
      <c r="P232" t="str">
        <f>"A400948245"</f>
        <v>A400948245</v>
      </c>
    </row>
    <row r="233" spans="1:16" hidden="1" x14ac:dyDescent="0.25">
      <c r="A233" t="str">
        <f t="shared" si="69"/>
        <v>人民币</v>
      </c>
      <c r="B233" t="str">
        <f>"七一二"</f>
        <v>七一二</v>
      </c>
      <c r="C233" t="str">
        <f>"20180718"</f>
        <v>20180718</v>
      </c>
      <c r="D233" t="str">
        <f>"27.320"</f>
        <v>27.320</v>
      </c>
      <c r="E233" t="str">
        <f>"200.00"</f>
        <v>200.00</v>
      </c>
      <c r="F233" t="str">
        <f>"-5469.11"</f>
        <v>-5469.11</v>
      </c>
      <c r="G233" t="str">
        <f>"12293.97"</f>
        <v>12293.97</v>
      </c>
      <c r="H233" t="str">
        <f>"1000.00"</f>
        <v>1000.00</v>
      </c>
      <c r="I233" t="str">
        <f>"14"</f>
        <v>14</v>
      </c>
      <c r="J233" t="str">
        <f>"证券买入(七一二)"</f>
        <v>证券买入(七一二)</v>
      </c>
      <c r="K233" t="str">
        <f>"5.00"</f>
        <v>5.00</v>
      </c>
      <c r="L233" t="str">
        <f>"0.00"</f>
        <v>0.00</v>
      </c>
      <c r="M233" t="str">
        <f>"0.11"</f>
        <v>0.11</v>
      </c>
      <c r="N233" t="str">
        <f t="shared" si="83"/>
        <v>0.00</v>
      </c>
      <c r="O233" t="str">
        <f>"603712"</f>
        <v>603712</v>
      </c>
      <c r="P233" t="str">
        <f>"A400948245"</f>
        <v>A400948245</v>
      </c>
    </row>
    <row r="234" spans="1:16" hidden="1" x14ac:dyDescent="0.25">
      <c r="A234" t="str">
        <f t="shared" si="69"/>
        <v>人民币</v>
      </c>
      <c r="B234" t="str">
        <f>"庄园牧场"</f>
        <v>庄园牧场</v>
      </c>
      <c r="C234" t="str">
        <f>"20180719"</f>
        <v>20180719</v>
      </c>
      <c r="D234" t="str">
        <f>"24.000"</f>
        <v>24.000</v>
      </c>
      <c r="E234" t="str">
        <f>"500.00"</f>
        <v>500.00</v>
      </c>
      <c r="F234" t="str">
        <f>"-12005.00"</f>
        <v>-12005.00</v>
      </c>
      <c r="G234" t="str">
        <f>"288.97"</f>
        <v>288.97</v>
      </c>
      <c r="H234" t="str">
        <f>"500.00"</f>
        <v>500.00</v>
      </c>
      <c r="I234" t="str">
        <f>"23"</f>
        <v>23</v>
      </c>
      <c r="J234" t="str">
        <f>"证券买入(庄园牧场)"</f>
        <v>证券买入(庄园牧场)</v>
      </c>
      <c r="K234" t="str">
        <f>"5.00"</f>
        <v>5.00</v>
      </c>
      <c r="L234" t="str">
        <f>"0.00"</f>
        <v>0.00</v>
      </c>
      <c r="M234" t="str">
        <f>"0.00"</f>
        <v>0.00</v>
      </c>
      <c r="N234" t="str">
        <f t="shared" si="83"/>
        <v>0.00</v>
      </c>
      <c r="O234" t="str">
        <f>"002910"</f>
        <v>002910</v>
      </c>
      <c r="P234" t="str">
        <f>"0153613480"</f>
        <v>0153613480</v>
      </c>
    </row>
    <row r="235" spans="1:16" hidden="1" x14ac:dyDescent="0.25">
      <c r="A235" t="str">
        <f t="shared" si="69"/>
        <v>人民币</v>
      </c>
      <c r="B235" t="str">
        <f>"上海新阳"</f>
        <v>上海新阳</v>
      </c>
      <c r="C235" t="str">
        <f>"20180724"</f>
        <v>20180724</v>
      </c>
      <c r="D235" t="str">
        <f>"30.200"</f>
        <v>30.200</v>
      </c>
      <c r="E235" t="str">
        <f>"-400.00"</f>
        <v>-400.00</v>
      </c>
      <c r="F235" t="str">
        <f>"12062.92"</f>
        <v>12062.92</v>
      </c>
      <c r="G235" t="str">
        <f>"12351.89"</f>
        <v>12351.89</v>
      </c>
      <c r="H235" t="str">
        <f>"0.00"</f>
        <v>0.00</v>
      </c>
      <c r="I235" t="str">
        <f>"27"</f>
        <v>27</v>
      </c>
      <c r="J235" t="str">
        <f>"证券卖出(上海新阳)"</f>
        <v>证券卖出(上海新阳)</v>
      </c>
      <c r="K235" t="str">
        <f>"5.00"</f>
        <v>5.00</v>
      </c>
      <c r="L235" t="str">
        <f>"12.08"</f>
        <v>12.08</v>
      </c>
      <c r="M235" t="str">
        <f>"0.00"</f>
        <v>0.00</v>
      </c>
      <c r="N235" t="str">
        <f t="shared" si="83"/>
        <v>0.00</v>
      </c>
      <c r="O235" t="str">
        <f>"300236"</f>
        <v>300236</v>
      </c>
      <c r="P235" t="str">
        <f>"0153613480"</f>
        <v>0153613480</v>
      </c>
    </row>
    <row r="236" spans="1:16" hidden="1" x14ac:dyDescent="0.25">
      <c r="A236" t="str">
        <f t="shared" si="69"/>
        <v>人民币</v>
      </c>
      <c r="B236" t="str">
        <f>"庄园牧场"</f>
        <v>庄园牧场</v>
      </c>
      <c r="C236" t="str">
        <f>"20180724"</f>
        <v>20180724</v>
      </c>
      <c r="D236" t="str">
        <f>"22.490"</f>
        <v>22.490</v>
      </c>
      <c r="E236" t="str">
        <f>"300.00"</f>
        <v>300.00</v>
      </c>
      <c r="F236" t="str">
        <f>"-6752.00"</f>
        <v>-6752.00</v>
      </c>
      <c r="G236" t="str">
        <f>"5599.89"</f>
        <v>5599.89</v>
      </c>
      <c r="H236" t="str">
        <f>"800.00"</f>
        <v>800.00</v>
      </c>
      <c r="I236" t="str">
        <f>"30"</f>
        <v>30</v>
      </c>
      <c r="J236" t="str">
        <f>"证券买入(庄园牧场)"</f>
        <v>证券买入(庄园牧场)</v>
      </c>
      <c r="K236" t="str">
        <f>"5.00"</f>
        <v>5.00</v>
      </c>
      <c r="L236" t="str">
        <f>"0.00"</f>
        <v>0.00</v>
      </c>
      <c r="M236" t="str">
        <f>"0.00"</f>
        <v>0.00</v>
      </c>
      <c r="N236" t="str">
        <f t="shared" si="83"/>
        <v>0.00</v>
      </c>
      <c r="O236" t="str">
        <f>"002910"</f>
        <v>002910</v>
      </c>
      <c r="P236" t="str">
        <f>"0153613480"</f>
        <v>0153613480</v>
      </c>
    </row>
    <row r="237" spans="1:16" hidden="1" x14ac:dyDescent="0.25">
      <c r="A237" t="str">
        <f t="shared" si="69"/>
        <v>人民币</v>
      </c>
      <c r="B237" t="str">
        <f>" "</f>
        <v xml:space="preserve"> </v>
      </c>
      <c r="C237" t="str">
        <f>"20180726"</f>
        <v>20180726</v>
      </c>
      <c r="D237" t="str">
        <f>"---"</f>
        <v>---</v>
      </c>
      <c r="E237" t="str">
        <f>"---"</f>
        <v>---</v>
      </c>
      <c r="F237" t="str">
        <f>"-5000.00"</f>
        <v>-5000.00</v>
      </c>
      <c r="G237" t="str">
        <f>"599.89"</f>
        <v>599.89</v>
      </c>
      <c r="H237" t="str">
        <f>"---"</f>
        <v>---</v>
      </c>
      <c r="I237" t="str">
        <f>"---"</f>
        <v>---</v>
      </c>
      <c r="J237" t="str">
        <f>"银行转取"</f>
        <v>银行转取</v>
      </c>
      <c r="K237" t="str">
        <f t="shared" ref="K237:P237" si="84">"---"</f>
        <v>---</v>
      </c>
      <c r="L237" t="str">
        <f t="shared" si="84"/>
        <v>---</v>
      </c>
      <c r="M237" t="str">
        <f t="shared" si="84"/>
        <v>---</v>
      </c>
      <c r="N237" t="str">
        <f t="shared" si="84"/>
        <v>---</v>
      </c>
      <c r="O237" t="str">
        <f t="shared" si="84"/>
        <v>---</v>
      </c>
      <c r="P237" t="str">
        <f t="shared" si="84"/>
        <v>---</v>
      </c>
    </row>
    <row r="238" spans="1:16" hidden="1" x14ac:dyDescent="0.25">
      <c r="A238" t="str">
        <f t="shared" si="69"/>
        <v>人民币</v>
      </c>
      <c r="B238" t="str">
        <f>"庄园牧场"</f>
        <v>庄园牧场</v>
      </c>
      <c r="C238" t="str">
        <f>"20180730"</f>
        <v>20180730</v>
      </c>
      <c r="D238" t="str">
        <f>"24.000"</f>
        <v>24.000</v>
      </c>
      <c r="E238" t="str">
        <f>"-800.00"</f>
        <v>-800.00</v>
      </c>
      <c r="F238" t="str">
        <f>"19174.85"</f>
        <v>19174.85</v>
      </c>
      <c r="G238" t="str">
        <f>"19774.74"</f>
        <v>19774.74</v>
      </c>
      <c r="H238" t="str">
        <f>"0.00"</f>
        <v>0.00</v>
      </c>
      <c r="I238" t="str">
        <f>"37"</f>
        <v>37</v>
      </c>
      <c r="J238" t="str">
        <f>"证券卖出(庄园牧场)"</f>
        <v>证券卖出(庄园牧场)</v>
      </c>
      <c r="K238" t="str">
        <f>"5.95"</f>
        <v>5.95</v>
      </c>
      <c r="L238" t="str">
        <f>"19.20"</f>
        <v>19.20</v>
      </c>
      <c r="M238" t="str">
        <f t="shared" ref="M238:N242" si="85">"0.00"</f>
        <v>0.00</v>
      </c>
      <c r="N238" t="str">
        <f t="shared" si="85"/>
        <v>0.00</v>
      </c>
      <c r="O238" t="str">
        <f>"002910"</f>
        <v>002910</v>
      </c>
      <c r="P238" t="str">
        <f>"0153613480"</f>
        <v>0153613480</v>
      </c>
    </row>
    <row r="239" spans="1:16" hidden="1" x14ac:dyDescent="0.25">
      <c r="A239" t="str">
        <f t="shared" si="69"/>
        <v>人民币</v>
      </c>
      <c r="B239" t="str">
        <f>"江龙船艇"</f>
        <v>江龙船艇</v>
      </c>
      <c r="C239" t="str">
        <f>"20180731"</f>
        <v>20180731</v>
      </c>
      <c r="D239" t="str">
        <f>"13.530"</f>
        <v>13.530</v>
      </c>
      <c r="E239" t="str">
        <f>"500.00"</f>
        <v>500.00</v>
      </c>
      <c r="F239" t="str">
        <f>"-6770.00"</f>
        <v>-6770.00</v>
      </c>
      <c r="G239" t="str">
        <f>"13004.74"</f>
        <v>13004.74</v>
      </c>
      <c r="H239" t="str">
        <f>"2300.00"</f>
        <v>2300.00</v>
      </c>
      <c r="I239" t="str">
        <f>"41"</f>
        <v>41</v>
      </c>
      <c r="J239" t="str">
        <f>"证券买入(江龙船艇)"</f>
        <v>证券买入(江龙船艇)</v>
      </c>
      <c r="K239" t="str">
        <f>"5.00"</f>
        <v>5.00</v>
      </c>
      <c r="L239" t="str">
        <f>"0.00"</f>
        <v>0.00</v>
      </c>
      <c r="M239" t="str">
        <f t="shared" si="85"/>
        <v>0.00</v>
      </c>
      <c r="N239" t="str">
        <f t="shared" si="85"/>
        <v>0.00</v>
      </c>
      <c r="O239" t="str">
        <f>"300589"</f>
        <v>300589</v>
      </c>
      <c r="P239" t="str">
        <f>"0153613480"</f>
        <v>0153613480</v>
      </c>
    </row>
    <row r="240" spans="1:16" hidden="1" x14ac:dyDescent="0.25">
      <c r="A240" t="str">
        <f t="shared" si="69"/>
        <v>人民币</v>
      </c>
      <c r="B240" t="str">
        <f>"江龙船艇"</f>
        <v>江龙船艇</v>
      </c>
      <c r="C240" t="str">
        <f>"20180801"</f>
        <v>20180801</v>
      </c>
      <c r="D240" t="str">
        <f>"13.290"</f>
        <v>13.290</v>
      </c>
      <c r="E240" t="str">
        <f>"500.00"</f>
        <v>500.00</v>
      </c>
      <c r="F240" t="str">
        <f>"-6650.00"</f>
        <v>-6650.00</v>
      </c>
      <c r="G240" t="str">
        <f>"6354.74"</f>
        <v>6354.74</v>
      </c>
      <c r="H240" t="str">
        <f>"2800.00"</f>
        <v>2800.00</v>
      </c>
      <c r="I240" t="str">
        <f>"48"</f>
        <v>48</v>
      </c>
      <c r="J240" t="str">
        <f>"证券买入(江龙船艇)"</f>
        <v>证券买入(江龙船艇)</v>
      </c>
      <c r="K240" t="str">
        <f>"5.00"</f>
        <v>5.00</v>
      </c>
      <c r="L240" t="str">
        <f>"0.00"</f>
        <v>0.00</v>
      </c>
      <c r="M240" t="str">
        <f t="shared" si="85"/>
        <v>0.00</v>
      </c>
      <c r="N240" t="str">
        <f t="shared" si="85"/>
        <v>0.00</v>
      </c>
      <c r="O240" t="str">
        <f>"300589"</f>
        <v>300589</v>
      </c>
      <c r="P240" t="str">
        <f>"0153613480"</f>
        <v>0153613480</v>
      </c>
    </row>
    <row r="241" spans="1:16" hidden="1" x14ac:dyDescent="0.25">
      <c r="A241" t="str">
        <f t="shared" si="69"/>
        <v>人民币</v>
      </c>
      <c r="B241" t="str">
        <f>"捷佳伟创"</f>
        <v>捷佳伟创</v>
      </c>
      <c r="C241" t="str">
        <f>"20180801"</f>
        <v>20180801</v>
      </c>
      <c r="D241" t="str">
        <f>"0.000"</f>
        <v>0.000</v>
      </c>
      <c r="E241" t="str">
        <f>"8.00"</f>
        <v>8.00</v>
      </c>
      <c r="F241" t="str">
        <f>"0.00"</f>
        <v>0.00</v>
      </c>
      <c r="G241" t="str">
        <f>"6354.74"</f>
        <v>6354.74</v>
      </c>
      <c r="H241" t="str">
        <f>"0.00"</f>
        <v>0.00</v>
      </c>
      <c r="I241" t="str">
        <f>"46"</f>
        <v>46</v>
      </c>
      <c r="J241" t="str">
        <f>"申购配号(捷佳伟创)"</f>
        <v>申购配号(捷佳伟创)</v>
      </c>
      <c r="K241" t="str">
        <f>"0.00"</f>
        <v>0.00</v>
      </c>
      <c r="L241" t="str">
        <f>"0.00"</f>
        <v>0.00</v>
      </c>
      <c r="M241" t="str">
        <f t="shared" si="85"/>
        <v>0.00</v>
      </c>
      <c r="N241" t="str">
        <f t="shared" si="85"/>
        <v>0.00</v>
      </c>
      <c r="O241" t="str">
        <f>"300724"</f>
        <v>300724</v>
      </c>
      <c r="P241" t="str">
        <f>"0153613480"</f>
        <v>0153613480</v>
      </c>
    </row>
    <row r="242" spans="1:16" hidden="1" x14ac:dyDescent="0.25">
      <c r="A242" t="str">
        <f t="shared" si="69"/>
        <v>人民币</v>
      </c>
      <c r="B242" t="str">
        <f>"江龙船艇"</f>
        <v>江龙船艇</v>
      </c>
      <c r="C242" t="str">
        <f>"20180802"</f>
        <v>20180802</v>
      </c>
      <c r="D242" t="str">
        <f>"11.970"</f>
        <v>11.970</v>
      </c>
      <c r="E242" t="str">
        <f>"500.00"</f>
        <v>500.00</v>
      </c>
      <c r="F242" t="str">
        <f>"-5990.00"</f>
        <v>-5990.00</v>
      </c>
      <c r="G242" t="str">
        <f>"364.74"</f>
        <v>364.74</v>
      </c>
      <c r="H242" t="str">
        <f>"3300.00"</f>
        <v>3300.00</v>
      </c>
      <c r="I242" t="str">
        <f>"56"</f>
        <v>56</v>
      </c>
      <c r="J242" t="str">
        <f>"证券买入(江龙船艇)"</f>
        <v>证券买入(江龙船艇)</v>
      </c>
      <c r="K242" t="str">
        <f>"5.00"</f>
        <v>5.00</v>
      </c>
      <c r="L242" t="str">
        <f>"0.00"</f>
        <v>0.00</v>
      </c>
      <c r="M242" t="str">
        <f t="shared" si="85"/>
        <v>0.00</v>
      </c>
      <c r="N242" t="str">
        <f t="shared" si="85"/>
        <v>0.00</v>
      </c>
      <c r="O242" t="str">
        <f>"300589"</f>
        <v>300589</v>
      </c>
      <c r="P242" t="str">
        <f>"0153613480"</f>
        <v>0153613480</v>
      </c>
    </row>
    <row r="243" spans="1:16" hidden="1" x14ac:dyDescent="0.25">
      <c r="A243" t="str">
        <f t="shared" si="69"/>
        <v>人民币</v>
      </c>
      <c r="B243" t="str">
        <f>" "</f>
        <v xml:space="preserve"> </v>
      </c>
      <c r="C243" t="str">
        <f>"20180807"</f>
        <v>20180807</v>
      </c>
      <c r="D243" t="str">
        <f>"---"</f>
        <v>---</v>
      </c>
      <c r="E243" t="str">
        <f>"---"</f>
        <v>---</v>
      </c>
      <c r="F243" t="str">
        <f>"10000.00"</f>
        <v>10000.00</v>
      </c>
      <c r="G243" t="str">
        <f>"10364.74"</f>
        <v>10364.74</v>
      </c>
      <c r="H243" t="str">
        <f>"---"</f>
        <v>---</v>
      </c>
      <c r="I243" t="str">
        <f>"---"</f>
        <v>---</v>
      </c>
      <c r="J243" t="str">
        <f>"银行转存"</f>
        <v>银行转存</v>
      </c>
      <c r="K243" t="str">
        <f t="shared" ref="K243:P243" si="86">"---"</f>
        <v>---</v>
      </c>
      <c r="L243" t="str">
        <f t="shared" si="86"/>
        <v>---</v>
      </c>
      <c r="M243" t="str">
        <f t="shared" si="86"/>
        <v>---</v>
      </c>
      <c r="N243" t="str">
        <f t="shared" si="86"/>
        <v>---</v>
      </c>
      <c r="O243" t="str">
        <f t="shared" si="86"/>
        <v>---</v>
      </c>
      <c r="P243" t="str">
        <f t="shared" si="86"/>
        <v>---</v>
      </c>
    </row>
    <row r="244" spans="1:16" hidden="1" x14ac:dyDescent="0.25">
      <c r="A244" t="str">
        <f t="shared" si="69"/>
        <v>人民币</v>
      </c>
      <c r="B244" t="str">
        <f>"江龙船艇"</f>
        <v>江龙船艇</v>
      </c>
      <c r="C244" t="str">
        <f>"20180807"</f>
        <v>20180807</v>
      </c>
      <c r="D244" t="str">
        <f>"11.160"</f>
        <v>11.160</v>
      </c>
      <c r="E244" t="str">
        <f>"500.00"</f>
        <v>500.00</v>
      </c>
      <c r="F244" t="str">
        <f>"-5585.00"</f>
        <v>-5585.00</v>
      </c>
      <c r="G244" t="str">
        <f>"4779.74"</f>
        <v>4779.74</v>
      </c>
      <c r="H244" t="str">
        <f>"3800.00"</f>
        <v>3800.00</v>
      </c>
      <c r="I244" t="str">
        <f>"62"</f>
        <v>62</v>
      </c>
      <c r="J244" t="str">
        <f>"证券买入(江龙船艇)"</f>
        <v>证券买入(江龙船艇)</v>
      </c>
      <c r="K244" t="str">
        <f>"5.00"</f>
        <v>5.00</v>
      </c>
      <c r="L244" t="str">
        <f t="shared" ref="L244:N245" si="87">"0.00"</f>
        <v>0.00</v>
      </c>
      <c r="M244" t="str">
        <f t="shared" si="87"/>
        <v>0.00</v>
      </c>
      <c r="N244" t="str">
        <f t="shared" si="87"/>
        <v>0.00</v>
      </c>
      <c r="O244" t="str">
        <f>"300589"</f>
        <v>300589</v>
      </c>
      <c r="P244" t="str">
        <f>"0153613480"</f>
        <v>0153613480</v>
      </c>
    </row>
    <row r="245" spans="1:16" hidden="1" x14ac:dyDescent="0.25">
      <c r="A245" t="str">
        <f t="shared" si="69"/>
        <v>人民币</v>
      </c>
      <c r="B245" t="str">
        <f>"康辰配号"</f>
        <v>康辰配号</v>
      </c>
      <c r="C245" t="str">
        <f>"20180814"</f>
        <v>20180814</v>
      </c>
      <c r="D245" t="str">
        <f>"0.000"</f>
        <v>0.000</v>
      </c>
      <c r="E245" t="str">
        <f>"3.00"</f>
        <v>3.00</v>
      </c>
      <c r="F245" t="str">
        <f>"0.00"</f>
        <v>0.00</v>
      </c>
      <c r="G245" t="str">
        <f>"4779.74"</f>
        <v>4779.74</v>
      </c>
      <c r="H245" t="str">
        <f>"0.00"</f>
        <v>0.00</v>
      </c>
      <c r="I245" t="str">
        <f>"68"</f>
        <v>68</v>
      </c>
      <c r="J245" t="str">
        <f>"申购配号(康辰配号)"</f>
        <v>申购配号(康辰配号)</v>
      </c>
      <c r="K245" t="str">
        <f>"0.00"</f>
        <v>0.00</v>
      </c>
      <c r="L245" t="str">
        <f t="shared" si="87"/>
        <v>0.00</v>
      </c>
      <c r="M245" t="str">
        <f t="shared" si="87"/>
        <v>0.00</v>
      </c>
      <c r="N245" t="str">
        <f t="shared" si="87"/>
        <v>0.00</v>
      </c>
      <c r="O245" t="str">
        <f>"736590"</f>
        <v>736590</v>
      </c>
      <c r="P245" t="str">
        <f>"A400948245"</f>
        <v>A400948245</v>
      </c>
    </row>
    <row r="246" spans="1:16" hidden="1" x14ac:dyDescent="0.25">
      <c r="A246" t="str">
        <f t="shared" si="69"/>
        <v>人民币</v>
      </c>
      <c r="B246" t="str">
        <f>"江龙船艇"</f>
        <v>江龙船艇</v>
      </c>
      <c r="C246" t="str">
        <f>"20180814"</f>
        <v>20180814</v>
      </c>
      <c r="D246" t="str">
        <f>"12.180"</f>
        <v>12.180</v>
      </c>
      <c r="E246" t="str">
        <f>"-500.00"</f>
        <v>-500.00</v>
      </c>
      <c r="F246" t="str">
        <f>"6078.91"</f>
        <v>6078.91</v>
      </c>
      <c r="G246" t="str">
        <f>"10858.65"</f>
        <v>10858.65</v>
      </c>
      <c r="H246" t="str">
        <f>"3300.00"</f>
        <v>3300.00</v>
      </c>
      <c r="I246" t="str">
        <f>"70"</f>
        <v>70</v>
      </c>
      <c r="J246" t="str">
        <f>"证券卖出(江龙船艇)"</f>
        <v>证券卖出(江龙船艇)</v>
      </c>
      <c r="K246" t="str">
        <f>"5.00"</f>
        <v>5.00</v>
      </c>
      <c r="L246" t="str">
        <f>"6.09"</f>
        <v>6.09</v>
      </c>
      <c r="M246" t="str">
        <f>"0.00"</f>
        <v>0.00</v>
      </c>
      <c r="N246" t="str">
        <f>"0.00"</f>
        <v>0.00</v>
      </c>
      <c r="O246" t="str">
        <f>"300589"</f>
        <v>300589</v>
      </c>
      <c r="P246" t="str">
        <f>"0153613480"</f>
        <v>0153613480</v>
      </c>
    </row>
    <row r="247" spans="1:16" hidden="1" x14ac:dyDescent="0.25">
      <c r="A247" t="str">
        <f t="shared" si="69"/>
        <v>人民币</v>
      </c>
      <c r="B247" t="str">
        <f>" "</f>
        <v xml:space="preserve"> </v>
      </c>
      <c r="C247" t="str">
        <f>"20180815"</f>
        <v>20180815</v>
      </c>
      <c r="D247" t="str">
        <f>"---"</f>
        <v>---</v>
      </c>
      <c r="E247" t="str">
        <f>"---"</f>
        <v>---</v>
      </c>
      <c r="F247" t="str">
        <f>"-3000.00"</f>
        <v>-3000.00</v>
      </c>
      <c r="G247" t="str">
        <f>"7858.65"</f>
        <v>7858.65</v>
      </c>
      <c r="H247" t="str">
        <f>"---"</f>
        <v>---</v>
      </c>
      <c r="I247" t="str">
        <f>"---"</f>
        <v>---</v>
      </c>
      <c r="J247" t="str">
        <f>"银行转取"</f>
        <v>银行转取</v>
      </c>
      <c r="K247" t="str">
        <f t="shared" ref="K247:P247" si="88">"---"</f>
        <v>---</v>
      </c>
      <c r="L247" t="str">
        <f t="shared" si="88"/>
        <v>---</v>
      </c>
      <c r="M247" t="str">
        <f t="shared" si="88"/>
        <v>---</v>
      </c>
      <c r="N247" t="str">
        <f t="shared" si="88"/>
        <v>---</v>
      </c>
      <c r="O247" t="str">
        <f t="shared" si="88"/>
        <v>---</v>
      </c>
      <c r="P247" t="str">
        <f t="shared" si="88"/>
        <v>---</v>
      </c>
    </row>
    <row r="248" spans="1:16" hidden="1" x14ac:dyDescent="0.25">
      <c r="A248" t="str">
        <f t="shared" si="69"/>
        <v>人民币</v>
      </c>
      <c r="B248" t="str">
        <f>"七一二"</f>
        <v>七一二</v>
      </c>
      <c r="C248" t="str">
        <f>"20180815"</f>
        <v>20180815</v>
      </c>
      <c r="D248" t="str">
        <f>"22.960"</f>
        <v>22.960</v>
      </c>
      <c r="E248" t="str">
        <f>"300.00"</f>
        <v>300.00</v>
      </c>
      <c r="F248" t="str">
        <f>"-6893.14"</f>
        <v>-6893.14</v>
      </c>
      <c r="G248" t="str">
        <f>"965.51"</f>
        <v>965.51</v>
      </c>
      <c r="H248" t="str">
        <f>"1300.00"</f>
        <v>1300.00</v>
      </c>
      <c r="I248" t="str">
        <f>"77"</f>
        <v>77</v>
      </c>
      <c r="J248" t="str">
        <f>"证券买入(七一二)"</f>
        <v>证券买入(七一二)</v>
      </c>
      <c r="K248" t="str">
        <f>"5.00"</f>
        <v>5.00</v>
      </c>
      <c r="L248" t="str">
        <f>"0.00"</f>
        <v>0.00</v>
      </c>
      <c r="M248" t="str">
        <f>"0.14"</f>
        <v>0.14</v>
      </c>
      <c r="N248" t="str">
        <f>"0.00"</f>
        <v>0.00</v>
      </c>
      <c r="O248" t="str">
        <f>"603712"</f>
        <v>603712</v>
      </c>
      <c r="P248" t="str">
        <f>"A400948245"</f>
        <v>A400948245</v>
      </c>
    </row>
    <row r="249" spans="1:16" hidden="1" x14ac:dyDescent="0.25">
      <c r="A249" t="str">
        <f t="shared" si="69"/>
        <v>人民币</v>
      </c>
      <c r="B249" t="str">
        <f>"新兴装备"</f>
        <v>新兴装备</v>
      </c>
      <c r="C249" t="str">
        <f>"20180815"</f>
        <v>20180815</v>
      </c>
      <c r="D249" t="str">
        <f>"0.000"</f>
        <v>0.000</v>
      </c>
      <c r="E249" t="str">
        <f>"8.00"</f>
        <v>8.00</v>
      </c>
      <c r="F249" t="str">
        <f>"0.00"</f>
        <v>0.00</v>
      </c>
      <c r="G249" t="str">
        <f>"965.51"</f>
        <v>965.51</v>
      </c>
      <c r="H249" t="str">
        <f>"0.00"</f>
        <v>0.00</v>
      </c>
      <c r="I249" t="str">
        <f>"75"</f>
        <v>75</v>
      </c>
      <c r="J249" t="str">
        <f>"申购配号(新兴装备)"</f>
        <v>申购配号(新兴装备)</v>
      </c>
      <c r="K249" t="str">
        <f>"0.00"</f>
        <v>0.00</v>
      </c>
      <c r="L249" t="str">
        <f>"0.00"</f>
        <v>0.00</v>
      </c>
      <c r="M249" t="str">
        <f>"0.00"</f>
        <v>0.00</v>
      </c>
      <c r="N249" t="str">
        <f>"0.00"</f>
        <v>0.00</v>
      </c>
      <c r="O249" t="str">
        <f>"002933"</f>
        <v>002933</v>
      </c>
      <c r="P249" t="str">
        <f>"0153613480"</f>
        <v>0153613480</v>
      </c>
    </row>
    <row r="250" spans="1:16" hidden="1" x14ac:dyDescent="0.25">
      <c r="A250" t="str">
        <f t="shared" si="69"/>
        <v>人民币</v>
      </c>
      <c r="B250" t="str">
        <f>"中铝配号"</f>
        <v>中铝配号</v>
      </c>
      <c r="C250" t="str">
        <f>"20180821"</f>
        <v>20180821</v>
      </c>
      <c r="D250" t="str">
        <f>"0.000"</f>
        <v>0.000</v>
      </c>
      <c r="E250" t="str">
        <f>"3.00"</f>
        <v>3.00</v>
      </c>
      <c r="F250" t="str">
        <f>"0.00"</f>
        <v>0.00</v>
      </c>
      <c r="G250" t="str">
        <f>"965.51"</f>
        <v>965.51</v>
      </c>
      <c r="H250" t="str">
        <f>"0.00"</f>
        <v>0.00</v>
      </c>
      <c r="I250" t="str">
        <f>"83"</f>
        <v>83</v>
      </c>
      <c r="J250" t="str">
        <f>"申购配号(中铝配号)"</f>
        <v>申购配号(中铝配号)</v>
      </c>
      <c r="K250" t="str">
        <f>"0.00"</f>
        <v>0.00</v>
      </c>
      <c r="L250" t="str">
        <f>"0.00"</f>
        <v>0.00</v>
      </c>
      <c r="M250" t="str">
        <f>"0.00"</f>
        <v>0.00</v>
      </c>
      <c r="N250" t="str">
        <f>"0.00"</f>
        <v>0.00</v>
      </c>
      <c r="O250" t="str">
        <f>"791068"</f>
        <v>791068</v>
      </c>
      <c r="P250" t="str">
        <f>"A400948245"</f>
        <v>A400948245</v>
      </c>
    </row>
    <row r="251" spans="1:16" hidden="1" x14ac:dyDescent="0.25">
      <c r="A251" t="str">
        <f t="shared" si="69"/>
        <v>人民币</v>
      </c>
      <c r="B251" t="str">
        <f>" "</f>
        <v xml:space="preserve"> </v>
      </c>
      <c r="C251" t="str">
        <f>"20180824"</f>
        <v>20180824</v>
      </c>
      <c r="D251" t="str">
        <f>"---"</f>
        <v>---</v>
      </c>
      <c r="E251" t="str">
        <f>"---"</f>
        <v>---</v>
      </c>
      <c r="F251" t="str">
        <f>"10000.00"</f>
        <v>10000.00</v>
      </c>
      <c r="G251" t="str">
        <f>"10965.51"</f>
        <v>10965.51</v>
      </c>
      <c r="H251" t="str">
        <f>"---"</f>
        <v>---</v>
      </c>
      <c r="I251" t="str">
        <f>"---"</f>
        <v>---</v>
      </c>
      <c r="J251" t="str">
        <f>"银行转存"</f>
        <v>银行转存</v>
      </c>
      <c r="K251" t="str">
        <f t="shared" ref="K251:P251" si="89">"---"</f>
        <v>---</v>
      </c>
      <c r="L251" t="str">
        <f t="shared" si="89"/>
        <v>---</v>
      </c>
      <c r="M251" t="str">
        <f t="shared" si="89"/>
        <v>---</v>
      </c>
      <c r="N251" t="str">
        <f t="shared" si="89"/>
        <v>---</v>
      </c>
      <c r="O251" t="str">
        <f t="shared" si="89"/>
        <v>---</v>
      </c>
      <c r="P251" t="str">
        <f t="shared" si="89"/>
        <v>---</v>
      </c>
    </row>
    <row r="252" spans="1:16" hidden="1" x14ac:dyDescent="0.25">
      <c r="A252" t="str">
        <f t="shared" si="69"/>
        <v>人民币</v>
      </c>
      <c r="B252" t="str">
        <f>"中通国脉"</f>
        <v>中通国脉</v>
      </c>
      <c r="C252" t="str">
        <f>"20180824"</f>
        <v>20180824</v>
      </c>
      <c r="D252" t="str">
        <f>"25.110"</f>
        <v>25.110</v>
      </c>
      <c r="E252" t="str">
        <f>"400.00"</f>
        <v>400.00</v>
      </c>
      <c r="F252" t="str">
        <f>"-10049.20"</f>
        <v>-10049.20</v>
      </c>
      <c r="G252" t="str">
        <f>"916.31"</f>
        <v>916.31</v>
      </c>
      <c r="H252" t="str">
        <f>"1000.00"</f>
        <v>1000.00</v>
      </c>
      <c r="I252" t="str">
        <f>"87"</f>
        <v>87</v>
      </c>
      <c r="J252" t="str">
        <f>"证券买入(中通国脉)"</f>
        <v>证券买入(中通国脉)</v>
      </c>
      <c r="K252" t="str">
        <f>"5.00"</f>
        <v>5.00</v>
      </c>
      <c r="L252" t="str">
        <f>"0.00"</f>
        <v>0.00</v>
      </c>
      <c r="M252" t="str">
        <f>"0.20"</f>
        <v>0.20</v>
      </c>
      <c r="N252" t="str">
        <f>"0.00"</f>
        <v>0.00</v>
      </c>
      <c r="O252" t="str">
        <f>"603559"</f>
        <v>603559</v>
      </c>
      <c r="P252" t="str">
        <f>"A400948245"</f>
        <v>A400948245</v>
      </c>
    </row>
    <row r="253" spans="1:16" hidden="1" x14ac:dyDescent="0.25">
      <c r="A253" t="str">
        <f t="shared" si="69"/>
        <v>人民币</v>
      </c>
      <c r="B253" t="str">
        <f>"中通国脉"</f>
        <v>中通国脉</v>
      </c>
      <c r="C253" t="str">
        <f>"20180828"</f>
        <v>20180828</v>
      </c>
      <c r="D253" t="str">
        <f>"26.500"</f>
        <v>26.500</v>
      </c>
      <c r="E253" t="str">
        <f>"-400.00"</f>
        <v>-400.00</v>
      </c>
      <c r="F253" t="str">
        <f>"10584.19"</f>
        <v>10584.19</v>
      </c>
      <c r="G253" t="str">
        <f>"11500.50"</f>
        <v>11500.50</v>
      </c>
      <c r="H253" t="str">
        <f>"600.00"</f>
        <v>600.00</v>
      </c>
      <c r="I253" t="str">
        <f>"91"</f>
        <v>91</v>
      </c>
      <c r="J253" t="str">
        <f>"证券卖出(中通国脉)"</f>
        <v>证券卖出(中通国脉)</v>
      </c>
      <c r="K253" t="str">
        <f>"5.00"</f>
        <v>5.00</v>
      </c>
      <c r="L253" t="str">
        <f>"10.60"</f>
        <v>10.60</v>
      </c>
      <c r="M253" t="str">
        <f>"0.21"</f>
        <v>0.21</v>
      </c>
      <c r="N253" t="str">
        <f>"0.00"</f>
        <v>0.00</v>
      </c>
      <c r="O253" t="str">
        <f>"603559"</f>
        <v>603559</v>
      </c>
      <c r="P253" t="str">
        <f>"A400948245"</f>
        <v>A400948245</v>
      </c>
    </row>
    <row r="254" spans="1:16" hidden="1" x14ac:dyDescent="0.25">
      <c r="A254" t="str">
        <f t="shared" si="69"/>
        <v>人民币</v>
      </c>
      <c r="B254" t="str">
        <f>"七一二"</f>
        <v>七一二</v>
      </c>
      <c r="C254" t="str">
        <f>"20180828"</f>
        <v>20180828</v>
      </c>
      <c r="D254" t="str">
        <f>"21.870"</f>
        <v>21.870</v>
      </c>
      <c r="E254" t="str">
        <f>"200.00"</f>
        <v>200.00</v>
      </c>
      <c r="F254" t="str">
        <f>"-4379.09"</f>
        <v>-4379.09</v>
      </c>
      <c r="G254" t="str">
        <f>"7121.41"</f>
        <v>7121.41</v>
      </c>
      <c r="H254" t="str">
        <f>"1500.00"</f>
        <v>1500.00</v>
      </c>
      <c r="I254" t="str">
        <f>"94"</f>
        <v>94</v>
      </c>
      <c r="J254" t="str">
        <f>"证券买入(七一二)"</f>
        <v>证券买入(七一二)</v>
      </c>
      <c r="K254" t="str">
        <f>"5.00"</f>
        <v>5.00</v>
      </c>
      <c r="L254" t="str">
        <f>"0.00"</f>
        <v>0.00</v>
      </c>
      <c r="M254" t="str">
        <f>"0.09"</f>
        <v>0.09</v>
      </c>
      <c r="N254" t="str">
        <f>"0.00"</f>
        <v>0.00</v>
      </c>
      <c r="O254" t="str">
        <f>"603712"</f>
        <v>603712</v>
      </c>
      <c r="P254" t="str">
        <f>"A400948245"</f>
        <v>A400948245</v>
      </c>
    </row>
    <row r="255" spans="1:16" hidden="1" x14ac:dyDescent="0.25">
      <c r="A255" t="str">
        <f t="shared" si="69"/>
        <v>人民币</v>
      </c>
      <c r="B255" t="str">
        <f>"江龙船艇"</f>
        <v>江龙船艇</v>
      </c>
      <c r="C255" t="str">
        <f>"20180828"</f>
        <v>20180828</v>
      </c>
      <c r="D255" t="str">
        <f>"11.620"</f>
        <v>11.620</v>
      </c>
      <c r="E255" t="str">
        <f>"300.00"</f>
        <v>300.00</v>
      </c>
      <c r="F255" t="str">
        <f>"-3491.00"</f>
        <v>-3491.00</v>
      </c>
      <c r="G255" t="str">
        <f>"3630.41"</f>
        <v>3630.41</v>
      </c>
      <c r="H255" t="str">
        <f>"3600.00"</f>
        <v>3600.00</v>
      </c>
      <c r="I255" t="str">
        <f>"97"</f>
        <v>97</v>
      </c>
      <c r="J255" t="str">
        <f>"证券买入(江龙船艇)"</f>
        <v>证券买入(江龙船艇)</v>
      </c>
      <c r="K255" t="str">
        <f>"5.00"</f>
        <v>5.00</v>
      </c>
      <c r="L255" t="str">
        <f>"0.00"</f>
        <v>0.00</v>
      </c>
      <c r="M255" t="str">
        <f>"0.00"</f>
        <v>0.00</v>
      </c>
      <c r="N255" t="str">
        <f>"0.00"</f>
        <v>0.00</v>
      </c>
      <c r="O255" t="str">
        <f>"300589"</f>
        <v>300589</v>
      </c>
      <c r="P255" t="str">
        <f>"0153613480"</f>
        <v>0153613480</v>
      </c>
    </row>
    <row r="256" spans="1:16" hidden="1" x14ac:dyDescent="0.25">
      <c r="A256" t="str">
        <f t="shared" si="69"/>
        <v>人民币</v>
      </c>
      <c r="B256" t="str">
        <f>"中通国脉"</f>
        <v>中通国脉</v>
      </c>
      <c r="C256" t="str">
        <f>"20180829"</f>
        <v>20180829</v>
      </c>
      <c r="D256" t="str">
        <f>"0.000"</f>
        <v>0.000</v>
      </c>
      <c r="E256" t="str">
        <f>"0.00"</f>
        <v>0.00</v>
      </c>
      <c r="F256" t="str">
        <f>"-0.45"</f>
        <v>-0.45</v>
      </c>
      <c r="G256" t="str">
        <f>"3629.96"</f>
        <v>3629.96</v>
      </c>
      <c r="H256" t="str">
        <f>"600.00"</f>
        <v>600.00</v>
      </c>
      <c r="I256" t="str">
        <f>"---"</f>
        <v>---</v>
      </c>
      <c r="J256" t="str">
        <f>"红利差异税扣税(中通国脉)"</f>
        <v>红利差异税扣税(中通国脉)</v>
      </c>
      <c r="K256" t="str">
        <f t="shared" ref="K256:N258" si="90">"---"</f>
        <v>---</v>
      </c>
      <c r="L256" t="str">
        <f t="shared" si="90"/>
        <v>---</v>
      </c>
      <c r="M256" t="str">
        <f t="shared" si="90"/>
        <v>---</v>
      </c>
      <c r="N256" t="str">
        <f t="shared" si="90"/>
        <v>---</v>
      </c>
      <c r="O256" t="str">
        <f>"603559"</f>
        <v>603559</v>
      </c>
      <c r="P256" t="str">
        <f t="shared" ref="P256:P261" si="91">"A400948245"</f>
        <v>A400948245</v>
      </c>
    </row>
    <row r="257" spans="1:16" hidden="1" x14ac:dyDescent="0.25">
      <c r="A257" t="str">
        <f t="shared" si="69"/>
        <v>人民币</v>
      </c>
      <c r="B257" t="str">
        <f>"中通国脉"</f>
        <v>中通国脉</v>
      </c>
      <c r="C257" t="str">
        <f>"20180829"</f>
        <v>20180829</v>
      </c>
      <c r="D257" t="str">
        <f>"0.000"</f>
        <v>0.000</v>
      </c>
      <c r="E257" t="str">
        <f>"0.00"</f>
        <v>0.00</v>
      </c>
      <c r="F257" t="str">
        <f>"-0.45"</f>
        <v>-0.45</v>
      </c>
      <c r="G257" t="str">
        <f>"3629.51"</f>
        <v>3629.51</v>
      </c>
      <c r="H257" t="str">
        <f>"600.00"</f>
        <v>600.00</v>
      </c>
      <c r="I257" t="str">
        <f>"---"</f>
        <v>---</v>
      </c>
      <c r="J257" t="str">
        <f>"红利差异税扣税(中通国脉)"</f>
        <v>红利差异税扣税(中通国脉)</v>
      </c>
      <c r="K257" t="str">
        <f t="shared" si="90"/>
        <v>---</v>
      </c>
      <c r="L257" t="str">
        <f t="shared" si="90"/>
        <v>---</v>
      </c>
      <c r="M257" t="str">
        <f t="shared" si="90"/>
        <v>---</v>
      </c>
      <c r="N257" t="str">
        <f t="shared" si="90"/>
        <v>---</v>
      </c>
      <c r="O257" t="str">
        <f>"603559"</f>
        <v>603559</v>
      </c>
      <c r="P257" t="str">
        <f t="shared" si="91"/>
        <v>A400948245</v>
      </c>
    </row>
    <row r="258" spans="1:16" hidden="1" x14ac:dyDescent="0.25">
      <c r="A258" t="str">
        <f t="shared" ref="A258:A321" si="92">"人民币"</f>
        <v>人民币</v>
      </c>
      <c r="B258" t="str">
        <f>"中通国脉"</f>
        <v>中通国脉</v>
      </c>
      <c r="C258" t="str">
        <f>"20180829"</f>
        <v>20180829</v>
      </c>
      <c r="D258" t="str">
        <f>"0.000"</f>
        <v>0.000</v>
      </c>
      <c r="E258" t="str">
        <f>"0.00"</f>
        <v>0.00</v>
      </c>
      <c r="F258" t="str">
        <f>"-0.90"</f>
        <v>-0.90</v>
      </c>
      <c r="G258" t="str">
        <f>"3628.61"</f>
        <v>3628.61</v>
      </c>
      <c r="H258" t="str">
        <f>"600.00"</f>
        <v>600.00</v>
      </c>
      <c r="I258" t="str">
        <f>"---"</f>
        <v>---</v>
      </c>
      <c r="J258" t="str">
        <f>"红利差异税扣税(中通国脉)"</f>
        <v>红利差异税扣税(中通国脉)</v>
      </c>
      <c r="K258" t="str">
        <f t="shared" si="90"/>
        <v>---</v>
      </c>
      <c r="L258" t="str">
        <f t="shared" si="90"/>
        <v>---</v>
      </c>
      <c r="M258" t="str">
        <f t="shared" si="90"/>
        <v>---</v>
      </c>
      <c r="N258" t="str">
        <f t="shared" si="90"/>
        <v>---</v>
      </c>
      <c r="O258" t="str">
        <f>"603559"</f>
        <v>603559</v>
      </c>
      <c r="P258" t="str">
        <f t="shared" si="91"/>
        <v>A400948245</v>
      </c>
    </row>
    <row r="259" spans="1:16" hidden="1" x14ac:dyDescent="0.25">
      <c r="A259" t="str">
        <f t="shared" si="92"/>
        <v>人民币</v>
      </c>
      <c r="B259" t="str">
        <f>"永新配号"</f>
        <v>永新配号</v>
      </c>
      <c r="C259" t="str">
        <f>"20180829"</f>
        <v>20180829</v>
      </c>
      <c r="D259" t="str">
        <f>"0.000"</f>
        <v>0.000</v>
      </c>
      <c r="E259" t="str">
        <f>"3.00"</f>
        <v>3.00</v>
      </c>
      <c r="F259" t="str">
        <f>"0.00"</f>
        <v>0.00</v>
      </c>
      <c r="G259" t="str">
        <f>"3628.61"</f>
        <v>3628.61</v>
      </c>
      <c r="H259" t="str">
        <f>"0.00"</f>
        <v>0.00</v>
      </c>
      <c r="I259" t="str">
        <f>"4"</f>
        <v>4</v>
      </c>
      <c r="J259" t="str">
        <f>"申购配号(永新配号)"</f>
        <v>申购配号(永新配号)</v>
      </c>
      <c r="K259" t="str">
        <f>"0.00"</f>
        <v>0.00</v>
      </c>
      <c r="L259" t="str">
        <f>"0.00"</f>
        <v>0.00</v>
      </c>
      <c r="M259" t="str">
        <f>"0.00"</f>
        <v>0.00</v>
      </c>
      <c r="N259" t="str">
        <f>"0.00"</f>
        <v>0.00</v>
      </c>
      <c r="O259" t="str">
        <f>"736297"</f>
        <v>736297</v>
      </c>
      <c r="P259" t="str">
        <f t="shared" si="91"/>
        <v>A400948245</v>
      </c>
    </row>
    <row r="260" spans="1:16" hidden="1" x14ac:dyDescent="0.25">
      <c r="A260" t="str">
        <f t="shared" si="92"/>
        <v>人民币</v>
      </c>
      <c r="B260" t="str">
        <f>"中通国脉"</f>
        <v>中通国脉</v>
      </c>
      <c r="C260" t="str">
        <f>"20180829"</f>
        <v>20180829</v>
      </c>
      <c r="D260" t="str">
        <f>"25.400"</f>
        <v>25.400</v>
      </c>
      <c r="E260" t="str">
        <f>"100.00"</f>
        <v>100.00</v>
      </c>
      <c r="F260" t="str">
        <f>"-2545.05"</f>
        <v>-2545.05</v>
      </c>
      <c r="G260" t="str">
        <f>"1083.56"</f>
        <v>1083.56</v>
      </c>
      <c r="H260" t="str">
        <f>"700.00"</f>
        <v>700.00</v>
      </c>
      <c r="I260" t="str">
        <f>"6"</f>
        <v>6</v>
      </c>
      <c r="J260" t="str">
        <f>"证券买入(中通国脉)"</f>
        <v>证券买入(中通国脉)</v>
      </c>
      <c r="K260" t="str">
        <f>"5.00"</f>
        <v>5.00</v>
      </c>
      <c r="L260" t="str">
        <f>"0.00"</f>
        <v>0.00</v>
      </c>
      <c r="M260" t="str">
        <f>"0.05"</f>
        <v>0.05</v>
      </c>
      <c r="N260" t="str">
        <f>"0.00"</f>
        <v>0.00</v>
      </c>
      <c r="O260" t="str">
        <f>"603559"</f>
        <v>603559</v>
      </c>
      <c r="P260" t="str">
        <f t="shared" si="91"/>
        <v>A400948245</v>
      </c>
    </row>
    <row r="261" spans="1:16" hidden="1" x14ac:dyDescent="0.25">
      <c r="A261" t="str">
        <f t="shared" si="92"/>
        <v>人民币</v>
      </c>
      <c r="B261" t="str">
        <f>"雅运配号"</f>
        <v>雅运配号</v>
      </c>
      <c r="C261" t="str">
        <f>"20180830"</f>
        <v>20180830</v>
      </c>
      <c r="D261" t="str">
        <f>"0.000"</f>
        <v>0.000</v>
      </c>
      <c r="E261" t="str">
        <f>"3.00"</f>
        <v>3.00</v>
      </c>
      <c r="F261" t="str">
        <f>"0.00"</f>
        <v>0.00</v>
      </c>
      <c r="G261" t="str">
        <f>"1083.56"</f>
        <v>1083.56</v>
      </c>
      <c r="H261" t="str">
        <f>"0.00"</f>
        <v>0.00</v>
      </c>
      <c r="I261" t="str">
        <f>"11"</f>
        <v>11</v>
      </c>
      <c r="J261" t="str">
        <f>"申购配号(雅运配号)"</f>
        <v>申购配号(雅运配号)</v>
      </c>
      <c r="K261" t="str">
        <f>"0.00"</f>
        <v>0.00</v>
      </c>
      <c r="L261" t="str">
        <f>"0.00"</f>
        <v>0.00</v>
      </c>
      <c r="M261" t="str">
        <f>"0.00"</f>
        <v>0.00</v>
      </c>
      <c r="N261" t="str">
        <f>"0.00"</f>
        <v>0.00</v>
      </c>
      <c r="O261" t="str">
        <f>"736790"</f>
        <v>736790</v>
      </c>
      <c r="P261" t="str">
        <f t="shared" si="91"/>
        <v>A400948245</v>
      </c>
    </row>
    <row r="262" spans="1:16" hidden="1" x14ac:dyDescent="0.25">
      <c r="A262" t="str">
        <f t="shared" si="92"/>
        <v>人民币</v>
      </c>
      <c r="B262" t="str">
        <f>" "</f>
        <v xml:space="preserve"> </v>
      </c>
      <c r="C262" t="str">
        <f>"20180903"</f>
        <v>20180903</v>
      </c>
      <c r="D262" t="str">
        <f>"---"</f>
        <v>---</v>
      </c>
      <c r="E262" t="str">
        <f>"---"</f>
        <v>---</v>
      </c>
      <c r="F262" t="str">
        <f>"3000.00"</f>
        <v>3000.00</v>
      </c>
      <c r="G262" t="str">
        <f>"4083.56"</f>
        <v>4083.56</v>
      </c>
      <c r="H262" t="str">
        <f>"---"</f>
        <v>---</v>
      </c>
      <c r="I262" t="str">
        <f>"---"</f>
        <v>---</v>
      </c>
      <c r="J262" t="str">
        <f>"银行转存"</f>
        <v>银行转存</v>
      </c>
      <c r="K262" t="str">
        <f t="shared" ref="K262:P262" si="93">"---"</f>
        <v>---</v>
      </c>
      <c r="L262" t="str">
        <f t="shared" si="93"/>
        <v>---</v>
      </c>
      <c r="M262" t="str">
        <f t="shared" si="93"/>
        <v>---</v>
      </c>
      <c r="N262" t="str">
        <f t="shared" si="93"/>
        <v>---</v>
      </c>
      <c r="O262" t="str">
        <f t="shared" si="93"/>
        <v>---</v>
      </c>
      <c r="P262" t="str">
        <f t="shared" si="93"/>
        <v>---</v>
      </c>
    </row>
    <row r="263" spans="1:16" hidden="1" x14ac:dyDescent="0.25">
      <c r="A263" t="str">
        <f t="shared" si="92"/>
        <v>人民币</v>
      </c>
      <c r="B263" t="str">
        <f>"中通国脉"</f>
        <v>中通国脉</v>
      </c>
      <c r="C263" t="str">
        <f>"20180903"</f>
        <v>20180903</v>
      </c>
      <c r="D263" t="str">
        <f>"23.400"</f>
        <v>23.400</v>
      </c>
      <c r="E263" t="str">
        <f>"100.00"</f>
        <v>100.00</v>
      </c>
      <c r="F263" t="str">
        <f>"-2345.05"</f>
        <v>-2345.05</v>
      </c>
      <c r="G263" t="str">
        <f>"1738.51"</f>
        <v>1738.51</v>
      </c>
      <c r="H263" t="str">
        <f>"800.00"</f>
        <v>800.00</v>
      </c>
      <c r="I263" t="str">
        <f>"15"</f>
        <v>15</v>
      </c>
      <c r="J263" t="str">
        <f>"证券买入(中通国脉)"</f>
        <v>证券买入(中通国脉)</v>
      </c>
      <c r="K263" t="str">
        <f>"5.00"</f>
        <v>5.00</v>
      </c>
      <c r="L263" t="str">
        <f>"0.00"</f>
        <v>0.00</v>
      </c>
      <c r="M263" t="str">
        <f>"0.05"</f>
        <v>0.05</v>
      </c>
      <c r="N263" t="str">
        <f t="shared" ref="N263:N270" si="94">"0.00"</f>
        <v>0.00</v>
      </c>
      <c r="O263" t="str">
        <f>"603559"</f>
        <v>603559</v>
      </c>
      <c r="P263" t="str">
        <f>"A400948245"</f>
        <v>A400948245</v>
      </c>
    </row>
    <row r="264" spans="1:16" hidden="1" x14ac:dyDescent="0.25">
      <c r="A264" t="str">
        <f t="shared" si="92"/>
        <v>人民币</v>
      </c>
      <c r="B264" t="str">
        <f>"中通国脉"</f>
        <v>中通国脉</v>
      </c>
      <c r="C264" t="str">
        <f>"20180903"</f>
        <v>20180903</v>
      </c>
      <c r="D264" t="str">
        <f>"24.110"</f>
        <v>24.110</v>
      </c>
      <c r="E264" t="str">
        <f>"-100.00"</f>
        <v>-100.00</v>
      </c>
      <c r="F264" t="str">
        <f>"2403.54"</f>
        <v>2403.54</v>
      </c>
      <c r="G264" t="str">
        <f>"4142.05"</f>
        <v>4142.05</v>
      </c>
      <c r="H264" t="str">
        <f>"700.00"</f>
        <v>700.00</v>
      </c>
      <c r="I264" t="str">
        <f>"18"</f>
        <v>18</v>
      </c>
      <c r="J264" t="str">
        <f>"证券卖出(中通国脉)"</f>
        <v>证券卖出(中通国脉)</v>
      </c>
      <c r="K264" t="str">
        <f>"5.00"</f>
        <v>5.00</v>
      </c>
      <c r="L264" t="str">
        <f>"2.41"</f>
        <v>2.41</v>
      </c>
      <c r="M264" t="str">
        <f>"0.05"</f>
        <v>0.05</v>
      </c>
      <c r="N264" t="str">
        <f t="shared" si="94"/>
        <v>0.00</v>
      </c>
      <c r="O264" t="str">
        <f>"603559"</f>
        <v>603559</v>
      </c>
      <c r="P264" t="str">
        <f>"A400948245"</f>
        <v>A400948245</v>
      </c>
    </row>
    <row r="265" spans="1:16" hidden="1" x14ac:dyDescent="0.25">
      <c r="A265" t="str">
        <f t="shared" si="92"/>
        <v>人民币</v>
      </c>
      <c r="B265" t="str">
        <f>"江龙船艇"</f>
        <v>江龙船艇</v>
      </c>
      <c r="C265" t="str">
        <f>"20180904"</f>
        <v>20180904</v>
      </c>
      <c r="D265" t="str">
        <f>"12.100"</f>
        <v>12.100</v>
      </c>
      <c r="E265" t="str">
        <f>"300.00"</f>
        <v>300.00</v>
      </c>
      <c r="F265" t="str">
        <f>"-3635.00"</f>
        <v>-3635.00</v>
      </c>
      <c r="G265" t="str">
        <f>"507.05"</f>
        <v>507.05</v>
      </c>
      <c r="H265" t="str">
        <f>"3900.00"</f>
        <v>3900.00</v>
      </c>
      <c r="I265" t="str">
        <f>"23"</f>
        <v>23</v>
      </c>
      <c r="J265" t="str">
        <f>"证券买入(江龙船艇)"</f>
        <v>证券买入(江龙船艇)</v>
      </c>
      <c r="K265" t="str">
        <f>"5.00"</f>
        <v>5.00</v>
      </c>
      <c r="L265" t="str">
        <f t="shared" ref="L265:M267" si="95">"0.00"</f>
        <v>0.00</v>
      </c>
      <c r="M265" t="str">
        <f t="shared" si="95"/>
        <v>0.00</v>
      </c>
      <c r="N265" t="str">
        <f t="shared" si="94"/>
        <v>0.00</v>
      </c>
      <c r="O265" t="str">
        <f>"300589"</f>
        <v>300589</v>
      </c>
      <c r="P265" t="str">
        <f>"0153613480"</f>
        <v>0153613480</v>
      </c>
    </row>
    <row r="266" spans="1:16" hidden="1" x14ac:dyDescent="0.25">
      <c r="A266" t="str">
        <f t="shared" si="92"/>
        <v>人民币</v>
      </c>
      <c r="B266" t="str">
        <f>"鹏鼎控股"</f>
        <v>鹏鼎控股</v>
      </c>
      <c r="C266" t="str">
        <f>"20180905"</f>
        <v>20180905</v>
      </c>
      <c r="D266" t="str">
        <f>"0.000"</f>
        <v>0.000</v>
      </c>
      <c r="E266" t="str">
        <f>"8.00"</f>
        <v>8.00</v>
      </c>
      <c r="F266" t="str">
        <f>"0.00"</f>
        <v>0.00</v>
      </c>
      <c r="G266" t="str">
        <f>"507.05"</f>
        <v>507.05</v>
      </c>
      <c r="H266" t="str">
        <f>"0.00"</f>
        <v>0.00</v>
      </c>
      <c r="I266" t="str">
        <f>"27"</f>
        <v>27</v>
      </c>
      <c r="J266" t="str">
        <f>"申购配号(鹏鼎控股)"</f>
        <v>申购配号(鹏鼎控股)</v>
      </c>
      <c r="K266" t="str">
        <f>"0.00"</f>
        <v>0.00</v>
      </c>
      <c r="L266" t="str">
        <f t="shared" si="95"/>
        <v>0.00</v>
      </c>
      <c r="M266" t="str">
        <f t="shared" si="95"/>
        <v>0.00</v>
      </c>
      <c r="N266" t="str">
        <f t="shared" si="94"/>
        <v>0.00</v>
      </c>
      <c r="O266" t="str">
        <f>"002938"</f>
        <v>002938</v>
      </c>
      <c r="P266" t="str">
        <f>"0153613480"</f>
        <v>0153613480</v>
      </c>
    </row>
    <row r="267" spans="1:16" hidden="1" x14ac:dyDescent="0.25">
      <c r="A267" t="str">
        <f t="shared" si="92"/>
        <v>人民币</v>
      </c>
      <c r="B267" t="str">
        <f>"郑州银行"</f>
        <v>郑州银行</v>
      </c>
      <c r="C267" t="str">
        <f>"20180907"</f>
        <v>20180907</v>
      </c>
      <c r="D267" t="str">
        <f>"0.000"</f>
        <v>0.000</v>
      </c>
      <c r="E267" t="str">
        <f>"8.00"</f>
        <v>8.00</v>
      </c>
      <c r="F267" t="str">
        <f>"0.00"</f>
        <v>0.00</v>
      </c>
      <c r="G267" t="str">
        <f>"507.05"</f>
        <v>507.05</v>
      </c>
      <c r="H267" t="str">
        <f>"0.00"</f>
        <v>0.00</v>
      </c>
      <c r="I267" t="str">
        <f>"30"</f>
        <v>30</v>
      </c>
      <c r="J267" t="str">
        <f>"申购配号(郑州银行)"</f>
        <v>申购配号(郑州银行)</v>
      </c>
      <c r="K267" t="str">
        <f>"0.00"</f>
        <v>0.00</v>
      </c>
      <c r="L267" t="str">
        <f t="shared" si="95"/>
        <v>0.00</v>
      </c>
      <c r="M267" t="str">
        <f t="shared" si="95"/>
        <v>0.00</v>
      </c>
      <c r="N267" t="str">
        <f t="shared" si="94"/>
        <v>0.00</v>
      </c>
      <c r="O267" t="str">
        <f>"002936"</f>
        <v>002936</v>
      </c>
      <c r="P267" t="str">
        <f>"0153613480"</f>
        <v>0153613480</v>
      </c>
    </row>
    <row r="268" spans="1:16" hidden="1" x14ac:dyDescent="0.25">
      <c r="A268" t="str">
        <f t="shared" si="92"/>
        <v>人民币</v>
      </c>
      <c r="B268" t="str">
        <f>"七一二"</f>
        <v>七一二</v>
      </c>
      <c r="C268" t="str">
        <f>"20180913"</f>
        <v>20180913</v>
      </c>
      <c r="D268" t="str">
        <f>"23.930"</f>
        <v>23.930</v>
      </c>
      <c r="E268" t="str">
        <f>"-500.00"</f>
        <v>-500.00</v>
      </c>
      <c r="F268" t="str">
        <f>"11947.79"</f>
        <v>11947.79</v>
      </c>
      <c r="G268" t="str">
        <f>"12454.84"</f>
        <v>12454.84</v>
      </c>
      <c r="H268" t="str">
        <f>"1000.00"</f>
        <v>1000.00</v>
      </c>
      <c r="I268" t="str">
        <f>"38"</f>
        <v>38</v>
      </c>
      <c r="J268" t="str">
        <f>"证券卖出(七一二)"</f>
        <v>证券卖出(七一二)</v>
      </c>
      <c r="K268" t="str">
        <f>"5.00"</f>
        <v>5.00</v>
      </c>
      <c r="L268" t="str">
        <f>"11.97"</f>
        <v>11.97</v>
      </c>
      <c r="M268" t="str">
        <f>"0.24"</f>
        <v>0.24</v>
      </c>
      <c r="N268" t="str">
        <f t="shared" si="94"/>
        <v>0.00</v>
      </c>
      <c r="O268" t="str">
        <f>"603712"</f>
        <v>603712</v>
      </c>
      <c r="P268" t="str">
        <f>"A400948245"</f>
        <v>A400948245</v>
      </c>
    </row>
    <row r="269" spans="1:16" hidden="1" x14ac:dyDescent="0.25">
      <c r="A269" t="str">
        <f t="shared" si="92"/>
        <v>人民币</v>
      </c>
      <c r="B269" t="str">
        <f>"中通国脉"</f>
        <v>中通国脉</v>
      </c>
      <c r="C269" t="str">
        <f>"20180913"</f>
        <v>20180913</v>
      </c>
      <c r="D269" t="str">
        <f>"26.130"</f>
        <v>26.130</v>
      </c>
      <c r="E269" t="str">
        <f>"-100.00"</f>
        <v>-100.00</v>
      </c>
      <c r="F269" t="str">
        <f>"2605.34"</f>
        <v>2605.34</v>
      </c>
      <c r="G269" t="str">
        <f>"15060.18"</f>
        <v>15060.18</v>
      </c>
      <c r="H269" t="str">
        <f>"600.00"</f>
        <v>600.00</v>
      </c>
      <c r="I269" t="str">
        <f>"41"</f>
        <v>41</v>
      </c>
      <c r="J269" t="str">
        <f>"证券卖出(中通国脉)"</f>
        <v>证券卖出(中通国脉)</v>
      </c>
      <c r="K269" t="str">
        <f>"5.00"</f>
        <v>5.00</v>
      </c>
      <c r="L269" t="str">
        <f>"2.61"</f>
        <v>2.61</v>
      </c>
      <c r="M269" t="str">
        <f>"0.05"</f>
        <v>0.05</v>
      </c>
      <c r="N269" t="str">
        <f t="shared" si="94"/>
        <v>0.00</v>
      </c>
      <c r="O269" t="str">
        <f>"603559"</f>
        <v>603559</v>
      </c>
      <c r="P269" t="str">
        <f>"A400948245"</f>
        <v>A400948245</v>
      </c>
    </row>
    <row r="270" spans="1:16" hidden="1" x14ac:dyDescent="0.25">
      <c r="A270" t="str">
        <f t="shared" si="92"/>
        <v>人民币</v>
      </c>
      <c r="B270" t="str">
        <f>"顶固集创"</f>
        <v>顶固集创</v>
      </c>
      <c r="C270" t="str">
        <f>"20180913"</f>
        <v>20180913</v>
      </c>
      <c r="D270" t="str">
        <f>"0.000"</f>
        <v>0.000</v>
      </c>
      <c r="E270" t="str">
        <f>"8.00"</f>
        <v>8.00</v>
      </c>
      <c r="F270" t="str">
        <f>"0.00"</f>
        <v>0.00</v>
      </c>
      <c r="G270" t="str">
        <f>"15060.18"</f>
        <v>15060.18</v>
      </c>
      <c r="H270" t="str">
        <f>"0.00"</f>
        <v>0.00</v>
      </c>
      <c r="I270" t="str">
        <f>"33"</f>
        <v>33</v>
      </c>
      <c r="J270" t="str">
        <f>"申购配号(顶固集创)"</f>
        <v>申购配号(顶固集创)</v>
      </c>
      <c r="K270" t="str">
        <f>"0.00"</f>
        <v>0.00</v>
      </c>
      <c r="L270" t="str">
        <f>"0.00"</f>
        <v>0.00</v>
      </c>
      <c r="M270" t="str">
        <f>"0.00"</f>
        <v>0.00</v>
      </c>
      <c r="N270" t="str">
        <f t="shared" si="94"/>
        <v>0.00</v>
      </c>
      <c r="O270" t="str">
        <f>"300749"</f>
        <v>300749</v>
      </c>
      <c r="P270" t="str">
        <f>"0153613480"</f>
        <v>0153613480</v>
      </c>
    </row>
    <row r="271" spans="1:16" hidden="1" x14ac:dyDescent="0.25">
      <c r="A271" t="str">
        <f t="shared" si="92"/>
        <v>人民币</v>
      </c>
      <c r="B271" t="str">
        <f>"中通国脉"</f>
        <v>中通国脉</v>
      </c>
      <c r="C271" t="str">
        <f>"20180914"</f>
        <v>20180914</v>
      </c>
      <c r="D271" t="str">
        <f>"0.000"</f>
        <v>0.000</v>
      </c>
      <c r="E271" t="str">
        <f>"0.00"</f>
        <v>0.00</v>
      </c>
      <c r="F271" t="str">
        <f>"-0.45"</f>
        <v>-0.45</v>
      </c>
      <c r="G271" t="str">
        <f>"15059.73"</f>
        <v>15059.73</v>
      </c>
      <c r="H271" t="str">
        <f>"600.00"</f>
        <v>600.00</v>
      </c>
      <c r="I271" t="str">
        <f>"---"</f>
        <v>---</v>
      </c>
      <c r="J271" t="str">
        <f>"红利差异税扣税(中通国脉)"</f>
        <v>红利差异税扣税(中通国脉)</v>
      </c>
      <c r="K271" t="str">
        <f t="shared" ref="K271:N272" si="96">"---"</f>
        <v>---</v>
      </c>
      <c r="L271" t="str">
        <f t="shared" si="96"/>
        <v>---</v>
      </c>
      <c r="M271" t="str">
        <f t="shared" si="96"/>
        <v>---</v>
      </c>
      <c r="N271" t="str">
        <f t="shared" si="96"/>
        <v>---</v>
      </c>
      <c r="O271" t="str">
        <f>"603559"</f>
        <v>603559</v>
      </c>
      <c r="P271" t="str">
        <f>"A400948245"</f>
        <v>A400948245</v>
      </c>
    </row>
    <row r="272" spans="1:16" hidden="1" x14ac:dyDescent="0.25">
      <c r="A272" t="str">
        <f t="shared" si="92"/>
        <v>人民币</v>
      </c>
      <c r="B272" t="str">
        <f>" "</f>
        <v xml:space="preserve"> </v>
      </c>
      <c r="C272" t="str">
        <f>"20180914"</f>
        <v>20180914</v>
      </c>
      <c r="D272" t="str">
        <f>"---"</f>
        <v>---</v>
      </c>
      <c r="E272" t="str">
        <f>"---"</f>
        <v>---</v>
      </c>
      <c r="F272" t="str">
        <f>"-10000.00"</f>
        <v>-10000.00</v>
      </c>
      <c r="G272" t="str">
        <f>"5059.73"</f>
        <v>5059.73</v>
      </c>
      <c r="H272" t="str">
        <f>"---"</f>
        <v>---</v>
      </c>
      <c r="I272" t="str">
        <f>"---"</f>
        <v>---</v>
      </c>
      <c r="J272" t="str">
        <f>"银行转取"</f>
        <v>银行转取</v>
      </c>
      <c r="K272" t="str">
        <f t="shared" si="96"/>
        <v>---</v>
      </c>
      <c r="L272" t="str">
        <f t="shared" si="96"/>
        <v>---</v>
      </c>
      <c r="M272" t="str">
        <f t="shared" si="96"/>
        <v>---</v>
      </c>
      <c r="N272" t="str">
        <f t="shared" si="96"/>
        <v>---</v>
      </c>
      <c r="O272" t="str">
        <f>"---"</f>
        <v>---</v>
      </c>
      <c r="P272" t="str">
        <f>"---"</f>
        <v>---</v>
      </c>
    </row>
    <row r="273" spans="1:16" hidden="1" x14ac:dyDescent="0.25">
      <c r="A273" t="str">
        <f t="shared" si="92"/>
        <v>人民币</v>
      </c>
      <c r="B273" t="str">
        <f>"七一二"</f>
        <v>七一二</v>
      </c>
      <c r="C273" t="str">
        <f>"20180914"</f>
        <v>20180914</v>
      </c>
      <c r="D273" t="str">
        <f>"23.560"</f>
        <v>23.560</v>
      </c>
      <c r="E273" t="str">
        <f>"200.00"</f>
        <v>200.00</v>
      </c>
      <c r="F273" t="str">
        <f>"-4717.09"</f>
        <v>-4717.09</v>
      </c>
      <c r="G273" t="str">
        <f>"342.64"</f>
        <v>342.64</v>
      </c>
      <c r="H273" t="str">
        <f>"1200.00"</f>
        <v>1200.00</v>
      </c>
      <c r="I273" t="str">
        <f>"48"</f>
        <v>48</v>
      </c>
      <c r="J273" t="str">
        <f>"证券买入(七一二)"</f>
        <v>证券买入(七一二)</v>
      </c>
      <c r="K273" t="str">
        <f>"5.00"</f>
        <v>5.00</v>
      </c>
      <c r="L273" t="str">
        <f>"0.00"</f>
        <v>0.00</v>
      </c>
      <c r="M273" t="str">
        <f>"0.09"</f>
        <v>0.09</v>
      </c>
      <c r="N273" t="str">
        <f>"0.00"</f>
        <v>0.00</v>
      </c>
      <c r="O273" t="str">
        <f>"603712"</f>
        <v>603712</v>
      </c>
      <c r="P273" t="str">
        <f>"A400948245"</f>
        <v>A400948245</v>
      </c>
    </row>
    <row r="274" spans="1:16" hidden="1" x14ac:dyDescent="0.25">
      <c r="A274" t="str">
        <f t="shared" si="92"/>
        <v>人民币</v>
      </c>
      <c r="B274" t="str">
        <f>" "</f>
        <v xml:space="preserve"> </v>
      </c>
      <c r="C274" t="str">
        <f>"20180920"</f>
        <v>20180920</v>
      </c>
      <c r="D274" t="str">
        <f>"---"</f>
        <v>---</v>
      </c>
      <c r="E274" t="str">
        <f>"---"</f>
        <v>---</v>
      </c>
      <c r="F274" t="str">
        <f>"5.72"</f>
        <v>5.72</v>
      </c>
      <c r="G274" t="str">
        <f>"348.36"</f>
        <v>348.36</v>
      </c>
      <c r="H274" t="str">
        <f>"---"</f>
        <v>---</v>
      </c>
      <c r="I274" t="str">
        <f>"---"</f>
        <v>---</v>
      </c>
      <c r="J274" t="str">
        <f>"批量利息归本"</f>
        <v>批量利息归本</v>
      </c>
      <c r="K274" t="str">
        <f t="shared" ref="K274:P275" si="97">"---"</f>
        <v>---</v>
      </c>
      <c r="L274" t="str">
        <f t="shared" si="97"/>
        <v>---</v>
      </c>
      <c r="M274" t="str">
        <f t="shared" si="97"/>
        <v>---</v>
      </c>
      <c r="N274" t="str">
        <f t="shared" si="97"/>
        <v>---</v>
      </c>
      <c r="O274" t="str">
        <f t="shared" si="97"/>
        <v>---</v>
      </c>
      <c r="P274" t="str">
        <f t="shared" si="97"/>
        <v>---</v>
      </c>
    </row>
    <row r="275" spans="1:16" hidden="1" x14ac:dyDescent="0.25">
      <c r="A275" t="str">
        <f t="shared" si="92"/>
        <v>人民币</v>
      </c>
      <c r="B275" t="str">
        <f>" "</f>
        <v xml:space="preserve"> </v>
      </c>
      <c r="C275" t="str">
        <f>"20181011"</f>
        <v>20181011</v>
      </c>
      <c r="D275" t="str">
        <f>"---"</f>
        <v>---</v>
      </c>
      <c r="E275" t="str">
        <f>"---"</f>
        <v>---</v>
      </c>
      <c r="F275" t="str">
        <f>"10000.00"</f>
        <v>10000.00</v>
      </c>
      <c r="G275" t="str">
        <f>"10348.36"</f>
        <v>10348.36</v>
      </c>
      <c r="H275" t="str">
        <f>"---"</f>
        <v>---</v>
      </c>
      <c r="I275" t="str">
        <f>"---"</f>
        <v>---</v>
      </c>
      <c r="J275" t="str">
        <f>"银行转存"</f>
        <v>银行转存</v>
      </c>
      <c r="K275" t="str">
        <f t="shared" si="97"/>
        <v>---</v>
      </c>
      <c r="L275" t="str">
        <f t="shared" si="97"/>
        <v>---</v>
      </c>
      <c r="M275" t="str">
        <f t="shared" si="97"/>
        <v>---</v>
      </c>
      <c r="N275" t="str">
        <f t="shared" si="97"/>
        <v>---</v>
      </c>
      <c r="O275" t="str">
        <f t="shared" si="97"/>
        <v>---</v>
      </c>
      <c r="P275" t="str">
        <f t="shared" si="97"/>
        <v>---</v>
      </c>
    </row>
    <row r="276" spans="1:16" hidden="1" x14ac:dyDescent="0.25">
      <c r="A276" t="str">
        <f t="shared" si="92"/>
        <v>人民币</v>
      </c>
      <c r="B276" t="str">
        <f>"七一二"</f>
        <v>七一二</v>
      </c>
      <c r="C276" t="str">
        <f>"20181011"</f>
        <v>20181011</v>
      </c>
      <c r="D276" t="str">
        <f>"20.100"</f>
        <v>20.100</v>
      </c>
      <c r="E276" t="str">
        <f>"300.00"</f>
        <v>300.00</v>
      </c>
      <c r="F276" t="str">
        <f>"-6035.12"</f>
        <v>-6035.12</v>
      </c>
      <c r="G276" t="str">
        <f>"4313.24"</f>
        <v>4313.24</v>
      </c>
      <c r="H276" t="str">
        <f>"1500.00"</f>
        <v>1500.00</v>
      </c>
      <c r="I276" t="str">
        <f>"57"</f>
        <v>57</v>
      </c>
      <c r="J276" t="str">
        <f>"证券买入(七一二)"</f>
        <v>证券买入(七一二)</v>
      </c>
      <c r="K276" t="str">
        <f>"5.00"</f>
        <v>5.00</v>
      </c>
      <c r="L276" t="str">
        <f>"0.00"</f>
        <v>0.00</v>
      </c>
      <c r="M276" t="str">
        <f>"0.12"</f>
        <v>0.12</v>
      </c>
      <c r="N276" t="str">
        <f>"0.00"</f>
        <v>0.00</v>
      </c>
      <c r="O276" t="str">
        <f>"603712"</f>
        <v>603712</v>
      </c>
      <c r="P276" t="str">
        <f>"A400948245"</f>
        <v>A400948245</v>
      </c>
    </row>
    <row r="277" spans="1:16" hidden="1" x14ac:dyDescent="0.25">
      <c r="A277" t="str">
        <f t="shared" si="92"/>
        <v>人民币</v>
      </c>
      <c r="B277" t="str">
        <f>"中通国脉"</f>
        <v>中通国脉</v>
      </c>
      <c r="C277" t="str">
        <f>"20181011"</f>
        <v>20181011</v>
      </c>
      <c r="D277" t="str">
        <f>"21.750"</f>
        <v>21.750</v>
      </c>
      <c r="E277" t="str">
        <f>"100.00"</f>
        <v>100.00</v>
      </c>
      <c r="F277" t="str">
        <f>"-2180.04"</f>
        <v>-2180.04</v>
      </c>
      <c r="G277" t="str">
        <f>"2133.20"</f>
        <v>2133.20</v>
      </c>
      <c r="H277" t="str">
        <f>"700.00"</f>
        <v>700.00</v>
      </c>
      <c r="I277" t="str">
        <f>"61"</f>
        <v>61</v>
      </c>
      <c r="J277" t="str">
        <f>"证券买入(中通国脉)"</f>
        <v>证券买入(中通国脉)</v>
      </c>
      <c r="K277" t="str">
        <f>"5.00"</f>
        <v>5.00</v>
      </c>
      <c r="L277" t="str">
        <f>"0.00"</f>
        <v>0.00</v>
      </c>
      <c r="M277" t="str">
        <f>"0.04"</f>
        <v>0.04</v>
      </c>
      <c r="N277" t="str">
        <f>"0.00"</f>
        <v>0.00</v>
      </c>
      <c r="O277" t="str">
        <f>"603559"</f>
        <v>603559</v>
      </c>
      <c r="P277" t="str">
        <f>"A400948245"</f>
        <v>A400948245</v>
      </c>
    </row>
    <row r="278" spans="1:16" hidden="1" x14ac:dyDescent="0.25">
      <c r="A278" t="str">
        <f t="shared" si="92"/>
        <v>人民币</v>
      </c>
      <c r="B278" t="str">
        <f>"昂利康"</f>
        <v>昂利康</v>
      </c>
      <c r="C278" t="str">
        <f>"20181011"</f>
        <v>20181011</v>
      </c>
      <c r="D278" t="str">
        <f>"0.000"</f>
        <v>0.000</v>
      </c>
      <c r="E278" t="str">
        <f>"9.00"</f>
        <v>9.00</v>
      </c>
      <c r="F278" t="str">
        <f>"0.00"</f>
        <v>0.00</v>
      </c>
      <c r="G278" t="str">
        <f>"2133.20"</f>
        <v>2133.20</v>
      </c>
      <c r="H278" t="str">
        <f>"0.00"</f>
        <v>0.00</v>
      </c>
      <c r="I278" t="str">
        <f>"55"</f>
        <v>55</v>
      </c>
      <c r="J278" t="str">
        <f>"申购配号(昂利康)"</f>
        <v>申购配号(昂利康)</v>
      </c>
      <c r="K278" t="str">
        <f>"0.00"</f>
        <v>0.00</v>
      </c>
      <c r="L278" t="str">
        <f>"0.00"</f>
        <v>0.00</v>
      </c>
      <c r="M278" t="str">
        <f>"0.00"</f>
        <v>0.00</v>
      </c>
      <c r="N278" t="str">
        <f>"0.00"</f>
        <v>0.00</v>
      </c>
      <c r="O278" t="str">
        <f>"002940"</f>
        <v>002940</v>
      </c>
      <c r="P278" t="str">
        <f>"0153613480"</f>
        <v>0153613480</v>
      </c>
    </row>
    <row r="279" spans="1:16" hidden="1" x14ac:dyDescent="0.25">
      <c r="A279" t="str">
        <f t="shared" si="92"/>
        <v>人民币</v>
      </c>
      <c r="B279" t="str">
        <f>"江龙船艇"</f>
        <v>江龙船艇</v>
      </c>
      <c r="C279" t="str">
        <f>"20181012"</f>
        <v>20181012</v>
      </c>
      <c r="D279" t="str">
        <f>"13.320"</f>
        <v>13.320</v>
      </c>
      <c r="E279" t="str">
        <f>"-600.00"</f>
        <v>-600.00</v>
      </c>
      <c r="F279" t="str">
        <f>"7979.01"</f>
        <v>7979.01</v>
      </c>
      <c r="G279" t="str">
        <f>"10112.21"</f>
        <v>10112.21</v>
      </c>
      <c r="H279" t="str">
        <f>"3300.00"</f>
        <v>3300.00</v>
      </c>
      <c r="I279" t="str">
        <f>"1"</f>
        <v>1</v>
      </c>
      <c r="J279" t="str">
        <f>"证券卖出(江龙船艇)"</f>
        <v>证券卖出(江龙船艇)</v>
      </c>
      <c r="K279" t="str">
        <f>"5.00"</f>
        <v>5.00</v>
      </c>
      <c r="L279" t="str">
        <f>"7.99"</f>
        <v>7.99</v>
      </c>
      <c r="M279" t="str">
        <f>"0.00"</f>
        <v>0.00</v>
      </c>
      <c r="N279" t="str">
        <f>"0.00"</f>
        <v>0.00</v>
      </c>
      <c r="O279" t="str">
        <f>"300589"</f>
        <v>300589</v>
      </c>
      <c r="P279" t="str">
        <f>"0153613480"</f>
        <v>0153613480</v>
      </c>
    </row>
    <row r="280" spans="1:16" hidden="1" x14ac:dyDescent="0.25">
      <c r="A280" t="str">
        <f t="shared" si="92"/>
        <v>人民币</v>
      </c>
      <c r="B280" t="str">
        <f>"江龙船艇"</f>
        <v>江龙船艇</v>
      </c>
      <c r="C280" t="str">
        <f>"20181012"</f>
        <v>20181012</v>
      </c>
      <c r="D280" t="str">
        <f>"13.320"</f>
        <v>13.320</v>
      </c>
      <c r="E280" t="str">
        <f>"-500.00"</f>
        <v>-500.00</v>
      </c>
      <c r="F280" t="str">
        <f>"6648.34"</f>
        <v>6648.34</v>
      </c>
      <c r="G280" t="str">
        <f>"16760.55"</f>
        <v>16760.55</v>
      </c>
      <c r="H280" t="str">
        <f>"2800.00"</f>
        <v>2800.00</v>
      </c>
      <c r="I280" t="str">
        <f>"4"</f>
        <v>4</v>
      </c>
      <c r="J280" t="str">
        <f>"证券卖出(江龙船艇)"</f>
        <v>证券卖出(江龙船艇)</v>
      </c>
      <c r="K280" t="str">
        <f>"5.00"</f>
        <v>5.00</v>
      </c>
      <c r="L280" t="str">
        <f>"6.66"</f>
        <v>6.66</v>
      </c>
      <c r="M280" t="str">
        <f>"0.00"</f>
        <v>0.00</v>
      </c>
      <c r="N280" t="str">
        <f>"0.00"</f>
        <v>0.00</v>
      </c>
      <c r="O280" t="str">
        <f>"300589"</f>
        <v>300589</v>
      </c>
      <c r="P280" t="str">
        <f>"0153613480"</f>
        <v>0153613480</v>
      </c>
    </row>
    <row r="281" spans="1:16" hidden="1" x14ac:dyDescent="0.25">
      <c r="A281" t="str">
        <f t="shared" si="92"/>
        <v>人民币</v>
      </c>
      <c r="B281" t="str">
        <f>" "</f>
        <v xml:space="preserve"> </v>
      </c>
      <c r="C281" t="str">
        <f>"20181015"</f>
        <v>20181015</v>
      </c>
      <c r="D281" t="str">
        <f>"---"</f>
        <v>---</v>
      </c>
      <c r="E281" t="str">
        <f>"---"</f>
        <v>---</v>
      </c>
      <c r="F281" t="str">
        <f>"-10000.00"</f>
        <v>-10000.00</v>
      </c>
      <c r="G281" t="str">
        <f>"6760.55"</f>
        <v>6760.55</v>
      </c>
      <c r="H281" t="str">
        <f>"---"</f>
        <v>---</v>
      </c>
      <c r="I281" t="str">
        <f>"---"</f>
        <v>---</v>
      </c>
      <c r="J281" t="str">
        <f>"银行转取"</f>
        <v>银行转取</v>
      </c>
      <c r="K281" t="str">
        <f t="shared" ref="K281:P281" si="98">"---"</f>
        <v>---</v>
      </c>
      <c r="L281" t="str">
        <f t="shared" si="98"/>
        <v>---</v>
      </c>
      <c r="M281" t="str">
        <f t="shared" si="98"/>
        <v>---</v>
      </c>
      <c r="N281" t="str">
        <f t="shared" si="98"/>
        <v>---</v>
      </c>
      <c r="O281" t="str">
        <f t="shared" si="98"/>
        <v>---</v>
      </c>
      <c r="P281" t="str">
        <f t="shared" si="98"/>
        <v>---</v>
      </c>
    </row>
    <row r="282" spans="1:16" hidden="1" x14ac:dyDescent="0.25">
      <c r="A282" t="str">
        <f t="shared" si="92"/>
        <v>人民币</v>
      </c>
      <c r="B282" t="str">
        <f>"中通国脉"</f>
        <v>中通国脉</v>
      </c>
      <c r="C282" t="str">
        <f>"20181015"</f>
        <v>20181015</v>
      </c>
      <c r="D282" t="str">
        <f>"22.060"</f>
        <v>22.060</v>
      </c>
      <c r="E282" t="str">
        <f>"-100.00"</f>
        <v>-100.00</v>
      </c>
      <c r="F282" t="str">
        <f>"2198.75"</f>
        <v>2198.75</v>
      </c>
      <c r="G282" t="str">
        <f>"8959.30"</f>
        <v>8959.30</v>
      </c>
      <c r="H282" t="str">
        <f>"600.00"</f>
        <v>600.00</v>
      </c>
      <c r="I282" t="str">
        <f>"16"</f>
        <v>16</v>
      </c>
      <c r="J282" t="str">
        <f>"证券卖出(中通国脉)"</f>
        <v>证券卖出(中通国脉)</v>
      </c>
      <c r="K282" t="str">
        <f>"5.00"</f>
        <v>5.00</v>
      </c>
      <c r="L282" t="str">
        <f>"2.21"</f>
        <v>2.21</v>
      </c>
      <c r="M282" t="str">
        <f>"0.04"</f>
        <v>0.04</v>
      </c>
      <c r="N282" t="str">
        <f>"0.00"</f>
        <v>0.00</v>
      </c>
      <c r="O282" t="str">
        <f>"603559"</f>
        <v>603559</v>
      </c>
      <c r="P282" t="str">
        <f>"A400948245"</f>
        <v>A400948245</v>
      </c>
    </row>
    <row r="283" spans="1:16" hidden="1" x14ac:dyDescent="0.25">
      <c r="A283" t="str">
        <f t="shared" si="92"/>
        <v>人民币</v>
      </c>
      <c r="B283" t="str">
        <f>"江龙船艇"</f>
        <v>江龙船艇</v>
      </c>
      <c r="C283" t="str">
        <f>"20181015"</f>
        <v>20181015</v>
      </c>
      <c r="D283" t="str">
        <f>"12.790"</f>
        <v>12.790</v>
      </c>
      <c r="E283" t="str">
        <f>"500.00"</f>
        <v>500.00</v>
      </c>
      <c r="F283" t="str">
        <f>"-6400.00"</f>
        <v>-6400.00</v>
      </c>
      <c r="G283" t="str">
        <f>"2559.30"</f>
        <v>2559.30</v>
      </c>
      <c r="H283" t="str">
        <f>"3300.00"</f>
        <v>3300.00</v>
      </c>
      <c r="I283" t="str">
        <f>"9"</f>
        <v>9</v>
      </c>
      <c r="J283" t="str">
        <f>"证券买入(江龙船艇)"</f>
        <v>证券买入(江龙船艇)</v>
      </c>
      <c r="K283" t="str">
        <f>"5.00"</f>
        <v>5.00</v>
      </c>
      <c r="L283" t="str">
        <f>"0.00"</f>
        <v>0.00</v>
      </c>
      <c r="M283" t="str">
        <f>"0.00"</f>
        <v>0.00</v>
      </c>
      <c r="N283" t="str">
        <f>"0.00"</f>
        <v>0.00</v>
      </c>
      <c r="O283" t="str">
        <f>"300589"</f>
        <v>300589</v>
      </c>
      <c r="P283" t="str">
        <f>"0153613480"</f>
        <v>0153613480</v>
      </c>
    </row>
    <row r="284" spans="1:16" hidden="1" x14ac:dyDescent="0.25">
      <c r="A284" t="str">
        <f t="shared" si="92"/>
        <v>人民币</v>
      </c>
      <c r="B284" t="str">
        <f>"江龙船艇"</f>
        <v>江龙船艇</v>
      </c>
      <c r="C284" t="str">
        <f>"20181015"</f>
        <v>20181015</v>
      </c>
      <c r="D284" t="str">
        <f>"12.640"</f>
        <v>12.640</v>
      </c>
      <c r="E284" t="str">
        <f>"200.00"</f>
        <v>200.00</v>
      </c>
      <c r="F284" t="str">
        <f>"-2533.00"</f>
        <v>-2533.00</v>
      </c>
      <c r="G284" t="str">
        <f>"26.30"</f>
        <v>26.30</v>
      </c>
      <c r="H284" t="str">
        <f>"3500.00"</f>
        <v>3500.00</v>
      </c>
      <c r="I284" t="str">
        <f>"20"</f>
        <v>20</v>
      </c>
      <c r="J284" t="str">
        <f>"证券买入(江龙船艇)"</f>
        <v>证券买入(江龙船艇)</v>
      </c>
      <c r="K284" t="str">
        <f>"5.00"</f>
        <v>5.00</v>
      </c>
      <c r="L284" t="str">
        <f>"0.00"</f>
        <v>0.00</v>
      </c>
      <c r="M284" t="str">
        <f>"0.00"</f>
        <v>0.00</v>
      </c>
      <c r="N284" t="str">
        <f>"0.00"</f>
        <v>0.00</v>
      </c>
      <c r="O284" t="str">
        <f>"300589"</f>
        <v>300589</v>
      </c>
      <c r="P284" t="str">
        <f>"0153613480"</f>
        <v>0153613480</v>
      </c>
    </row>
    <row r="285" spans="1:16" hidden="1" x14ac:dyDescent="0.25">
      <c r="A285" t="str">
        <f t="shared" si="92"/>
        <v>人民币</v>
      </c>
      <c r="B285" t="str">
        <f>"江龙船艇"</f>
        <v>江龙船艇</v>
      </c>
      <c r="C285" t="str">
        <f>"20181016"</f>
        <v>20181016</v>
      </c>
      <c r="D285" t="str">
        <f>"13.300"</f>
        <v>13.300</v>
      </c>
      <c r="E285" t="str">
        <f>"-700.00"</f>
        <v>-700.00</v>
      </c>
      <c r="F285" t="str">
        <f>"9295.69"</f>
        <v>9295.69</v>
      </c>
      <c r="G285" t="str">
        <f>"9321.99"</f>
        <v>9321.99</v>
      </c>
      <c r="H285" t="str">
        <f>"2800.00"</f>
        <v>2800.00</v>
      </c>
      <c r="I285" t="str">
        <f>"26"</f>
        <v>26</v>
      </c>
      <c r="J285" t="str">
        <f>"证券卖出(江龙船艇)"</f>
        <v>证券卖出(江龙船艇)</v>
      </c>
      <c r="K285" t="str">
        <f>"5.00"</f>
        <v>5.00</v>
      </c>
      <c r="L285" t="str">
        <f>"9.31"</f>
        <v>9.31</v>
      </c>
      <c r="M285" t="str">
        <f>"0.00"</f>
        <v>0.00</v>
      </c>
      <c r="N285" t="str">
        <f>"0.00"</f>
        <v>0.00</v>
      </c>
      <c r="O285" t="str">
        <f>"300589"</f>
        <v>300589</v>
      </c>
      <c r="P285" t="str">
        <f>"0153613480"</f>
        <v>0153613480</v>
      </c>
    </row>
    <row r="286" spans="1:16" hidden="1" x14ac:dyDescent="0.25">
      <c r="A286" t="str">
        <f t="shared" si="92"/>
        <v>人民币</v>
      </c>
      <c r="B286" t="str">
        <f>"江龙船艇"</f>
        <v>江龙船艇</v>
      </c>
      <c r="C286" t="str">
        <f>"20181016"</f>
        <v>20181016</v>
      </c>
      <c r="D286" t="str">
        <f>"12.940"</f>
        <v>12.940</v>
      </c>
      <c r="E286" t="str">
        <f>"700.00"</f>
        <v>700.00</v>
      </c>
      <c r="F286" t="str">
        <f>"-9063.00"</f>
        <v>-9063.00</v>
      </c>
      <c r="G286" t="str">
        <f>"258.99"</f>
        <v>258.99</v>
      </c>
      <c r="H286" t="str">
        <f>"3500.00"</f>
        <v>3500.00</v>
      </c>
      <c r="I286" t="str">
        <f>"41"</f>
        <v>41</v>
      </c>
      <c r="J286" t="str">
        <f>"证券买入(江龙船艇)"</f>
        <v>证券买入(江龙船艇)</v>
      </c>
      <c r="K286" t="str">
        <f>"5.00"</f>
        <v>5.00</v>
      </c>
      <c r="L286" t="str">
        <f>"0.00"</f>
        <v>0.00</v>
      </c>
      <c r="M286" t="str">
        <f>"0.00"</f>
        <v>0.00</v>
      </c>
      <c r="N286" t="str">
        <f>"0.00"</f>
        <v>0.00</v>
      </c>
      <c r="O286" t="str">
        <f>"300589"</f>
        <v>300589</v>
      </c>
      <c r="P286" t="str">
        <f>"0153613480"</f>
        <v>0153613480</v>
      </c>
    </row>
    <row r="287" spans="1:16" hidden="1" x14ac:dyDescent="0.25">
      <c r="A287" t="str">
        <f t="shared" si="92"/>
        <v>人民币</v>
      </c>
      <c r="B287" t="str">
        <f>" "</f>
        <v xml:space="preserve"> </v>
      </c>
      <c r="C287" t="str">
        <f t="shared" ref="C287:C293" si="99">"20181017"</f>
        <v>20181017</v>
      </c>
      <c r="D287" t="str">
        <f>"---"</f>
        <v>---</v>
      </c>
      <c r="E287" t="str">
        <f>"---"</f>
        <v>---</v>
      </c>
      <c r="F287" t="str">
        <f>"10000.00"</f>
        <v>10000.00</v>
      </c>
      <c r="G287" t="str">
        <f>"10258.99"</f>
        <v>10258.99</v>
      </c>
      <c r="H287" t="str">
        <f>"---"</f>
        <v>---</v>
      </c>
      <c r="I287" t="str">
        <f>"---"</f>
        <v>---</v>
      </c>
      <c r="J287" t="str">
        <f>"银行转存"</f>
        <v>银行转存</v>
      </c>
      <c r="K287" t="str">
        <f t="shared" ref="K287:P287" si="100">"---"</f>
        <v>---</v>
      </c>
      <c r="L287" t="str">
        <f t="shared" si="100"/>
        <v>---</v>
      </c>
      <c r="M287" t="str">
        <f t="shared" si="100"/>
        <v>---</v>
      </c>
      <c r="N287" t="str">
        <f t="shared" si="100"/>
        <v>---</v>
      </c>
      <c r="O287" t="str">
        <f t="shared" si="100"/>
        <v>---</v>
      </c>
      <c r="P287" t="str">
        <f t="shared" si="100"/>
        <v>---</v>
      </c>
    </row>
    <row r="288" spans="1:16" hidden="1" x14ac:dyDescent="0.25">
      <c r="A288" t="str">
        <f t="shared" si="92"/>
        <v>人民币</v>
      </c>
      <c r="B288" t="str">
        <f>"中通国脉"</f>
        <v>中通国脉</v>
      </c>
      <c r="C288" t="str">
        <f t="shared" si="99"/>
        <v>20181017</v>
      </c>
      <c r="D288" t="str">
        <f>"21.000"</f>
        <v>21.000</v>
      </c>
      <c r="E288" t="str">
        <f>"300.00"</f>
        <v>300.00</v>
      </c>
      <c r="F288" t="str">
        <f>"-6305.13"</f>
        <v>-6305.13</v>
      </c>
      <c r="G288" t="str">
        <f>"3953.86"</f>
        <v>3953.86</v>
      </c>
      <c r="H288" t="str">
        <f>"900.00"</f>
        <v>900.00</v>
      </c>
      <c r="I288" t="str">
        <f>"59"</f>
        <v>59</v>
      </c>
      <c r="J288" t="str">
        <f>"证券买入(中通国脉)"</f>
        <v>证券买入(中通国脉)</v>
      </c>
      <c r="K288" t="str">
        <f>"5.00"</f>
        <v>5.00</v>
      </c>
      <c r="L288" t="str">
        <f>"0.00"</f>
        <v>0.00</v>
      </c>
      <c r="M288" t="str">
        <f>"0.13"</f>
        <v>0.13</v>
      </c>
      <c r="N288" t="str">
        <f t="shared" ref="N288:N298" si="101">"0.00"</f>
        <v>0.00</v>
      </c>
      <c r="O288" t="str">
        <f>"603559"</f>
        <v>603559</v>
      </c>
      <c r="P288" t="str">
        <f>"A400948245"</f>
        <v>A400948245</v>
      </c>
    </row>
    <row r="289" spans="1:16" hidden="1" x14ac:dyDescent="0.25">
      <c r="A289" t="str">
        <f t="shared" si="92"/>
        <v>人民币</v>
      </c>
      <c r="B289" t="str">
        <f>"中通国脉"</f>
        <v>中通国脉</v>
      </c>
      <c r="C289" t="str">
        <f t="shared" si="99"/>
        <v>20181017</v>
      </c>
      <c r="D289" t="str">
        <f>"20.800"</f>
        <v>20.800</v>
      </c>
      <c r="E289" t="str">
        <f>"200.00"</f>
        <v>200.00</v>
      </c>
      <c r="F289" t="str">
        <f>"-4165.08"</f>
        <v>-4165.08</v>
      </c>
      <c r="G289" t="str">
        <f>"-211.22"</f>
        <v>-211.22</v>
      </c>
      <c r="H289" t="str">
        <f>"1100.00"</f>
        <v>1100.00</v>
      </c>
      <c r="I289" t="str">
        <f>"62"</f>
        <v>62</v>
      </c>
      <c r="J289" t="str">
        <f>"证券买入(中通国脉)"</f>
        <v>证券买入(中通国脉)</v>
      </c>
      <c r="K289" t="str">
        <f>"5.00"</f>
        <v>5.00</v>
      </c>
      <c r="L289" t="str">
        <f>"0.00"</f>
        <v>0.00</v>
      </c>
      <c r="M289" t="str">
        <f>"0.08"</f>
        <v>0.08</v>
      </c>
      <c r="N289" t="str">
        <f t="shared" si="101"/>
        <v>0.00</v>
      </c>
      <c r="O289" t="str">
        <f>"603559"</f>
        <v>603559</v>
      </c>
      <c r="P289" t="str">
        <f>"A400948245"</f>
        <v>A400948245</v>
      </c>
    </row>
    <row r="290" spans="1:16" hidden="1" x14ac:dyDescent="0.25">
      <c r="A290" t="str">
        <f t="shared" si="92"/>
        <v>人民币</v>
      </c>
      <c r="B290" t="str">
        <f>"中通国脉"</f>
        <v>中通国脉</v>
      </c>
      <c r="C290" t="str">
        <f t="shared" si="99"/>
        <v>20181017</v>
      </c>
      <c r="D290" t="str">
        <f>"21.700"</f>
        <v>21.700</v>
      </c>
      <c r="E290" t="str">
        <f>"-500.00"</f>
        <v>-500.00</v>
      </c>
      <c r="F290" t="str">
        <f>"10833.93"</f>
        <v>10833.93</v>
      </c>
      <c r="G290" t="str">
        <f>"10622.71"</f>
        <v>10622.71</v>
      </c>
      <c r="H290" t="str">
        <f>"600.00"</f>
        <v>600.00</v>
      </c>
      <c r="I290" t="str">
        <f>"65"</f>
        <v>65</v>
      </c>
      <c r="J290" t="str">
        <f>"证券卖出(中通国脉)"</f>
        <v>证券卖出(中通国脉)</v>
      </c>
      <c r="K290" t="str">
        <f>"5.00"</f>
        <v>5.00</v>
      </c>
      <c r="L290" t="str">
        <f>"10.85"</f>
        <v>10.85</v>
      </c>
      <c r="M290" t="str">
        <f>"0.22"</f>
        <v>0.22</v>
      </c>
      <c r="N290" t="str">
        <f t="shared" si="101"/>
        <v>0.00</v>
      </c>
      <c r="O290" t="str">
        <f>"603559"</f>
        <v>603559</v>
      </c>
      <c r="P290" t="str">
        <f>"A400948245"</f>
        <v>A400948245</v>
      </c>
    </row>
    <row r="291" spans="1:16" hidden="1" x14ac:dyDescent="0.25">
      <c r="A291" t="str">
        <f t="shared" si="92"/>
        <v>人民币</v>
      </c>
      <c r="B291" t="str">
        <f>"江龙船艇"</f>
        <v>江龙船艇</v>
      </c>
      <c r="C291" t="str">
        <f t="shared" si="99"/>
        <v>20181017</v>
      </c>
      <c r="D291" t="str">
        <f>"12.220"</f>
        <v>12.220</v>
      </c>
      <c r="E291" t="str">
        <f>"500.00"</f>
        <v>500.00</v>
      </c>
      <c r="F291" t="str">
        <f>"-6115.00"</f>
        <v>-6115.00</v>
      </c>
      <c r="G291" t="str">
        <f>"4507.71"</f>
        <v>4507.71</v>
      </c>
      <c r="H291" t="str">
        <f>"4000.00"</f>
        <v>4000.00</v>
      </c>
      <c r="I291" t="str">
        <f>"49"</f>
        <v>49</v>
      </c>
      <c r="J291" t="str">
        <f>"证券买入(江龙船艇)"</f>
        <v>证券买入(江龙船艇)</v>
      </c>
      <c r="K291" t="str">
        <f>"5.00"</f>
        <v>5.00</v>
      </c>
      <c r="L291" t="str">
        <f>"0.00"</f>
        <v>0.00</v>
      </c>
      <c r="M291" t="str">
        <f>"0.00"</f>
        <v>0.00</v>
      </c>
      <c r="N291" t="str">
        <f t="shared" si="101"/>
        <v>0.00</v>
      </c>
      <c r="O291" t="str">
        <f>"300589"</f>
        <v>300589</v>
      </c>
      <c r="P291" t="str">
        <f>"0153613480"</f>
        <v>0153613480</v>
      </c>
    </row>
    <row r="292" spans="1:16" hidden="1" x14ac:dyDescent="0.25">
      <c r="A292" t="str">
        <f t="shared" si="92"/>
        <v>人民币</v>
      </c>
      <c r="B292" t="str">
        <f>"江龙船艇"</f>
        <v>江龙船艇</v>
      </c>
      <c r="C292" t="str">
        <f t="shared" si="99"/>
        <v>20181017</v>
      </c>
      <c r="D292" t="str">
        <f>"13.100"</f>
        <v>13.100</v>
      </c>
      <c r="E292" t="str">
        <f>"-500.00"</f>
        <v>-500.00</v>
      </c>
      <c r="F292" t="str">
        <f>"6538.45"</f>
        <v>6538.45</v>
      </c>
      <c r="G292" t="str">
        <f>"11046.16"</f>
        <v>11046.16</v>
      </c>
      <c r="H292" t="str">
        <f>"3500.00"</f>
        <v>3500.00</v>
      </c>
      <c r="I292" t="str">
        <f>"55"</f>
        <v>55</v>
      </c>
      <c r="J292" t="str">
        <f>"证券卖出(江龙船艇)"</f>
        <v>证券卖出(江龙船艇)</v>
      </c>
      <c r="K292" t="str">
        <f>"5.00"</f>
        <v>5.00</v>
      </c>
      <c r="L292" t="str">
        <f>"6.55"</f>
        <v>6.55</v>
      </c>
      <c r="M292" t="str">
        <f t="shared" ref="M292:M298" si="102">"0.00"</f>
        <v>0.00</v>
      </c>
      <c r="N292" t="str">
        <f t="shared" si="101"/>
        <v>0.00</v>
      </c>
      <c r="O292" t="str">
        <f>"300589"</f>
        <v>300589</v>
      </c>
      <c r="P292" t="str">
        <f>"0153613480"</f>
        <v>0153613480</v>
      </c>
    </row>
    <row r="293" spans="1:16" hidden="1" x14ac:dyDescent="0.25">
      <c r="A293" t="str">
        <f t="shared" si="92"/>
        <v>人民币</v>
      </c>
      <c r="B293" t="str">
        <f>"长城证券"</f>
        <v>长城证券</v>
      </c>
      <c r="C293" t="str">
        <f t="shared" si="99"/>
        <v>20181017</v>
      </c>
      <c r="D293" t="str">
        <f>"0.000"</f>
        <v>0.000</v>
      </c>
      <c r="E293" t="str">
        <f>"9.00"</f>
        <v>9.00</v>
      </c>
      <c r="F293" t="str">
        <f>"0.00"</f>
        <v>0.00</v>
      </c>
      <c r="G293" t="str">
        <f>"11046.16"</f>
        <v>11046.16</v>
      </c>
      <c r="H293" t="str">
        <f>"0.00"</f>
        <v>0.00</v>
      </c>
      <c r="I293" t="str">
        <f>"47"</f>
        <v>47</v>
      </c>
      <c r="J293" t="str">
        <f>"申购配号(长城证券)"</f>
        <v>申购配号(长城证券)</v>
      </c>
      <c r="K293" t="str">
        <f>"0.00"</f>
        <v>0.00</v>
      </c>
      <c r="L293" t="str">
        <f>"0.00"</f>
        <v>0.00</v>
      </c>
      <c r="M293" t="str">
        <f t="shared" si="102"/>
        <v>0.00</v>
      </c>
      <c r="N293" t="str">
        <f t="shared" si="101"/>
        <v>0.00</v>
      </c>
      <c r="O293" t="str">
        <f>"002939"</f>
        <v>002939</v>
      </c>
      <c r="P293" t="str">
        <f>"0153613480"</f>
        <v>0153613480</v>
      </c>
    </row>
    <row r="294" spans="1:16" hidden="1" x14ac:dyDescent="0.25">
      <c r="A294" t="str">
        <f t="shared" si="92"/>
        <v>人民币</v>
      </c>
      <c r="B294" t="str">
        <f>"江龙船艇"</f>
        <v>江龙船艇</v>
      </c>
      <c r="C294" t="str">
        <f>"20181018"</f>
        <v>20181018</v>
      </c>
      <c r="D294" t="str">
        <f>"11.870"</f>
        <v>11.870</v>
      </c>
      <c r="E294" t="str">
        <f>"900.00"</f>
        <v>900.00</v>
      </c>
      <c r="F294" t="str">
        <f>"-10688.00"</f>
        <v>-10688.00</v>
      </c>
      <c r="G294" t="str">
        <f>"358.16"</f>
        <v>358.16</v>
      </c>
      <c r="H294" t="str">
        <f>"4400.00"</f>
        <v>4400.00</v>
      </c>
      <c r="I294" t="str">
        <f>"77"</f>
        <v>77</v>
      </c>
      <c r="J294" t="str">
        <f>"证券买入(江龙船艇)"</f>
        <v>证券买入(江龙船艇)</v>
      </c>
      <c r="K294" t="str">
        <f>"5.00"</f>
        <v>5.00</v>
      </c>
      <c r="L294" t="str">
        <f>"0.00"</f>
        <v>0.00</v>
      </c>
      <c r="M294" t="str">
        <f t="shared" si="102"/>
        <v>0.00</v>
      </c>
      <c r="N294" t="str">
        <f t="shared" si="101"/>
        <v>0.00</v>
      </c>
      <c r="O294" t="str">
        <f>"300589"</f>
        <v>300589</v>
      </c>
      <c r="P294" t="str">
        <f>"0153613480"</f>
        <v>0153613480</v>
      </c>
    </row>
    <row r="295" spans="1:16" hidden="1" x14ac:dyDescent="0.25">
      <c r="A295" t="str">
        <f t="shared" si="92"/>
        <v>人民币</v>
      </c>
      <c r="B295" t="str">
        <f>"宇信科技"</f>
        <v>宇信科技</v>
      </c>
      <c r="C295" t="str">
        <f>"20181024"</f>
        <v>20181024</v>
      </c>
      <c r="D295" t="str">
        <f>"0.000"</f>
        <v>0.000</v>
      </c>
      <c r="E295" t="str">
        <f>"9.00"</f>
        <v>9.00</v>
      </c>
      <c r="F295" t="str">
        <f>"0.00"</f>
        <v>0.00</v>
      </c>
      <c r="G295" t="str">
        <f>"358.16"</f>
        <v>358.16</v>
      </c>
      <c r="H295" t="str">
        <f>"0.00"</f>
        <v>0.00</v>
      </c>
      <c r="I295" t="str">
        <f>"81"</f>
        <v>81</v>
      </c>
      <c r="J295" t="str">
        <f>"申购配号(宇信科技)"</f>
        <v>申购配号(宇信科技)</v>
      </c>
      <c r="K295" t="str">
        <f>"0.00"</f>
        <v>0.00</v>
      </c>
      <c r="L295" t="str">
        <f>"0.00"</f>
        <v>0.00</v>
      </c>
      <c r="M295" t="str">
        <f t="shared" si="102"/>
        <v>0.00</v>
      </c>
      <c r="N295" t="str">
        <f t="shared" si="101"/>
        <v>0.00</v>
      </c>
      <c r="O295" t="str">
        <f>"300674"</f>
        <v>300674</v>
      </c>
      <c r="P295" t="str">
        <f>"0153613480"</f>
        <v>0153613480</v>
      </c>
    </row>
    <row r="296" spans="1:16" hidden="1" x14ac:dyDescent="0.25">
      <c r="A296" t="str">
        <f t="shared" si="92"/>
        <v>人民币</v>
      </c>
      <c r="B296" t="str">
        <f>"贝通配号"</f>
        <v>贝通配号</v>
      </c>
      <c r="C296" t="str">
        <f>"20181106"</f>
        <v>20181106</v>
      </c>
      <c r="D296" t="str">
        <f>"0.000"</f>
        <v>0.000</v>
      </c>
      <c r="E296" t="str">
        <f>"3.00"</f>
        <v>3.00</v>
      </c>
      <c r="F296" t="str">
        <f>"0.00"</f>
        <v>0.00</v>
      </c>
      <c r="G296" t="str">
        <f>"358.16"</f>
        <v>358.16</v>
      </c>
      <c r="H296" t="str">
        <f>"0.00"</f>
        <v>0.00</v>
      </c>
      <c r="I296" t="str">
        <f>"86"</f>
        <v>86</v>
      </c>
      <c r="J296" t="str">
        <f>"申购配号(贝通配号)"</f>
        <v>申购配号(贝通配号)</v>
      </c>
      <c r="K296" t="str">
        <f>"0.00"</f>
        <v>0.00</v>
      </c>
      <c r="L296" t="str">
        <f>"0.00"</f>
        <v>0.00</v>
      </c>
      <c r="M296" t="str">
        <f t="shared" si="102"/>
        <v>0.00</v>
      </c>
      <c r="N296" t="str">
        <f t="shared" si="101"/>
        <v>0.00</v>
      </c>
      <c r="O296" t="str">
        <f>"736220"</f>
        <v>736220</v>
      </c>
      <c r="P296" t="str">
        <f>"A400948245"</f>
        <v>A400948245</v>
      </c>
    </row>
    <row r="297" spans="1:16" x14ac:dyDescent="0.25">
      <c r="A297" t="str">
        <f t="shared" si="92"/>
        <v>人民币</v>
      </c>
      <c r="B297" t="str">
        <f>"人保配号"</f>
        <v>人保配号</v>
      </c>
      <c r="C297" t="str">
        <f>"20181106"</f>
        <v>20181106</v>
      </c>
      <c r="D297" t="str">
        <f>"0.000"</f>
        <v>0.000</v>
      </c>
      <c r="E297" t="str">
        <f>"3.00"</f>
        <v>3.00</v>
      </c>
      <c r="F297" t="str">
        <f>"0.00"</f>
        <v>0.00</v>
      </c>
      <c r="G297" t="str">
        <f>"358.16"</f>
        <v>358.16</v>
      </c>
      <c r="H297" t="str">
        <f>"0.00"</f>
        <v>0.00</v>
      </c>
      <c r="I297" t="str">
        <f>"84"</f>
        <v>84</v>
      </c>
      <c r="J297" t="str">
        <f>"申购配号(人保配号)"</f>
        <v>申购配号(人保配号)</v>
      </c>
      <c r="K297" t="str">
        <f>"0.00"</f>
        <v>0.00</v>
      </c>
      <c r="L297" t="str">
        <f>"0.00"</f>
        <v>0.00</v>
      </c>
      <c r="M297" t="str">
        <f t="shared" si="102"/>
        <v>0.00</v>
      </c>
      <c r="N297" t="str">
        <f t="shared" si="101"/>
        <v>0.00</v>
      </c>
      <c r="O297" t="str">
        <f>"791319"</f>
        <v>791319</v>
      </c>
      <c r="P297" t="str">
        <f>"A400948245"</f>
        <v>A400948245</v>
      </c>
    </row>
    <row r="298" spans="1:16" x14ac:dyDescent="0.25">
      <c r="A298" t="str">
        <f t="shared" si="92"/>
        <v>人民币</v>
      </c>
      <c r="B298" t="str">
        <f>"中国人保"</f>
        <v>中国人保</v>
      </c>
      <c r="C298" t="str">
        <f>"20181107"</f>
        <v>20181107</v>
      </c>
      <c r="D298" t="str">
        <f>"3.340"</f>
        <v>3.340</v>
      </c>
      <c r="E298" t="str">
        <f>"1000.00"</f>
        <v>1000.00</v>
      </c>
      <c r="F298" t="str">
        <f>"0.00"</f>
        <v>0.00</v>
      </c>
      <c r="G298" t="str">
        <f>"358.16"</f>
        <v>358.16</v>
      </c>
      <c r="H298" t="str">
        <f>"1000.00"</f>
        <v>1000.00</v>
      </c>
      <c r="I298" t="str">
        <f>" "</f>
        <v xml:space="preserve"> </v>
      </c>
      <c r="J298" t="str">
        <f>"配售中签(人保申购)"</f>
        <v>配售中签(人保申购)</v>
      </c>
      <c r="K298" t="str">
        <f>"0.00"</f>
        <v>0.00</v>
      </c>
      <c r="L298" t="str">
        <f>"0.00"</f>
        <v>0.00</v>
      </c>
      <c r="M298" t="str">
        <f t="shared" si="102"/>
        <v>0.00</v>
      </c>
      <c r="N298" t="str">
        <f t="shared" si="101"/>
        <v>0.00</v>
      </c>
      <c r="O298" t="str">
        <f>"780319"</f>
        <v>780319</v>
      </c>
      <c r="P298" t="str">
        <f>"A400948245"</f>
        <v>A400948245</v>
      </c>
    </row>
    <row r="299" spans="1:16" hidden="1" x14ac:dyDescent="0.25">
      <c r="A299" t="str">
        <f t="shared" si="92"/>
        <v>人民币</v>
      </c>
      <c r="B299" t="str">
        <f>" "</f>
        <v xml:space="preserve"> </v>
      </c>
      <c r="C299" t="str">
        <f>"20181108"</f>
        <v>20181108</v>
      </c>
      <c r="D299" t="str">
        <f>"---"</f>
        <v>---</v>
      </c>
      <c r="E299" t="str">
        <f>"---"</f>
        <v>---</v>
      </c>
      <c r="F299" t="str">
        <f>"4000.00"</f>
        <v>4000.00</v>
      </c>
      <c r="G299" t="str">
        <f>"4358.16"</f>
        <v>4358.16</v>
      </c>
      <c r="H299" t="str">
        <f>"---"</f>
        <v>---</v>
      </c>
      <c r="I299" t="str">
        <f>"---"</f>
        <v>---</v>
      </c>
      <c r="J299" t="str">
        <f>"银行转存"</f>
        <v>银行转存</v>
      </c>
      <c r="K299" t="str">
        <f t="shared" ref="K299:P299" si="103">"---"</f>
        <v>---</v>
      </c>
      <c r="L299" t="str">
        <f t="shared" si="103"/>
        <v>---</v>
      </c>
      <c r="M299" t="str">
        <f t="shared" si="103"/>
        <v>---</v>
      </c>
      <c r="N299" t="str">
        <f t="shared" si="103"/>
        <v>---</v>
      </c>
      <c r="O299" t="str">
        <f t="shared" si="103"/>
        <v>---</v>
      </c>
      <c r="P299" t="str">
        <f t="shared" si="103"/>
        <v>---</v>
      </c>
    </row>
    <row r="300" spans="1:16" x14ac:dyDescent="0.25">
      <c r="A300" t="str">
        <f t="shared" si="92"/>
        <v>人民币</v>
      </c>
      <c r="B300" t="s">
        <v>17</v>
      </c>
      <c r="C300" t="str">
        <f>"20181108"</f>
        <v>20181108</v>
      </c>
      <c r="D300" t="str">
        <f>"0.000"</f>
        <v>0.000</v>
      </c>
      <c r="E300" t="str">
        <f>"0.00"</f>
        <v>0.00</v>
      </c>
      <c r="F300" t="str">
        <f>"-3340.00"</f>
        <v>-3340.00</v>
      </c>
      <c r="G300" t="str">
        <f>"1018.16"</f>
        <v>1018.16</v>
      </c>
      <c r="H300" t="str">
        <f>"1000.00"</f>
        <v>1000.00</v>
      </c>
      <c r="I300" t="str">
        <f>"---"</f>
        <v>---</v>
      </c>
      <c r="J300" t="str">
        <f>"申购中签缴款(人保申购)"</f>
        <v>申购中签缴款(人保申购)</v>
      </c>
      <c r="K300" t="str">
        <f>"---"</f>
        <v>---</v>
      </c>
      <c r="L300" t="str">
        <f>"---"</f>
        <v>---</v>
      </c>
      <c r="M300" t="str">
        <f>"---"</f>
        <v>---</v>
      </c>
      <c r="N300" t="str">
        <f>"---"</f>
        <v>---</v>
      </c>
      <c r="O300" t="str">
        <f>"780319"</f>
        <v>780319</v>
      </c>
      <c r="P300" t="str">
        <f>"A400948245"</f>
        <v>A400948245</v>
      </c>
    </row>
    <row r="301" spans="1:16" x14ac:dyDescent="0.25">
      <c r="A301" t="str">
        <f t="shared" si="92"/>
        <v>人民币</v>
      </c>
      <c r="B301" t="str">
        <f>"中国人保"</f>
        <v>中国人保</v>
      </c>
      <c r="C301" t="str">
        <f>"20181109"</f>
        <v>20181109</v>
      </c>
      <c r="D301" t="str">
        <f>"3.340"</f>
        <v>3.340</v>
      </c>
      <c r="E301" t="str">
        <f>"1000.00"</f>
        <v>1000.00</v>
      </c>
      <c r="F301" t="str">
        <f>"0.00"</f>
        <v>0.00</v>
      </c>
      <c r="G301" t="str">
        <f>"1018.16"</f>
        <v>1018.16</v>
      </c>
      <c r="H301" t="str">
        <f>"1000.00"</f>
        <v>1000.00</v>
      </c>
      <c r="I301" t="str">
        <f>" "</f>
        <v xml:space="preserve"> </v>
      </c>
      <c r="J301" t="str">
        <f>"配售认购(人保申购)"</f>
        <v>配售认购(人保申购)</v>
      </c>
      <c r="K301" t="str">
        <f t="shared" ref="K301:N311" si="104">"0.00"</f>
        <v>0.00</v>
      </c>
      <c r="L301" t="str">
        <f t="shared" si="104"/>
        <v>0.00</v>
      </c>
      <c r="M301" t="str">
        <f t="shared" si="104"/>
        <v>0.00</v>
      </c>
      <c r="N301" t="str">
        <f t="shared" si="104"/>
        <v>0.00</v>
      </c>
      <c r="O301" t="str">
        <f>"780319"</f>
        <v>780319</v>
      </c>
      <c r="P301" t="str">
        <f>"A400948245"</f>
        <v>A400948245</v>
      </c>
    </row>
    <row r="302" spans="1:16" x14ac:dyDescent="0.25">
      <c r="A302" t="str">
        <f t="shared" si="92"/>
        <v>人民币</v>
      </c>
      <c r="B302" t="s">
        <v>17</v>
      </c>
      <c r="C302" t="str">
        <f>"20181115"</f>
        <v>20181115</v>
      </c>
      <c r="D302" t="str">
        <f>"0.000"</f>
        <v>0.000</v>
      </c>
      <c r="E302" t="str">
        <f>"1000.00"</f>
        <v>1000.00</v>
      </c>
      <c r="F302" t="str">
        <f>"0.00"</f>
        <v>0.00</v>
      </c>
      <c r="G302" t="str">
        <f>"1018.16"</f>
        <v>1018.16</v>
      </c>
      <c r="H302" t="str">
        <f>"1000.00"</f>
        <v>1000.00</v>
      </c>
      <c r="I302" t="str">
        <f>" "</f>
        <v xml:space="preserve"> </v>
      </c>
      <c r="J302" t="str">
        <f>"新股入帐(601319)"</f>
        <v>新股入帐(601319)</v>
      </c>
      <c r="K302" t="str">
        <f t="shared" si="104"/>
        <v>0.00</v>
      </c>
      <c r="L302" t="str">
        <f t="shared" si="104"/>
        <v>0.00</v>
      </c>
      <c r="M302" t="str">
        <f t="shared" si="104"/>
        <v>0.00</v>
      </c>
      <c r="N302" t="str">
        <f t="shared" si="104"/>
        <v>0.00</v>
      </c>
      <c r="O302" t="str">
        <f>"601319"</f>
        <v>601319</v>
      </c>
      <c r="P302" t="str">
        <f>"A400948245"</f>
        <v>A400948245</v>
      </c>
    </row>
    <row r="303" spans="1:16" hidden="1" x14ac:dyDescent="0.25">
      <c r="A303" t="str">
        <f t="shared" si="92"/>
        <v>人民币</v>
      </c>
      <c r="B303" t="str">
        <f>"新疆交建"</f>
        <v>新疆交建</v>
      </c>
      <c r="C303" t="str">
        <f>"20181115"</f>
        <v>20181115</v>
      </c>
      <c r="D303" t="str">
        <f>"0.000"</f>
        <v>0.000</v>
      </c>
      <c r="E303" t="str">
        <f>"10.00"</f>
        <v>10.00</v>
      </c>
      <c r="F303" t="str">
        <f>"0.00"</f>
        <v>0.00</v>
      </c>
      <c r="G303" t="str">
        <f>"1018.16"</f>
        <v>1018.16</v>
      </c>
      <c r="H303" t="str">
        <f>"0.00"</f>
        <v>0.00</v>
      </c>
      <c r="I303" t="str">
        <f>"94"</f>
        <v>94</v>
      </c>
      <c r="J303" t="str">
        <f>"申购配号(新疆交建)"</f>
        <v>申购配号(新疆交建)</v>
      </c>
      <c r="K303" t="str">
        <f t="shared" si="104"/>
        <v>0.00</v>
      </c>
      <c r="L303" t="str">
        <f t="shared" si="104"/>
        <v>0.00</v>
      </c>
      <c r="M303" t="str">
        <f t="shared" si="104"/>
        <v>0.00</v>
      </c>
      <c r="N303" t="str">
        <f t="shared" si="104"/>
        <v>0.00</v>
      </c>
      <c r="O303" t="str">
        <f>"002941"</f>
        <v>002941</v>
      </c>
      <c r="P303" t="str">
        <f>"0153613480"</f>
        <v>0153613480</v>
      </c>
    </row>
    <row r="304" spans="1:16" hidden="1" x14ac:dyDescent="0.25">
      <c r="A304" t="str">
        <f t="shared" si="92"/>
        <v>人民币</v>
      </c>
      <c r="B304" t="str">
        <f>"海容配号"</f>
        <v>海容配号</v>
      </c>
      <c r="C304" t="str">
        <f>"20181119"</f>
        <v>20181119</v>
      </c>
      <c r="D304" t="str">
        <f>"0.000"</f>
        <v>0.000</v>
      </c>
      <c r="E304" t="str">
        <f>"4.00"</f>
        <v>4.00</v>
      </c>
      <c r="F304" t="str">
        <f>"0.00"</f>
        <v>0.00</v>
      </c>
      <c r="G304" t="str">
        <f>"1018.16"</f>
        <v>1018.16</v>
      </c>
      <c r="H304" t="str">
        <f>"0.00"</f>
        <v>0.00</v>
      </c>
      <c r="I304" t="str">
        <f>"98"</f>
        <v>98</v>
      </c>
      <c r="J304" t="str">
        <f>"申购配号(海容配号)"</f>
        <v>申购配号(海容配号)</v>
      </c>
      <c r="K304" t="str">
        <f t="shared" si="104"/>
        <v>0.00</v>
      </c>
      <c r="L304" t="str">
        <f t="shared" si="104"/>
        <v>0.00</v>
      </c>
      <c r="M304" t="str">
        <f t="shared" si="104"/>
        <v>0.00</v>
      </c>
      <c r="N304" t="str">
        <f t="shared" si="104"/>
        <v>0.00</v>
      </c>
      <c r="O304" t="str">
        <f>"736187"</f>
        <v>736187</v>
      </c>
      <c r="P304" t="str">
        <f>"A400948245"</f>
        <v>A400948245</v>
      </c>
    </row>
    <row r="305" spans="1:16" hidden="1" x14ac:dyDescent="0.25">
      <c r="A305" t="str">
        <f t="shared" si="92"/>
        <v>人民币</v>
      </c>
      <c r="B305" t="str">
        <f>"七一二"</f>
        <v>七一二</v>
      </c>
      <c r="C305" t="str">
        <f>"20181120"</f>
        <v>20181120</v>
      </c>
      <c r="D305" t="str">
        <f>"18.910"</f>
        <v>18.910</v>
      </c>
      <c r="E305" t="str">
        <f>"300.00"</f>
        <v>300.00</v>
      </c>
      <c r="F305" t="str">
        <f>"-5678.11"</f>
        <v>-5678.11</v>
      </c>
      <c r="G305" t="str">
        <f>"-4659.95"</f>
        <v>-4659.95</v>
      </c>
      <c r="H305" t="str">
        <f>"1800.00"</f>
        <v>1800.00</v>
      </c>
      <c r="I305" t="str">
        <f>"106"</f>
        <v>106</v>
      </c>
      <c r="J305" t="str">
        <f>"证券买入(七一二)"</f>
        <v>证券买入(七一二)</v>
      </c>
      <c r="K305" t="str">
        <f>"5.00"</f>
        <v>5.00</v>
      </c>
      <c r="L305" t="str">
        <f>"0.00"</f>
        <v>0.00</v>
      </c>
      <c r="M305" t="str">
        <f>"0.11"</f>
        <v>0.11</v>
      </c>
      <c r="N305" t="str">
        <f t="shared" si="104"/>
        <v>0.00</v>
      </c>
      <c r="O305" t="str">
        <f>"603712"</f>
        <v>603712</v>
      </c>
      <c r="P305" t="str">
        <f>"A400948245"</f>
        <v>A400948245</v>
      </c>
    </row>
    <row r="306" spans="1:16" hidden="1" x14ac:dyDescent="0.25">
      <c r="A306" t="str">
        <f t="shared" si="92"/>
        <v>人民币</v>
      </c>
      <c r="B306" t="str">
        <f>"江龙船艇"</f>
        <v>江龙船艇</v>
      </c>
      <c r="C306" t="str">
        <f>"20181120"</f>
        <v>20181120</v>
      </c>
      <c r="D306" t="str">
        <f>"12.430"</f>
        <v>12.430</v>
      </c>
      <c r="E306" t="str">
        <f>"-900.00"</f>
        <v>-900.00</v>
      </c>
      <c r="F306" t="str">
        <f>"11170.82"</f>
        <v>11170.82</v>
      </c>
      <c r="G306" t="str">
        <f>"6510.87"</f>
        <v>6510.87</v>
      </c>
      <c r="H306" t="str">
        <f>"3500.00"</f>
        <v>3500.00</v>
      </c>
      <c r="I306" t="str">
        <f>"103"</f>
        <v>103</v>
      </c>
      <c r="J306" t="str">
        <f>"证券卖出(江龙船艇)"</f>
        <v>证券卖出(江龙船艇)</v>
      </c>
      <c r="K306" t="str">
        <f>"5.00"</f>
        <v>5.00</v>
      </c>
      <c r="L306" t="str">
        <f>"11.18"</f>
        <v>11.18</v>
      </c>
      <c r="M306" t="str">
        <f>"0.00"</f>
        <v>0.00</v>
      </c>
      <c r="N306" t="str">
        <f t="shared" si="104"/>
        <v>0.00</v>
      </c>
      <c r="O306" t="str">
        <f>"300589"</f>
        <v>300589</v>
      </c>
      <c r="P306" t="str">
        <f>"0153613480"</f>
        <v>0153613480</v>
      </c>
    </row>
    <row r="307" spans="1:16" hidden="1" x14ac:dyDescent="0.25">
      <c r="A307" t="str">
        <f t="shared" si="92"/>
        <v>人民币</v>
      </c>
      <c r="B307" t="str">
        <f>"宇晶股份"</f>
        <v>宇晶股份</v>
      </c>
      <c r="C307" t="str">
        <f>"20181120"</f>
        <v>20181120</v>
      </c>
      <c r="D307" t="str">
        <f>"0.000"</f>
        <v>0.000</v>
      </c>
      <c r="E307" t="str">
        <f>"10.00"</f>
        <v>10.00</v>
      </c>
      <c r="F307" t="str">
        <f>"0.00"</f>
        <v>0.00</v>
      </c>
      <c r="G307" t="str">
        <f>"6510.87"</f>
        <v>6510.87</v>
      </c>
      <c r="H307" t="str">
        <f>"0.00"</f>
        <v>0.00</v>
      </c>
      <c r="I307" t="str">
        <f>"101"</f>
        <v>101</v>
      </c>
      <c r="J307" t="str">
        <f>"申购配号(宇晶股份)"</f>
        <v>申购配号(宇晶股份)</v>
      </c>
      <c r="K307" t="str">
        <f>"0.00"</f>
        <v>0.00</v>
      </c>
      <c r="L307" t="str">
        <f>"0.00"</f>
        <v>0.00</v>
      </c>
      <c r="M307" t="str">
        <f>"0.00"</f>
        <v>0.00</v>
      </c>
      <c r="N307" t="str">
        <f t="shared" si="104"/>
        <v>0.00</v>
      </c>
      <c r="O307" t="str">
        <f>"002943"</f>
        <v>002943</v>
      </c>
      <c r="P307" t="str">
        <f>"0153613480"</f>
        <v>0153613480</v>
      </c>
    </row>
    <row r="308" spans="1:16" hidden="1" x14ac:dyDescent="0.25">
      <c r="A308" t="str">
        <f t="shared" si="92"/>
        <v>人民币</v>
      </c>
      <c r="B308" t="str">
        <f>"七一二"</f>
        <v>七一二</v>
      </c>
      <c r="C308" t="str">
        <f>"20181121"</f>
        <v>20181121</v>
      </c>
      <c r="D308" t="str">
        <f>"17.850"</f>
        <v>17.850</v>
      </c>
      <c r="E308" t="str">
        <f>"300.00"</f>
        <v>300.00</v>
      </c>
      <c r="F308" t="str">
        <f>"-5360.11"</f>
        <v>-5360.11</v>
      </c>
      <c r="G308" t="str">
        <f>"1150.76"</f>
        <v>1150.76</v>
      </c>
      <c r="H308" t="str">
        <f>"2100.00"</f>
        <v>2100.00</v>
      </c>
      <c r="I308" t="str">
        <f>"3"</f>
        <v>3</v>
      </c>
      <c r="J308" t="str">
        <f>"证券买入(七一二)"</f>
        <v>证券买入(七一二)</v>
      </c>
      <c r="K308" t="str">
        <f>"5.00"</f>
        <v>5.00</v>
      </c>
      <c r="L308" t="str">
        <f>"0.00"</f>
        <v>0.00</v>
      </c>
      <c r="M308" t="str">
        <f>"0.11"</f>
        <v>0.11</v>
      </c>
      <c r="N308" t="str">
        <f t="shared" si="104"/>
        <v>0.00</v>
      </c>
      <c r="O308" t="str">
        <f>"603712"</f>
        <v>603712</v>
      </c>
      <c r="P308" t="str">
        <f>"A400948245"</f>
        <v>A400948245</v>
      </c>
    </row>
    <row r="309" spans="1:16" hidden="1" x14ac:dyDescent="0.25">
      <c r="A309" t="str">
        <f t="shared" si="92"/>
        <v>人民币</v>
      </c>
      <c r="B309" t="str">
        <f>"隆利科技"</f>
        <v>隆利科技</v>
      </c>
      <c r="C309" t="str">
        <f>"20181121"</f>
        <v>20181121</v>
      </c>
      <c r="D309" t="str">
        <f>"0.000"</f>
        <v>0.000</v>
      </c>
      <c r="E309" t="str">
        <f>"10.00"</f>
        <v>10.00</v>
      </c>
      <c r="F309" t="str">
        <f>"0.00"</f>
        <v>0.00</v>
      </c>
      <c r="G309" t="str">
        <f>"1150.76"</f>
        <v>1150.76</v>
      </c>
      <c r="H309" t="str">
        <f>"0.00"</f>
        <v>0.00</v>
      </c>
      <c r="I309" t="str">
        <f>"1"</f>
        <v>1</v>
      </c>
      <c r="J309" t="str">
        <f>"申购配号(隆利科技)"</f>
        <v>申购配号(隆利科技)</v>
      </c>
      <c r="K309" t="str">
        <f>"0.00"</f>
        <v>0.00</v>
      </c>
      <c r="L309" t="str">
        <f>"0.00"</f>
        <v>0.00</v>
      </c>
      <c r="M309" t="str">
        <f>"0.00"</f>
        <v>0.00</v>
      </c>
      <c r="N309" t="str">
        <f t="shared" si="104"/>
        <v>0.00</v>
      </c>
      <c r="O309" t="str">
        <f>"300752"</f>
        <v>300752</v>
      </c>
      <c r="P309" t="str">
        <f>"0153613480"</f>
        <v>0153613480</v>
      </c>
    </row>
    <row r="310" spans="1:16" hidden="1" x14ac:dyDescent="0.25">
      <c r="A310" t="str">
        <f t="shared" si="92"/>
        <v>人民币</v>
      </c>
      <c r="B310" t="str">
        <f>"新农股份"</f>
        <v>新农股份</v>
      </c>
      <c r="C310" t="str">
        <f>"20181122"</f>
        <v>20181122</v>
      </c>
      <c r="D310" t="str">
        <f>"0.000"</f>
        <v>0.000</v>
      </c>
      <c r="E310" t="str">
        <f>"10.00"</f>
        <v>10.00</v>
      </c>
      <c r="F310" t="str">
        <f>"0.00"</f>
        <v>0.00</v>
      </c>
      <c r="G310" t="str">
        <f>"1150.76"</f>
        <v>1150.76</v>
      </c>
      <c r="H310" t="str">
        <f>"0.00"</f>
        <v>0.00</v>
      </c>
      <c r="I310" t="str">
        <f>"8"</f>
        <v>8</v>
      </c>
      <c r="J310" t="str">
        <f>"申购配号(新农股份)"</f>
        <v>申购配号(新农股份)</v>
      </c>
      <c r="K310" t="str">
        <f>"0.00"</f>
        <v>0.00</v>
      </c>
      <c r="L310" t="str">
        <f>"0.00"</f>
        <v>0.00</v>
      </c>
      <c r="M310" t="str">
        <f>"0.00"</f>
        <v>0.00</v>
      </c>
      <c r="N310" t="str">
        <f t="shared" si="104"/>
        <v>0.00</v>
      </c>
      <c r="O310" t="str">
        <f>"002942"</f>
        <v>002942</v>
      </c>
      <c r="P310" t="str">
        <f>"0153613480"</f>
        <v>0153613480</v>
      </c>
    </row>
    <row r="311" spans="1:16" x14ac:dyDescent="0.25">
      <c r="A311" t="str">
        <f t="shared" si="92"/>
        <v>人民币</v>
      </c>
      <c r="B311" t="str">
        <f>"中国人保"</f>
        <v>中国人保</v>
      </c>
      <c r="C311" t="str">
        <f>"20181123"</f>
        <v>20181123</v>
      </c>
      <c r="D311" t="str">
        <f>"7.650"</f>
        <v>7.650</v>
      </c>
      <c r="E311" t="str">
        <f>"-1000.00"</f>
        <v>-1000.00</v>
      </c>
      <c r="F311" t="str">
        <f>"7637.20"</f>
        <v>7637.20</v>
      </c>
      <c r="G311" t="str">
        <f>"8787.96"</f>
        <v>8787.96</v>
      </c>
      <c r="H311" t="str">
        <f>"0.00"</f>
        <v>0.00</v>
      </c>
      <c r="I311" t="str">
        <f>"11"</f>
        <v>11</v>
      </c>
      <c r="J311" t="str">
        <f>"证券卖出(中国人保)"</f>
        <v>证券卖出(中国人保)</v>
      </c>
      <c r="K311" t="str">
        <f>"5.00"</f>
        <v>5.00</v>
      </c>
      <c r="L311" t="str">
        <f>"7.65"</f>
        <v>7.65</v>
      </c>
      <c r="M311" t="str">
        <f>"0.15"</f>
        <v>0.15</v>
      </c>
      <c r="N311" t="str">
        <f t="shared" si="104"/>
        <v>0.00</v>
      </c>
      <c r="O311" t="str">
        <f>"601319"</f>
        <v>601319</v>
      </c>
      <c r="P311" t="str">
        <f>"A400948245"</f>
        <v>A400948245</v>
      </c>
    </row>
    <row r="312" spans="1:16" hidden="1" x14ac:dyDescent="0.25">
      <c r="A312" t="str">
        <f t="shared" si="92"/>
        <v>人民币</v>
      </c>
      <c r="B312" t="str">
        <f>" "</f>
        <v xml:space="preserve"> </v>
      </c>
      <c r="C312" t="str">
        <f>"20181126"</f>
        <v>20181126</v>
      </c>
      <c r="D312" t="str">
        <f>"---"</f>
        <v>---</v>
      </c>
      <c r="E312" t="str">
        <f>"---"</f>
        <v>---</v>
      </c>
      <c r="F312" t="str">
        <f>"-8000.00"</f>
        <v>-8000.00</v>
      </c>
      <c r="G312" t="str">
        <f>"787.96"</f>
        <v>787.96</v>
      </c>
      <c r="H312" t="str">
        <f>"---"</f>
        <v>---</v>
      </c>
      <c r="I312" t="str">
        <f>"---"</f>
        <v>---</v>
      </c>
      <c r="J312" t="str">
        <f>"银行转取"</f>
        <v>银行转取</v>
      </c>
      <c r="K312" t="str">
        <f t="shared" ref="K312:P313" si="105">"---"</f>
        <v>---</v>
      </c>
      <c r="L312" t="str">
        <f t="shared" si="105"/>
        <v>---</v>
      </c>
      <c r="M312" t="str">
        <f t="shared" si="105"/>
        <v>---</v>
      </c>
      <c r="N312" t="str">
        <f t="shared" si="105"/>
        <v>---</v>
      </c>
      <c r="O312" t="str">
        <f t="shared" si="105"/>
        <v>---</v>
      </c>
      <c r="P312" t="str">
        <f t="shared" si="105"/>
        <v>---</v>
      </c>
    </row>
    <row r="313" spans="1:16" hidden="1" x14ac:dyDescent="0.25">
      <c r="A313" t="str">
        <f t="shared" si="92"/>
        <v>人民币</v>
      </c>
      <c r="B313" t="str">
        <f>" "</f>
        <v xml:space="preserve"> </v>
      </c>
      <c r="C313" t="str">
        <f>"20181126"</f>
        <v>20181126</v>
      </c>
      <c r="D313" t="str">
        <f>"---"</f>
        <v>---</v>
      </c>
      <c r="E313" t="str">
        <f>"---"</f>
        <v>---</v>
      </c>
      <c r="F313" t="str">
        <f>"3000.00"</f>
        <v>3000.00</v>
      </c>
      <c r="G313" t="str">
        <f>"3787.96"</f>
        <v>3787.96</v>
      </c>
      <c r="H313" t="str">
        <f>"---"</f>
        <v>---</v>
      </c>
      <c r="I313" t="str">
        <f>"---"</f>
        <v>---</v>
      </c>
      <c r="J313" t="str">
        <f>"银行转存"</f>
        <v>银行转存</v>
      </c>
      <c r="K313" t="str">
        <f t="shared" si="105"/>
        <v>---</v>
      </c>
      <c r="L313" t="str">
        <f t="shared" si="105"/>
        <v>---</v>
      </c>
      <c r="M313" t="str">
        <f t="shared" si="105"/>
        <v>---</v>
      </c>
      <c r="N313" t="str">
        <f t="shared" si="105"/>
        <v>---</v>
      </c>
      <c r="O313" t="str">
        <f t="shared" si="105"/>
        <v>---</v>
      </c>
      <c r="P313" t="str">
        <f t="shared" si="105"/>
        <v>---</v>
      </c>
    </row>
    <row r="314" spans="1:16" hidden="1" x14ac:dyDescent="0.25">
      <c r="A314" t="str">
        <f t="shared" si="92"/>
        <v>人民币</v>
      </c>
      <c r="B314" t="str">
        <f>"七一二"</f>
        <v>七一二</v>
      </c>
      <c r="C314" t="str">
        <f>"20181127"</f>
        <v>20181127</v>
      </c>
      <c r="D314" t="str">
        <f>"16.700"</f>
        <v>16.700</v>
      </c>
      <c r="E314" t="str">
        <f>"200.00"</f>
        <v>200.00</v>
      </c>
      <c r="F314" t="str">
        <f>"-3345.06"</f>
        <v>-3345.06</v>
      </c>
      <c r="G314" t="str">
        <f>"442.90"</f>
        <v>442.90</v>
      </c>
      <c r="H314" t="str">
        <f>"2300.00"</f>
        <v>2300.00</v>
      </c>
      <c r="I314" t="str">
        <f>"17"</f>
        <v>17</v>
      </c>
      <c r="J314" t="str">
        <f>"证券买入(七一二)"</f>
        <v>证券买入(七一二)</v>
      </c>
      <c r="K314" t="str">
        <f>"5.00"</f>
        <v>5.00</v>
      </c>
      <c r="L314" t="str">
        <f>"0.00"</f>
        <v>0.00</v>
      </c>
      <c r="M314" t="str">
        <f>"0.06"</f>
        <v>0.06</v>
      </c>
      <c r="N314" t="str">
        <f>"0.00"</f>
        <v>0.00</v>
      </c>
      <c r="O314" t="str">
        <f>"603712"</f>
        <v>603712</v>
      </c>
      <c r="P314" t="str">
        <f>"A400948245"</f>
        <v>A400948245</v>
      </c>
    </row>
    <row r="315" spans="1:16" hidden="1" x14ac:dyDescent="0.25">
      <c r="A315" t="str">
        <f t="shared" si="92"/>
        <v>人民币</v>
      </c>
      <c r="B315" t="str">
        <f>" "</f>
        <v xml:space="preserve"> </v>
      </c>
      <c r="C315" t="str">
        <f>"20181128"</f>
        <v>20181128</v>
      </c>
      <c r="D315" t="str">
        <f>"---"</f>
        <v>---</v>
      </c>
      <c r="E315" t="str">
        <f>"---"</f>
        <v>---</v>
      </c>
      <c r="F315" t="str">
        <f>"10000.00"</f>
        <v>10000.00</v>
      </c>
      <c r="G315" t="str">
        <f>"10442.90"</f>
        <v>10442.90</v>
      </c>
      <c r="H315" t="str">
        <f>"---"</f>
        <v>---</v>
      </c>
      <c r="I315" t="str">
        <f>"---"</f>
        <v>---</v>
      </c>
      <c r="J315" t="str">
        <f>"银行转存"</f>
        <v>银行转存</v>
      </c>
      <c r="K315" t="str">
        <f t="shared" ref="K315:P315" si="106">"---"</f>
        <v>---</v>
      </c>
      <c r="L315" t="str">
        <f t="shared" si="106"/>
        <v>---</v>
      </c>
      <c r="M315" t="str">
        <f t="shared" si="106"/>
        <v>---</v>
      </c>
      <c r="N315" t="str">
        <f t="shared" si="106"/>
        <v>---</v>
      </c>
      <c r="O315" t="str">
        <f t="shared" si="106"/>
        <v>---</v>
      </c>
      <c r="P315" t="str">
        <f t="shared" si="106"/>
        <v>---</v>
      </c>
    </row>
    <row r="316" spans="1:16" hidden="1" x14ac:dyDescent="0.25">
      <c r="A316" t="str">
        <f t="shared" si="92"/>
        <v>人民币</v>
      </c>
      <c r="B316" t="str">
        <f>"江龙船艇"</f>
        <v>江龙船艇</v>
      </c>
      <c r="C316" t="str">
        <f>"20181128"</f>
        <v>20181128</v>
      </c>
      <c r="D316" t="str">
        <f>"11.200"</f>
        <v>11.200</v>
      </c>
      <c r="E316" t="str">
        <f>"500.00"</f>
        <v>500.00</v>
      </c>
      <c r="F316" t="str">
        <f>"-5605.00"</f>
        <v>-5605.00</v>
      </c>
      <c r="G316" t="str">
        <f>"4837.90"</f>
        <v>4837.90</v>
      </c>
      <c r="H316" t="str">
        <f>"4000.00"</f>
        <v>4000.00</v>
      </c>
      <c r="I316" t="str">
        <f>"24"</f>
        <v>24</v>
      </c>
      <c r="J316" t="str">
        <f>"证券买入(江龙船艇)"</f>
        <v>证券买入(江龙船艇)</v>
      </c>
      <c r="K316" t="str">
        <f t="shared" ref="K316:K321" si="107">"5.00"</f>
        <v>5.00</v>
      </c>
      <c r="L316" t="str">
        <f>"0.00"</f>
        <v>0.00</v>
      </c>
      <c r="M316" t="str">
        <f>"0.00"</f>
        <v>0.00</v>
      </c>
      <c r="N316" t="str">
        <f>"0.00"</f>
        <v>0.00</v>
      </c>
      <c r="O316" t="str">
        <f>"300589"</f>
        <v>300589</v>
      </c>
      <c r="P316" t="str">
        <f>"0153613480"</f>
        <v>0153613480</v>
      </c>
    </row>
    <row r="317" spans="1:16" hidden="1" x14ac:dyDescent="0.25">
      <c r="A317" t="str">
        <f t="shared" si="92"/>
        <v>人民币</v>
      </c>
      <c r="B317" t="str">
        <f>"江龙船艇"</f>
        <v>江龙船艇</v>
      </c>
      <c r="C317" t="str">
        <f>"20181128"</f>
        <v>20181128</v>
      </c>
      <c r="D317" t="str">
        <f>"11.410"</f>
        <v>11.410</v>
      </c>
      <c r="E317" t="str">
        <f>"-500.00"</f>
        <v>-500.00</v>
      </c>
      <c r="F317" t="str">
        <f>"5694.29"</f>
        <v>5694.29</v>
      </c>
      <c r="G317" t="str">
        <f>"10532.19"</f>
        <v>10532.19</v>
      </c>
      <c r="H317" t="str">
        <f>"3500.00"</f>
        <v>3500.00</v>
      </c>
      <c r="I317" t="str">
        <f>"27"</f>
        <v>27</v>
      </c>
      <c r="J317" t="str">
        <f>"证券卖出(江龙船艇)"</f>
        <v>证券卖出(江龙船艇)</v>
      </c>
      <c r="K317" t="str">
        <f t="shared" si="107"/>
        <v>5.00</v>
      </c>
      <c r="L317" t="str">
        <f>"5.71"</f>
        <v>5.71</v>
      </c>
      <c r="M317" t="str">
        <f t="shared" ref="M317:N319" si="108">"0.00"</f>
        <v>0.00</v>
      </c>
      <c r="N317" t="str">
        <f t="shared" si="108"/>
        <v>0.00</v>
      </c>
      <c r="O317" t="str">
        <f>"300589"</f>
        <v>300589</v>
      </c>
      <c r="P317" t="str">
        <f>"0153613480"</f>
        <v>0153613480</v>
      </c>
    </row>
    <row r="318" spans="1:16" hidden="1" x14ac:dyDescent="0.25">
      <c r="A318" t="str">
        <f t="shared" si="92"/>
        <v>人民币</v>
      </c>
      <c r="B318" t="str">
        <f>"江龙船艇"</f>
        <v>江龙船艇</v>
      </c>
      <c r="C318" t="str">
        <f>"20181128"</f>
        <v>20181128</v>
      </c>
      <c r="D318" t="str">
        <f>"11.400"</f>
        <v>11.400</v>
      </c>
      <c r="E318" t="str">
        <f>"500.00"</f>
        <v>500.00</v>
      </c>
      <c r="F318" t="str">
        <f>"-5705.00"</f>
        <v>-5705.00</v>
      </c>
      <c r="G318" t="str">
        <f>"4827.19"</f>
        <v>4827.19</v>
      </c>
      <c r="H318" t="str">
        <f>"4000.00"</f>
        <v>4000.00</v>
      </c>
      <c r="I318" t="str">
        <f>"30"</f>
        <v>30</v>
      </c>
      <c r="J318" t="str">
        <f>"证券买入(江龙船艇)"</f>
        <v>证券买入(江龙船艇)</v>
      </c>
      <c r="K318" t="str">
        <f t="shared" si="107"/>
        <v>5.00</v>
      </c>
      <c r="L318" t="str">
        <f>"0.00"</f>
        <v>0.00</v>
      </c>
      <c r="M318" t="str">
        <f t="shared" si="108"/>
        <v>0.00</v>
      </c>
      <c r="N318" t="str">
        <f t="shared" si="108"/>
        <v>0.00</v>
      </c>
      <c r="O318" t="str">
        <f>"300589"</f>
        <v>300589</v>
      </c>
      <c r="P318" t="str">
        <f>"0153613480"</f>
        <v>0153613480</v>
      </c>
    </row>
    <row r="319" spans="1:16" hidden="1" x14ac:dyDescent="0.25">
      <c r="A319" t="str">
        <f t="shared" si="92"/>
        <v>人民币</v>
      </c>
      <c r="B319" t="str">
        <f>"江龙船艇"</f>
        <v>江龙船艇</v>
      </c>
      <c r="C319" t="str">
        <f>"20181129"</f>
        <v>20181129</v>
      </c>
      <c r="D319" t="str">
        <f>"11.380"</f>
        <v>11.380</v>
      </c>
      <c r="E319" t="str">
        <f>"400.00"</f>
        <v>400.00</v>
      </c>
      <c r="F319" t="str">
        <f>"-4557.00"</f>
        <v>-4557.00</v>
      </c>
      <c r="G319" t="str">
        <f>"270.19"</f>
        <v>270.19</v>
      </c>
      <c r="H319" t="str">
        <f>"4400.00"</f>
        <v>4400.00</v>
      </c>
      <c r="I319" t="str">
        <f>"42"</f>
        <v>42</v>
      </c>
      <c r="J319" t="str">
        <f>"证券买入(江龙船艇)"</f>
        <v>证券买入(江龙船艇)</v>
      </c>
      <c r="K319" t="str">
        <f t="shared" si="107"/>
        <v>5.00</v>
      </c>
      <c r="L319" t="str">
        <f>"0.00"</f>
        <v>0.00</v>
      </c>
      <c r="M319" t="str">
        <f t="shared" si="108"/>
        <v>0.00</v>
      </c>
      <c r="N319" t="str">
        <f t="shared" si="108"/>
        <v>0.00</v>
      </c>
      <c r="O319" t="str">
        <f>"300589"</f>
        <v>300589</v>
      </c>
      <c r="P319" t="str">
        <f>"0153613480"</f>
        <v>0153613480</v>
      </c>
    </row>
    <row r="320" spans="1:16" hidden="1" x14ac:dyDescent="0.25">
      <c r="A320" t="str">
        <f t="shared" si="92"/>
        <v>人民币</v>
      </c>
      <c r="B320" t="str">
        <f>"七一二"</f>
        <v>七一二</v>
      </c>
      <c r="C320" t="str">
        <f>"20181204"</f>
        <v>20181204</v>
      </c>
      <c r="D320" t="str">
        <f>"17.070"</f>
        <v>17.070</v>
      </c>
      <c r="E320" t="str">
        <f>"-200.00"</f>
        <v>-200.00</v>
      </c>
      <c r="F320" t="str">
        <f>"3405.52"</f>
        <v>3405.52</v>
      </c>
      <c r="G320" t="str">
        <f>"3675.71"</f>
        <v>3675.71</v>
      </c>
      <c r="H320" t="str">
        <f>"2100.00"</f>
        <v>2100.00</v>
      </c>
      <c r="I320" t="str">
        <f>"56"</f>
        <v>56</v>
      </c>
      <c r="J320" t="str">
        <f>"证券卖出(七一二)"</f>
        <v>证券卖出(七一二)</v>
      </c>
      <c r="K320" t="str">
        <f t="shared" si="107"/>
        <v>5.00</v>
      </c>
      <c r="L320" t="str">
        <f>"3.41"</f>
        <v>3.41</v>
      </c>
      <c r="M320" t="str">
        <f>"0.07"</f>
        <v>0.07</v>
      </c>
      <c r="N320" t="str">
        <f>"0.00"</f>
        <v>0.00</v>
      </c>
      <c r="O320" t="str">
        <f>"603712"</f>
        <v>603712</v>
      </c>
      <c r="P320" t="str">
        <f>"A400948245"</f>
        <v>A400948245</v>
      </c>
    </row>
    <row r="321" spans="1:16" hidden="1" x14ac:dyDescent="0.25">
      <c r="A321" t="str">
        <f t="shared" si="92"/>
        <v>人民币</v>
      </c>
      <c r="B321" t="str">
        <f>"江龙船艇"</f>
        <v>江龙船艇</v>
      </c>
      <c r="C321" t="str">
        <f>"20181204"</f>
        <v>20181204</v>
      </c>
      <c r="D321" t="str">
        <f>"11.530"</f>
        <v>11.530</v>
      </c>
      <c r="E321" t="str">
        <f>"-900.00"</f>
        <v>-900.00</v>
      </c>
      <c r="F321" t="str">
        <f>"10361.62"</f>
        <v>10361.62</v>
      </c>
      <c r="G321" t="str">
        <f>"14037.33"</f>
        <v>14037.33</v>
      </c>
      <c r="H321" t="str">
        <f>"3500.00"</f>
        <v>3500.00</v>
      </c>
      <c r="I321" t="str">
        <f>"59"</f>
        <v>59</v>
      </c>
      <c r="J321" t="str">
        <f>"证券卖出(江龙船艇)"</f>
        <v>证券卖出(江龙船艇)</v>
      </c>
      <c r="K321" t="str">
        <f t="shared" si="107"/>
        <v>5.00</v>
      </c>
      <c r="L321" t="str">
        <f>"10.38"</f>
        <v>10.38</v>
      </c>
      <c r="M321" t="str">
        <f>"0.00"</f>
        <v>0.00</v>
      </c>
      <c r="N321" t="str">
        <f>"0.00"</f>
        <v>0.00</v>
      </c>
      <c r="O321" t="str">
        <f>"300589"</f>
        <v>300589</v>
      </c>
      <c r="P321" t="str">
        <f>"0153613480"</f>
        <v>0153613480</v>
      </c>
    </row>
    <row r="322" spans="1:16" hidden="1" x14ac:dyDescent="0.25">
      <c r="A322" t="str">
        <f t="shared" ref="A322:A342" si="109">"人民币"</f>
        <v>人民币</v>
      </c>
      <c r="B322" t="str">
        <f>"爱朋医疗"</f>
        <v>爱朋医疗</v>
      </c>
      <c r="C322" t="str">
        <f>"20181204"</f>
        <v>20181204</v>
      </c>
      <c r="D322" t="str">
        <f>"0.000"</f>
        <v>0.000</v>
      </c>
      <c r="E322" t="str">
        <f>"9.00"</f>
        <v>9.00</v>
      </c>
      <c r="F322" t="str">
        <f>"0.00"</f>
        <v>0.00</v>
      </c>
      <c r="G322" t="str">
        <f>"14037.33"</f>
        <v>14037.33</v>
      </c>
      <c r="H322" t="str">
        <f>"0.00"</f>
        <v>0.00</v>
      </c>
      <c r="I322" t="str">
        <f>"54"</f>
        <v>54</v>
      </c>
      <c r="J322" t="str">
        <f>"申购配号(爱朋医疗)"</f>
        <v>申购配号(爱朋医疗)</v>
      </c>
      <c r="K322" t="str">
        <f>"0.00"</f>
        <v>0.00</v>
      </c>
      <c r="L322" t="str">
        <f>"0.00"</f>
        <v>0.00</v>
      </c>
      <c r="M322" t="str">
        <f>"0.00"</f>
        <v>0.00</v>
      </c>
      <c r="N322" t="str">
        <f>"0.00"</f>
        <v>0.00</v>
      </c>
      <c r="O322" t="str">
        <f>"300753"</f>
        <v>300753</v>
      </c>
      <c r="P322" t="str">
        <f>"0153613480"</f>
        <v>0153613480</v>
      </c>
    </row>
    <row r="323" spans="1:16" hidden="1" x14ac:dyDescent="0.25">
      <c r="A323" t="str">
        <f t="shared" si="109"/>
        <v>人民币</v>
      </c>
      <c r="B323" t="str">
        <f>"九典制药"</f>
        <v>九典制药</v>
      </c>
      <c r="C323" t="str">
        <f>"20181205"</f>
        <v>20181205</v>
      </c>
      <c r="D323" t="str">
        <f>"13.742"</f>
        <v>13.742</v>
      </c>
      <c r="E323" t="str">
        <f>"500.00"</f>
        <v>500.00</v>
      </c>
      <c r="F323" t="str">
        <f>"-6876.00"</f>
        <v>-6876.00</v>
      </c>
      <c r="G323" t="str">
        <f>"7161.33"</f>
        <v>7161.33</v>
      </c>
      <c r="H323" t="str">
        <f>"500.00"</f>
        <v>500.00</v>
      </c>
      <c r="I323" t="str">
        <f>"65"</f>
        <v>65</v>
      </c>
      <c r="J323" t="str">
        <f>"证券买入(九典制药)"</f>
        <v>证券买入(九典制药)</v>
      </c>
      <c r="K323" t="str">
        <f>"5.00"</f>
        <v>5.00</v>
      </c>
      <c r="L323" t="str">
        <f>"0.00"</f>
        <v>0.00</v>
      </c>
      <c r="M323" t="str">
        <f>"0.00"</f>
        <v>0.00</v>
      </c>
      <c r="N323" t="str">
        <f>"0.00"</f>
        <v>0.00</v>
      </c>
      <c r="O323" t="str">
        <f>"300705"</f>
        <v>300705</v>
      </c>
      <c r="P323" t="str">
        <f>"0153613480"</f>
        <v>0153613480</v>
      </c>
    </row>
    <row r="324" spans="1:16" hidden="1" x14ac:dyDescent="0.25">
      <c r="A324" t="str">
        <f t="shared" si="109"/>
        <v>人民币</v>
      </c>
      <c r="B324" t="str">
        <f>"九典制药"</f>
        <v>九典制药</v>
      </c>
      <c r="C324" t="str">
        <f>"20181205"</f>
        <v>20181205</v>
      </c>
      <c r="D324" t="str">
        <f>"13.640"</f>
        <v>13.640</v>
      </c>
      <c r="E324" t="str">
        <f>"500.00"</f>
        <v>500.00</v>
      </c>
      <c r="F324" t="str">
        <f>"-6825.00"</f>
        <v>-6825.00</v>
      </c>
      <c r="G324" t="str">
        <f>"336.33"</f>
        <v>336.33</v>
      </c>
      <c r="H324" t="str">
        <f>"1000.00"</f>
        <v>1000.00</v>
      </c>
      <c r="I324" t="str">
        <f>"69"</f>
        <v>69</v>
      </c>
      <c r="J324" t="str">
        <f>"证券买入(九典制药)"</f>
        <v>证券买入(九典制药)</v>
      </c>
      <c r="K324" t="str">
        <f>"5.00"</f>
        <v>5.00</v>
      </c>
      <c r="L324" t="str">
        <f>"0.00"</f>
        <v>0.00</v>
      </c>
      <c r="M324" t="str">
        <f>"0.00"</f>
        <v>0.00</v>
      </c>
      <c r="N324" t="str">
        <f>"0.00"</f>
        <v>0.00</v>
      </c>
      <c r="O324" t="str">
        <f>"300705"</f>
        <v>300705</v>
      </c>
      <c r="P324" t="str">
        <f>"0153613480"</f>
        <v>0153613480</v>
      </c>
    </row>
    <row r="325" spans="1:16" hidden="1" x14ac:dyDescent="0.25">
      <c r="A325" t="str">
        <f t="shared" si="109"/>
        <v>人民币</v>
      </c>
      <c r="B325" t="str">
        <f>" "</f>
        <v xml:space="preserve"> </v>
      </c>
      <c r="C325" t="str">
        <f>"20181211"</f>
        <v>20181211</v>
      </c>
      <c r="D325" t="str">
        <f>"---"</f>
        <v>---</v>
      </c>
      <c r="E325" t="str">
        <f>"---"</f>
        <v>---</v>
      </c>
      <c r="F325" t="str">
        <f>"5000.00"</f>
        <v>5000.00</v>
      </c>
      <c r="G325" t="str">
        <f>"5336.33"</f>
        <v>5336.33</v>
      </c>
      <c r="H325" t="str">
        <f>"---"</f>
        <v>---</v>
      </c>
      <c r="I325" t="str">
        <f>"---"</f>
        <v>---</v>
      </c>
      <c r="J325" t="str">
        <f>"银行转存"</f>
        <v>银行转存</v>
      </c>
      <c r="K325" t="str">
        <f t="shared" ref="K325:P325" si="110">"---"</f>
        <v>---</v>
      </c>
      <c r="L325" t="str">
        <f t="shared" si="110"/>
        <v>---</v>
      </c>
      <c r="M325" t="str">
        <f t="shared" si="110"/>
        <v>---</v>
      </c>
      <c r="N325" t="str">
        <f t="shared" si="110"/>
        <v>---</v>
      </c>
      <c r="O325" t="str">
        <f t="shared" si="110"/>
        <v>---</v>
      </c>
      <c r="P325" t="str">
        <f t="shared" si="110"/>
        <v>---</v>
      </c>
    </row>
    <row r="326" spans="1:16" hidden="1" x14ac:dyDescent="0.25">
      <c r="A326" t="str">
        <f t="shared" si="109"/>
        <v>人民币</v>
      </c>
      <c r="B326" t="str">
        <f>"九典制药"</f>
        <v>九典制药</v>
      </c>
      <c r="C326" t="str">
        <f>"20181211"</f>
        <v>20181211</v>
      </c>
      <c r="D326" t="str">
        <f>"12.540"</f>
        <v>12.540</v>
      </c>
      <c r="E326" t="str">
        <f>"400.00"</f>
        <v>400.00</v>
      </c>
      <c r="F326" t="str">
        <f>"-5021.00"</f>
        <v>-5021.00</v>
      </c>
      <c r="G326" t="str">
        <f>"315.33"</f>
        <v>315.33</v>
      </c>
      <c r="H326" t="str">
        <f>"1400.00"</f>
        <v>1400.00</v>
      </c>
      <c r="I326" t="str">
        <f>"76"</f>
        <v>76</v>
      </c>
      <c r="J326" t="str">
        <f>"证券买入(九典制药)"</f>
        <v>证券买入(九典制药)</v>
      </c>
      <c r="K326" t="str">
        <f>"5.00"</f>
        <v>5.00</v>
      </c>
      <c r="L326" t="str">
        <f t="shared" ref="L326:N327" si="111">"0.00"</f>
        <v>0.00</v>
      </c>
      <c r="M326" t="str">
        <f t="shared" si="111"/>
        <v>0.00</v>
      </c>
      <c r="N326" t="str">
        <f t="shared" si="111"/>
        <v>0.00</v>
      </c>
      <c r="O326" t="str">
        <f>"300705"</f>
        <v>300705</v>
      </c>
      <c r="P326" t="str">
        <f>"0153613480"</f>
        <v>0153613480</v>
      </c>
    </row>
    <row r="327" spans="1:16" hidden="1" x14ac:dyDescent="0.25">
      <c r="A327" t="str">
        <f t="shared" si="109"/>
        <v>人民币</v>
      </c>
      <c r="B327" t="str">
        <f>"利通配号"</f>
        <v>利通配号</v>
      </c>
      <c r="C327" t="str">
        <f>"20181212"</f>
        <v>20181212</v>
      </c>
      <c r="D327" t="str">
        <f>"0.000"</f>
        <v>0.000</v>
      </c>
      <c r="E327" t="str">
        <f>"4.00"</f>
        <v>4.00</v>
      </c>
      <c r="F327" t="str">
        <f>"0.00"</f>
        <v>0.00</v>
      </c>
      <c r="G327" t="str">
        <f>"315.33"</f>
        <v>315.33</v>
      </c>
      <c r="H327" t="str">
        <f>"0.00"</f>
        <v>0.00</v>
      </c>
      <c r="I327" t="str">
        <f>"81"</f>
        <v>81</v>
      </c>
      <c r="J327" t="str">
        <f>"申购配号(利通配号)"</f>
        <v>申购配号(利通配号)</v>
      </c>
      <c r="K327" t="str">
        <f>"0.00"</f>
        <v>0.00</v>
      </c>
      <c r="L327" t="str">
        <f t="shared" si="111"/>
        <v>0.00</v>
      </c>
      <c r="M327" t="str">
        <f t="shared" si="111"/>
        <v>0.00</v>
      </c>
      <c r="N327" t="str">
        <f t="shared" si="111"/>
        <v>0.00</v>
      </c>
      <c r="O327" t="str">
        <f>"736629"</f>
        <v>736629</v>
      </c>
      <c r="P327" t="str">
        <f>"A400948245"</f>
        <v>A400948245</v>
      </c>
    </row>
    <row r="328" spans="1:16" hidden="1" x14ac:dyDescent="0.25">
      <c r="A328" t="str">
        <f t="shared" si="109"/>
        <v>人民币</v>
      </c>
      <c r="B328" t="str">
        <f>" "</f>
        <v xml:space="preserve"> </v>
      </c>
      <c r="C328" t="str">
        <f>"20181218"</f>
        <v>20181218</v>
      </c>
      <c r="D328" t="str">
        <f>"---"</f>
        <v>---</v>
      </c>
      <c r="E328" t="str">
        <f>"---"</f>
        <v>---</v>
      </c>
      <c r="F328" t="str">
        <f>"10000.00"</f>
        <v>10000.00</v>
      </c>
      <c r="G328" t="str">
        <f>"10315.33"</f>
        <v>10315.33</v>
      </c>
      <c r="H328" t="str">
        <f>"---"</f>
        <v>---</v>
      </c>
      <c r="I328" t="str">
        <f>"---"</f>
        <v>---</v>
      </c>
      <c r="J328" t="str">
        <f>"银行转存"</f>
        <v>银行转存</v>
      </c>
      <c r="K328" t="str">
        <f t="shared" ref="K328:P328" si="112">"---"</f>
        <v>---</v>
      </c>
      <c r="L328" t="str">
        <f t="shared" si="112"/>
        <v>---</v>
      </c>
      <c r="M328" t="str">
        <f t="shared" si="112"/>
        <v>---</v>
      </c>
      <c r="N328" t="str">
        <f t="shared" si="112"/>
        <v>---</v>
      </c>
      <c r="O328" t="str">
        <f t="shared" si="112"/>
        <v>---</v>
      </c>
      <c r="P328" t="str">
        <f t="shared" si="112"/>
        <v>---</v>
      </c>
    </row>
    <row r="329" spans="1:16" hidden="1" x14ac:dyDescent="0.25">
      <c r="A329" t="str">
        <f t="shared" si="109"/>
        <v>人民币</v>
      </c>
      <c r="B329" t="str">
        <f>"紫银配号"</f>
        <v>紫银配号</v>
      </c>
      <c r="C329" t="str">
        <f>"20181218"</f>
        <v>20181218</v>
      </c>
      <c r="D329" t="str">
        <f>"0.000"</f>
        <v>0.000</v>
      </c>
      <c r="E329" t="str">
        <f>"5.00"</f>
        <v>5.00</v>
      </c>
      <c r="F329" t="str">
        <f>"0.00"</f>
        <v>0.00</v>
      </c>
      <c r="G329" t="str">
        <f>"10315.33"</f>
        <v>10315.33</v>
      </c>
      <c r="H329" t="str">
        <f>"0.00"</f>
        <v>0.00</v>
      </c>
      <c r="I329" t="str">
        <f>"85"</f>
        <v>85</v>
      </c>
      <c r="J329" t="str">
        <f>"申购配号(紫银配号)"</f>
        <v>申购配号(紫银配号)</v>
      </c>
      <c r="K329" t="str">
        <f>"0.00"</f>
        <v>0.00</v>
      </c>
      <c r="L329" t="str">
        <f>"0.00"</f>
        <v>0.00</v>
      </c>
      <c r="M329" t="str">
        <f>"0.00"</f>
        <v>0.00</v>
      </c>
      <c r="N329" t="str">
        <f>"0.00"</f>
        <v>0.00</v>
      </c>
      <c r="O329" t="str">
        <f>"791860"</f>
        <v>791860</v>
      </c>
      <c r="P329" t="str">
        <f>"A400948245"</f>
        <v>A400948245</v>
      </c>
    </row>
    <row r="330" spans="1:16" hidden="1" x14ac:dyDescent="0.25">
      <c r="A330" t="str">
        <f t="shared" si="109"/>
        <v>人民币</v>
      </c>
      <c r="B330" t="str">
        <f>"七一二"</f>
        <v>七一二</v>
      </c>
      <c r="C330" t="str">
        <f>"20181218"</f>
        <v>20181218</v>
      </c>
      <c r="D330" t="str">
        <f>"16.530"</f>
        <v>16.530</v>
      </c>
      <c r="E330" t="str">
        <f>"400.00"</f>
        <v>400.00</v>
      </c>
      <c r="F330" t="str">
        <f>"-6617.13"</f>
        <v>-6617.13</v>
      </c>
      <c r="G330" t="str">
        <f>"3698.20"</f>
        <v>3698.20</v>
      </c>
      <c r="H330" t="str">
        <f>"2500.00"</f>
        <v>2500.00</v>
      </c>
      <c r="I330" t="str">
        <f>"87"</f>
        <v>87</v>
      </c>
      <c r="J330" t="str">
        <f>"证券买入(七一二)"</f>
        <v>证券买入(七一二)</v>
      </c>
      <c r="K330" t="str">
        <f>"5.00"</f>
        <v>5.00</v>
      </c>
      <c r="L330" t="str">
        <f>"0.00"</f>
        <v>0.00</v>
      </c>
      <c r="M330" t="str">
        <f>"0.13"</f>
        <v>0.13</v>
      </c>
      <c r="N330" t="str">
        <f>"0.00"</f>
        <v>0.00</v>
      </c>
      <c r="O330" t="str">
        <f>"603712"</f>
        <v>603712</v>
      </c>
      <c r="P330" t="str">
        <f>"A400948245"</f>
        <v>A400948245</v>
      </c>
    </row>
    <row r="331" spans="1:16" hidden="1" x14ac:dyDescent="0.25">
      <c r="A331" t="str">
        <f t="shared" si="109"/>
        <v>人民币</v>
      </c>
      <c r="B331" t="str">
        <f>"上机配号"</f>
        <v>上机配号</v>
      </c>
      <c r="C331" t="str">
        <f>"20181219"</f>
        <v>20181219</v>
      </c>
      <c r="D331" t="str">
        <f>"0.000"</f>
        <v>0.000</v>
      </c>
      <c r="E331" t="str">
        <f>"5.00"</f>
        <v>5.00</v>
      </c>
      <c r="F331" t="str">
        <f>"0.00"</f>
        <v>0.00</v>
      </c>
      <c r="G331" t="str">
        <f>"3698.20"</f>
        <v>3698.20</v>
      </c>
      <c r="H331" t="str">
        <f>"0.00"</f>
        <v>0.00</v>
      </c>
      <c r="I331" t="str">
        <f>"92"</f>
        <v>92</v>
      </c>
      <c r="J331" t="str">
        <f>"申购配号(上机配号)"</f>
        <v>申购配号(上机配号)</v>
      </c>
      <c r="K331" t="str">
        <f>"0.00"</f>
        <v>0.00</v>
      </c>
      <c r="L331" t="str">
        <f>"0.00"</f>
        <v>0.00</v>
      </c>
      <c r="M331" t="str">
        <f>"0.00"</f>
        <v>0.00</v>
      </c>
      <c r="N331" t="str">
        <f>"0.00"</f>
        <v>0.00</v>
      </c>
      <c r="O331" t="str">
        <f>"736185"</f>
        <v>736185</v>
      </c>
      <c r="P331" t="str">
        <f>"A400948245"</f>
        <v>A400948245</v>
      </c>
    </row>
    <row r="332" spans="1:16" hidden="1" x14ac:dyDescent="0.25">
      <c r="A332" t="str">
        <f t="shared" si="109"/>
        <v>人民币</v>
      </c>
      <c r="B332" t="str">
        <f>"七一二"</f>
        <v>七一二</v>
      </c>
      <c r="C332" t="str">
        <f>"20181219"</f>
        <v>20181219</v>
      </c>
      <c r="D332" t="str">
        <f>"17.120"</f>
        <v>17.120</v>
      </c>
      <c r="E332" t="str">
        <f>"-400.00"</f>
        <v>-400.00</v>
      </c>
      <c r="F332" t="str">
        <f>"6836.01"</f>
        <v>6836.01</v>
      </c>
      <c r="G332" t="str">
        <f>"10534.21"</f>
        <v>10534.21</v>
      </c>
      <c r="H332" t="str">
        <f>"2100.00"</f>
        <v>2100.00</v>
      </c>
      <c r="I332" t="str">
        <f>"96"</f>
        <v>96</v>
      </c>
      <c r="J332" t="str">
        <f>"证券卖出(七一二)"</f>
        <v>证券卖出(七一二)</v>
      </c>
      <c r="K332" t="str">
        <f>"5.00"</f>
        <v>5.00</v>
      </c>
      <c r="L332" t="str">
        <f>"6.85"</f>
        <v>6.85</v>
      </c>
      <c r="M332" t="str">
        <f>"0.14"</f>
        <v>0.14</v>
      </c>
      <c r="N332" t="str">
        <f>"0.00"</f>
        <v>0.00</v>
      </c>
      <c r="O332" t="str">
        <f>"603712"</f>
        <v>603712</v>
      </c>
      <c r="P332" t="str">
        <f>"A400948245"</f>
        <v>A400948245</v>
      </c>
    </row>
    <row r="333" spans="1:16" hidden="1" x14ac:dyDescent="0.25">
      <c r="A333" t="str">
        <f t="shared" si="109"/>
        <v>人民币</v>
      </c>
      <c r="B333" t="str">
        <f>"江龙船艇"</f>
        <v>江龙船艇</v>
      </c>
      <c r="C333" t="str">
        <f>"20181219"</f>
        <v>20181219</v>
      </c>
      <c r="D333" t="str">
        <f>"11.990"</f>
        <v>11.990</v>
      </c>
      <c r="E333" t="str">
        <f>"500.00"</f>
        <v>500.00</v>
      </c>
      <c r="F333" t="str">
        <f>"-6000.00"</f>
        <v>-6000.00</v>
      </c>
      <c r="G333" t="str">
        <f>"4534.21"</f>
        <v>4534.21</v>
      </c>
      <c r="H333" t="str">
        <f>"4000.00"</f>
        <v>4000.00</v>
      </c>
      <c r="I333" t="str">
        <f>"99"</f>
        <v>99</v>
      </c>
      <c r="J333" t="str">
        <f>"证券买入(江龙船艇)"</f>
        <v>证券买入(江龙船艇)</v>
      </c>
      <c r="K333" t="str">
        <f>"5.00"</f>
        <v>5.00</v>
      </c>
      <c r="L333" t="str">
        <f>"0.00"</f>
        <v>0.00</v>
      </c>
      <c r="M333" t="str">
        <f>"0.00"</f>
        <v>0.00</v>
      </c>
      <c r="N333" t="str">
        <f>"0.00"</f>
        <v>0.00</v>
      </c>
      <c r="O333" t="str">
        <f>"300589"</f>
        <v>300589</v>
      </c>
      <c r="P333" t="str">
        <f>"0153613480"</f>
        <v>0153613480</v>
      </c>
    </row>
    <row r="334" spans="1:16" hidden="1" x14ac:dyDescent="0.25">
      <c r="A334" t="str">
        <f t="shared" si="109"/>
        <v>人民币</v>
      </c>
      <c r="B334" t="str">
        <f>"中山金马"</f>
        <v>中山金马</v>
      </c>
      <c r="C334" t="str">
        <f>"20181219"</f>
        <v>20181219</v>
      </c>
      <c r="D334" t="str">
        <f>"0.000"</f>
        <v>0.000</v>
      </c>
      <c r="E334" t="str">
        <f>"9.00"</f>
        <v>9.00</v>
      </c>
      <c r="F334" t="str">
        <f>"0.00"</f>
        <v>0.00</v>
      </c>
      <c r="G334" t="str">
        <f>"4534.21"</f>
        <v>4534.21</v>
      </c>
      <c r="H334" t="str">
        <f>"0.00"</f>
        <v>0.00</v>
      </c>
      <c r="I334" t="str">
        <f>"94"</f>
        <v>94</v>
      </c>
      <c r="J334" t="str">
        <f>"申购配号(中山金马)"</f>
        <v>申购配号(中山金马)</v>
      </c>
      <c r="K334" t="str">
        <f>"0.00"</f>
        <v>0.00</v>
      </c>
      <c r="L334" t="str">
        <f>"0.00"</f>
        <v>0.00</v>
      </c>
      <c r="M334" t="str">
        <f>"0.00"</f>
        <v>0.00</v>
      </c>
      <c r="N334" t="str">
        <f>"0.00"</f>
        <v>0.00</v>
      </c>
      <c r="O334" t="str">
        <f>"300756"</f>
        <v>300756</v>
      </c>
      <c r="P334" t="str">
        <f>"0153613480"</f>
        <v>0153613480</v>
      </c>
    </row>
    <row r="335" spans="1:16" hidden="1" x14ac:dyDescent="0.25">
      <c r="A335" t="str">
        <f t="shared" si="109"/>
        <v>人民币</v>
      </c>
      <c r="B335" t="str">
        <f>" "</f>
        <v xml:space="preserve"> </v>
      </c>
      <c r="C335" t="str">
        <f>"20181220"</f>
        <v>20181220</v>
      </c>
      <c r="D335" t="str">
        <f>"---"</f>
        <v>---</v>
      </c>
      <c r="E335" t="str">
        <f>"---"</f>
        <v>---</v>
      </c>
      <c r="F335" t="str">
        <f>"1.58"</f>
        <v>1.58</v>
      </c>
      <c r="G335" t="str">
        <f>"4535.79"</f>
        <v>4535.79</v>
      </c>
      <c r="H335" t="str">
        <f>"---"</f>
        <v>---</v>
      </c>
      <c r="I335" t="str">
        <f>"---"</f>
        <v>---</v>
      </c>
      <c r="J335" t="str">
        <f>"批量利息归本"</f>
        <v>批量利息归本</v>
      </c>
      <c r="K335" t="str">
        <f t="shared" ref="K335:P335" si="113">"---"</f>
        <v>---</v>
      </c>
      <c r="L335" t="str">
        <f t="shared" si="113"/>
        <v>---</v>
      </c>
      <c r="M335" t="str">
        <f t="shared" si="113"/>
        <v>---</v>
      </c>
      <c r="N335" t="str">
        <f t="shared" si="113"/>
        <v>---</v>
      </c>
      <c r="O335" t="str">
        <f t="shared" si="113"/>
        <v>---</v>
      </c>
      <c r="P335" t="str">
        <f t="shared" si="113"/>
        <v>---</v>
      </c>
    </row>
    <row r="336" spans="1:16" hidden="1" x14ac:dyDescent="0.25">
      <c r="A336" t="str">
        <f t="shared" si="109"/>
        <v>人民币</v>
      </c>
      <c r="B336" t="str">
        <f>"江龙船艇"</f>
        <v>江龙船艇</v>
      </c>
      <c r="C336" t="str">
        <f>"20181220"</f>
        <v>20181220</v>
      </c>
      <c r="D336" t="str">
        <f>"11.340"</f>
        <v>11.340</v>
      </c>
      <c r="E336" t="str">
        <f>"300.00"</f>
        <v>300.00</v>
      </c>
      <c r="F336" t="str">
        <f>"-3407.00"</f>
        <v>-3407.00</v>
      </c>
      <c r="G336" t="str">
        <f>"1128.79"</f>
        <v>1128.79</v>
      </c>
      <c r="H336" t="str">
        <f>"4300.00"</f>
        <v>4300.00</v>
      </c>
      <c r="I336" t="str">
        <f>"112"</f>
        <v>112</v>
      </c>
      <c r="J336" t="str">
        <f>"证券买入(江龙船艇)"</f>
        <v>证券买入(江龙船艇)</v>
      </c>
      <c r="K336" t="str">
        <f>"5.00"</f>
        <v>5.00</v>
      </c>
      <c r="L336" t="str">
        <f>"0.00"</f>
        <v>0.00</v>
      </c>
      <c r="M336" t="str">
        <f>"0.00"</f>
        <v>0.00</v>
      </c>
      <c r="N336" t="str">
        <f>"0.00"</f>
        <v>0.00</v>
      </c>
      <c r="O336" t="str">
        <f>"300589"</f>
        <v>300589</v>
      </c>
      <c r="P336" t="str">
        <f>"0153613480"</f>
        <v>0153613480</v>
      </c>
    </row>
    <row r="337" spans="1:16" hidden="1" x14ac:dyDescent="0.25">
      <c r="A337" t="str">
        <f t="shared" si="109"/>
        <v>人民币</v>
      </c>
      <c r="B337" t="str">
        <f>"七一二"</f>
        <v>七一二</v>
      </c>
      <c r="C337" t="str">
        <f>"20181225"</f>
        <v>20181225</v>
      </c>
      <c r="D337" t="str">
        <f>"19.170"</f>
        <v>19.170</v>
      </c>
      <c r="E337" t="str">
        <f>"-300.00"</f>
        <v>-300.00</v>
      </c>
      <c r="F337" t="str">
        <f>"5739.38"</f>
        <v>5739.38</v>
      </c>
      <c r="G337" t="str">
        <f>"6868.17"</f>
        <v>6868.17</v>
      </c>
      <c r="H337" t="str">
        <f>"1800.00"</f>
        <v>1800.00</v>
      </c>
      <c r="I337" t="str">
        <f>"120"</f>
        <v>120</v>
      </c>
      <c r="J337" t="str">
        <f>"证券卖出(七一二)"</f>
        <v>证券卖出(七一二)</v>
      </c>
      <c r="K337" t="str">
        <f>"5.75"</f>
        <v>5.75</v>
      </c>
      <c r="L337" t="str">
        <f>"5.75"</f>
        <v>5.75</v>
      </c>
      <c r="M337" t="str">
        <f>"0.12"</f>
        <v>0.12</v>
      </c>
      <c r="N337" t="str">
        <f>"0.00"</f>
        <v>0.00</v>
      </c>
      <c r="O337" t="str">
        <f>"603712"</f>
        <v>603712</v>
      </c>
      <c r="P337" t="str">
        <f>"A400948245"</f>
        <v>A400948245</v>
      </c>
    </row>
    <row r="338" spans="1:16" hidden="1" x14ac:dyDescent="0.25">
      <c r="A338" t="str">
        <f t="shared" si="109"/>
        <v>人民币</v>
      </c>
      <c r="B338" t="str">
        <f>" "</f>
        <v xml:space="preserve"> </v>
      </c>
      <c r="C338" t="str">
        <f>"20181226"</f>
        <v>20181226</v>
      </c>
      <c r="D338" t="str">
        <f>"---"</f>
        <v>---</v>
      </c>
      <c r="E338" t="str">
        <f>"---"</f>
        <v>---</v>
      </c>
      <c r="F338" t="str">
        <f>"5000.00"</f>
        <v>5000.00</v>
      </c>
      <c r="G338" t="str">
        <f>"11868.17"</f>
        <v>11868.17</v>
      </c>
      <c r="H338" t="str">
        <f>"---"</f>
        <v>---</v>
      </c>
      <c r="I338" t="str">
        <f>"---"</f>
        <v>---</v>
      </c>
      <c r="J338" t="str">
        <f>"银行转存"</f>
        <v>银行转存</v>
      </c>
      <c r="K338" t="str">
        <f t="shared" ref="K338:P338" si="114">"---"</f>
        <v>---</v>
      </c>
      <c r="L338" t="str">
        <f t="shared" si="114"/>
        <v>---</v>
      </c>
      <c r="M338" t="str">
        <f t="shared" si="114"/>
        <v>---</v>
      </c>
      <c r="N338" t="str">
        <f t="shared" si="114"/>
        <v>---</v>
      </c>
      <c r="O338" t="str">
        <f t="shared" si="114"/>
        <v>---</v>
      </c>
      <c r="P338" t="str">
        <f t="shared" si="114"/>
        <v>---</v>
      </c>
    </row>
    <row r="339" spans="1:16" hidden="1" x14ac:dyDescent="0.25">
      <c r="A339" t="str">
        <f t="shared" si="109"/>
        <v>人民币</v>
      </c>
      <c r="B339" t="str">
        <f>"七一二"</f>
        <v>七一二</v>
      </c>
      <c r="C339" t="str">
        <f>"20181226"</f>
        <v>20181226</v>
      </c>
      <c r="D339" t="str">
        <f>"18.540"</f>
        <v>18.540</v>
      </c>
      <c r="E339" t="str">
        <f>"300.00"</f>
        <v>300.00</v>
      </c>
      <c r="F339" t="str">
        <f>"-5567.67"</f>
        <v>-5567.67</v>
      </c>
      <c r="G339" t="str">
        <f>"6300.50"</f>
        <v>6300.50</v>
      </c>
      <c r="H339" t="str">
        <f>"2100.00"</f>
        <v>2100.00</v>
      </c>
      <c r="I339" t="str">
        <f>"126"</f>
        <v>126</v>
      </c>
      <c r="J339" t="str">
        <f>"证券买入(七一二)"</f>
        <v>证券买入(七一二)</v>
      </c>
      <c r="K339" t="str">
        <f>"5.56"</f>
        <v>5.56</v>
      </c>
      <c r="L339" t="str">
        <f>"0.00"</f>
        <v>0.00</v>
      </c>
      <c r="M339" t="str">
        <f>"0.11"</f>
        <v>0.11</v>
      </c>
      <c r="N339" t="str">
        <f>"0.00"</f>
        <v>0.00</v>
      </c>
      <c r="O339" t="str">
        <f>"603712"</f>
        <v>603712</v>
      </c>
      <c r="P339" t="str">
        <f>"A400948245"</f>
        <v>A400948245</v>
      </c>
    </row>
    <row r="340" spans="1:16" hidden="1" x14ac:dyDescent="0.25">
      <c r="A340" t="str">
        <f t="shared" si="109"/>
        <v>人民币</v>
      </c>
      <c r="B340" t="str">
        <f>"七一二"</f>
        <v>七一二</v>
      </c>
      <c r="C340" t="str">
        <f>"20181226"</f>
        <v>20181226</v>
      </c>
      <c r="D340" t="str">
        <f>"18.160"</f>
        <v>18.160</v>
      </c>
      <c r="E340" t="str">
        <f>"300.00"</f>
        <v>300.00</v>
      </c>
      <c r="F340" t="str">
        <f>"-5453.56"</f>
        <v>-5453.56</v>
      </c>
      <c r="G340" t="str">
        <f>"846.94"</f>
        <v>846.94</v>
      </c>
      <c r="H340" t="str">
        <f>"2400.00"</f>
        <v>2400.00</v>
      </c>
      <c r="I340" t="str">
        <f>"131"</f>
        <v>131</v>
      </c>
      <c r="J340" t="str">
        <f>"证券买入(七一二)"</f>
        <v>证券买入(七一二)</v>
      </c>
      <c r="K340" t="str">
        <f>"5.45"</f>
        <v>5.45</v>
      </c>
      <c r="L340" t="str">
        <f>"0.00"</f>
        <v>0.00</v>
      </c>
      <c r="M340" t="str">
        <f>"0.11"</f>
        <v>0.11</v>
      </c>
      <c r="N340" t="str">
        <f>"0.00"</f>
        <v>0.00</v>
      </c>
      <c r="O340" t="str">
        <f>"603712"</f>
        <v>603712</v>
      </c>
      <c r="P340" t="str">
        <f>"A400948245"</f>
        <v>A400948245</v>
      </c>
    </row>
    <row r="341" spans="1:16" hidden="1" x14ac:dyDescent="0.25">
      <c r="A341" t="str">
        <f t="shared" si="109"/>
        <v>人民币</v>
      </c>
      <c r="B341" t="str">
        <f>"罗博特科"</f>
        <v>罗博特科</v>
      </c>
      <c r="C341" t="str">
        <f>"20181226"</f>
        <v>20181226</v>
      </c>
      <c r="D341" t="str">
        <f>"0.000"</f>
        <v>0.000</v>
      </c>
      <c r="E341" t="str">
        <f>"10.00"</f>
        <v>10.00</v>
      </c>
      <c r="F341" t="str">
        <f>"0.00"</f>
        <v>0.00</v>
      </c>
      <c r="G341" t="str">
        <f>"846.94"</f>
        <v>846.94</v>
      </c>
      <c r="H341" t="str">
        <f>"0.00"</f>
        <v>0.00</v>
      </c>
      <c r="I341" t="str">
        <f>"124"</f>
        <v>124</v>
      </c>
      <c r="J341" t="str">
        <f>"申购配号(罗博特科)"</f>
        <v>申购配号(罗博特科)</v>
      </c>
      <c r="K341" t="str">
        <f>"0.00"</f>
        <v>0.00</v>
      </c>
      <c r="L341" t="str">
        <f>"0.00"</f>
        <v>0.00</v>
      </c>
      <c r="M341" t="str">
        <f>"0.00"</f>
        <v>0.00</v>
      </c>
      <c r="N341" t="str">
        <f>"0.00"</f>
        <v>0.00</v>
      </c>
      <c r="O341" t="str">
        <f>"300757"</f>
        <v>300757</v>
      </c>
      <c r="P341" t="str">
        <f>"0153613480"</f>
        <v>0153613480</v>
      </c>
    </row>
    <row r="342" spans="1:16" hidden="1" x14ac:dyDescent="0.25">
      <c r="A342" t="str">
        <f t="shared" si="109"/>
        <v>人民币</v>
      </c>
      <c r="B342" t="str">
        <f>"华培配号"</f>
        <v>华培配号</v>
      </c>
      <c r="C342" t="str">
        <f>"20181227"</f>
        <v>20181227</v>
      </c>
      <c r="D342" t="str">
        <f>"0.000"</f>
        <v>0.000</v>
      </c>
      <c r="E342" t="str">
        <f>"4.00"</f>
        <v>4.00</v>
      </c>
      <c r="F342" t="str">
        <f>"0.00"</f>
        <v>0.00</v>
      </c>
      <c r="G342" t="str">
        <f>"846.94"</f>
        <v>846.94</v>
      </c>
      <c r="H342" t="str">
        <f>"0.00"</f>
        <v>0.00</v>
      </c>
      <c r="I342" t="str">
        <f>"137"</f>
        <v>137</v>
      </c>
      <c r="J342" t="str">
        <f>"申购配号(华培配号)"</f>
        <v>申购配号(华培配号)</v>
      </c>
      <c r="K342" t="str">
        <f>"0.00"</f>
        <v>0.00</v>
      </c>
      <c r="L342" t="str">
        <f>"0.00"</f>
        <v>0.00</v>
      </c>
      <c r="M342" t="str">
        <f>"0.00"</f>
        <v>0.00</v>
      </c>
      <c r="N342" t="str">
        <f>"0.00"</f>
        <v>0.00</v>
      </c>
      <c r="O342" t="str">
        <f>"736121"</f>
        <v>736121</v>
      </c>
      <c r="P342" t="str">
        <f>"A400948245"</f>
        <v>A400948245</v>
      </c>
    </row>
  </sheetData>
  <autoFilter ref="A1:P342">
    <filterColumn colId="1">
      <filters>
        <filter val="人保配号"/>
        <filter val="人保申购"/>
        <filter val="中国人保"/>
      </filters>
    </filterColumn>
  </autoFilter>
  <phoneticPr fontId="18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27"/>
  <sheetViews>
    <sheetView tabSelected="1" topLeftCell="A405" workbookViewId="0">
      <selection activeCell="J432" sqref="J432"/>
    </sheetView>
  </sheetViews>
  <sheetFormatPr defaultRowHeight="13.8" x14ac:dyDescent="0.25"/>
  <cols>
    <col min="2" max="2" width="19.21875" customWidth="1"/>
    <col min="10" max="10" width="35.109375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t="str">
        <f t="shared" ref="A2:A65" si="0">"人民币"</f>
        <v>人民币</v>
      </c>
      <c r="B2" t="str">
        <f>"蔚蓝配号"</f>
        <v>蔚蓝配号</v>
      </c>
      <c r="C2" t="str">
        <f>"20190103"</f>
        <v>20190103</v>
      </c>
      <c r="D2" t="str">
        <f>"0.000"</f>
        <v>0.000</v>
      </c>
      <c r="E2" t="str">
        <f>"5.00"</f>
        <v>5.00</v>
      </c>
      <c r="F2" t="str">
        <f>"0.00"</f>
        <v>0.00</v>
      </c>
      <c r="G2" t="str">
        <f>"846.94"</f>
        <v>846.94</v>
      </c>
      <c r="H2" t="str">
        <f>"0.00"</f>
        <v>0.00</v>
      </c>
      <c r="I2" t="str">
        <f>"140"</f>
        <v>140</v>
      </c>
      <c r="J2" t="str">
        <f>"申购配号(蔚蓝配号)"</f>
        <v>申购配号(蔚蓝配号)</v>
      </c>
      <c r="K2" t="str">
        <f>"0.00"</f>
        <v>0.00</v>
      </c>
      <c r="L2" t="str">
        <f>"0.00"</f>
        <v>0.00</v>
      </c>
      <c r="M2" t="str">
        <f>"0.00"</f>
        <v>0.00</v>
      </c>
      <c r="N2" t="str">
        <f>"0.00"</f>
        <v>0.00</v>
      </c>
      <c r="O2" t="str">
        <f>"736739"</f>
        <v>736739</v>
      </c>
      <c r="P2" t="str">
        <f>"A400948245"</f>
        <v>A400948245</v>
      </c>
    </row>
    <row r="3" spans="1:16" x14ac:dyDescent="0.25">
      <c r="A3" t="str">
        <f t="shared" si="0"/>
        <v>人民币</v>
      </c>
      <c r="B3" t="str">
        <f>"七一二"</f>
        <v>七一二</v>
      </c>
      <c r="C3" t="str">
        <f>"20190103"</f>
        <v>20190103</v>
      </c>
      <c r="D3" t="str">
        <f>"19.053"</f>
        <v>19.053</v>
      </c>
      <c r="E3" t="str">
        <f>"-600.00"</f>
        <v>-600.00</v>
      </c>
      <c r="F3" t="str">
        <f>"11408.91"</f>
        <v>11408.91</v>
      </c>
      <c r="G3" t="str">
        <f>"12255.85"</f>
        <v>12255.85</v>
      </c>
      <c r="H3" t="str">
        <f>"1800.00"</f>
        <v>1800.00</v>
      </c>
      <c r="I3" t="str">
        <f>"145"</f>
        <v>145</v>
      </c>
      <c r="J3" t="str">
        <f>"证券卖出(七一二)"</f>
        <v>证券卖出(七一二)</v>
      </c>
      <c r="K3" t="str">
        <f>"11.43"</f>
        <v>11.43</v>
      </c>
      <c r="L3" t="str">
        <f>"11.43"</f>
        <v>11.43</v>
      </c>
      <c r="M3" t="str">
        <f>"0.23"</f>
        <v>0.23</v>
      </c>
      <c r="N3" t="str">
        <f>"0.00"</f>
        <v>0.00</v>
      </c>
      <c r="O3" t="str">
        <f>"603712"</f>
        <v>603712</v>
      </c>
      <c r="P3" t="str">
        <f>"A400948245"</f>
        <v>A400948245</v>
      </c>
    </row>
    <row r="4" spans="1:16" x14ac:dyDescent="0.25">
      <c r="A4" t="str">
        <f t="shared" si="0"/>
        <v>人民币</v>
      </c>
      <c r="B4" t="str">
        <f>"中通国脉"</f>
        <v>中通国脉</v>
      </c>
      <c r="C4" t="str">
        <f>"20190103"</f>
        <v>20190103</v>
      </c>
      <c r="D4" t="str">
        <f>"22.810"</f>
        <v>22.810</v>
      </c>
      <c r="E4" t="str">
        <f>"200.00"</f>
        <v>200.00</v>
      </c>
      <c r="F4" t="str">
        <f>"-4567.09"</f>
        <v>-4567.09</v>
      </c>
      <c r="G4" t="str">
        <f>"7688.76"</f>
        <v>7688.76</v>
      </c>
      <c r="H4" t="str">
        <f>"800.00"</f>
        <v>800.00</v>
      </c>
      <c r="I4" t="str">
        <f>"149"</f>
        <v>149</v>
      </c>
      <c r="J4" t="str">
        <f>"证券买入(中通国脉)"</f>
        <v>证券买入(中通国脉)</v>
      </c>
      <c r="K4" t="str">
        <f>"5.00"</f>
        <v>5.00</v>
      </c>
      <c r="L4" t="str">
        <f>"0.00"</f>
        <v>0.00</v>
      </c>
      <c r="M4" t="str">
        <f>"0.09"</f>
        <v>0.09</v>
      </c>
      <c r="N4" t="str">
        <f>"0.00"</f>
        <v>0.00</v>
      </c>
      <c r="O4" t="str">
        <f>"603559"</f>
        <v>603559</v>
      </c>
      <c r="P4" t="str">
        <f>"A400948245"</f>
        <v>A400948245</v>
      </c>
    </row>
    <row r="5" spans="1:16" x14ac:dyDescent="0.25">
      <c r="A5" t="str">
        <f t="shared" si="0"/>
        <v>人民币</v>
      </c>
      <c r="B5" t="str">
        <f>"江龙船艇"</f>
        <v>江龙船艇</v>
      </c>
      <c r="C5" t="str">
        <f>"20190103"</f>
        <v>20190103</v>
      </c>
      <c r="D5" t="str">
        <f>"12.389"</f>
        <v>12.389</v>
      </c>
      <c r="E5" t="str">
        <f>"-800.00"</f>
        <v>-800.00</v>
      </c>
      <c r="F5" t="str">
        <f>"9891.18"</f>
        <v>9891.18</v>
      </c>
      <c r="G5" t="str">
        <f>"17579.94"</f>
        <v>17579.94</v>
      </c>
      <c r="H5" t="str">
        <f>"3500.00"</f>
        <v>3500.00</v>
      </c>
      <c r="I5" t="str">
        <f>"142"</f>
        <v>142</v>
      </c>
      <c r="J5" t="str">
        <f>"证券卖出(江龙船艇)"</f>
        <v>证券卖出(江龙船艇)</v>
      </c>
      <c r="K5" t="str">
        <f>"9.91"</f>
        <v>9.91</v>
      </c>
      <c r="L5" t="str">
        <f>"9.91"</f>
        <v>9.91</v>
      </c>
      <c r="M5" t="str">
        <f>"0.00"</f>
        <v>0.00</v>
      </c>
      <c r="N5" t="str">
        <f>"0.00"</f>
        <v>0.00</v>
      </c>
      <c r="O5" t="str">
        <f>"300589"</f>
        <v>300589</v>
      </c>
      <c r="P5" t="str">
        <f>"0153613480"</f>
        <v>0153613480</v>
      </c>
    </row>
    <row r="6" spans="1:16" x14ac:dyDescent="0.25">
      <c r="A6" t="str">
        <f t="shared" si="0"/>
        <v>人民币</v>
      </c>
      <c r="B6" t="str">
        <f>" "</f>
        <v xml:space="preserve"> </v>
      </c>
      <c r="C6" t="str">
        <f t="shared" ref="C6:C14" si="1">"20190104"</f>
        <v>20190104</v>
      </c>
      <c r="D6" t="str">
        <f t="shared" ref="D6:E8" si="2">"---"</f>
        <v>---</v>
      </c>
      <c r="E6" t="str">
        <f t="shared" si="2"/>
        <v>---</v>
      </c>
      <c r="F6" t="str">
        <f>"-15000.00"</f>
        <v>-15000.00</v>
      </c>
      <c r="G6" t="str">
        <f>"2579.94"</f>
        <v>2579.94</v>
      </c>
      <c r="H6" t="str">
        <f t="shared" ref="H6:I8" si="3">"---"</f>
        <v>---</v>
      </c>
      <c r="I6" t="str">
        <f t="shared" si="3"/>
        <v>---</v>
      </c>
      <c r="J6" t="str">
        <f>"银行转取"</f>
        <v>银行转取</v>
      </c>
      <c r="K6" t="str">
        <f t="shared" ref="K6:P8" si="4">"---"</f>
        <v>---</v>
      </c>
      <c r="L6" t="str">
        <f t="shared" si="4"/>
        <v>---</v>
      </c>
      <c r="M6" t="str">
        <f t="shared" si="4"/>
        <v>---</v>
      </c>
      <c r="N6" t="str">
        <f t="shared" si="4"/>
        <v>---</v>
      </c>
      <c r="O6" t="str">
        <f t="shared" si="4"/>
        <v>---</v>
      </c>
      <c r="P6" t="str">
        <f t="shared" si="4"/>
        <v>---</v>
      </c>
    </row>
    <row r="7" spans="1:16" x14ac:dyDescent="0.25">
      <c r="A7" t="str">
        <f t="shared" si="0"/>
        <v>人民币</v>
      </c>
      <c r="B7" t="str">
        <f>" "</f>
        <v xml:space="preserve"> </v>
      </c>
      <c r="C7" t="str">
        <f t="shared" si="1"/>
        <v>20190104</v>
      </c>
      <c r="D7" t="str">
        <f t="shared" si="2"/>
        <v>---</v>
      </c>
      <c r="E7" t="str">
        <f t="shared" si="2"/>
        <v>---</v>
      </c>
      <c r="F7" t="str">
        <f>"10000.00"</f>
        <v>10000.00</v>
      </c>
      <c r="G7" t="str">
        <f>"12579.94"</f>
        <v>12579.94</v>
      </c>
      <c r="H7" t="str">
        <f t="shared" si="3"/>
        <v>---</v>
      </c>
      <c r="I7" t="str">
        <f t="shared" si="3"/>
        <v>---</v>
      </c>
      <c r="J7" t="str">
        <f>"银行转存"</f>
        <v>银行转存</v>
      </c>
      <c r="K7" t="str">
        <f t="shared" si="4"/>
        <v>---</v>
      </c>
      <c r="L7" t="str">
        <f t="shared" si="4"/>
        <v>---</v>
      </c>
      <c r="M7" t="str">
        <f t="shared" si="4"/>
        <v>---</v>
      </c>
      <c r="N7" t="str">
        <f t="shared" si="4"/>
        <v>---</v>
      </c>
      <c r="O7" t="str">
        <f t="shared" si="4"/>
        <v>---</v>
      </c>
      <c r="P7" t="str">
        <f t="shared" si="4"/>
        <v>---</v>
      </c>
    </row>
    <row r="8" spans="1:16" x14ac:dyDescent="0.25">
      <c r="A8" t="str">
        <f t="shared" si="0"/>
        <v>人民币</v>
      </c>
      <c r="B8" t="str">
        <f>" "</f>
        <v xml:space="preserve"> </v>
      </c>
      <c r="C8" t="str">
        <f t="shared" si="1"/>
        <v>20190104</v>
      </c>
      <c r="D8" t="str">
        <f t="shared" si="2"/>
        <v>---</v>
      </c>
      <c r="E8" t="str">
        <f t="shared" si="2"/>
        <v>---</v>
      </c>
      <c r="F8" t="str">
        <f>"-10000.00"</f>
        <v>-10000.00</v>
      </c>
      <c r="G8" t="str">
        <f>"2579.94"</f>
        <v>2579.94</v>
      </c>
      <c r="H8" t="str">
        <f t="shared" si="3"/>
        <v>---</v>
      </c>
      <c r="I8" t="str">
        <f t="shared" si="3"/>
        <v>---</v>
      </c>
      <c r="J8" t="str">
        <f>"银行转取"</f>
        <v>银行转取</v>
      </c>
      <c r="K8" t="str">
        <f t="shared" si="4"/>
        <v>---</v>
      </c>
      <c r="L8" t="str">
        <f t="shared" si="4"/>
        <v>---</v>
      </c>
      <c r="M8" t="str">
        <f t="shared" si="4"/>
        <v>---</v>
      </c>
      <c r="N8" t="str">
        <f t="shared" si="4"/>
        <v>---</v>
      </c>
      <c r="O8" t="str">
        <f t="shared" si="4"/>
        <v>---</v>
      </c>
      <c r="P8" t="str">
        <f t="shared" si="4"/>
        <v>---</v>
      </c>
    </row>
    <row r="9" spans="1:16" x14ac:dyDescent="0.25">
      <c r="A9" t="str">
        <f t="shared" si="0"/>
        <v>人民币</v>
      </c>
      <c r="B9" t="str">
        <f>"七一二"</f>
        <v>七一二</v>
      </c>
      <c r="C9" t="str">
        <f t="shared" si="1"/>
        <v>20190104</v>
      </c>
      <c r="D9" t="str">
        <f>"18.070"</f>
        <v>18.070</v>
      </c>
      <c r="E9" t="str">
        <f>"300.00"</f>
        <v>300.00</v>
      </c>
      <c r="F9" t="str">
        <f>"-5426.53"</f>
        <v>-5426.53</v>
      </c>
      <c r="G9" t="str">
        <f>"-2846.59"</f>
        <v>-2846.59</v>
      </c>
      <c r="H9" t="str">
        <f>"2100.00"</f>
        <v>2100.00</v>
      </c>
      <c r="I9" t="str">
        <f>"3"</f>
        <v>3</v>
      </c>
      <c r="J9" t="str">
        <f>"证券买入(七一二)"</f>
        <v>证券买入(七一二)</v>
      </c>
      <c r="K9" t="str">
        <f>"5.42"</f>
        <v>5.42</v>
      </c>
      <c r="L9" t="str">
        <f>"0.00"</f>
        <v>0.00</v>
      </c>
      <c r="M9" t="str">
        <f>"0.11"</f>
        <v>0.11</v>
      </c>
      <c r="N9" t="str">
        <f t="shared" ref="N9:N14" si="5">"0.00"</f>
        <v>0.00</v>
      </c>
      <c r="O9" t="str">
        <f>"603712"</f>
        <v>603712</v>
      </c>
      <c r="P9" t="str">
        <f>"A400948245"</f>
        <v>A400948245</v>
      </c>
    </row>
    <row r="10" spans="1:16" x14ac:dyDescent="0.25">
      <c r="A10" t="str">
        <f t="shared" si="0"/>
        <v>人民币</v>
      </c>
      <c r="B10" t="str">
        <f>"龙杰配号"</f>
        <v>龙杰配号</v>
      </c>
      <c r="C10" t="str">
        <f t="shared" si="1"/>
        <v>20190104</v>
      </c>
      <c r="D10" t="str">
        <f>"0.000"</f>
        <v>0.000</v>
      </c>
      <c r="E10" t="str">
        <f>"5.00"</f>
        <v>5.00</v>
      </c>
      <c r="F10" t="str">
        <f>"0.00"</f>
        <v>0.00</v>
      </c>
      <c r="G10" t="str">
        <f>"-2846.59"</f>
        <v>-2846.59</v>
      </c>
      <c r="H10" t="str">
        <f>"0.00"</f>
        <v>0.00</v>
      </c>
      <c r="I10" t="str">
        <f>"9"</f>
        <v>9</v>
      </c>
      <c r="J10" t="str">
        <f>"申购配号(龙杰配号)"</f>
        <v>申购配号(龙杰配号)</v>
      </c>
      <c r="K10" t="str">
        <f>"0.00"</f>
        <v>0.00</v>
      </c>
      <c r="L10" t="str">
        <f>"0.00"</f>
        <v>0.00</v>
      </c>
      <c r="M10" t="str">
        <f>"0.00"</f>
        <v>0.00</v>
      </c>
      <c r="N10" t="str">
        <f t="shared" si="5"/>
        <v>0.00</v>
      </c>
      <c r="O10" t="str">
        <f>"736332"</f>
        <v>736332</v>
      </c>
      <c r="P10" t="str">
        <f>"A400948245"</f>
        <v>A400948245</v>
      </c>
    </row>
    <row r="11" spans="1:16" x14ac:dyDescent="0.25">
      <c r="A11" t="str">
        <f t="shared" si="0"/>
        <v>人民币</v>
      </c>
      <c r="B11" t="str">
        <f>"七一二"</f>
        <v>七一二</v>
      </c>
      <c r="C11" t="str">
        <f t="shared" si="1"/>
        <v>20190104</v>
      </c>
      <c r="D11" t="str">
        <f>"18.710"</f>
        <v>18.710</v>
      </c>
      <c r="E11" t="str">
        <f>"-300.00"</f>
        <v>-300.00</v>
      </c>
      <c r="F11" t="str">
        <f>"5601.67"</f>
        <v>5601.67</v>
      </c>
      <c r="G11" t="str">
        <f>"2755.08"</f>
        <v>2755.08</v>
      </c>
      <c r="H11" t="str">
        <f>"1800.00"</f>
        <v>1800.00</v>
      </c>
      <c r="I11" t="str">
        <f>"14"</f>
        <v>14</v>
      </c>
      <c r="J11" t="str">
        <f>"证券卖出(七一二)"</f>
        <v>证券卖出(七一二)</v>
      </c>
      <c r="K11" t="str">
        <f>"5.61"</f>
        <v>5.61</v>
      </c>
      <c r="L11" t="str">
        <f>"5.61"</f>
        <v>5.61</v>
      </c>
      <c r="M11" t="str">
        <f>"0.11"</f>
        <v>0.11</v>
      </c>
      <c r="N11" t="str">
        <f t="shared" si="5"/>
        <v>0.00</v>
      </c>
      <c r="O11" t="str">
        <f>"603712"</f>
        <v>603712</v>
      </c>
      <c r="P11" t="str">
        <f>"A400948245"</f>
        <v>A400948245</v>
      </c>
    </row>
    <row r="12" spans="1:16" x14ac:dyDescent="0.25">
      <c r="A12" t="str">
        <f t="shared" si="0"/>
        <v>人民币</v>
      </c>
      <c r="B12" t="str">
        <f>"江龙船艇"</f>
        <v>江龙船艇</v>
      </c>
      <c r="C12" t="str">
        <f t="shared" si="1"/>
        <v>20190104</v>
      </c>
      <c r="D12" t="str">
        <f>"11.670"</f>
        <v>11.670</v>
      </c>
      <c r="E12" t="str">
        <f>"500.00"</f>
        <v>500.00</v>
      </c>
      <c r="F12" t="str">
        <f>"-5840.84"</f>
        <v>-5840.84</v>
      </c>
      <c r="G12" t="str">
        <f>"-3085.76"</f>
        <v>-3085.76</v>
      </c>
      <c r="H12" t="str">
        <f>"4000.00"</f>
        <v>4000.00</v>
      </c>
      <c r="I12" t="str">
        <f>"11"</f>
        <v>11</v>
      </c>
      <c r="J12" t="str">
        <f>"证券买入(江龙船艇)"</f>
        <v>证券买入(江龙船艇)</v>
      </c>
      <c r="K12" t="str">
        <f>"5.84"</f>
        <v>5.84</v>
      </c>
      <c r="L12" t="str">
        <f>"0.00"</f>
        <v>0.00</v>
      </c>
      <c r="M12" t="str">
        <f>"0.00"</f>
        <v>0.00</v>
      </c>
      <c r="N12" t="str">
        <f t="shared" si="5"/>
        <v>0.00</v>
      </c>
      <c r="O12" t="str">
        <f>"300589"</f>
        <v>300589</v>
      </c>
      <c r="P12" t="str">
        <f>"0153613480"</f>
        <v>0153613480</v>
      </c>
    </row>
    <row r="13" spans="1:16" x14ac:dyDescent="0.25">
      <c r="A13" t="str">
        <f t="shared" si="0"/>
        <v>人民币</v>
      </c>
      <c r="B13" t="str">
        <f>"江龙船艇"</f>
        <v>江龙船艇</v>
      </c>
      <c r="C13" t="str">
        <f t="shared" si="1"/>
        <v>20190104</v>
      </c>
      <c r="D13" t="str">
        <f>"12.130"</f>
        <v>12.130</v>
      </c>
      <c r="E13" t="str">
        <f>"-500.00"</f>
        <v>-500.00</v>
      </c>
      <c r="F13" t="str">
        <f>"6052.86"</f>
        <v>6052.86</v>
      </c>
      <c r="G13" t="str">
        <f>"2967.10"</f>
        <v>2967.10</v>
      </c>
      <c r="H13" t="str">
        <f>"3500.00"</f>
        <v>3500.00</v>
      </c>
      <c r="I13" t="str">
        <f>"17"</f>
        <v>17</v>
      </c>
      <c r="J13" t="str">
        <f>"证券卖出(江龙船艇)"</f>
        <v>证券卖出(江龙船艇)</v>
      </c>
      <c r="K13" t="str">
        <f>"6.07"</f>
        <v>6.07</v>
      </c>
      <c r="L13" t="str">
        <f>"6.07"</f>
        <v>6.07</v>
      </c>
      <c r="M13" t="str">
        <f>"0.00"</f>
        <v>0.00</v>
      </c>
      <c r="N13" t="str">
        <f t="shared" si="5"/>
        <v>0.00</v>
      </c>
      <c r="O13" t="str">
        <f>"300589"</f>
        <v>300589</v>
      </c>
      <c r="P13" t="str">
        <f>"0153613480"</f>
        <v>0153613480</v>
      </c>
    </row>
    <row r="14" spans="1:16" x14ac:dyDescent="0.25">
      <c r="A14" t="str">
        <f t="shared" si="0"/>
        <v>人民币</v>
      </c>
      <c r="B14" t="str">
        <f>"青岛银行"</f>
        <v>青岛银行</v>
      </c>
      <c r="C14" t="str">
        <f t="shared" si="1"/>
        <v>20190104</v>
      </c>
      <c r="D14" t="str">
        <f>"0.000"</f>
        <v>0.000</v>
      </c>
      <c r="E14" t="str">
        <f>"11.00"</f>
        <v>11.00</v>
      </c>
      <c r="F14" t="str">
        <f>"0.00"</f>
        <v>0.00</v>
      </c>
      <c r="G14" t="str">
        <f>"2967.10"</f>
        <v>2967.10</v>
      </c>
      <c r="H14" t="str">
        <f>"0.00"</f>
        <v>0.00</v>
      </c>
      <c r="I14" t="str">
        <f>"7"</f>
        <v>7</v>
      </c>
      <c r="J14" t="str">
        <f>"申购配号(青岛银行)"</f>
        <v>申购配号(青岛银行)</v>
      </c>
      <c r="K14" t="str">
        <f>"0.00"</f>
        <v>0.00</v>
      </c>
      <c r="L14" t="str">
        <f>"0.00"</f>
        <v>0.00</v>
      </c>
      <c r="M14" t="str">
        <f>"0.00"</f>
        <v>0.00</v>
      </c>
      <c r="N14" t="str">
        <f t="shared" si="5"/>
        <v>0.00</v>
      </c>
      <c r="O14" t="str">
        <f>"002948"</f>
        <v>002948</v>
      </c>
      <c r="P14" t="str">
        <f>"0153613480"</f>
        <v>0153613480</v>
      </c>
    </row>
    <row r="15" spans="1:16" x14ac:dyDescent="0.25">
      <c r="A15" t="str">
        <f t="shared" si="0"/>
        <v>人民币</v>
      </c>
      <c r="B15" t="str">
        <f>" "</f>
        <v xml:space="preserve"> </v>
      </c>
      <c r="C15" t="str">
        <f>"20190107"</f>
        <v>20190107</v>
      </c>
      <c r="D15" t="str">
        <f>"---"</f>
        <v>---</v>
      </c>
      <c r="E15" t="str">
        <f>"---"</f>
        <v>---</v>
      </c>
      <c r="F15" t="str">
        <f>"10000.00"</f>
        <v>10000.00</v>
      </c>
      <c r="G15" t="str">
        <f>"12967.10"</f>
        <v>12967.10</v>
      </c>
      <c r="H15" t="str">
        <f>"---"</f>
        <v>---</v>
      </c>
      <c r="I15" t="str">
        <f>"---"</f>
        <v>---</v>
      </c>
      <c r="J15" t="str">
        <f>"银行转存"</f>
        <v>银行转存</v>
      </c>
      <c r="K15" t="str">
        <f t="shared" ref="K15:P15" si="6">"---"</f>
        <v>---</v>
      </c>
      <c r="L15" t="str">
        <f t="shared" si="6"/>
        <v>---</v>
      </c>
      <c r="M15" t="str">
        <f t="shared" si="6"/>
        <v>---</v>
      </c>
      <c r="N15" t="str">
        <f t="shared" si="6"/>
        <v>---</v>
      </c>
      <c r="O15" t="str">
        <f t="shared" si="6"/>
        <v>---</v>
      </c>
      <c r="P15" t="str">
        <f t="shared" si="6"/>
        <v>---</v>
      </c>
    </row>
    <row r="16" spans="1:16" x14ac:dyDescent="0.25">
      <c r="A16" t="str">
        <f t="shared" si="0"/>
        <v>人民币</v>
      </c>
      <c r="B16" t="str">
        <f>"中通国脉"</f>
        <v>中通国脉</v>
      </c>
      <c r="C16" t="str">
        <f>"20190107"</f>
        <v>20190107</v>
      </c>
      <c r="D16" t="str">
        <f>"23.570"</f>
        <v>23.570</v>
      </c>
      <c r="E16" t="str">
        <f>"-200.00"</f>
        <v>-200.00</v>
      </c>
      <c r="F16" t="str">
        <f>"4704.20"</f>
        <v>4704.20</v>
      </c>
      <c r="G16" t="str">
        <f>"17671.30"</f>
        <v>17671.30</v>
      </c>
      <c r="H16" t="str">
        <f>"600.00"</f>
        <v>600.00</v>
      </c>
      <c r="I16" t="str">
        <f>"34"</f>
        <v>34</v>
      </c>
      <c r="J16" t="str">
        <f>"证券卖出(中通国脉)"</f>
        <v>证券卖出(中通国脉)</v>
      </c>
      <c r="K16" t="str">
        <f>"5.00"</f>
        <v>5.00</v>
      </c>
      <c r="L16" t="str">
        <f>"4.71"</f>
        <v>4.71</v>
      </c>
      <c r="M16" t="str">
        <f>"0.09"</f>
        <v>0.09</v>
      </c>
      <c r="N16" t="str">
        <f t="shared" ref="N16:N28" si="7">"0.00"</f>
        <v>0.00</v>
      </c>
      <c r="O16" t="str">
        <f>"603559"</f>
        <v>603559</v>
      </c>
      <c r="P16" t="str">
        <f>"A400948245"</f>
        <v>A400948245</v>
      </c>
    </row>
    <row r="17" spans="1:16" x14ac:dyDescent="0.25">
      <c r="A17" t="str">
        <f t="shared" si="0"/>
        <v>人民币</v>
      </c>
      <c r="B17" t="str">
        <f>"七一二"</f>
        <v>七一二</v>
      </c>
      <c r="C17" t="str">
        <f>"20190107"</f>
        <v>20190107</v>
      </c>
      <c r="D17" t="str">
        <f>"19.030"</f>
        <v>19.030</v>
      </c>
      <c r="E17" t="str">
        <f>"200.00"</f>
        <v>200.00</v>
      </c>
      <c r="F17" t="str">
        <f>"-3811.08"</f>
        <v>-3811.08</v>
      </c>
      <c r="G17" t="str">
        <f>"13860.22"</f>
        <v>13860.22</v>
      </c>
      <c r="H17" t="str">
        <f>"2000.00"</f>
        <v>2000.00</v>
      </c>
      <c r="I17" t="str">
        <f>"37"</f>
        <v>37</v>
      </c>
      <c r="J17" t="str">
        <f>"证券买入(七一二)"</f>
        <v>证券买入(七一二)</v>
      </c>
      <c r="K17" t="str">
        <f>"5.00"</f>
        <v>5.00</v>
      </c>
      <c r="L17" t="str">
        <f>"0.00"</f>
        <v>0.00</v>
      </c>
      <c r="M17" t="str">
        <f>"0.08"</f>
        <v>0.08</v>
      </c>
      <c r="N17" t="str">
        <f t="shared" si="7"/>
        <v>0.00</v>
      </c>
      <c r="O17" t="str">
        <f>"603712"</f>
        <v>603712</v>
      </c>
      <c r="P17" t="str">
        <f>"A400948245"</f>
        <v>A400948245</v>
      </c>
    </row>
    <row r="18" spans="1:16" x14ac:dyDescent="0.25">
      <c r="A18" t="str">
        <f t="shared" si="0"/>
        <v>人民币</v>
      </c>
      <c r="B18" t="str">
        <f>"江龙船艇"</f>
        <v>江龙船艇</v>
      </c>
      <c r="C18" t="str">
        <f>"20190107"</f>
        <v>20190107</v>
      </c>
      <c r="D18" t="str">
        <f>"12.020"</f>
        <v>12.020</v>
      </c>
      <c r="E18" t="str">
        <f>"500.00"</f>
        <v>500.00</v>
      </c>
      <c r="F18" t="str">
        <f>"-6016.01"</f>
        <v>-6016.01</v>
      </c>
      <c r="G18" t="str">
        <f>"7844.21"</f>
        <v>7844.21</v>
      </c>
      <c r="H18" t="str">
        <f>"4000.00"</f>
        <v>4000.00</v>
      </c>
      <c r="I18" t="str">
        <f>"31"</f>
        <v>31</v>
      </c>
      <c r="J18" t="str">
        <f>"证券买入(江龙船艇)"</f>
        <v>证券买入(江龙船艇)</v>
      </c>
      <c r="K18" t="str">
        <f>"6.01"</f>
        <v>6.01</v>
      </c>
      <c r="L18" t="str">
        <f>"0.00"</f>
        <v>0.00</v>
      </c>
      <c r="M18" t="str">
        <f t="shared" ref="M18:M28" si="8">"0.00"</f>
        <v>0.00</v>
      </c>
      <c r="N18" t="str">
        <f t="shared" si="7"/>
        <v>0.00</v>
      </c>
      <c r="O18" t="str">
        <f>"300589"</f>
        <v>300589</v>
      </c>
      <c r="P18" t="str">
        <f>"0153613480"</f>
        <v>0153613480</v>
      </c>
    </row>
    <row r="19" spans="1:16" x14ac:dyDescent="0.25">
      <c r="A19" t="str">
        <f t="shared" si="0"/>
        <v>人民币</v>
      </c>
      <c r="B19" t="str">
        <f>"江龙船艇"</f>
        <v>江龙船艇</v>
      </c>
      <c r="C19" t="str">
        <f>"20190107"</f>
        <v>20190107</v>
      </c>
      <c r="D19" t="str">
        <f>"12.660"</f>
        <v>12.660</v>
      </c>
      <c r="E19" t="str">
        <f>"-500.00"</f>
        <v>-500.00</v>
      </c>
      <c r="F19" t="str">
        <f>"6317.34"</f>
        <v>6317.34</v>
      </c>
      <c r="G19" t="str">
        <f>"14161.55"</f>
        <v>14161.55</v>
      </c>
      <c r="H19" t="str">
        <f>"3500.00"</f>
        <v>3500.00</v>
      </c>
      <c r="I19" t="str">
        <f>"42"</f>
        <v>42</v>
      </c>
      <c r="J19" t="str">
        <f>"证券卖出(江龙船艇)"</f>
        <v>证券卖出(江龙船艇)</v>
      </c>
      <c r="K19" t="str">
        <f>"6.33"</f>
        <v>6.33</v>
      </c>
      <c r="L19" t="str">
        <f>"6.33"</f>
        <v>6.33</v>
      </c>
      <c r="M19" t="str">
        <f t="shared" si="8"/>
        <v>0.00</v>
      </c>
      <c r="N19" t="str">
        <f t="shared" si="7"/>
        <v>0.00</v>
      </c>
      <c r="O19" t="str">
        <f>"300589"</f>
        <v>300589</v>
      </c>
      <c r="P19" t="str">
        <f>"0153613480"</f>
        <v>0153613480</v>
      </c>
    </row>
    <row r="20" spans="1:16" x14ac:dyDescent="0.25">
      <c r="A20" t="str">
        <f t="shared" si="0"/>
        <v>人民币</v>
      </c>
      <c r="B20" t="str">
        <f>"江龙船艇"</f>
        <v>江龙船艇</v>
      </c>
      <c r="C20" t="str">
        <f>"20190108"</f>
        <v>20190108</v>
      </c>
      <c r="D20" t="str">
        <f>"12.150"</f>
        <v>12.150</v>
      </c>
      <c r="E20" t="str">
        <f>"500.00"</f>
        <v>500.00</v>
      </c>
      <c r="F20" t="str">
        <f>"-6081.08"</f>
        <v>-6081.08</v>
      </c>
      <c r="G20" t="str">
        <f>"8080.47"</f>
        <v>8080.47</v>
      </c>
      <c r="H20" t="str">
        <f>"4000.00"</f>
        <v>4000.00</v>
      </c>
      <c r="I20" t="str">
        <f>"56"</f>
        <v>56</v>
      </c>
      <c r="J20" t="str">
        <f>"证券买入(江龙船艇)"</f>
        <v>证券买入(江龙船艇)</v>
      </c>
      <c r="K20" t="str">
        <f>"6.08"</f>
        <v>6.08</v>
      </c>
      <c r="L20" t="str">
        <f t="shared" ref="L20:L28" si="9">"0.00"</f>
        <v>0.00</v>
      </c>
      <c r="M20" t="str">
        <f t="shared" si="8"/>
        <v>0.00</v>
      </c>
      <c r="N20" t="str">
        <f t="shared" si="7"/>
        <v>0.00</v>
      </c>
      <c r="O20" t="str">
        <f>"300589"</f>
        <v>300589</v>
      </c>
      <c r="P20" t="str">
        <f>"0153613480"</f>
        <v>0153613480</v>
      </c>
    </row>
    <row r="21" spans="1:16" x14ac:dyDescent="0.25">
      <c r="A21" t="str">
        <f t="shared" si="0"/>
        <v>人民币</v>
      </c>
      <c r="B21" t="str">
        <f>"江龙船艇"</f>
        <v>江龙船艇</v>
      </c>
      <c r="C21" t="str">
        <f>"20190108"</f>
        <v>20190108</v>
      </c>
      <c r="D21" t="str">
        <f>"12.000"</f>
        <v>12.000</v>
      </c>
      <c r="E21" t="str">
        <f>"600.00"</f>
        <v>600.00</v>
      </c>
      <c r="F21" t="str">
        <f>"-7207.20"</f>
        <v>-7207.20</v>
      </c>
      <c r="G21" t="str">
        <f t="shared" ref="G21:G28" si="10">"873.27"</f>
        <v>873.27</v>
      </c>
      <c r="H21" t="str">
        <f>"4600.00"</f>
        <v>4600.00</v>
      </c>
      <c r="I21" t="str">
        <f>"59"</f>
        <v>59</v>
      </c>
      <c r="J21" t="str">
        <f>"证券买入(江龙船艇)"</f>
        <v>证券买入(江龙船艇)</v>
      </c>
      <c r="K21" t="str">
        <f>"7.20"</f>
        <v>7.20</v>
      </c>
      <c r="L21" t="str">
        <f t="shared" si="9"/>
        <v>0.00</v>
      </c>
      <c r="M21" t="str">
        <f t="shared" si="8"/>
        <v>0.00</v>
      </c>
      <c r="N21" t="str">
        <f t="shared" si="7"/>
        <v>0.00</v>
      </c>
      <c r="O21" t="str">
        <f>"300589"</f>
        <v>300589</v>
      </c>
      <c r="P21" t="str">
        <f>"0153613480"</f>
        <v>0153613480</v>
      </c>
    </row>
    <row r="22" spans="1:16" x14ac:dyDescent="0.25">
      <c r="A22" t="str">
        <f t="shared" si="0"/>
        <v>人民币</v>
      </c>
      <c r="B22" t="str">
        <f>"华林证券"</f>
        <v>华林证券</v>
      </c>
      <c r="C22" t="str">
        <f>"20190108"</f>
        <v>20190108</v>
      </c>
      <c r="D22" t="str">
        <f t="shared" ref="D22:D28" si="11">"0.000"</f>
        <v>0.000</v>
      </c>
      <c r="E22" t="str">
        <f>"11.00"</f>
        <v>11.00</v>
      </c>
      <c r="F22" t="str">
        <f t="shared" ref="F22:F28" si="12">"0.00"</f>
        <v>0.00</v>
      </c>
      <c r="G22" t="str">
        <f t="shared" si="10"/>
        <v>873.27</v>
      </c>
      <c r="H22" t="str">
        <f t="shared" ref="H22:H28" si="13">"0.00"</f>
        <v>0.00</v>
      </c>
      <c r="I22" t="str">
        <f>"54"</f>
        <v>54</v>
      </c>
      <c r="J22" t="str">
        <f>"申购配号(华林证券)"</f>
        <v>申购配号(华林证券)</v>
      </c>
      <c r="K22" t="str">
        <f t="shared" ref="K22:K28" si="14">"0.00"</f>
        <v>0.00</v>
      </c>
      <c r="L22" t="str">
        <f t="shared" si="9"/>
        <v>0.00</v>
      </c>
      <c r="M22" t="str">
        <f t="shared" si="8"/>
        <v>0.00</v>
      </c>
      <c r="N22" t="str">
        <f t="shared" si="7"/>
        <v>0.00</v>
      </c>
      <c r="O22" t="str">
        <f>"002945"</f>
        <v>002945</v>
      </c>
      <c r="P22" t="str">
        <f>"0153613480"</f>
        <v>0153613480</v>
      </c>
    </row>
    <row r="23" spans="1:16" x14ac:dyDescent="0.25">
      <c r="A23" t="str">
        <f t="shared" si="0"/>
        <v>人民币</v>
      </c>
      <c r="B23" t="str">
        <f>"宁表配号"</f>
        <v>宁表配号</v>
      </c>
      <c r="C23" t="str">
        <f>"20190110"</f>
        <v>20190110</v>
      </c>
      <c r="D23" t="str">
        <f t="shared" si="11"/>
        <v>0.000</v>
      </c>
      <c r="E23" t="str">
        <f>"5.00"</f>
        <v>5.00</v>
      </c>
      <c r="F23" t="str">
        <f t="shared" si="12"/>
        <v>0.00</v>
      </c>
      <c r="G23" t="str">
        <f t="shared" si="10"/>
        <v>873.27</v>
      </c>
      <c r="H23" t="str">
        <f t="shared" si="13"/>
        <v>0.00</v>
      </c>
      <c r="I23" t="str">
        <f>"65"</f>
        <v>65</v>
      </c>
      <c r="J23" t="str">
        <f>"申购配号(宁表配号)"</f>
        <v>申购配号(宁表配号)</v>
      </c>
      <c r="K23" t="str">
        <f t="shared" si="14"/>
        <v>0.00</v>
      </c>
      <c r="L23" t="str">
        <f t="shared" si="9"/>
        <v>0.00</v>
      </c>
      <c r="M23" t="str">
        <f t="shared" si="8"/>
        <v>0.00</v>
      </c>
      <c r="N23" t="str">
        <f t="shared" si="7"/>
        <v>0.00</v>
      </c>
      <c r="O23" t="str">
        <f>"736700"</f>
        <v>736700</v>
      </c>
      <c r="P23" t="str">
        <f>"A400948245"</f>
        <v>A400948245</v>
      </c>
    </row>
    <row r="24" spans="1:16" x14ac:dyDescent="0.25">
      <c r="A24" t="str">
        <f t="shared" si="0"/>
        <v>人民币</v>
      </c>
      <c r="B24" t="str">
        <f>"明阳配号"</f>
        <v>明阳配号</v>
      </c>
      <c r="C24" t="str">
        <f>"20190111"</f>
        <v>20190111</v>
      </c>
      <c r="D24" t="str">
        <f t="shared" si="11"/>
        <v>0.000</v>
      </c>
      <c r="E24" t="str">
        <f>"5.00"</f>
        <v>5.00</v>
      </c>
      <c r="F24" t="str">
        <f t="shared" si="12"/>
        <v>0.00</v>
      </c>
      <c r="G24" t="str">
        <f t="shared" si="10"/>
        <v>873.27</v>
      </c>
      <c r="H24" t="str">
        <f t="shared" si="13"/>
        <v>0.00</v>
      </c>
      <c r="I24" t="str">
        <f>"68"</f>
        <v>68</v>
      </c>
      <c r="J24" t="str">
        <f>"申购配号(明阳配号)"</f>
        <v>申购配号(明阳配号)</v>
      </c>
      <c r="K24" t="str">
        <f t="shared" si="14"/>
        <v>0.00</v>
      </c>
      <c r="L24" t="str">
        <f t="shared" si="9"/>
        <v>0.00</v>
      </c>
      <c r="M24" t="str">
        <f t="shared" si="8"/>
        <v>0.00</v>
      </c>
      <c r="N24" t="str">
        <f t="shared" si="7"/>
        <v>0.00</v>
      </c>
      <c r="O24" t="str">
        <f>"791615"</f>
        <v>791615</v>
      </c>
      <c r="P24" t="str">
        <f>"A400948245"</f>
        <v>A400948245</v>
      </c>
    </row>
    <row r="25" spans="1:16" x14ac:dyDescent="0.25">
      <c r="A25" t="str">
        <f t="shared" si="0"/>
        <v>人民币</v>
      </c>
      <c r="B25" t="str">
        <f>"康龙化成"</f>
        <v>康龙化成</v>
      </c>
      <c r="C25" t="str">
        <f>"20190115"</f>
        <v>20190115</v>
      </c>
      <c r="D25" t="str">
        <f t="shared" si="11"/>
        <v>0.000</v>
      </c>
      <c r="E25" t="str">
        <f>"12.00"</f>
        <v>12.00</v>
      </c>
      <c r="F25" t="str">
        <f t="shared" si="12"/>
        <v>0.00</v>
      </c>
      <c r="G25" t="str">
        <f t="shared" si="10"/>
        <v>873.27</v>
      </c>
      <c r="H25" t="str">
        <f t="shared" si="13"/>
        <v>0.00</v>
      </c>
      <c r="I25" t="str">
        <f>"71"</f>
        <v>71</v>
      </c>
      <c r="J25" t="str">
        <f>"申购配号(康龙化成)"</f>
        <v>申购配号(康龙化成)</v>
      </c>
      <c r="K25" t="str">
        <f t="shared" si="14"/>
        <v>0.00</v>
      </c>
      <c r="L25" t="str">
        <f t="shared" si="9"/>
        <v>0.00</v>
      </c>
      <c r="M25" t="str">
        <f t="shared" si="8"/>
        <v>0.00</v>
      </c>
      <c r="N25" t="str">
        <f t="shared" si="7"/>
        <v>0.00</v>
      </c>
      <c r="O25" t="str">
        <f>"300759"</f>
        <v>300759</v>
      </c>
      <c r="P25" t="str">
        <f>"0153613480"</f>
        <v>0153613480</v>
      </c>
    </row>
    <row r="26" spans="1:16" x14ac:dyDescent="0.25">
      <c r="A26" t="str">
        <f t="shared" si="0"/>
        <v>人民币</v>
      </c>
      <c r="B26" t="str">
        <f>"威尔配号"</f>
        <v>威尔配号</v>
      </c>
      <c r="C26" t="str">
        <f>"20190116"</f>
        <v>20190116</v>
      </c>
      <c r="D26" t="str">
        <f t="shared" si="11"/>
        <v>0.000</v>
      </c>
      <c r="E26" t="str">
        <f>"5.00"</f>
        <v>5.00</v>
      </c>
      <c r="F26" t="str">
        <f t="shared" si="12"/>
        <v>0.00</v>
      </c>
      <c r="G26" t="str">
        <f t="shared" si="10"/>
        <v>873.27</v>
      </c>
      <c r="H26" t="str">
        <f t="shared" si="13"/>
        <v>0.00</v>
      </c>
      <c r="I26" t="str">
        <f>"76"</f>
        <v>76</v>
      </c>
      <c r="J26" t="str">
        <f>"申购配号(威尔配号)"</f>
        <v>申购配号(威尔配号)</v>
      </c>
      <c r="K26" t="str">
        <f t="shared" si="14"/>
        <v>0.00</v>
      </c>
      <c r="L26" t="str">
        <f t="shared" si="9"/>
        <v>0.00</v>
      </c>
      <c r="M26" t="str">
        <f t="shared" si="8"/>
        <v>0.00</v>
      </c>
      <c r="N26" t="str">
        <f t="shared" si="7"/>
        <v>0.00</v>
      </c>
      <c r="O26" t="str">
        <f>"736351"</f>
        <v>736351</v>
      </c>
      <c r="P26" t="str">
        <f>"A400948245"</f>
        <v>A400948245</v>
      </c>
    </row>
    <row r="27" spans="1:16" x14ac:dyDescent="0.25">
      <c r="A27" t="str">
        <f t="shared" si="0"/>
        <v>人民币</v>
      </c>
      <c r="B27" t="str">
        <f>"新乳业"</f>
        <v>新乳业</v>
      </c>
      <c r="C27" t="str">
        <f>"20190116"</f>
        <v>20190116</v>
      </c>
      <c r="D27" t="str">
        <f t="shared" si="11"/>
        <v>0.000</v>
      </c>
      <c r="E27" t="str">
        <f>"12.00"</f>
        <v>12.00</v>
      </c>
      <c r="F27" t="str">
        <f t="shared" si="12"/>
        <v>0.00</v>
      </c>
      <c r="G27" t="str">
        <f t="shared" si="10"/>
        <v>873.27</v>
      </c>
      <c r="H27" t="str">
        <f t="shared" si="13"/>
        <v>0.00</v>
      </c>
      <c r="I27" t="str">
        <f>"74"</f>
        <v>74</v>
      </c>
      <c r="J27" t="str">
        <f>"申购配号(新乳业)"</f>
        <v>申购配号(新乳业)</v>
      </c>
      <c r="K27" t="str">
        <f t="shared" si="14"/>
        <v>0.00</v>
      </c>
      <c r="L27" t="str">
        <f t="shared" si="9"/>
        <v>0.00</v>
      </c>
      <c r="M27" t="str">
        <f t="shared" si="8"/>
        <v>0.00</v>
      </c>
      <c r="N27" t="str">
        <f t="shared" si="7"/>
        <v>0.00</v>
      </c>
      <c r="O27" t="str">
        <f>"002946"</f>
        <v>002946</v>
      </c>
      <c r="P27" t="str">
        <f>"0153613480"</f>
        <v>0153613480</v>
      </c>
    </row>
    <row r="28" spans="1:16" x14ac:dyDescent="0.25">
      <c r="A28" t="str">
        <f t="shared" si="0"/>
        <v>人民币</v>
      </c>
      <c r="B28" t="str">
        <f>"华致酒行"</f>
        <v>华致酒行</v>
      </c>
      <c r="C28" t="str">
        <f>"20190117"</f>
        <v>20190117</v>
      </c>
      <c r="D28" t="str">
        <f t="shared" si="11"/>
        <v>0.000</v>
      </c>
      <c r="E28" t="str">
        <f>"13.00"</f>
        <v>13.00</v>
      </c>
      <c r="F28" t="str">
        <f t="shared" si="12"/>
        <v>0.00</v>
      </c>
      <c r="G28" t="str">
        <f t="shared" si="10"/>
        <v>873.27</v>
      </c>
      <c r="H28" t="str">
        <f t="shared" si="13"/>
        <v>0.00</v>
      </c>
      <c r="I28" t="str">
        <f>"80"</f>
        <v>80</v>
      </c>
      <c r="J28" t="str">
        <f>"申购配号(华致酒行)"</f>
        <v>申购配号(华致酒行)</v>
      </c>
      <c r="K28" t="str">
        <f t="shared" si="14"/>
        <v>0.00</v>
      </c>
      <c r="L28" t="str">
        <f t="shared" si="9"/>
        <v>0.00</v>
      </c>
      <c r="M28" t="str">
        <f t="shared" si="8"/>
        <v>0.00</v>
      </c>
      <c r="N28" t="str">
        <f t="shared" si="7"/>
        <v>0.00</v>
      </c>
      <c r="O28" t="str">
        <f>"300755"</f>
        <v>300755</v>
      </c>
      <c r="P28" t="str">
        <f>"0153613480"</f>
        <v>0153613480</v>
      </c>
    </row>
    <row r="29" spans="1:16" x14ac:dyDescent="0.25">
      <c r="A29" t="str">
        <f t="shared" si="0"/>
        <v>人民币</v>
      </c>
      <c r="B29" t="str">
        <f>" "</f>
        <v xml:space="preserve"> </v>
      </c>
      <c r="C29" t="str">
        <f>"20190122"</f>
        <v>20190122</v>
      </c>
      <c r="D29" t="str">
        <f>"---"</f>
        <v>---</v>
      </c>
      <c r="E29" t="str">
        <f>"---"</f>
        <v>---</v>
      </c>
      <c r="F29" t="str">
        <f>"10000.00"</f>
        <v>10000.00</v>
      </c>
      <c r="G29" t="str">
        <f>"10873.27"</f>
        <v>10873.27</v>
      </c>
      <c r="H29" t="str">
        <f>"---"</f>
        <v>---</v>
      </c>
      <c r="I29" t="str">
        <f>"---"</f>
        <v>---</v>
      </c>
      <c r="J29" t="str">
        <f>"银行转存"</f>
        <v>银行转存</v>
      </c>
      <c r="K29" t="str">
        <f t="shared" ref="K29:P29" si="15">"---"</f>
        <v>---</v>
      </c>
      <c r="L29" t="str">
        <f t="shared" si="15"/>
        <v>---</v>
      </c>
      <c r="M29" t="str">
        <f t="shared" si="15"/>
        <v>---</v>
      </c>
      <c r="N29" t="str">
        <f t="shared" si="15"/>
        <v>---</v>
      </c>
      <c r="O29" t="str">
        <f t="shared" si="15"/>
        <v>---</v>
      </c>
      <c r="P29" t="str">
        <f t="shared" si="15"/>
        <v>---</v>
      </c>
    </row>
    <row r="30" spans="1:16" x14ac:dyDescent="0.25">
      <c r="A30" t="str">
        <f t="shared" si="0"/>
        <v>人民币</v>
      </c>
      <c r="B30" t="str">
        <f>"江龙船艇"</f>
        <v>江龙船艇</v>
      </c>
      <c r="C30" t="str">
        <f>"20190122"</f>
        <v>20190122</v>
      </c>
      <c r="D30" t="str">
        <f>"11.750"</f>
        <v>11.750</v>
      </c>
      <c r="E30" t="str">
        <f>"400.00"</f>
        <v>400.00</v>
      </c>
      <c r="F30" t="str">
        <f>"-4705.00"</f>
        <v>-4705.00</v>
      </c>
      <c r="G30" t="str">
        <f>"6168.27"</f>
        <v>6168.27</v>
      </c>
      <c r="H30" t="str">
        <f>"5000.00"</f>
        <v>5000.00</v>
      </c>
      <c r="I30" t="str">
        <f>"84"</f>
        <v>84</v>
      </c>
      <c r="J30" t="str">
        <f>"证券买入(江龙船艇)"</f>
        <v>证券买入(江龙船艇)</v>
      </c>
      <c r="K30" t="str">
        <f>"5.00"</f>
        <v>5.00</v>
      </c>
      <c r="L30" t="str">
        <f t="shared" ref="L30:N42" si="16">"0.00"</f>
        <v>0.00</v>
      </c>
      <c r="M30" t="str">
        <f t="shared" si="16"/>
        <v>0.00</v>
      </c>
      <c r="N30" t="str">
        <f t="shared" si="16"/>
        <v>0.00</v>
      </c>
      <c r="O30" t="str">
        <f>"300589"</f>
        <v>300589</v>
      </c>
      <c r="P30" t="str">
        <f>"0153613480"</f>
        <v>0153613480</v>
      </c>
    </row>
    <row r="31" spans="1:16" x14ac:dyDescent="0.25">
      <c r="A31" t="str">
        <f t="shared" si="0"/>
        <v>人民币</v>
      </c>
      <c r="B31" t="str">
        <f>"恒铭达"</f>
        <v>恒铭达</v>
      </c>
      <c r="C31" t="str">
        <f>"20190123"</f>
        <v>20190123</v>
      </c>
      <c r="D31" t="str">
        <f>"0.000"</f>
        <v>0.000</v>
      </c>
      <c r="E31" t="str">
        <f>"13.00"</f>
        <v>13.00</v>
      </c>
      <c r="F31" t="str">
        <f>"0.00"</f>
        <v>0.00</v>
      </c>
      <c r="G31" t="str">
        <f>"6168.27"</f>
        <v>6168.27</v>
      </c>
      <c r="H31" t="str">
        <f>"0.00"</f>
        <v>0.00</v>
      </c>
      <c r="I31" t="str">
        <f>"88"</f>
        <v>88</v>
      </c>
      <c r="J31" t="str">
        <f>"申购配号(恒铭达)"</f>
        <v>申购配号(恒铭达)</v>
      </c>
      <c r="K31" t="str">
        <f>"0.00"</f>
        <v>0.00</v>
      </c>
      <c r="L31" t="str">
        <f t="shared" si="16"/>
        <v>0.00</v>
      </c>
      <c r="M31" t="str">
        <f t="shared" si="16"/>
        <v>0.00</v>
      </c>
      <c r="N31" t="str">
        <f t="shared" si="16"/>
        <v>0.00</v>
      </c>
      <c r="O31" t="str">
        <f>"002947"</f>
        <v>002947</v>
      </c>
      <c r="P31" t="str">
        <f>"0153613480"</f>
        <v>0153613480</v>
      </c>
    </row>
    <row r="32" spans="1:16" x14ac:dyDescent="0.25">
      <c r="A32" t="str">
        <f t="shared" si="0"/>
        <v>人民币</v>
      </c>
      <c r="B32" t="str">
        <f>"中通国脉"</f>
        <v>中通国脉</v>
      </c>
      <c r="C32" t="str">
        <f>"20190124"</f>
        <v>20190124</v>
      </c>
      <c r="D32" t="str">
        <f>"22.800"</f>
        <v>22.800</v>
      </c>
      <c r="E32" t="str">
        <f>"200.00"</f>
        <v>200.00</v>
      </c>
      <c r="F32" t="str">
        <f>"-4565.09"</f>
        <v>-4565.09</v>
      </c>
      <c r="G32" t="str">
        <f t="shared" ref="G32:G38" si="17">"1603.18"</f>
        <v>1603.18</v>
      </c>
      <c r="H32" t="str">
        <f>"800.00"</f>
        <v>800.00</v>
      </c>
      <c r="I32" t="str">
        <f>"91"</f>
        <v>91</v>
      </c>
      <c r="J32" t="str">
        <f>"证券买入(中通国脉)"</f>
        <v>证券买入(中通国脉)</v>
      </c>
      <c r="K32" t="str">
        <f>"5.00"</f>
        <v>5.00</v>
      </c>
      <c r="L32" t="str">
        <f t="shared" si="16"/>
        <v>0.00</v>
      </c>
      <c r="M32" t="str">
        <f>"0.09"</f>
        <v>0.09</v>
      </c>
      <c r="N32" t="str">
        <f t="shared" si="16"/>
        <v>0.00</v>
      </c>
      <c r="O32" t="str">
        <f>"603559"</f>
        <v>603559</v>
      </c>
      <c r="P32" t="str">
        <f>"A400948245"</f>
        <v>A400948245</v>
      </c>
    </row>
    <row r="33" spans="1:16" x14ac:dyDescent="0.25">
      <c r="A33" t="str">
        <f t="shared" si="0"/>
        <v>人民币</v>
      </c>
      <c r="B33" t="str">
        <f>"福莱配号"</f>
        <v>福莱配号</v>
      </c>
      <c r="C33" t="str">
        <f>"20190129"</f>
        <v>20190129</v>
      </c>
      <c r="D33" t="str">
        <f t="shared" ref="D33:D38" si="18">"0.000"</f>
        <v>0.000</v>
      </c>
      <c r="E33" t="str">
        <f>"5.00"</f>
        <v>5.00</v>
      </c>
      <c r="F33" t="str">
        <f t="shared" ref="F33:F38" si="19">"0.00"</f>
        <v>0.00</v>
      </c>
      <c r="G33" t="str">
        <f t="shared" si="17"/>
        <v>1603.18</v>
      </c>
      <c r="H33" t="str">
        <f t="shared" ref="H33:H38" si="20">"0.00"</f>
        <v>0.00</v>
      </c>
      <c r="I33" t="str">
        <f>"96"</f>
        <v>96</v>
      </c>
      <c r="J33" t="str">
        <f>"申购配号(福莱配号)"</f>
        <v>申购配号(福莱配号)</v>
      </c>
      <c r="K33" t="str">
        <f t="shared" ref="K33:K38" si="21">"0.00"</f>
        <v>0.00</v>
      </c>
      <c r="L33" t="str">
        <f t="shared" si="16"/>
        <v>0.00</v>
      </c>
      <c r="M33" t="str">
        <f t="shared" si="16"/>
        <v>0.00</v>
      </c>
      <c r="N33" t="str">
        <f t="shared" si="16"/>
        <v>0.00</v>
      </c>
      <c r="O33" t="str">
        <f>"791865"</f>
        <v>791865</v>
      </c>
      <c r="P33" t="str">
        <f>"A400948245"</f>
        <v>A400948245</v>
      </c>
    </row>
    <row r="34" spans="1:16" x14ac:dyDescent="0.25">
      <c r="A34" t="str">
        <f t="shared" si="0"/>
        <v>人民币</v>
      </c>
      <c r="B34" t="str">
        <f>"立华股份"</f>
        <v>立华股份</v>
      </c>
      <c r="C34" t="str">
        <f>"20190130"</f>
        <v>20190130</v>
      </c>
      <c r="D34" t="str">
        <f t="shared" si="18"/>
        <v>0.000</v>
      </c>
      <c r="E34" t="str">
        <f>"14.00"</f>
        <v>14.00</v>
      </c>
      <c r="F34" t="str">
        <f t="shared" si="19"/>
        <v>0.00</v>
      </c>
      <c r="G34" t="str">
        <f t="shared" si="17"/>
        <v>1603.18</v>
      </c>
      <c r="H34" t="str">
        <f t="shared" si="20"/>
        <v>0.00</v>
      </c>
      <c r="I34" t="str">
        <f>"99"</f>
        <v>99</v>
      </c>
      <c r="J34" t="str">
        <f>"申购配号(立华股份)"</f>
        <v>申购配号(立华股份)</v>
      </c>
      <c r="K34" t="str">
        <f t="shared" si="21"/>
        <v>0.00</v>
      </c>
      <c r="L34" t="str">
        <f t="shared" si="16"/>
        <v>0.00</v>
      </c>
      <c r="M34" t="str">
        <f t="shared" si="16"/>
        <v>0.00</v>
      </c>
      <c r="N34" t="str">
        <f t="shared" si="16"/>
        <v>0.00</v>
      </c>
      <c r="O34" t="str">
        <f>"300761"</f>
        <v>300761</v>
      </c>
      <c r="P34" t="str">
        <f>"0153613480"</f>
        <v>0153613480</v>
      </c>
    </row>
    <row r="35" spans="1:16" x14ac:dyDescent="0.25">
      <c r="A35" t="str">
        <f t="shared" si="0"/>
        <v>人民币</v>
      </c>
      <c r="B35" t="str">
        <f>"威派配号"</f>
        <v>威派配号</v>
      </c>
      <c r="C35" t="str">
        <f>"20190212"</f>
        <v>20190212</v>
      </c>
      <c r="D35" t="str">
        <f t="shared" si="18"/>
        <v>0.000</v>
      </c>
      <c r="E35" t="str">
        <f>"5.00"</f>
        <v>5.00</v>
      </c>
      <c r="F35" t="str">
        <f t="shared" si="19"/>
        <v>0.00</v>
      </c>
      <c r="G35" t="str">
        <f t="shared" si="17"/>
        <v>1603.18</v>
      </c>
      <c r="H35" t="str">
        <f t="shared" si="20"/>
        <v>0.00</v>
      </c>
      <c r="I35" t="str">
        <f>"102"</f>
        <v>102</v>
      </c>
      <c r="J35" t="str">
        <f>"申购配号(威派配号)"</f>
        <v>申购配号(威派配号)</v>
      </c>
      <c r="K35" t="str">
        <f t="shared" si="21"/>
        <v>0.00</v>
      </c>
      <c r="L35" t="str">
        <f t="shared" si="16"/>
        <v>0.00</v>
      </c>
      <c r="M35" t="str">
        <f t="shared" si="16"/>
        <v>0.00</v>
      </c>
      <c r="N35" t="str">
        <f t="shared" si="16"/>
        <v>0.00</v>
      </c>
      <c r="O35" t="str">
        <f>"736956"</f>
        <v>736956</v>
      </c>
      <c r="P35" t="str">
        <f>"A400948245"</f>
        <v>A400948245</v>
      </c>
    </row>
    <row r="36" spans="1:16" x14ac:dyDescent="0.25">
      <c r="A36" t="str">
        <f t="shared" si="0"/>
        <v>人民币</v>
      </c>
      <c r="B36" t="str">
        <f>"华阳国际"</f>
        <v>华阳国际</v>
      </c>
      <c r="C36" t="str">
        <f>"20190213"</f>
        <v>20190213</v>
      </c>
      <c r="D36" t="str">
        <f t="shared" si="18"/>
        <v>0.000</v>
      </c>
      <c r="E36" t="str">
        <f>"14.00"</f>
        <v>14.00</v>
      </c>
      <c r="F36" t="str">
        <f t="shared" si="19"/>
        <v>0.00</v>
      </c>
      <c r="G36" t="str">
        <f t="shared" si="17"/>
        <v>1603.18</v>
      </c>
      <c r="H36" t="str">
        <f t="shared" si="20"/>
        <v>0.00</v>
      </c>
      <c r="I36" t="str">
        <f>"1"</f>
        <v>1</v>
      </c>
      <c r="J36" t="str">
        <f>"申购配号(华阳国际)"</f>
        <v>申购配号(华阳国际)</v>
      </c>
      <c r="K36" t="str">
        <f t="shared" si="21"/>
        <v>0.00</v>
      </c>
      <c r="L36" t="str">
        <f t="shared" si="16"/>
        <v>0.00</v>
      </c>
      <c r="M36" t="str">
        <f t="shared" si="16"/>
        <v>0.00</v>
      </c>
      <c r="N36" t="str">
        <f t="shared" si="16"/>
        <v>0.00</v>
      </c>
      <c r="O36" t="str">
        <f>"002949"</f>
        <v>002949</v>
      </c>
      <c r="P36" t="str">
        <f>"0153613480"</f>
        <v>0153613480</v>
      </c>
    </row>
    <row r="37" spans="1:16" x14ac:dyDescent="0.25">
      <c r="A37" t="str">
        <f t="shared" si="0"/>
        <v>人民币</v>
      </c>
      <c r="B37" t="str">
        <f>"七彩化学"</f>
        <v>七彩化学</v>
      </c>
      <c r="C37" t="str">
        <f>"20190213"</f>
        <v>20190213</v>
      </c>
      <c r="D37" t="str">
        <f t="shared" si="18"/>
        <v>0.000</v>
      </c>
      <c r="E37" t="str">
        <f>"14.00"</f>
        <v>14.00</v>
      </c>
      <c r="F37" t="str">
        <f t="shared" si="19"/>
        <v>0.00</v>
      </c>
      <c r="G37" t="str">
        <f t="shared" si="17"/>
        <v>1603.18</v>
      </c>
      <c r="H37" t="str">
        <f t="shared" si="20"/>
        <v>0.00</v>
      </c>
      <c r="I37" t="str">
        <f>"3"</f>
        <v>3</v>
      </c>
      <c r="J37" t="str">
        <f>"申购配号(七彩化学)"</f>
        <v>申购配号(七彩化学)</v>
      </c>
      <c r="K37" t="str">
        <f t="shared" si="21"/>
        <v>0.00</v>
      </c>
      <c r="L37" t="str">
        <f t="shared" si="16"/>
        <v>0.00</v>
      </c>
      <c r="M37" t="str">
        <f t="shared" si="16"/>
        <v>0.00</v>
      </c>
      <c r="N37" t="str">
        <f t="shared" si="16"/>
        <v>0.00</v>
      </c>
      <c r="O37" t="str">
        <f>"300758"</f>
        <v>300758</v>
      </c>
      <c r="P37" t="str">
        <f>"0153613480"</f>
        <v>0153613480</v>
      </c>
    </row>
    <row r="38" spans="1:16" x14ac:dyDescent="0.25">
      <c r="A38" t="str">
        <f t="shared" si="0"/>
        <v>人民币</v>
      </c>
      <c r="B38" t="str">
        <f>"西银配号"</f>
        <v>西银配号</v>
      </c>
      <c r="C38" t="str">
        <f>"20190219"</f>
        <v>20190219</v>
      </c>
      <c r="D38" t="str">
        <f t="shared" si="18"/>
        <v>0.000</v>
      </c>
      <c r="E38" t="str">
        <f>"0.00"</f>
        <v>0.00</v>
      </c>
      <c r="F38" t="str">
        <f t="shared" si="19"/>
        <v>0.00</v>
      </c>
      <c r="G38" t="str">
        <f t="shared" si="17"/>
        <v>1603.18</v>
      </c>
      <c r="H38" t="str">
        <f t="shared" si="20"/>
        <v>0.00</v>
      </c>
      <c r="I38" t="str">
        <f>"7"</f>
        <v>7</v>
      </c>
      <c r="J38" t="str">
        <f>"申购配号(西银配号)"</f>
        <v>申购配号(西银配号)</v>
      </c>
      <c r="K38" t="str">
        <f t="shared" si="21"/>
        <v>0.00</v>
      </c>
      <c r="L38" t="str">
        <f t="shared" si="16"/>
        <v>0.00</v>
      </c>
      <c r="M38" t="str">
        <f t="shared" si="16"/>
        <v>0.00</v>
      </c>
      <c r="N38" t="str">
        <f t="shared" si="16"/>
        <v>0.00</v>
      </c>
      <c r="O38" t="str">
        <f>"741928"</f>
        <v>741928</v>
      </c>
      <c r="P38" t="str">
        <f>"A400948245"</f>
        <v>A400948245</v>
      </c>
    </row>
    <row r="39" spans="1:16" x14ac:dyDescent="0.25">
      <c r="A39" t="str">
        <f t="shared" si="0"/>
        <v>人民币</v>
      </c>
      <c r="B39" t="str">
        <f>"江龙船艇"</f>
        <v>江龙船艇</v>
      </c>
      <c r="C39" t="str">
        <f>"20190220"</f>
        <v>20190220</v>
      </c>
      <c r="D39" t="str">
        <f>"12.690"</f>
        <v>12.690</v>
      </c>
      <c r="E39" t="str">
        <f>"-1000.00"</f>
        <v>-1000.00</v>
      </c>
      <c r="F39" t="str">
        <f>"12664.62"</f>
        <v>12664.62</v>
      </c>
      <c r="G39" t="str">
        <f>"14267.80"</f>
        <v>14267.80</v>
      </c>
      <c r="H39" t="str">
        <f>"4000.00"</f>
        <v>4000.00</v>
      </c>
      <c r="I39" t="str">
        <f>"10"</f>
        <v>10</v>
      </c>
      <c r="J39" t="str">
        <f>"证券卖出(江龙船艇)"</f>
        <v>证券卖出(江龙船艇)</v>
      </c>
      <c r="K39" t="str">
        <f>"12.69"</f>
        <v>12.69</v>
      </c>
      <c r="L39" t="str">
        <f>"12.69"</f>
        <v>12.69</v>
      </c>
      <c r="M39" t="str">
        <f t="shared" si="16"/>
        <v>0.00</v>
      </c>
      <c r="N39" t="str">
        <f t="shared" si="16"/>
        <v>0.00</v>
      </c>
      <c r="O39" t="str">
        <f>"300589"</f>
        <v>300589</v>
      </c>
      <c r="P39" t="str">
        <f>"0153613480"</f>
        <v>0153613480</v>
      </c>
    </row>
    <row r="40" spans="1:16" x14ac:dyDescent="0.25">
      <c r="A40" t="str">
        <f t="shared" si="0"/>
        <v>人民币</v>
      </c>
      <c r="B40" t="str">
        <f>"九典制药"</f>
        <v>九典制药</v>
      </c>
      <c r="C40" t="str">
        <f>"20190221"</f>
        <v>20190221</v>
      </c>
      <c r="D40" t="str">
        <f>"12.730"</f>
        <v>12.730</v>
      </c>
      <c r="E40" t="str">
        <f>"400.00"</f>
        <v>400.00</v>
      </c>
      <c r="F40" t="str">
        <f>"-5097.09"</f>
        <v>-5097.09</v>
      </c>
      <c r="G40" t="str">
        <f>"9170.71"</f>
        <v>9170.71</v>
      </c>
      <c r="H40" t="str">
        <f>"1800.00"</f>
        <v>1800.00</v>
      </c>
      <c r="I40" t="str">
        <f>"16"</f>
        <v>16</v>
      </c>
      <c r="J40" t="str">
        <f>"证券买入(九典制药)"</f>
        <v>证券买入(九典制药)</v>
      </c>
      <c r="K40" t="str">
        <f>"5.09"</f>
        <v>5.09</v>
      </c>
      <c r="L40" t="str">
        <f>"0.00"</f>
        <v>0.00</v>
      </c>
      <c r="M40" t="str">
        <f t="shared" si="16"/>
        <v>0.00</v>
      </c>
      <c r="N40" t="str">
        <f t="shared" si="16"/>
        <v>0.00</v>
      </c>
      <c r="O40" t="str">
        <f>"300705"</f>
        <v>300705</v>
      </c>
      <c r="P40" t="str">
        <f>"0153613480"</f>
        <v>0153613480</v>
      </c>
    </row>
    <row r="41" spans="1:16" x14ac:dyDescent="0.25">
      <c r="A41" t="str">
        <f t="shared" si="0"/>
        <v>人民币</v>
      </c>
      <c r="B41" t="str">
        <f>"九典制药"</f>
        <v>九典制药</v>
      </c>
      <c r="C41" t="str">
        <f>"20190221"</f>
        <v>20190221</v>
      </c>
      <c r="D41" t="str">
        <f>"12.560"</f>
        <v>12.560</v>
      </c>
      <c r="E41" t="str">
        <f>"200.00"</f>
        <v>200.00</v>
      </c>
      <c r="F41" t="str">
        <f>"-2517.00"</f>
        <v>-2517.00</v>
      </c>
      <c r="G41" t="str">
        <f>"6653.71"</f>
        <v>6653.71</v>
      </c>
      <c r="H41" t="str">
        <f>"2000.00"</f>
        <v>2000.00</v>
      </c>
      <c r="I41" t="str">
        <f>"22"</f>
        <v>22</v>
      </c>
      <c r="J41" t="str">
        <f>"证券买入(九典制药)"</f>
        <v>证券买入(九典制药)</v>
      </c>
      <c r="K41" t="str">
        <f>"5.00"</f>
        <v>5.00</v>
      </c>
      <c r="L41" t="str">
        <f>"0.00"</f>
        <v>0.00</v>
      </c>
      <c r="M41" t="str">
        <f t="shared" si="16"/>
        <v>0.00</v>
      </c>
      <c r="N41" t="str">
        <f t="shared" si="16"/>
        <v>0.00</v>
      </c>
      <c r="O41" t="str">
        <f>"300705"</f>
        <v>300705</v>
      </c>
      <c r="P41" t="str">
        <f>"0153613480"</f>
        <v>0153613480</v>
      </c>
    </row>
    <row r="42" spans="1:16" x14ac:dyDescent="0.25">
      <c r="A42" t="str">
        <f t="shared" si="0"/>
        <v>人民币</v>
      </c>
      <c r="B42" t="str">
        <f>"中通国脉"</f>
        <v>中通国脉</v>
      </c>
      <c r="C42" t="str">
        <f>"20190222"</f>
        <v>20190222</v>
      </c>
      <c r="D42" t="str">
        <f>"23.270"</f>
        <v>23.270</v>
      </c>
      <c r="E42" t="str">
        <f>"-200.00"</f>
        <v>-200.00</v>
      </c>
      <c r="F42" t="str">
        <f>"4644.26"</f>
        <v>4644.26</v>
      </c>
      <c r="G42" t="str">
        <f>"11297.97"</f>
        <v>11297.97</v>
      </c>
      <c r="H42" t="str">
        <f>"600.00"</f>
        <v>600.00</v>
      </c>
      <c r="I42" t="str">
        <f>"33"</f>
        <v>33</v>
      </c>
      <c r="J42" t="str">
        <f>"证券卖出(中通国脉)"</f>
        <v>证券卖出(中通国脉)</v>
      </c>
      <c r="K42" t="str">
        <f>"5.00"</f>
        <v>5.00</v>
      </c>
      <c r="L42" t="str">
        <f>"4.65"</f>
        <v>4.65</v>
      </c>
      <c r="M42" t="str">
        <f>"0.09"</f>
        <v>0.09</v>
      </c>
      <c r="N42" t="str">
        <f t="shared" si="16"/>
        <v>0.00</v>
      </c>
      <c r="O42" t="str">
        <f>"603559"</f>
        <v>603559</v>
      </c>
      <c r="P42" t="str">
        <f>"A400948245"</f>
        <v>A400948245</v>
      </c>
    </row>
    <row r="43" spans="1:16" x14ac:dyDescent="0.25">
      <c r="A43" t="str">
        <f t="shared" si="0"/>
        <v>人民币</v>
      </c>
      <c r="B43" t="str">
        <f>" "</f>
        <v xml:space="preserve"> </v>
      </c>
      <c r="C43" t="str">
        <f>"20190225"</f>
        <v>20190225</v>
      </c>
      <c r="D43" t="str">
        <f>"---"</f>
        <v>---</v>
      </c>
      <c r="E43" t="str">
        <f>"---"</f>
        <v>---</v>
      </c>
      <c r="F43" t="str">
        <f>"-10000.00"</f>
        <v>-10000.00</v>
      </c>
      <c r="G43" t="str">
        <f>"1297.97"</f>
        <v>1297.97</v>
      </c>
      <c r="H43" t="str">
        <f>"---"</f>
        <v>---</v>
      </c>
      <c r="I43" t="str">
        <f>"---"</f>
        <v>---</v>
      </c>
      <c r="J43" t="str">
        <f>"银行转取"</f>
        <v>银行转取</v>
      </c>
      <c r="K43" t="str">
        <f t="shared" ref="K43:P43" si="22">"---"</f>
        <v>---</v>
      </c>
      <c r="L43" t="str">
        <f t="shared" si="22"/>
        <v>---</v>
      </c>
      <c r="M43" t="str">
        <f t="shared" si="22"/>
        <v>---</v>
      </c>
      <c r="N43" t="str">
        <f t="shared" si="22"/>
        <v>---</v>
      </c>
      <c r="O43" t="str">
        <f t="shared" si="22"/>
        <v>---</v>
      </c>
      <c r="P43" t="str">
        <f t="shared" si="22"/>
        <v>---</v>
      </c>
    </row>
    <row r="44" spans="1:16" x14ac:dyDescent="0.25">
      <c r="A44" t="str">
        <f t="shared" si="0"/>
        <v>人民币</v>
      </c>
      <c r="B44" t="str">
        <f>"九典制药"</f>
        <v>九典制药</v>
      </c>
      <c r="C44" t="str">
        <f>"20190225"</f>
        <v>20190225</v>
      </c>
      <c r="D44" t="str">
        <f>"13.880"</f>
        <v>13.880</v>
      </c>
      <c r="E44" t="str">
        <f>"-1000.00"</f>
        <v>-1000.00</v>
      </c>
      <c r="F44" t="str">
        <f>"13852.24"</f>
        <v>13852.24</v>
      </c>
      <c r="G44" t="str">
        <f>"15150.21"</f>
        <v>15150.21</v>
      </c>
      <c r="H44" t="str">
        <f>"1000.00"</f>
        <v>1000.00</v>
      </c>
      <c r="I44" t="str">
        <f>"39"</f>
        <v>39</v>
      </c>
      <c r="J44" t="str">
        <f>"证券卖出(九典制药)"</f>
        <v>证券卖出(九典制药)</v>
      </c>
      <c r="K44" t="str">
        <f>"13.88"</f>
        <v>13.88</v>
      </c>
      <c r="L44" t="str">
        <f>"13.88"</f>
        <v>13.88</v>
      </c>
      <c r="M44" t="str">
        <f>"0.00"</f>
        <v>0.00</v>
      </c>
      <c r="N44" t="str">
        <f>"0.00"</f>
        <v>0.00</v>
      </c>
      <c r="O44" t="str">
        <f>"300705"</f>
        <v>300705</v>
      </c>
      <c r="P44" t="str">
        <f>"0153613480"</f>
        <v>0153613480</v>
      </c>
    </row>
    <row r="45" spans="1:16" x14ac:dyDescent="0.25">
      <c r="A45" t="str">
        <f t="shared" si="0"/>
        <v>人民币</v>
      </c>
      <c r="B45" t="str">
        <f>"九典制药"</f>
        <v>九典制药</v>
      </c>
      <c r="C45" t="str">
        <f>"20190225"</f>
        <v>20190225</v>
      </c>
      <c r="D45" t="str">
        <f>"13.890"</f>
        <v>13.890</v>
      </c>
      <c r="E45" t="str">
        <f>"-1000.00"</f>
        <v>-1000.00</v>
      </c>
      <c r="F45" t="str">
        <f>"13862.22"</f>
        <v>13862.22</v>
      </c>
      <c r="G45" t="str">
        <f>"29012.43"</f>
        <v>29012.43</v>
      </c>
      <c r="H45" t="str">
        <f>"0.00"</f>
        <v>0.00</v>
      </c>
      <c r="I45" t="str">
        <f>"42"</f>
        <v>42</v>
      </c>
      <c r="J45" t="str">
        <f>"证券卖出(九典制药)"</f>
        <v>证券卖出(九典制药)</v>
      </c>
      <c r="K45" t="str">
        <f>"13.89"</f>
        <v>13.89</v>
      </c>
      <c r="L45" t="str">
        <f>"13.89"</f>
        <v>13.89</v>
      </c>
      <c r="M45" t="str">
        <f>"0.00"</f>
        <v>0.00</v>
      </c>
      <c r="N45" t="str">
        <f>"0.00"</f>
        <v>0.00</v>
      </c>
      <c r="O45" t="str">
        <f>"300705"</f>
        <v>300705</v>
      </c>
      <c r="P45" t="str">
        <f>"0153613480"</f>
        <v>0153613480</v>
      </c>
    </row>
    <row r="46" spans="1:16" x14ac:dyDescent="0.25">
      <c r="A46" t="str">
        <f t="shared" si="0"/>
        <v>人民币</v>
      </c>
      <c r="B46" t="str">
        <f>"中通国脉"</f>
        <v>中通国脉</v>
      </c>
      <c r="C46" t="str">
        <f>"20190226"</f>
        <v>20190226</v>
      </c>
      <c r="D46" t="str">
        <f>"23.830"</f>
        <v>23.830</v>
      </c>
      <c r="E46" t="str">
        <f>"400.00"</f>
        <v>400.00</v>
      </c>
      <c r="F46" t="str">
        <f>"-9541.72"</f>
        <v>-9541.72</v>
      </c>
      <c r="G46" t="str">
        <f>"19470.71"</f>
        <v>19470.71</v>
      </c>
      <c r="H46" t="str">
        <f>"1000.00"</f>
        <v>1000.00</v>
      </c>
      <c r="I46" t="str">
        <f>"48"</f>
        <v>48</v>
      </c>
      <c r="J46" t="str">
        <f>"证券买入(中通国脉)"</f>
        <v>证券买入(中通国脉)</v>
      </c>
      <c r="K46" t="str">
        <f>"9.53"</f>
        <v>9.53</v>
      </c>
      <c r="L46" t="str">
        <f>"0.00"</f>
        <v>0.00</v>
      </c>
      <c r="M46" t="str">
        <f>"0.19"</f>
        <v>0.19</v>
      </c>
      <c r="N46" t="str">
        <f>"0.00"</f>
        <v>0.00</v>
      </c>
      <c r="O46" t="str">
        <f>"603559"</f>
        <v>603559</v>
      </c>
      <c r="P46" t="str">
        <f>"A400948245"</f>
        <v>A400948245</v>
      </c>
    </row>
    <row r="47" spans="1:16" x14ac:dyDescent="0.25">
      <c r="A47" t="str">
        <f t="shared" si="0"/>
        <v>人民币</v>
      </c>
      <c r="B47" t="str">
        <f>""</f>
        <v/>
      </c>
      <c r="C47" t="str">
        <f>"20190227"</f>
        <v>20190227</v>
      </c>
      <c r="D47" t="str">
        <f>"---"</f>
        <v>---</v>
      </c>
      <c r="E47" t="str">
        <f>"---"</f>
        <v>---</v>
      </c>
      <c r="F47" t="str">
        <f>"-15000.00"</f>
        <v>-15000.00</v>
      </c>
      <c r="G47" t="str">
        <f>"4470.71"</f>
        <v>4470.71</v>
      </c>
      <c r="H47" t="str">
        <f>"---"</f>
        <v>---</v>
      </c>
      <c r="I47" t="str">
        <f>"---"</f>
        <v>---</v>
      </c>
      <c r="J47" t="str">
        <f>"银行转取"</f>
        <v>银行转取</v>
      </c>
      <c r="K47" t="str">
        <f t="shared" ref="K47:P47" si="23">"---"</f>
        <v>---</v>
      </c>
      <c r="L47" t="str">
        <f t="shared" si="23"/>
        <v>---</v>
      </c>
      <c r="M47" t="str">
        <f t="shared" si="23"/>
        <v>---</v>
      </c>
      <c r="N47" t="str">
        <f t="shared" si="23"/>
        <v>---</v>
      </c>
      <c r="O47" t="str">
        <f t="shared" si="23"/>
        <v>---</v>
      </c>
      <c r="P47" t="str">
        <f t="shared" si="23"/>
        <v>---</v>
      </c>
    </row>
    <row r="48" spans="1:16" x14ac:dyDescent="0.25">
      <c r="A48" t="str">
        <f t="shared" si="0"/>
        <v>人民币</v>
      </c>
      <c r="B48" t="str">
        <f>"江龙船艇"</f>
        <v>江龙船艇</v>
      </c>
      <c r="C48" t="str">
        <f>"20190227"</f>
        <v>20190227</v>
      </c>
      <c r="D48" t="str">
        <f>"13.660"</f>
        <v>13.660</v>
      </c>
      <c r="E48" t="str">
        <f>"-2000.00"</f>
        <v>-2000.00</v>
      </c>
      <c r="F48" t="str">
        <f>"27265.36"</f>
        <v>27265.36</v>
      </c>
      <c r="G48" t="str">
        <f>"31736.07"</f>
        <v>31736.07</v>
      </c>
      <c r="H48" t="str">
        <f>"2000.00"</f>
        <v>2000.00</v>
      </c>
      <c r="I48" t="str">
        <f>"57"</f>
        <v>57</v>
      </c>
      <c r="J48" t="str">
        <f>"证券卖出(江龙船艇)"</f>
        <v>证券卖出(江龙船艇)</v>
      </c>
      <c r="K48" t="str">
        <f>"27.32"</f>
        <v>27.32</v>
      </c>
      <c r="L48" t="str">
        <f>"27.32"</f>
        <v>27.32</v>
      </c>
      <c r="M48" t="str">
        <f>"0.00"</f>
        <v>0.00</v>
      </c>
      <c r="N48" t="str">
        <f>"0.00"</f>
        <v>0.00</v>
      </c>
      <c r="O48" t="str">
        <f>"300589"</f>
        <v>300589</v>
      </c>
      <c r="P48" t="str">
        <f>"0153613480"</f>
        <v>0153613480</v>
      </c>
    </row>
    <row r="49" spans="1:16" x14ac:dyDescent="0.25">
      <c r="A49" t="str">
        <f t="shared" si="0"/>
        <v>人民币</v>
      </c>
      <c r="B49" t="str">
        <f>"奥美医疗"</f>
        <v>奥美医疗</v>
      </c>
      <c r="C49" t="str">
        <f>"20190227"</f>
        <v>20190227</v>
      </c>
      <c r="D49" t="str">
        <f>"0.000"</f>
        <v>0.000</v>
      </c>
      <c r="E49" t="str">
        <f>"14.00"</f>
        <v>14.00</v>
      </c>
      <c r="F49" t="str">
        <f>"0.00"</f>
        <v>0.00</v>
      </c>
      <c r="G49" t="str">
        <f>"31736.07"</f>
        <v>31736.07</v>
      </c>
      <c r="H49" t="str">
        <f>"0.00"</f>
        <v>0.00</v>
      </c>
      <c r="I49" t="str">
        <f>"52"</f>
        <v>52</v>
      </c>
      <c r="J49" t="str">
        <f>"申购配号(奥美医疗)"</f>
        <v>申购配号(奥美医疗)</v>
      </c>
      <c r="K49" t="str">
        <f>"0.00"</f>
        <v>0.00</v>
      </c>
      <c r="L49" t="str">
        <f>"0.00"</f>
        <v>0.00</v>
      </c>
      <c r="M49" t="str">
        <f>"0.00"</f>
        <v>0.00</v>
      </c>
      <c r="N49" t="str">
        <f>"0.00"</f>
        <v>0.00</v>
      </c>
      <c r="O49" t="str">
        <f>"002950"</f>
        <v>002950</v>
      </c>
      <c r="P49" t="str">
        <f>"0153613480"</f>
        <v>0153613480</v>
      </c>
    </row>
    <row r="50" spans="1:16" x14ac:dyDescent="0.25">
      <c r="A50" t="str">
        <f t="shared" si="0"/>
        <v>人民币</v>
      </c>
      <c r="B50" t="str">
        <f>""</f>
        <v/>
      </c>
      <c r="C50" t="str">
        <f>"20190228"</f>
        <v>20190228</v>
      </c>
      <c r="D50" t="str">
        <f>"---"</f>
        <v>---</v>
      </c>
      <c r="E50" t="str">
        <f>"---"</f>
        <v>---</v>
      </c>
      <c r="F50" t="str">
        <f>"-10000.00"</f>
        <v>-10000.00</v>
      </c>
      <c r="G50" t="str">
        <f>"21736.07"</f>
        <v>21736.07</v>
      </c>
      <c r="H50" t="str">
        <f>"---"</f>
        <v>---</v>
      </c>
      <c r="I50" t="str">
        <f>"---"</f>
        <v>---</v>
      </c>
      <c r="J50" t="str">
        <f>"银行转取"</f>
        <v>银行转取</v>
      </c>
      <c r="K50" t="str">
        <f t="shared" ref="K50:P50" si="24">"---"</f>
        <v>---</v>
      </c>
      <c r="L50" t="str">
        <f t="shared" si="24"/>
        <v>---</v>
      </c>
      <c r="M50" t="str">
        <f t="shared" si="24"/>
        <v>---</v>
      </c>
      <c r="N50" t="str">
        <f t="shared" si="24"/>
        <v>---</v>
      </c>
      <c r="O50" t="str">
        <f t="shared" si="24"/>
        <v>---</v>
      </c>
      <c r="P50" t="str">
        <f t="shared" si="24"/>
        <v>---</v>
      </c>
    </row>
    <row r="51" spans="1:16" x14ac:dyDescent="0.25">
      <c r="A51" t="str">
        <f t="shared" si="0"/>
        <v>人民币</v>
      </c>
      <c r="B51" t="str">
        <f>"高能环境"</f>
        <v>高能环境</v>
      </c>
      <c r="C51" t="str">
        <f>"20190301"</f>
        <v>20190301</v>
      </c>
      <c r="D51" t="str">
        <f>"9.580"</f>
        <v>9.580</v>
      </c>
      <c r="E51" t="str">
        <f>"1000.00"</f>
        <v>1000.00</v>
      </c>
      <c r="F51" t="str">
        <f>"-9589.77"</f>
        <v>-9589.77</v>
      </c>
      <c r="G51" t="str">
        <f>"12146.30"</f>
        <v>12146.30</v>
      </c>
      <c r="H51" t="str">
        <f>"1000.00"</f>
        <v>1000.00</v>
      </c>
      <c r="I51" t="str">
        <f>"67"</f>
        <v>67</v>
      </c>
      <c r="J51" t="str">
        <f>"证券买入(高能环境)"</f>
        <v>证券买入(高能环境)</v>
      </c>
      <c r="K51" t="str">
        <f>"9.58"</f>
        <v>9.58</v>
      </c>
      <c r="L51" t="str">
        <f>"0.00"</f>
        <v>0.00</v>
      </c>
      <c r="M51" t="str">
        <f>"0.19"</f>
        <v>0.19</v>
      </c>
      <c r="N51" t="str">
        <f>"0.00"</f>
        <v>0.00</v>
      </c>
      <c r="O51" t="str">
        <f>"603588"</f>
        <v>603588</v>
      </c>
      <c r="P51" t="str">
        <f>"A400948245"</f>
        <v>A400948245</v>
      </c>
    </row>
    <row r="52" spans="1:16" x14ac:dyDescent="0.25">
      <c r="A52" t="str">
        <f t="shared" si="0"/>
        <v>人民币</v>
      </c>
      <c r="B52" t="str">
        <f>"七一二"</f>
        <v>七一二</v>
      </c>
      <c r="C52" t="str">
        <f>"20190301"</f>
        <v>20190301</v>
      </c>
      <c r="D52" t="str">
        <f>"18.030"</f>
        <v>18.030</v>
      </c>
      <c r="E52" t="str">
        <f>"600.00"</f>
        <v>600.00</v>
      </c>
      <c r="F52" t="str">
        <f>"-10829.04"</f>
        <v>-10829.04</v>
      </c>
      <c r="G52" t="str">
        <f>"1317.26"</f>
        <v>1317.26</v>
      </c>
      <c r="H52" t="str">
        <f>"2600.00"</f>
        <v>2600.00</v>
      </c>
      <c r="I52" t="str">
        <f>"70"</f>
        <v>70</v>
      </c>
      <c r="J52" t="str">
        <f>"证券买入(七一二)"</f>
        <v>证券买入(七一二)</v>
      </c>
      <c r="K52" t="str">
        <f>"10.82"</f>
        <v>10.82</v>
      </c>
      <c r="L52" t="str">
        <f>"0.00"</f>
        <v>0.00</v>
      </c>
      <c r="M52" t="str">
        <f>"0.22"</f>
        <v>0.22</v>
      </c>
      <c r="N52" t="str">
        <f>"0.00"</f>
        <v>0.00</v>
      </c>
      <c r="O52" t="str">
        <f>"603712"</f>
        <v>603712</v>
      </c>
      <c r="P52" t="str">
        <f>"A400948245"</f>
        <v>A400948245</v>
      </c>
    </row>
    <row r="53" spans="1:16" x14ac:dyDescent="0.25">
      <c r="A53" t="str">
        <f t="shared" si="0"/>
        <v>人民币</v>
      </c>
      <c r="B53" t="str">
        <f>"七一二"</f>
        <v>七一二</v>
      </c>
      <c r="C53" t="str">
        <f>"20190301"</f>
        <v>20190301</v>
      </c>
      <c r="D53" t="str">
        <f>"18.430"</f>
        <v>18.430</v>
      </c>
      <c r="E53" t="str">
        <f>"-600.00"</f>
        <v>-600.00</v>
      </c>
      <c r="F53" t="str">
        <f>"11035.66"</f>
        <v>11035.66</v>
      </c>
      <c r="G53" t="str">
        <f>"12352.92"</f>
        <v>12352.92</v>
      </c>
      <c r="H53" t="str">
        <f>"2000.00"</f>
        <v>2000.00</v>
      </c>
      <c r="I53" t="str">
        <f>"73"</f>
        <v>73</v>
      </c>
      <c r="J53" t="str">
        <f>"证券卖出(七一二)"</f>
        <v>证券卖出(七一二)</v>
      </c>
      <c r="K53" t="str">
        <f>"11.06"</f>
        <v>11.06</v>
      </c>
      <c r="L53" t="str">
        <f>"11.06"</f>
        <v>11.06</v>
      </c>
      <c r="M53" t="str">
        <f>"0.22"</f>
        <v>0.22</v>
      </c>
      <c r="N53" t="str">
        <f>"0.00"</f>
        <v>0.00</v>
      </c>
      <c r="O53" t="str">
        <f>"603712"</f>
        <v>603712</v>
      </c>
      <c r="P53" t="str">
        <f>"A400948245"</f>
        <v>A400948245</v>
      </c>
    </row>
    <row r="54" spans="1:16" x14ac:dyDescent="0.25">
      <c r="A54" t="str">
        <f t="shared" si="0"/>
        <v>人民币</v>
      </c>
      <c r="B54" t="str">
        <f>""</f>
        <v/>
      </c>
      <c r="C54" t="str">
        <f t="shared" ref="C54:C59" si="25">"20190304"</f>
        <v>20190304</v>
      </c>
      <c r="D54" t="str">
        <f>"---"</f>
        <v>---</v>
      </c>
      <c r="E54" t="str">
        <f>"---"</f>
        <v>---</v>
      </c>
      <c r="F54" t="str">
        <f>"-10000.00"</f>
        <v>-10000.00</v>
      </c>
      <c r="G54" t="str">
        <f>"2352.92"</f>
        <v>2352.92</v>
      </c>
      <c r="H54" t="str">
        <f>"---"</f>
        <v>---</v>
      </c>
      <c r="I54" t="str">
        <f>"---"</f>
        <v>---</v>
      </c>
      <c r="J54" t="str">
        <f>"银行转取"</f>
        <v>银行转取</v>
      </c>
      <c r="K54" t="str">
        <f t="shared" ref="K54:P54" si="26">"---"</f>
        <v>---</v>
      </c>
      <c r="L54" t="str">
        <f t="shared" si="26"/>
        <v>---</v>
      </c>
      <c r="M54" t="str">
        <f t="shared" si="26"/>
        <v>---</v>
      </c>
      <c r="N54" t="str">
        <f t="shared" si="26"/>
        <v>---</v>
      </c>
      <c r="O54" t="str">
        <f t="shared" si="26"/>
        <v>---</v>
      </c>
      <c r="P54" t="str">
        <f t="shared" si="26"/>
        <v>---</v>
      </c>
    </row>
    <row r="55" spans="1:16" x14ac:dyDescent="0.25">
      <c r="A55" t="str">
        <f t="shared" si="0"/>
        <v>人民币</v>
      </c>
      <c r="B55" t="str">
        <f>"高能环境"</f>
        <v>高能环境</v>
      </c>
      <c r="C55" t="str">
        <f t="shared" si="25"/>
        <v>20190304</v>
      </c>
      <c r="D55" t="str">
        <f>"10.080"</f>
        <v>10.080</v>
      </c>
      <c r="E55" t="str">
        <f>"-1000.00"</f>
        <v>-1000.00</v>
      </c>
      <c r="F55" t="str">
        <f>"10059.64"</f>
        <v>10059.64</v>
      </c>
      <c r="G55" t="str">
        <f>"12412.56"</f>
        <v>12412.56</v>
      </c>
      <c r="H55" t="str">
        <f>"0.00"</f>
        <v>0.00</v>
      </c>
      <c r="I55" t="str">
        <f>"84"</f>
        <v>84</v>
      </c>
      <c r="J55" t="str">
        <f>"证券卖出(高能环境)"</f>
        <v>证券卖出(高能环境)</v>
      </c>
      <c r="K55" t="str">
        <f>"10.08"</f>
        <v>10.08</v>
      </c>
      <c r="L55" t="str">
        <f>"10.08"</f>
        <v>10.08</v>
      </c>
      <c r="M55" t="str">
        <f>"0.20"</f>
        <v>0.20</v>
      </c>
      <c r="N55" t="str">
        <f>"0.00"</f>
        <v>0.00</v>
      </c>
      <c r="O55" t="str">
        <f>"603588"</f>
        <v>603588</v>
      </c>
      <c r="P55" t="str">
        <f>"A400948245"</f>
        <v>A400948245</v>
      </c>
    </row>
    <row r="56" spans="1:16" x14ac:dyDescent="0.25">
      <c r="A56" t="str">
        <f t="shared" si="0"/>
        <v>人民币</v>
      </c>
      <c r="B56" t="str">
        <f>"中通国脉"</f>
        <v>中通国脉</v>
      </c>
      <c r="C56" t="str">
        <f t="shared" si="25"/>
        <v>20190304</v>
      </c>
      <c r="D56" t="str">
        <f>"24.500"</f>
        <v>24.500</v>
      </c>
      <c r="E56" t="str">
        <f>"-400.00"</f>
        <v>-400.00</v>
      </c>
      <c r="F56" t="str">
        <f>"9780.20"</f>
        <v>9780.20</v>
      </c>
      <c r="G56" t="str">
        <f>"22192.76"</f>
        <v>22192.76</v>
      </c>
      <c r="H56" t="str">
        <f>"600.00"</f>
        <v>600.00</v>
      </c>
      <c r="I56" t="str">
        <f>"98"</f>
        <v>98</v>
      </c>
      <c r="J56" t="str">
        <f>"证券卖出(中通国脉)"</f>
        <v>证券卖出(中通国脉)</v>
      </c>
      <c r="K56" t="str">
        <f>"9.80"</f>
        <v>9.80</v>
      </c>
      <c r="L56" t="str">
        <f>"9.80"</f>
        <v>9.80</v>
      </c>
      <c r="M56" t="str">
        <f>"0.20"</f>
        <v>0.20</v>
      </c>
      <c r="N56" t="str">
        <f>"0.00"</f>
        <v>0.00</v>
      </c>
      <c r="O56" t="str">
        <f>"603559"</f>
        <v>603559</v>
      </c>
      <c r="P56" t="str">
        <f>"A400948245"</f>
        <v>A400948245</v>
      </c>
    </row>
    <row r="57" spans="1:16" x14ac:dyDescent="0.25">
      <c r="A57" t="str">
        <f t="shared" si="0"/>
        <v>人民币</v>
      </c>
      <c r="B57" t="str">
        <f>"江龙船艇"</f>
        <v>江龙船艇</v>
      </c>
      <c r="C57" t="str">
        <f t="shared" si="25"/>
        <v>20190304</v>
      </c>
      <c r="D57" t="str">
        <f>"13.550"</f>
        <v>13.550</v>
      </c>
      <c r="E57" t="str">
        <f>"-1000.00"</f>
        <v>-1000.00</v>
      </c>
      <c r="F57" t="str">
        <f>"13522.90"</f>
        <v>13522.90</v>
      </c>
      <c r="G57" t="str">
        <f>"35715.66"</f>
        <v>35715.66</v>
      </c>
      <c r="H57" t="str">
        <f>"1000.00"</f>
        <v>1000.00</v>
      </c>
      <c r="I57" t="str">
        <f>"79"</f>
        <v>79</v>
      </c>
      <c r="J57" t="str">
        <f>"证券卖出(江龙船艇)"</f>
        <v>证券卖出(江龙船艇)</v>
      </c>
      <c r="K57" t="str">
        <f>"13.55"</f>
        <v>13.55</v>
      </c>
      <c r="L57" t="str">
        <f>"13.55"</f>
        <v>13.55</v>
      </c>
      <c r="M57" t="str">
        <f>"0.00"</f>
        <v>0.00</v>
      </c>
      <c r="N57" t="str">
        <f>"0.00"</f>
        <v>0.00</v>
      </c>
      <c r="O57" t="str">
        <f>"300589"</f>
        <v>300589</v>
      </c>
      <c r="P57" t="str">
        <f>"0153613480"</f>
        <v>0153613480</v>
      </c>
    </row>
    <row r="58" spans="1:16" x14ac:dyDescent="0.25">
      <c r="A58" t="str">
        <f t="shared" si="0"/>
        <v>人民币</v>
      </c>
      <c r="B58" t="str">
        <f>"江龙船艇"</f>
        <v>江龙船艇</v>
      </c>
      <c r="C58" t="str">
        <f t="shared" si="25"/>
        <v>20190304</v>
      </c>
      <c r="D58" t="str">
        <f>"13.700"</f>
        <v>13.700</v>
      </c>
      <c r="E58" t="str">
        <f>"-500.00"</f>
        <v>-500.00</v>
      </c>
      <c r="F58" t="str">
        <f>"6836.30"</f>
        <v>6836.30</v>
      </c>
      <c r="G58" t="str">
        <f>"42551.96"</f>
        <v>42551.96</v>
      </c>
      <c r="H58" t="str">
        <f>"500.00"</f>
        <v>500.00</v>
      </c>
      <c r="I58" t="str">
        <f>"91"</f>
        <v>91</v>
      </c>
      <c r="J58" t="str">
        <f>"证券卖出(江龙船艇)"</f>
        <v>证券卖出(江龙船艇)</v>
      </c>
      <c r="K58" t="str">
        <f>"6.85"</f>
        <v>6.85</v>
      </c>
      <c r="L58" t="str">
        <f>"6.85"</f>
        <v>6.85</v>
      </c>
      <c r="M58" t="str">
        <f>"0.00"</f>
        <v>0.00</v>
      </c>
      <c r="N58" t="str">
        <f>"0.00"</f>
        <v>0.00</v>
      </c>
      <c r="O58" t="str">
        <f>"300589"</f>
        <v>300589</v>
      </c>
      <c r="P58" t="str">
        <f>"0153613480"</f>
        <v>0153613480</v>
      </c>
    </row>
    <row r="59" spans="1:16" x14ac:dyDescent="0.25">
      <c r="A59" t="str">
        <f t="shared" si="0"/>
        <v>人民币</v>
      </c>
      <c r="B59" t="str">
        <f>"江龙船艇"</f>
        <v>江龙船艇</v>
      </c>
      <c r="C59" t="str">
        <f t="shared" si="25"/>
        <v>20190304</v>
      </c>
      <c r="D59" t="str">
        <f>"13.670"</f>
        <v>13.670</v>
      </c>
      <c r="E59" t="str">
        <f>"-500.00"</f>
        <v>-500.00</v>
      </c>
      <c r="F59" t="str">
        <f>"6821.32"</f>
        <v>6821.32</v>
      </c>
      <c r="G59" t="str">
        <f>"49373.28"</f>
        <v>49373.28</v>
      </c>
      <c r="H59" t="str">
        <f>"0.00"</f>
        <v>0.00</v>
      </c>
      <c r="I59" t="str">
        <f>"94"</f>
        <v>94</v>
      </c>
      <c r="J59" t="str">
        <f>"证券卖出(江龙船艇)"</f>
        <v>证券卖出(江龙船艇)</v>
      </c>
      <c r="K59" t="str">
        <f>"6.84"</f>
        <v>6.84</v>
      </c>
      <c r="L59" t="str">
        <f>"6.84"</f>
        <v>6.84</v>
      </c>
      <c r="M59" t="str">
        <f>"0.00"</f>
        <v>0.00</v>
      </c>
      <c r="N59" t="str">
        <f>"0.00"</f>
        <v>0.00</v>
      </c>
      <c r="O59" t="str">
        <f>"300589"</f>
        <v>300589</v>
      </c>
      <c r="P59" t="str">
        <f>"0153613480"</f>
        <v>0153613480</v>
      </c>
    </row>
    <row r="60" spans="1:16" x14ac:dyDescent="0.25">
      <c r="A60" t="str">
        <f t="shared" si="0"/>
        <v>人民币</v>
      </c>
      <c r="B60" t="str">
        <f>"中通国脉"</f>
        <v>中通国脉</v>
      </c>
      <c r="C60" t="str">
        <f>"20190305"</f>
        <v>20190305</v>
      </c>
      <c r="D60" t="str">
        <f>"24.210"</f>
        <v>24.210</v>
      </c>
      <c r="E60" t="str">
        <f>"500.00"</f>
        <v>500.00</v>
      </c>
      <c r="F60" t="str">
        <f>"-12117.35"</f>
        <v>-12117.35</v>
      </c>
      <c r="G60" t="str">
        <f>"37255.93"</f>
        <v>37255.93</v>
      </c>
      <c r="H60" t="str">
        <f>"1100.00"</f>
        <v>1100.00</v>
      </c>
      <c r="I60" t="str">
        <f>"108"</f>
        <v>108</v>
      </c>
      <c r="J60" t="str">
        <f>"证券买入(中通国脉)"</f>
        <v>证券买入(中通国脉)</v>
      </c>
      <c r="K60" t="str">
        <f>"12.11"</f>
        <v>12.11</v>
      </c>
      <c r="L60" t="str">
        <f>"0.00"</f>
        <v>0.00</v>
      </c>
      <c r="M60" t="str">
        <f>"0.24"</f>
        <v>0.24</v>
      </c>
      <c r="N60" t="str">
        <f t="shared" ref="N60:N66" si="27">"0.00"</f>
        <v>0.00</v>
      </c>
      <c r="O60" t="str">
        <f>"603559"</f>
        <v>603559</v>
      </c>
      <c r="P60" t="str">
        <f>"A400948245"</f>
        <v>A400948245</v>
      </c>
    </row>
    <row r="61" spans="1:16" x14ac:dyDescent="0.25">
      <c r="A61" t="str">
        <f t="shared" si="0"/>
        <v>人民币</v>
      </c>
      <c r="B61" t="str">
        <f>"中通国脉"</f>
        <v>中通国脉</v>
      </c>
      <c r="C61" t="str">
        <f>"20190305"</f>
        <v>20190305</v>
      </c>
      <c r="D61" t="str">
        <f>"25.160"</f>
        <v>25.160</v>
      </c>
      <c r="E61" t="str">
        <f>"400.00"</f>
        <v>400.00</v>
      </c>
      <c r="F61" t="str">
        <f>"-10074.26"</f>
        <v>-10074.26</v>
      </c>
      <c r="G61" t="str">
        <f>"27181.67"</f>
        <v>27181.67</v>
      </c>
      <c r="H61" t="str">
        <f>"1500.00"</f>
        <v>1500.00</v>
      </c>
      <c r="I61" t="str">
        <f>"117"</f>
        <v>117</v>
      </c>
      <c r="J61" t="str">
        <f>"证券买入(中通国脉)"</f>
        <v>证券买入(中通国脉)</v>
      </c>
      <c r="K61" t="str">
        <f>"10.06"</f>
        <v>10.06</v>
      </c>
      <c r="L61" t="str">
        <f>"0.00"</f>
        <v>0.00</v>
      </c>
      <c r="M61" t="str">
        <f>"0.20"</f>
        <v>0.20</v>
      </c>
      <c r="N61" t="str">
        <f t="shared" si="27"/>
        <v>0.00</v>
      </c>
      <c r="O61" t="str">
        <f>"603559"</f>
        <v>603559</v>
      </c>
      <c r="P61" t="str">
        <f>"A400948245"</f>
        <v>A400948245</v>
      </c>
    </row>
    <row r="62" spans="1:16" x14ac:dyDescent="0.25">
      <c r="A62" t="str">
        <f t="shared" si="0"/>
        <v>人民币</v>
      </c>
      <c r="B62" t="str">
        <f>"上海瀚讯"</f>
        <v>上海瀚讯</v>
      </c>
      <c r="C62" t="str">
        <f>"20190305"</f>
        <v>20190305</v>
      </c>
      <c r="D62" t="str">
        <f>"0.000"</f>
        <v>0.000</v>
      </c>
      <c r="E62" t="str">
        <f>"12.00"</f>
        <v>12.00</v>
      </c>
      <c r="F62" t="str">
        <f>"0.00"</f>
        <v>0.00</v>
      </c>
      <c r="G62" t="str">
        <f>"27181.67"</f>
        <v>27181.67</v>
      </c>
      <c r="H62" t="str">
        <f>"0.00"</f>
        <v>0.00</v>
      </c>
      <c r="I62" t="str">
        <f>"106"</f>
        <v>106</v>
      </c>
      <c r="J62" t="str">
        <f>"申购配号(上海瀚讯)"</f>
        <v>申购配号(上海瀚讯)</v>
      </c>
      <c r="K62" t="str">
        <f>"0.00"</f>
        <v>0.00</v>
      </c>
      <c r="L62" t="str">
        <f>"0.00"</f>
        <v>0.00</v>
      </c>
      <c r="M62" t="str">
        <f>"0.00"</f>
        <v>0.00</v>
      </c>
      <c r="N62" t="str">
        <f t="shared" si="27"/>
        <v>0.00</v>
      </c>
      <c r="O62" t="str">
        <f>"300762"</f>
        <v>300762</v>
      </c>
      <c r="P62" t="str">
        <f>"0153613480"</f>
        <v>0153613480</v>
      </c>
    </row>
    <row r="63" spans="1:16" x14ac:dyDescent="0.25">
      <c r="A63" t="str">
        <f t="shared" si="0"/>
        <v>人民币</v>
      </c>
      <c r="B63" t="str">
        <f>"中通国脉"</f>
        <v>中通国脉</v>
      </c>
      <c r="C63" t="str">
        <f>"20190306"</f>
        <v>20190306</v>
      </c>
      <c r="D63" t="str">
        <f>"25.150"</f>
        <v>25.150</v>
      </c>
      <c r="E63" t="str">
        <f>"-500.00"</f>
        <v>-500.00</v>
      </c>
      <c r="F63" t="str">
        <f>"12549.59"</f>
        <v>12549.59</v>
      </c>
      <c r="G63" t="str">
        <f>"39731.26"</f>
        <v>39731.26</v>
      </c>
      <c r="H63" t="str">
        <f>"1000.00"</f>
        <v>1000.00</v>
      </c>
      <c r="I63" t="str">
        <f>"134"</f>
        <v>134</v>
      </c>
      <c r="J63" t="str">
        <f>"证券卖出(中通国脉)"</f>
        <v>证券卖出(中通国脉)</v>
      </c>
      <c r="K63" t="str">
        <f>"12.58"</f>
        <v>12.58</v>
      </c>
      <c r="L63" t="str">
        <f>"12.58"</f>
        <v>12.58</v>
      </c>
      <c r="M63" t="str">
        <f>"0.25"</f>
        <v>0.25</v>
      </c>
      <c r="N63" t="str">
        <f t="shared" si="27"/>
        <v>0.00</v>
      </c>
      <c r="O63" t="str">
        <f>"603559"</f>
        <v>603559</v>
      </c>
      <c r="P63" t="str">
        <f>"A400948245"</f>
        <v>A400948245</v>
      </c>
    </row>
    <row r="64" spans="1:16" x14ac:dyDescent="0.25">
      <c r="A64" t="str">
        <f t="shared" si="0"/>
        <v>人民币</v>
      </c>
      <c r="B64" t="str">
        <f>"信立泰"</f>
        <v>信立泰</v>
      </c>
      <c r="C64" t="str">
        <f>"20190306"</f>
        <v>20190306</v>
      </c>
      <c r="D64" t="str">
        <f>"25.946"</f>
        <v>25.946</v>
      </c>
      <c r="E64" t="str">
        <f>"500.00"</f>
        <v>500.00</v>
      </c>
      <c r="F64" t="str">
        <f>"-12985.97"</f>
        <v>-12985.97</v>
      </c>
      <c r="G64" t="str">
        <f>"26745.29"</f>
        <v>26745.29</v>
      </c>
      <c r="H64" t="str">
        <f>"500.00"</f>
        <v>500.00</v>
      </c>
      <c r="I64" t="str">
        <f>"128"</f>
        <v>128</v>
      </c>
      <c r="J64" t="str">
        <f>"证券买入(信立泰)"</f>
        <v>证券买入(信立泰)</v>
      </c>
      <c r="K64" t="str">
        <f>"12.97"</f>
        <v>12.97</v>
      </c>
      <c r="L64" t="str">
        <f t="shared" ref="L64:M66" si="28">"0.00"</f>
        <v>0.00</v>
      </c>
      <c r="M64" t="str">
        <f t="shared" si="28"/>
        <v>0.00</v>
      </c>
      <c r="N64" t="str">
        <f t="shared" si="27"/>
        <v>0.00</v>
      </c>
      <c r="O64" t="str">
        <f>"002294"</f>
        <v>002294</v>
      </c>
      <c r="P64" t="str">
        <f>"0153613480"</f>
        <v>0153613480</v>
      </c>
    </row>
    <row r="65" spans="1:16" x14ac:dyDescent="0.25">
      <c r="A65" t="str">
        <f t="shared" si="0"/>
        <v>人民币</v>
      </c>
      <c r="B65" t="str">
        <f>"信立泰"</f>
        <v>信立泰</v>
      </c>
      <c r="C65" t="str">
        <f>"20190306"</f>
        <v>20190306</v>
      </c>
      <c r="D65" t="str">
        <f>"25.760"</f>
        <v>25.760</v>
      </c>
      <c r="E65" t="str">
        <f>"300.00"</f>
        <v>300.00</v>
      </c>
      <c r="F65" t="str">
        <f>"-7735.73"</f>
        <v>-7735.73</v>
      </c>
      <c r="G65" t="str">
        <f>"19009.56"</f>
        <v>19009.56</v>
      </c>
      <c r="H65" t="str">
        <f>"800.00"</f>
        <v>800.00</v>
      </c>
      <c r="I65" t="str">
        <f>"137"</f>
        <v>137</v>
      </c>
      <c r="J65" t="str">
        <f>"证券买入(信立泰)"</f>
        <v>证券买入(信立泰)</v>
      </c>
      <c r="K65" t="str">
        <f>"7.73"</f>
        <v>7.73</v>
      </c>
      <c r="L65" t="str">
        <f t="shared" si="28"/>
        <v>0.00</v>
      </c>
      <c r="M65" t="str">
        <f t="shared" si="28"/>
        <v>0.00</v>
      </c>
      <c r="N65" t="str">
        <f t="shared" si="27"/>
        <v>0.00</v>
      </c>
      <c r="O65" t="str">
        <f>"002294"</f>
        <v>002294</v>
      </c>
      <c r="P65" t="str">
        <f>"0153613480"</f>
        <v>0153613480</v>
      </c>
    </row>
    <row r="66" spans="1:16" x14ac:dyDescent="0.25">
      <c r="A66" t="str">
        <f t="shared" ref="A66:A129" si="29">"人民币"</f>
        <v>人民币</v>
      </c>
      <c r="B66" t="str">
        <f>"金时科技"</f>
        <v>金时科技</v>
      </c>
      <c r="C66" t="str">
        <f>"20190306"</f>
        <v>20190306</v>
      </c>
      <c r="D66" t="str">
        <f>"0.000"</f>
        <v>0.000</v>
      </c>
      <c r="E66" t="str">
        <f>"12.00"</f>
        <v>12.00</v>
      </c>
      <c r="F66" t="str">
        <f>"0.00"</f>
        <v>0.00</v>
      </c>
      <c r="G66" t="str">
        <f>"19009.56"</f>
        <v>19009.56</v>
      </c>
      <c r="H66" t="str">
        <f>"0.00"</f>
        <v>0.00</v>
      </c>
      <c r="I66" t="str">
        <f>"123"</f>
        <v>123</v>
      </c>
      <c r="J66" t="str">
        <f>"申购配号(金时科技)"</f>
        <v>申购配号(金时科技)</v>
      </c>
      <c r="K66" t="str">
        <f>"0.00"</f>
        <v>0.00</v>
      </c>
      <c r="L66" t="str">
        <f t="shared" si="28"/>
        <v>0.00</v>
      </c>
      <c r="M66" t="str">
        <f t="shared" si="28"/>
        <v>0.00</v>
      </c>
      <c r="N66" t="str">
        <f t="shared" si="27"/>
        <v>0.00</v>
      </c>
      <c r="O66" t="str">
        <f>"002951"</f>
        <v>002951</v>
      </c>
      <c r="P66" t="str">
        <f>"0153613480"</f>
        <v>0153613480</v>
      </c>
    </row>
    <row r="67" spans="1:16" x14ac:dyDescent="0.25">
      <c r="A67" t="str">
        <f t="shared" si="29"/>
        <v>人民币</v>
      </c>
      <c r="B67" t="str">
        <f>""</f>
        <v/>
      </c>
      <c r="C67" t="str">
        <f t="shared" ref="C67:C72" si="30">"20190307"</f>
        <v>20190307</v>
      </c>
      <c r="D67" t="str">
        <f>"---"</f>
        <v>---</v>
      </c>
      <c r="E67" t="str">
        <f>"---"</f>
        <v>---</v>
      </c>
      <c r="F67" t="str">
        <f>"10000.00"</f>
        <v>10000.00</v>
      </c>
      <c r="G67" t="str">
        <f>"29009.56"</f>
        <v>29009.56</v>
      </c>
      <c r="H67" t="str">
        <f>"---"</f>
        <v>---</v>
      </c>
      <c r="I67" t="str">
        <f>"---"</f>
        <v>---</v>
      </c>
      <c r="J67" t="str">
        <f>"银行转存"</f>
        <v>银行转存</v>
      </c>
      <c r="K67" t="str">
        <f t="shared" ref="K67:P67" si="31">"---"</f>
        <v>---</v>
      </c>
      <c r="L67" t="str">
        <f t="shared" si="31"/>
        <v>---</v>
      </c>
      <c r="M67" t="str">
        <f t="shared" si="31"/>
        <v>---</v>
      </c>
      <c r="N67" t="str">
        <f t="shared" si="31"/>
        <v>---</v>
      </c>
      <c r="O67" t="str">
        <f t="shared" si="31"/>
        <v>---</v>
      </c>
      <c r="P67" t="str">
        <f t="shared" si="31"/>
        <v>---</v>
      </c>
    </row>
    <row r="68" spans="1:16" x14ac:dyDescent="0.25">
      <c r="A68" t="str">
        <f t="shared" si="29"/>
        <v>人民币</v>
      </c>
      <c r="B68" t="str">
        <f>"中通国脉"</f>
        <v>中通国脉</v>
      </c>
      <c r="C68" t="str">
        <f t="shared" si="30"/>
        <v>20190307</v>
      </c>
      <c r="D68" t="str">
        <f>"24.960"</f>
        <v>24.960</v>
      </c>
      <c r="E68" t="str">
        <f>"500.00"</f>
        <v>500.00</v>
      </c>
      <c r="F68" t="str">
        <f>"-12492.73"</f>
        <v>-12492.73</v>
      </c>
      <c r="G68" t="str">
        <f>"16516.83"</f>
        <v>16516.83</v>
      </c>
      <c r="H68" t="str">
        <f>"1500.00"</f>
        <v>1500.00</v>
      </c>
      <c r="I68" t="str">
        <f>"144"</f>
        <v>144</v>
      </c>
      <c r="J68" t="str">
        <f>"证券买入(中通国脉)"</f>
        <v>证券买入(中通国脉)</v>
      </c>
      <c r="K68" t="str">
        <f>"12.48"</f>
        <v>12.48</v>
      </c>
      <c r="L68" t="str">
        <f>"0.00"</f>
        <v>0.00</v>
      </c>
      <c r="M68" t="str">
        <f>"0.25"</f>
        <v>0.25</v>
      </c>
      <c r="N68" t="str">
        <f>"0.00"</f>
        <v>0.00</v>
      </c>
      <c r="O68" t="str">
        <f>"603559"</f>
        <v>603559</v>
      </c>
      <c r="P68" t="str">
        <f>"A400948245"</f>
        <v>A400948245</v>
      </c>
    </row>
    <row r="69" spans="1:16" x14ac:dyDescent="0.25">
      <c r="A69" t="str">
        <f t="shared" si="29"/>
        <v>人民币</v>
      </c>
      <c r="B69" t="str">
        <f>"七一二"</f>
        <v>七一二</v>
      </c>
      <c r="C69" t="str">
        <f t="shared" si="30"/>
        <v>20190307</v>
      </c>
      <c r="D69" t="str">
        <f>"19.690"</f>
        <v>19.690</v>
      </c>
      <c r="E69" t="str">
        <f>"200.00"</f>
        <v>200.00</v>
      </c>
      <c r="F69" t="str">
        <f>"-3943.08"</f>
        <v>-3943.08</v>
      </c>
      <c r="G69" t="str">
        <f>"12573.75"</f>
        <v>12573.75</v>
      </c>
      <c r="H69" t="str">
        <f>"2200.00"</f>
        <v>2200.00</v>
      </c>
      <c r="I69" t="str">
        <f>"156"</f>
        <v>156</v>
      </c>
      <c r="J69" t="str">
        <f>"证券买入(七一二)"</f>
        <v>证券买入(七一二)</v>
      </c>
      <c r="K69" t="str">
        <f>"5.00"</f>
        <v>5.00</v>
      </c>
      <c r="L69" t="str">
        <f>"0.00"</f>
        <v>0.00</v>
      </c>
      <c r="M69" t="str">
        <f>"0.08"</f>
        <v>0.08</v>
      </c>
      <c r="N69" t="str">
        <f>"0.00"</f>
        <v>0.00</v>
      </c>
      <c r="O69" t="str">
        <f>"603712"</f>
        <v>603712</v>
      </c>
      <c r="P69" t="str">
        <f>"A400948245"</f>
        <v>A400948245</v>
      </c>
    </row>
    <row r="70" spans="1:16" x14ac:dyDescent="0.25">
      <c r="A70" t="str">
        <f t="shared" si="29"/>
        <v>人民币</v>
      </c>
      <c r="B70" t="str">
        <f>"七一二"</f>
        <v>七一二</v>
      </c>
      <c r="C70" t="str">
        <f t="shared" si="30"/>
        <v>20190307</v>
      </c>
      <c r="D70" t="str">
        <f>"20.490"</f>
        <v>20.490</v>
      </c>
      <c r="E70" t="str">
        <f>"-500.00"</f>
        <v>-500.00</v>
      </c>
      <c r="F70" t="str">
        <f>"10224.30"</f>
        <v>10224.30</v>
      </c>
      <c r="G70" t="str">
        <f>"22798.05"</f>
        <v>22798.05</v>
      </c>
      <c r="H70" t="str">
        <f>"1700.00"</f>
        <v>1700.00</v>
      </c>
      <c r="I70" t="str">
        <f>"160"</f>
        <v>160</v>
      </c>
      <c r="J70" t="str">
        <f>"证券卖出(七一二)"</f>
        <v>证券卖出(七一二)</v>
      </c>
      <c r="K70" t="str">
        <f>"10.25"</f>
        <v>10.25</v>
      </c>
      <c r="L70" t="str">
        <f>"10.25"</f>
        <v>10.25</v>
      </c>
      <c r="M70" t="str">
        <f>"0.20"</f>
        <v>0.20</v>
      </c>
      <c r="N70" t="str">
        <f>"0.00"</f>
        <v>0.00</v>
      </c>
      <c r="O70" t="str">
        <f>"603712"</f>
        <v>603712</v>
      </c>
      <c r="P70" t="str">
        <f>"A400948245"</f>
        <v>A400948245</v>
      </c>
    </row>
    <row r="71" spans="1:16" x14ac:dyDescent="0.25">
      <c r="A71" t="str">
        <f t="shared" si="29"/>
        <v>人民币</v>
      </c>
      <c r="B71" t="str">
        <f>"中通国脉"</f>
        <v>中通国脉</v>
      </c>
      <c r="C71" t="str">
        <f t="shared" si="30"/>
        <v>20190307</v>
      </c>
      <c r="D71" t="str">
        <f>"26.040"</f>
        <v>26.040</v>
      </c>
      <c r="E71" t="str">
        <f>"-900.00"</f>
        <v>-900.00</v>
      </c>
      <c r="F71" t="str">
        <f>"23388.65"</f>
        <v>23388.65</v>
      </c>
      <c r="G71" t="str">
        <f>"46186.70"</f>
        <v>46186.70</v>
      </c>
      <c r="H71" t="str">
        <f>"600.00"</f>
        <v>600.00</v>
      </c>
      <c r="I71" t="str">
        <f>"167"</f>
        <v>167</v>
      </c>
      <c r="J71" t="str">
        <f>"证券卖出(中通国脉)"</f>
        <v>证券卖出(中通国脉)</v>
      </c>
      <c r="K71" t="str">
        <f>"23.44"</f>
        <v>23.44</v>
      </c>
      <c r="L71" t="str">
        <f>"23.44"</f>
        <v>23.44</v>
      </c>
      <c r="M71" t="str">
        <f>"0.47"</f>
        <v>0.47</v>
      </c>
      <c r="N71" t="str">
        <f>"0.00"</f>
        <v>0.00</v>
      </c>
      <c r="O71" t="str">
        <f>"603559"</f>
        <v>603559</v>
      </c>
      <c r="P71" t="str">
        <f>"A400948245"</f>
        <v>A400948245</v>
      </c>
    </row>
    <row r="72" spans="1:16" x14ac:dyDescent="0.25">
      <c r="A72" t="str">
        <f t="shared" si="29"/>
        <v>人民币</v>
      </c>
      <c r="B72" t="str">
        <f>"信立泰"</f>
        <v>信立泰</v>
      </c>
      <c r="C72" t="str">
        <f t="shared" si="30"/>
        <v>20190307</v>
      </c>
      <c r="D72" t="str">
        <f>"25.540"</f>
        <v>25.540</v>
      </c>
      <c r="E72" t="str">
        <f>"200.00"</f>
        <v>200.00</v>
      </c>
      <c r="F72" t="str">
        <f>"-5113.11"</f>
        <v>-5113.11</v>
      </c>
      <c r="G72" t="str">
        <f>"41073.59"</f>
        <v>41073.59</v>
      </c>
      <c r="H72" t="str">
        <f>"1000.00"</f>
        <v>1000.00</v>
      </c>
      <c r="I72" t="str">
        <f>"147"</f>
        <v>147</v>
      </c>
      <c r="J72" t="str">
        <f>"证券买入(信立泰)"</f>
        <v>证券买入(信立泰)</v>
      </c>
      <c r="K72" t="str">
        <f>"5.11"</f>
        <v>5.11</v>
      </c>
      <c r="L72" t="str">
        <f>"0.00"</f>
        <v>0.00</v>
      </c>
      <c r="M72" t="str">
        <f>"0.00"</f>
        <v>0.00</v>
      </c>
      <c r="N72" t="str">
        <f>"0.00"</f>
        <v>0.00</v>
      </c>
      <c r="O72" t="str">
        <f>"002294"</f>
        <v>002294</v>
      </c>
      <c r="P72" t="str">
        <f>"0153613480"</f>
        <v>0153613480</v>
      </c>
    </row>
    <row r="73" spans="1:16" x14ac:dyDescent="0.25">
      <c r="A73" t="str">
        <f t="shared" si="29"/>
        <v>人民币</v>
      </c>
      <c r="B73" t="str">
        <f>""</f>
        <v/>
      </c>
      <c r="C73" t="str">
        <f t="shared" ref="C73:C78" si="32">"20190308"</f>
        <v>20190308</v>
      </c>
      <c r="D73" t="str">
        <f>"---"</f>
        <v>---</v>
      </c>
      <c r="E73" t="str">
        <f>"---"</f>
        <v>---</v>
      </c>
      <c r="F73" t="str">
        <f>"-10000.00"</f>
        <v>-10000.00</v>
      </c>
      <c r="G73" t="str">
        <f>"31073.59"</f>
        <v>31073.59</v>
      </c>
      <c r="H73" t="str">
        <f>"---"</f>
        <v>---</v>
      </c>
      <c r="I73" t="str">
        <f>"---"</f>
        <v>---</v>
      </c>
      <c r="J73" t="str">
        <f>"银行转取"</f>
        <v>银行转取</v>
      </c>
      <c r="K73" t="str">
        <f t="shared" ref="K73:P73" si="33">"---"</f>
        <v>---</v>
      </c>
      <c r="L73" t="str">
        <f t="shared" si="33"/>
        <v>---</v>
      </c>
      <c r="M73" t="str">
        <f t="shared" si="33"/>
        <v>---</v>
      </c>
      <c r="N73" t="str">
        <f t="shared" si="33"/>
        <v>---</v>
      </c>
      <c r="O73" t="str">
        <f t="shared" si="33"/>
        <v>---</v>
      </c>
      <c r="P73" t="str">
        <f t="shared" si="33"/>
        <v>---</v>
      </c>
    </row>
    <row r="74" spans="1:16" x14ac:dyDescent="0.25">
      <c r="A74" t="str">
        <f t="shared" si="29"/>
        <v>人民币</v>
      </c>
      <c r="B74" t="str">
        <f>"白银有色"</f>
        <v>白银有色</v>
      </c>
      <c r="C74" t="str">
        <f t="shared" si="32"/>
        <v>20190308</v>
      </c>
      <c r="D74" t="str">
        <f>"5.140"</f>
        <v>5.140</v>
      </c>
      <c r="E74" t="str">
        <f>"500.00"</f>
        <v>500.00</v>
      </c>
      <c r="F74" t="str">
        <f>"-2575.05"</f>
        <v>-2575.05</v>
      </c>
      <c r="G74" t="str">
        <f>"28498.54"</f>
        <v>28498.54</v>
      </c>
      <c r="H74" t="str">
        <f>"500.00"</f>
        <v>500.00</v>
      </c>
      <c r="I74" t="str">
        <f>"175"</f>
        <v>175</v>
      </c>
      <c r="J74" t="str">
        <f>"证券买入(白银有色)"</f>
        <v>证券买入(白银有色)</v>
      </c>
      <c r="K74" t="str">
        <f>"5.00"</f>
        <v>5.00</v>
      </c>
      <c r="L74" t="str">
        <f t="shared" ref="L74:L81" si="34">"0.00"</f>
        <v>0.00</v>
      </c>
      <c r="M74" t="str">
        <f>"0.05"</f>
        <v>0.05</v>
      </c>
      <c r="N74" t="str">
        <f t="shared" ref="N74:N84" si="35">"0.00"</f>
        <v>0.00</v>
      </c>
      <c r="O74" t="str">
        <f>"601212"</f>
        <v>601212</v>
      </c>
      <c r="P74" t="str">
        <f>"A400948245"</f>
        <v>A400948245</v>
      </c>
    </row>
    <row r="75" spans="1:16" x14ac:dyDescent="0.25">
      <c r="A75" t="str">
        <f t="shared" si="29"/>
        <v>人民币</v>
      </c>
      <c r="B75" t="str">
        <f>"七一二"</f>
        <v>七一二</v>
      </c>
      <c r="C75" t="str">
        <f t="shared" si="32"/>
        <v>20190308</v>
      </c>
      <c r="D75" t="str">
        <f>"19.250"</f>
        <v>19.250</v>
      </c>
      <c r="E75" t="str">
        <f>"300.00"</f>
        <v>300.00</v>
      </c>
      <c r="F75" t="str">
        <f>"-5780.90"</f>
        <v>-5780.90</v>
      </c>
      <c r="G75" t="str">
        <f>"22717.64"</f>
        <v>22717.64</v>
      </c>
      <c r="H75" t="str">
        <f>"2000.00"</f>
        <v>2000.00</v>
      </c>
      <c r="I75" t="str">
        <f>"185"</f>
        <v>185</v>
      </c>
      <c r="J75" t="str">
        <f>"证券买入(七一二)"</f>
        <v>证券买入(七一二)</v>
      </c>
      <c r="K75" t="str">
        <f>"5.78"</f>
        <v>5.78</v>
      </c>
      <c r="L75" t="str">
        <f t="shared" si="34"/>
        <v>0.00</v>
      </c>
      <c r="M75" t="str">
        <f>"0.12"</f>
        <v>0.12</v>
      </c>
      <c r="N75" t="str">
        <f t="shared" si="35"/>
        <v>0.00</v>
      </c>
      <c r="O75" t="str">
        <f>"603712"</f>
        <v>603712</v>
      </c>
      <c r="P75" t="str">
        <f>"A400948245"</f>
        <v>A400948245</v>
      </c>
    </row>
    <row r="76" spans="1:16" x14ac:dyDescent="0.25">
      <c r="A76" t="str">
        <f t="shared" si="29"/>
        <v>人民币</v>
      </c>
      <c r="B76" t="str">
        <f>"中通国脉"</f>
        <v>中通国脉</v>
      </c>
      <c r="C76" t="str">
        <f t="shared" si="32"/>
        <v>20190308</v>
      </c>
      <c r="D76" t="str">
        <f>"26.070"</f>
        <v>26.070</v>
      </c>
      <c r="E76" t="str">
        <f>"400.00"</f>
        <v>400.00</v>
      </c>
      <c r="F76" t="str">
        <f>"-10438.64"</f>
        <v>-10438.64</v>
      </c>
      <c r="G76" t="str">
        <f>"12279.00"</f>
        <v>12279.00</v>
      </c>
      <c r="H76" t="str">
        <f>"1000.00"</f>
        <v>1000.00</v>
      </c>
      <c r="I76" t="str">
        <f>"188"</f>
        <v>188</v>
      </c>
      <c r="J76" t="str">
        <f>"证券买入(中通国脉)"</f>
        <v>证券买入(中通国脉)</v>
      </c>
      <c r="K76" t="str">
        <f>"10.43"</f>
        <v>10.43</v>
      </c>
      <c r="L76" t="str">
        <f t="shared" si="34"/>
        <v>0.00</v>
      </c>
      <c r="M76" t="str">
        <f>"0.21"</f>
        <v>0.21</v>
      </c>
      <c r="N76" t="str">
        <f t="shared" si="35"/>
        <v>0.00</v>
      </c>
      <c r="O76" t="str">
        <f>"603559"</f>
        <v>603559</v>
      </c>
      <c r="P76" t="str">
        <f>"A400948245"</f>
        <v>A400948245</v>
      </c>
    </row>
    <row r="77" spans="1:16" x14ac:dyDescent="0.25">
      <c r="A77" t="str">
        <f t="shared" si="29"/>
        <v>人民币</v>
      </c>
      <c r="B77" t="str">
        <f>"白银有色"</f>
        <v>白银有色</v>
      </c>
      <c r="C77" t="str">
        <f t="shared" si="32"/>
        <v>20190308</v>
      </c>
      <c r="D77" t="str">
        <f>"5.530"</f>
        <v>5.530</v>
      </c>
      <c r="E77" t="str">
        <f>"500.00"</f>
        <v>500.00</v>
      </c>
      <c r="F77" t="str">
        <f>"-2770.06"</f>
        <v>-2770.06</v>
      </c>
      <c r="G77" t="str">
        <f>"9508.94"</f>
        <v>9508.94</v>
      </c>
      <c r="H77" t="str">
        <f>"1000.00"</f>
        <v>1000.00</v>
      </c>
      <c r="I77" t="str">
        <f>"191"</f>
        <v>191</v>
      </c>
      <c r="J77" t="str">
        <f>"证券买入(白银有色)"</f>
        <v>证券买入(白银有色)</v>
      </c>
      <c r="K77" t="str">
        <f>"5.00"</f>
        <v>5.00</v>
      </c>
      <c r="L77" t="str">
        <f t="shared" si="34"/>
        <v>0.00</v>
      </c>
      <c r="M77" t="str">
        <f>"0.06"</f>
        <v>0.06</v>
      </c>
      <c r="N77" t="str">
        <f t="shared" si="35"/>
        <v>0.00</v>
      </c>
      <c r="O77" t="str">
        <f>"601212"</f>
        <v>601212</v>
      </c>
      <c r="P77" t="str">
        <f>"A400948245"</f>
        <v>A400948245</v>
      </c>
    </row>
    <row r="78" spans="1:16" x14ac:dyDescent="0.25">
      <c r="A78" t="str">
        <f t="shared" si="29"/>
        <v>人民币</v>
      </c>
      <c r="B78" t="str">
        <f>"锦浪科技"</f>
        <v>锦浪科技</v>
      </c>
      <c r="C78" t="str">
        <f t="shared" si="32"/>
        <v>20190308</v>
      </c>
      <c r="D78" t="str">
        <f>"0.000"</f>
        <v>0.000</v>
      </c>
      <c r="E78" t="str">
        <f>"11.00"</f>
        <v>11.00</v>
      </c>
      <c r="F78" t="str">
        <f>"0.00"</f>
        <v>0.00</v>
      </c>
      <c r="G78" t="str">
        <f>"9508.94"</f>
        <v>9508.94</v>
      </c>
      <c r="H78" t="str">
        <f>"0.00"</f>
        <v>0.00</v>
      </c>
      <c r="I78" t="str">
        <f>"194"</f>
        <v>194</v>
      </c>
      <c r="J78" t="str">
        <f>"申购配号(锦浪科技)"</f>
        <v>申购配号(锦浪科技)</v>
      </c>
      <c r="K78" t="str">
        <f>"0.00"</f>
        <v>0.00</v>
      </c>
      <c r="L78" t="str">
        <f t="shared" si="34"/>
        <v>0.00</v>
      </c>
      <c r="M78" t="str">
        <f>"0.00"</f>
        <v>0.00</v>
      </c>
      <c r="N78" t="str">
        <f t="shared" si="35"/>
        <v>0.00</v>
      </c>
      <c r="O78" t="str">
        <f>"300763"</f>
        <v>300763</v>
      </c>
      <c r="P78" t="str">
        <f>"0153613480"</f>
        <v>0153613480</v>
      </c>
    </row>
    <row r="79" spans="1:16" x14ac:dyDescent="0.25">
      <c r="A79" t="str">
        <f t="shared" si="29"/>
        <v>人民币</v>
      </c>
      <c r="B79" t="str">
        <f>"白银有色"</f>
        <v>白银有色</v>
      </c>
      <c r="C79" t="str">
        <f>"20190311"</f>
        <v>20190311</v>
      </c>
      <c r="D79" t="str">
        <f>"5.200"</f>
        <v>5.200</v>
      </c>
      <c r="E79" t="str">
        <f>"600.00"</f>
        <v>600.00</v>
      </c>
      <c r="F79" t="str">
        <f>"-3125.06"</f>
        <v>-3125.06</v>
      </c>
      <c r="G79" t="str">
        <f>"6383.88"</f>
        <v>6383.88</v>
      </c>
      <c r="H79" t="str">
        <f>"1600.00"</f>
        <v>1600.00</v>
      </c>
      <c r="I79" t="str">
        <f>"202"</f>
        <v>202</v>
      </c>
      <c r="J79" t="str">
        <f>"证券买入(白银有色)"</f>
        <v>证券买入(白银有色)</v>
      </c>
      <c r="K79" t="str">
        <f>"5.00"</f>
        <v>5.00</v>
      </c>
      <c r="L79" t="str">
        <f t="shared" si="34"/>
        <v>0.00</v>
      </c>
      <c r="M79" t="str">
        <f>"0.06"</f>
        <v>0.06</v>
      </c>
      <c r="N79" t="str">
        <f t="shared" si="35"/>
        <v>0.00</v>
      </c>
      <c r="O79" t="str">
        <f>"601212"</f>
        <v>601212</v>
      </c>
      <c r="P79" t="str">
        <f>"A400948245"</f>
        <v>A400948245</v>
      </c>
    </row>
    <row r="80" spans="1:16" x14ac:dyDescent="0.25">
      <c r="A80" t="str">
        <f t="shared" si="29"/>
        <v>人民币</v>
      </c>
      <c r="B80" t="str">
        <f>"白银有色"</f>
        <v>白银有色</v>
      </c>
      <c r="C80" t="str">
        <f>"20190311"</f>
        <v>20190311</v>
      </c>
      <c r="D80" t="str">
        <f>"5.110"</f>
        <v>5.110</v>
      </c>
      <c r="E80" t="str">
        <f>"400.00"</f>
        <v>400.00</v>
      </c>
      <c r="F80" t="str">
        <f>"-2049.04"</f>
        <v>-2049.04</v>
      </c>
      <c r="G80" t="str">
        <f>"4334.84"</f>
        <v>4334.84</v>
      </c>
      <c r="H80" t="str">
        <f>"2000.00"</f>
        <v>2000.00</v>
      </c>
      <c r="I80" t="str">
        <f>"206"</f>
        <v>206</v>
      </c>
      <c r="J80" t="str">
        <f>"证券买入(白银有色)"</f>
        <v>证券买入(白银有色)</v>
      </c>
      <c r="K80" t="str">
        <f>"5.00"</f>
        <v>5.00</v>
      </c>
      <c r="L80" t="str">
        <f t="shared" si="34"/>
        <v>0.00</v>
      </c>
      <c r="M80" t="str">
        <f>"0.04"</f>
        <v>0.04</v>
      </c>
      <c r="N80" t="str">
        <f t="shared" si="35"/>
        <v>0.00</v>
      </c>
      <c r="O80" t="str">
        <f>"601212"</f>
        <v>601212</v>
      </c>
      <c r="P80" t="str">
        <f>"A400948245"</f>
        <v>A400948245</v>
      </c>
    </row>
    <row r="81" spans="1:16" x14ac:dyDescent="0.25">
      <c r="A81" t="str">
        <f t="shared" si="29"/>
        <v>人民币</v>
      </c>
      <c r="B81" t="str">
        <f>"白银有色"</f>
        <v>白银有色</v>
      </c>
      <c r="C81" t="str">
        <f>"20190311"</f>
        <v>20190311</v>
      </c>
      <c r="D81" t="str">
        <f>"5.140"</f>
        <v>5.140</v>
      </c>
      <c r="E81" t="str">
        <f>"800.00"</f>
        <v>800.00</v>
      </c>
      <c r="F81" t="str">
        <f>"-4117.08"</f>
        <v>-4117.08</v>
      </c>
      <c r="G81" t="str">
        <f>"217.76"</f>
        <v>217.76</v>
      </c>
      <c r="H81" t="str">
        <f>"2800.00"</f>
        <v>2800.00</v>
      </c>
      <c r="I81" t="str">
        <f>"209"</f>
        <v>209</v>
      </c>
      <c r="J81" t="str">
        <f>"证券买入(白银有色)"</f>
        <v>证券买入(白银有色)</v>
      </c>
      <c r="K81" t="str">
        <f>"5.00"</f>
        <v>5.00</v>
      </c>
      <c r="L81" t="str">
        <f t="shared" si="34"/>
        <v>0.00</v>
      </c>
      <c r="M81" t="str">
        <f>"0.08"</f>
        <v>0.08</v>
      </c>
      <c r="N81" t="str">
        <f t="shared" si="35"/>
        <v>0.00</v>
      </c>
      <c r="O81" t="str">
        <f>"601212"</f>
        <v>601212</v>
      </c>
      <c r="P81" t="str">
        <f>"A400948245"</f>
        <v>A400948245</v>
      </c>
    </row>
    <row r="82" spans="1:16" x14ac:dyDescent="0.25">
      <c r="A82" t="str">
        <f t="shared" si="29"/>
        <v>人民币</v>
      </c>
      <c r="B82" t="str">
        <f>"中通国脉"</f>
        <v>中通国脉</v>
      </c>
      <c r="C82" t="str">
        <f>"20190312"</f>
        <v>20190312</v>
      </c>
      <c r="D82" t="str">
        <f>"26.510"</f>
        <v>26.510</v>
      </c>
      <c r="E82" t="str">
        <f>"-400.00"</f>
        <v>-400.00</v>
      </c>
      <c r="F82" t="str">
        <f>"10582.59"</f>
        <v>10582.59</v>
      </c>
      <c r="G82" t="str">
        <f>"10800.35"</f>
        <v>10800.35</v>
      </c>
      <c r="H82" t="str">
        <f>"600.00"</f>
        <v>600.00</v>
      </c>
      <c r="I82" t="str">
        <f>"217"</f>
        <v>217</v>
      </c>
      <c r="J82" t="str">
        <f>"证券卖出(中通国脉)"</f>
        <v>证券卖出(中通国脉)</v>
      </c>
      <c r="K82" t="str">
        <f>"10.60"</f>
        <v>10.60</v>
      </c>
      <c r="L82" t="str">
        <f>"10.60"</f>
        <v>10.60</v>
      </c>
      <c r="M82" t="str">
        <f>"0.21"</f>
        <v>0.21</v>
      </c>
      <c r="N82" t="str">
        <f t="shared" si="35"/>
        <v>0.00</v>
      </c>
      <c r="O82" t="str">
        <f>"603559"</f>
        <v>603559</v>
      </c>
      <c r="P82" t="str">
        <f>"A400948245"</f>
        <v>A400948245</v>
      </c>
    </row>
    <row r="83" spans="1:16" x14ac:dyDescent="0.25">
      <c r="A83" t="str">
        <f t="shared" si="29"/>
        <v>人民币</v>
      </c>
      <c r="B83" t="str">
        <f>"中通国脉"</f>
        <v>中通国脉</v>
      </c>
      <c r="C83" t="str">
        <f>"20190312"</f>
        <v>20190312</v>
      </c>
      <c r="D83" t="str">
        <f>"26.940"</f>
        <v>26.940</v>
      </c>
      <c r="E83" t="str">
        <f>"400.00"</f>
        <v>400.00</v>
      </c>
      <c r="F83" t="str">
        <f>"-10787.00"</f>
        <v>-10787.00</v>
      </c>
      <c r="G83" t="str">
        <f>"13.35"</f>
        <v>13.35</v>
      </c>
      <c r="H83" t="str">
        <f>"1000.00"</f>
        <v>1000.00</v>
      </c>
      <c r="I83" t="str">
        <f>"223"</f>
        <v>223</v>
      </c>
      <c r="J83" t="str">
        <f>"证券买入(中通国脉)"</f>
        <v>证券买入(中通国脉)</v>
      </c>
      <c r="K83" t="str">
        <f>"10.78"</f>
        <v>10.78</v>
      </c>
      <c r="L83" t="str">
        <f>"0.00"</f>
        <v>0.00</v>
      </c>
      <c r="M83" t="str">
        <f>"0.22"</f>
        <v>0.22</v>
      </c>
      <c r="N83" t="str">
        <f t="shared" si="35"/>
        <v>0.00</v>
      </c>
      <c r="O83" t="str">
        <f>"603559"</f>
        <v>603559</v>
      </c>
      <c r="P83" t="str">
        <f>"A400948245"</f>
        <v>A400948245</v>
      </c>
    </row>
    <row r="84" spans="1:16" x14ac:dyDescent="0.25">
      <c r="A84" t="str">
        <f t="shared" si="29"/>
        <v>人民币</v>
      </c>
      <c r="B84" t="str">
        <f>"每日互动"</f>
        <v>每日互动</v>
      </c>
      <c r="C84" t="str">
        <f>"20190312"</f>
        <v>20190312</v>
      </c>
      <c r="D84" t="str">
        <f>"0.000"</f>
        <v>0.000</v>
      </c>
      <c r="E84" t="str">
        <f>"10.00"</f>
        <v>10.00</v>
      </c>
      <c r="F84" t="str">
        <f>"0.00"</f>
        <v>0.00</v>
      </c>
      <c r="G84" t="str">
        <f>"13.35"</f>
        <v>13.35</v>
      </c>
      <c r="H84" t="str">
        <f>"0.00"</f>
        <v>0.00</v>
      </c>
      <c r="I84" t="str">
        <f>"215"</f>
        <v>215</v>
      </c>
      <c r="J84" t="str">
        <f>"申购配号(每日互动)"</f>
        <v>申购配号(每日互动)</v>
      </c>
      <c r="K84" t="str">
        <f>"0.00"</f>
        <v>0.00</v>
      </c>
      <c r="L84" t="str">
        <f>"0.00"</f>
        <v>0.00</v>
      </c>
      <c r="M84" t="str">
        <f>"0.00"</f>
        <v>0.00</v>
      </c>
      <c r="N84" t="str">
        <f t="shared" si="35"/>
        <v>0.00</v>
      </c>
      <c r="O84" t="str">
        <f>"300766"</f>
        <v>300766</v>
      </c>
      <c r="P84" t="str">
        <f>"0153613480"</f>
        <v>0153613480</v>
      </c>
    </row>
    <row r="85" spans="1:16" x14ac:dyDescent="0.25">
      <c r="A85" t="str">
        <f t="shared" si="29"/>
        <v>人民币</v>
      </c>
      <c r="B85" t="str">
        <f>""</f>
        <v/>
      </c>
      <c r="C85" t="str">
        <f t="shared" ref="C85:C91" si="36">"20190313"</f>
        <v>20190313</v>
      </c>
      <c r="D85" t="str">
        <f>"---"</f>
        <v>---</v>
      </c>
      <c r="E85" t="str">
        <f>"---"</f>
        <v>---</v>
      </c>
      <c r="F85" t="str">
        <f>"10000.00"</f>
        <v>10000.00</v>
      </c>
      <c r="G85" t="str">
        <f>"10013.35"</f>
        <v>10013.35</v>
      </c>
      <c r="H85" t="str">
        <f>"---"</f>
        <v>---</v>
      </c>
      <c r="I85" t="str">
        <f>"---"</f>
        <v>---</v>
      </c>
      <c r="J85" t="str">
        <f>"银行转存"</f>
        <v>银行转存</v>
      </c>
      <c r="K85" t="str">
        <f t="shared" ref="K85:P85" si="37">"---"</f>
        <v>---</v>
      </c>
      <c r="L85" t="str">
        <f t="shared" si="37"/>
        <v>---</v>
      </c>
      <c r="M85" t="str">
        <f t="shared" si="37"/>
        <v>---</v>
      </c>
      <c r="N85" t="str">
        <f t="shared" si="37"/>
        <v>---</v>
      </c>
      <c r="O85" t="str">
        <f t="shared" si="37"/>
        <v>---</v>
      </c>
      <c r="P85" t="str">
        <f t="shared" si="37"/>
        <v>---</v>
      </c>
    </row>
    <row r="86" spans="1:16" x14ac:dyDescent="0.25">
      <c r="A86" t="str">
        <f t="shared" si="29"/>
        <v>人民币</v>
      </c>
      <c r="B86" t="str">
        <f>"白银有色"</f>
        <v>白银有色</v>
      </c>
      <c r="C86" t="str">
        <f t="shared" si="36"/>
        <v>20190313</v>
      </c>
      <c r="D86" t="str">
        <f>"5.220"</f>
        <v>5.220</v>
      </c>
      <c r="E86" t="str">
        <f>"-2800.00"</f>
        <v>-2800.00</v>
      </c>
      <c r="F86" t="str">
        <f>"14586.47"</f>
        <v>14586.47</v>
      </c>
      <c r="G86" t="str">
        <f>"24599.82"</f>
        <v>24599.82</v>
      </c>
      <c r="H86" t="str">
        <f>"0.00"</f>
        <v>0.00</v>
      </c>
      <c r="I86" t="str">
        <f>"240"</f>
        <v>240</v>
      </c>
      <c r="J86" t="str">
        <f>"证券卖出(白银有色)"</f>
        <v>证券卖出(白银有色)</v>
      </c>
      <c r="K86" t="str">
        <f>"14.62"</f>
        <v>14.62</v>
      </c>
      <c r="L86" t="str">
        <f>"14.62"</f>
        <v>14.62</v>
      </c>
      <c r="M86" t="str">
        <f>"0.29"</f>
        <v>0.29</v>
      </c>
      <c r="N86" t="str">
        <f t="shared" ref="N86:N91" si="38">"0.00"</f>
        <v>0.00</v>
      </c>
      <c r="O86" t="str">
        <f>"601212"</f>
        <v>601212</v>
      </c>
      <c r="P86" t="str">
        <f>"A400948245"</f>
        <v>A400948245</v>
      </c>
    </row>
    <row r="87" spans="1:16" x14ac:dyDescent="0.25">
      <c r="A87" t="str">
        <f t="shared" si="29"/>
        <v>人民币</v>
      </c>
      <c r="B87" t="str">
        <f>"中通国脉"</f>
        <v>中通国脉</v>
      </c>
      <c r="C87" t="str">
        <f t="shared" si="36"/>
        <v>20190313</v>
      </c>
      <c r="D87" t="str">
        <f>"26.490"</f>
        <v>26.490</v>
      </c>
      <c r="E87" t="str">
        <f>"300.00"</f>
        <v>300.00</v>
      </c>
      <c r="F87" t="str">
        <f>"-7955.11"</f>
        <v>-7955.11</v>
      </c>
      <c r="G87" t="str">
        <f>"16644.71"</f>
        <v>16644.71</v>
      </c>
      <c r="H87" t="str">
        <f>"1300.00"</f>
        <v>1300.00</v>
      </c>
      <c r="I87" t="str">
        <f>"246"</f>
        <v>246</v>
      </c>
      <c r="J87" t="str">
        <f>"证券买入(中通国脉)"</f>
        <v>证券买入(中通国脉)</v>
      </c>
      <c r="K87" t="str">
        <f>"7.95"</f>
        <v>7.95</v>
      </c>
      <c r="L87" t="str">
        <f t="shared" ref="L87:L91" si="39">"0.00"</f>
        <v>0.00</v>
      </c>
      <c r="M87" t="str">
        <f>"0.16"</f>
        <v>0.16</v>
      </c>
      <c r="N87" t="str">
        <f t="shared" si="38"/>
        <v>0.00</v>
      </c>
      <c r="O87" t="str">
        <f>"603559"</f>
        <v>603559</v>
      </c>
      <c r="P87" t="str">
        <f>"A400948245"</f>
        <v>A400948245</v>
      </c>
    </row>
    <row r="88" spans="1:16" x14ac:dyDescent="0.25">
      <c r="A88" t="str">
        <f t="shared" si="29"/>
        <v>人民币</v>
      </c>
      <c r="B88" t="str">
        <f>"蓝思科技"</f>
        <v>蓝思科技</v>
      </c>
      <c r="C88" t="str">
        <f t="shared" si="36"/>
        <v>20190313</v>
      </c>
      <c r="D88" t="str">
        <f>"9.310"</f>
        <v>9.310</v>
      </c>
      <c r="E88" t="str">
        <f>"500.00"</f>
        <v>500.00</v>
      </c>
      <c r="F88" t="str">
        <f>"-4660.00"</f>
        <v>-4660.00</v>
      </c>
      <c r="G88" t="str">
        <f>"11984.71"</f>
        <v>11984.71</v>
      </c>
      <c r="H88" t="str">
        <f>"500.00"</f>
        <v>500.00</v>
      </c>
      <c r="I88" t="str">
        <f>"230"</f>
        <v>230</v>
      </c>
      <c r="J88" t="str">
        <f>"证券买入(蓝思科技)"</f>
        <v>证券买入(蓝思科技)</v>
      </c>
      <c r="K88" t="str">
        <f>"5.00"</f>
        <v>5.00</v>
      </c>
      <c r="L88" t="str">
        <f t="shared" si="39"/>
        <v>0.00</v>
      </c>
      <c r="M88" t="str">
        <f>"0.00"</f>
        <v>0.00</v>
      </c>
      <c r="N88" t="str">
        <f t="shared" si="38"/>
        <v>0.00</v>
      </c>
      <c r="O88" t="str">
        <f>"300433"</f>
        <v>300433</v>
      </c>
      <c r="P88" t="str">
        <f>"0153613480"</f>
        <v>0153613480</v>
      </c>
    </row>
    <row r="89" spans="1:16" x14ac:dyDescent="0.25">
      <c r="A89" t="str">
        <f t="shared" si="29"/>
        <v>人民币</v>
      </c>
      <c r="B89" t="str">
        <f>"蓝思科技"</f>
        <v>蓝思科技</v>
      </c>
      <c r="C89" t="str">
        <f t="shared" si="36"/>
        <v>20190313</v>
      </c>
      <c r="D89" t="str">
        <f>"9.310"</f>
        <v>9.310</v>
      </c>
      <c r="E89" t="str">
        <f>"500.00"</f>
        <v>500.00</v>
      </c>
      <c r="F89" t="str">
        <f>"-4660.00"</f>
        <v>-4660.00</v>
      </c>
      <c r="G89" t="str">
        <f>"7324.71"</f>
        <v>7324.71</v>
      </c>
      <c r="H89" t="str">
        <f>"1000.00"</f>
        <v>1000.00</v>
      </c>
      <c r="I89" t="str">
        <f>"233"</f>
        <v>233</v>
      </c>
      <c r="J89" t="str">
        <f>"证券买入(蓝思科技)"</f>
        <v>证券买入(蓝思科技)</v>
      </c>
      <c r="K89" t="str">
        <f>"5.00"</f>
        <v>5.00</v>
      </c>
      <c r="L89" t="str">
        <f t="shared" si="39"/>
        <v>0.00</v>
      </c>
      <c r="M89" t="str">
        <f>"0.00"</f>
        <v>0.00</v>
      </c>
      <c r="N89" t="str">
        <f t="shared" si="38"/>
        <v>0.00</v>
      </c>
      <c r="O89" t="str">
        <f>"300433"</f>
        <v>300433</v>
      </c>
      <c r="P89" t="str">
        <f>"0153613480"</f>
        <v>0153613480</v>
      </c>
    </row>
    <row r="90" spans="1:16" x14ac:dyDescent="0.25">
      <c r="A90" t="str">
        <f t="shared" si="29"/>
        <v>人民币</v>
      </c>
      <c r="B90" t="str">
        <f>"蓝思科技"</f>
        <v>蓝思科技</v>
      </c>
      <c r="C90" t="str">
        <f t="shared" si="36"/>
        <v>20190313</v>
      </c>
      <c r="D90" t="str">
        <f>"8.990"</f>
        <v>8.990</v>
      </c>
      <c r="E90" t="str">
        <f>"800.00"</f>
        <v>800.00</v>
      </c>
      <c r="F90" t="str">
        <f>"-7199.19"</f>
        <v>-7199.19</v>
      </c>
      <c r="G90" t="str">
        <f>"125.52"</f>
        <v>125.52</v>
      </c>
      <c r="H90" t="str">
        <f>"1800.00"</f>
        <v>1800.00</v>
      </c>
      <c r="I90" t="str">
        <f>"249"</f>
        <v>249</v>
      </c>
      <c r="J90" t="str">
        <f>"证券买入(蓝思科技)"</f>
        <v>证券买入(蓝思科技)</v>
      </c>
      <c r="K90" t="str">
        <f>"7.19"</f>
        <v>7.19</v>
      </c>
      <c r="L90" t="str">
        <f t="shared" si="39"/>
        <v>0.00</v>
      </c>
      <c r="M90" t="str">
        <f>"0.00"</f>
        <v>0.00</v>
      </c>
      <c r="N90" t="str">
        <f t="shared" si="38"/>
        <v>0.00</v>
      </c>
      <c r="O90" t="str">
        <f>"300433"</f>
        <v>300433</v>
      </c>
      <c r="P90" t="str">
        <f>"0153613480"</f>
        <v>0153613480</v>
      </c>
    </row>
    <row r="91" spans="1:16" x14ac:dyDescent="0.25">
      <c r="A91" t="str">
        <f t="shared" si="29"/>
        <v>人民币</v>
      </c>
      <c r="B91" t="str">
        <f>"新诺威"</f>
        <v>新诺威</v>
      </c>
      <c r="C91" t="str">
        <f t="shared" si="36"/>
        <v>20190313</v>
      </c>
      <c r="D91" t="str">
        <f>"0.000"</f>
        <v>0.000</v>
      </c>
      <c r="E91" t="str">
        <f>"10.00"</f>
        <v>10.00</v>
      </c>
      <c r="F91" t="str">
        <f>"0.00"</f>
        <v>0.00</v>
      </c>
      <c r="G91" t="str">
        <f>"125.52"</f>
        <v>125.52</v>
      </c>
      <c r="H91" t="str">
        <f>"0.00"</f>
        <v>0.00</v>
      </c>
      <c r="I91" t="str">
        <f>"238"</f>
        <v>238</v>
      </c>
      <c r="J91" t="str">
        <f>"申购配号(新诺威)"</f>
        <v>申购配号(新诺威)</v>
      </c>
      <c r="K91" t="str">
        <f>"0.00"</f>
        <v>0.00</v>
      </c>
      <c r="L91" t="str">
        <f t="shared" si="39"/>
        <v>0.00</v>
      </c>
      <c r="M91" t="str">
        <f>"0.00"</f>
        <v>0.00</v>
      </c>
      <c r="N91" t="str">
        <f t="shared" si="38"/>
        <v>0.00</v>
      </c>
      <c r="O91" t="str">
        <f>"300765"</f>
        <v>300765</v>
      </c>
      <c r="P91" t="str">
        <f>"0153613480"</f>
        <v>0153613480</v>
      </c>
    </row>
    <row r="92" spans="1:16" x14ac:dyDescent="0.25">
      <c r="A92" t="str">
        <f t="shared" si="29"/>
        <v>人民币</v>
      </c>
      <c r="B92" t="str">
        <f>""</f>
        <v/>
      </c>
      <c r="C92" t="str">
        <f t="shared" ref="C92:C96" si="40">"20190314"</f>
        <v>20190314</v>
      </c>
      <c r="D92" t="str">
        <f>"---"</f>
        <v>---</v>
      </c>
      <c r="E92" t="str">
        <f>"---"</f>
        <v>---</v>
      </c>
      <c r="F92" t="str">
        <f>"20000.00"</f>
        <v>20000.00</v>
      </c>
      <c r="G92" t="str">
        <f>"20125.52"</f>
        <v>20125.52</v>
      </c>
      <c r="H92" t="str">
        <f>"---"</f>
        <v>---</v>
      </c>
      <c r="I92" t="str">
        <f>"---"</f>
        <v>---</v>
      </c>
      <c r="J92" t="str">
        <f>"银行转存"</f>
        <v>银行转存</v>
      </c>
      <c r="K92" t="str">
        <f t="shared" ref="K92:P92" si="41">"---"</f>
        <v>---</v>
      </c>
      <c r="L92" t="str">
        <f t="shared" si="41"/>
        <v>---</v>
      </c>
      <c r="M92" t="str">
        <f t="shared" si="41"/>
        <v>---</v>
      </c>
      <c r="N92" t="str">
        <f t="shared" si="41"/>
        <v>---</v>
      </c>
      <c r="O92" t="str">
        <f t="shared" si="41"/>
        <v>---</v>
      </c>
      <c r="P92" t="str">
        <f t="shared" si="41"/>
        <v>---</v>
      </c>
    </row>
    <row r="93" spans="1:16" x14ac:dyDescent="0.25">
      <c r="A93" t="str">
        <f t="shared" si="29"/>
        <v>人民币</v>
      </c>
      <c r="B93" t="str">
        <f>"中通国脉"</f>
        <v>中通国脉</v>
      </c>
      <c r="C93" t="str">
        <f t="shared" si="40"/>
        <v>20190314</v>
      </c>
      <c r="D93" t="str">
        <f>"25.810"</f>
        <v>25.810</v>
      </c>
      <c r="E93" t="str">
        <f>"300.00"</f>
        <v>300.00</v>
      </c>
      <c r="F93" t="str">
        <f>"-7750.89"</f>
        <v>-7750.89</v>
      </c>
      <c r="G93" t="str">
        <f>"12374.63"</f>
        <v>12374.63</v>
      </c>
      <c r="H93" t="str">
        <f>"1600.00"</f>
        <v>1600.00</v>
      </c>
      <c r="I93" t="str">
        <f>"260"</f>
        <v>260</v>
      </c>
      <c r="J93" t="str">
        <f>"证券买入(中通国脉)"</f>
        <v>证券买入(中通国脉)</v>
      </c>
      <c r="K93" t="str">
        <f>"7.74"</f>
        <v>7.74</v>
      </c>
      <c r="L93" t="str">
        <f>"0.00"</f>
        <v>0.00</v>
      </c>
      <c r="M93" t="str">
        <f>"0.15"</f>
        <v>0.15</v>
      </c>
      <c r="N93" t="str">
        <f>"0.00"</f>
        <v>0.00</v>
      </c>
      <c r="O93" t="str">
        <f>"603559"</f>
        <v>603559</v>
      </c>
      <c r="P93" t="str">
        <f>"A400948245"</f>
        <v>A400948245</v>
      </c>
    </row>
    <row r="94" spans="1:16" x14ac:dyDescent="0.25">
      <c r="A94" t="str">
        <f t="shared" si="29"/>
        <v>人民币</v>
      </c>
      <c r="B94" t="str">
        <f>"永冠配号"</f>
        <v>永冠配号</v>
      </c>
      <c r="C94" t="str">
        <f t="shared" si="40"/>
        <v>20190314</v>
      </c>
      <c r="D94" t="str">
        <f>"0.000"</f>
        <v>0.000</v>
      </c>
      <c r="E94" t="str">
        <f>"6.00"</f>
        <v>6.00</v>
      </c>
      <c r="F94" t="str">
        <f>"0.00"</f>
        <v>0.00</v>
      </c>
      <c r="G94" t="str">
        <f>"12374.63"</f>
        <v>12374.63</v>
      </c>
      <c r="H94" t="str">
        <f>"0.00"</f>
        <v>0.00</v>
      </c>
      <c r="I94" t="str">
        <f>"264"</f>
        <v>264</v>
      </c>
      <c r="J94" t="str">
        <f>"申购配号(永冠配号)"</f>
        <v>申购配号(永冠配号)</v>
      </c>
      <c r="K94" t="str">
        <f>"0.00"</f>
        <v>0.00</v>
      </c>
      <c r="L94" t="str">
        <f>"0.00"</f>
        <v>0.00</v>
      </c>
      <c r="M94" t="str">
        <f>"0.00"</f>
        <v>0.00</v>
      </c>
      <c r="N94" t="str">
        <f>"0.00"</f>
        <v>0.00</v>
      </c>
      <c r="O94" t="str">
        <f>"736681"</f>
        <v>736681</v>
      </c>
      <c r="P94" t="str">
        <f>"A400948245"</f>
        <v>A400948245</v>
      </c>
    </row>
    <row r="95" spans="1:16" x14ac:dyDescent="0.25">
      <c r="A95" t="str">
        <f t="shared" si="29"/>
        <v>人民币</v>
      </c>
      <c r="B95" t="str">
        <f>"中通国脉"</f>
        <v>中通国脉</v>
      </c>
      <c r="C95" t="str">
        <f t="shared" si="40"/>
        <v>20190314</v>
      </c>
      <c r="D95" t="str">
        <f>"25.550"</f>
        <v>25.550</v>
      </c>
      <c r="E95" t="str">
        <f>"400.00"</f>
        <v>400.00</v>
      </c>
      <c r="F95" t="str">
        <f>"-10230.42"</f>
        <v>-10230.42</v>
      </c>
      <c r="G95" t="str">
        <f>"2144.21"</f>
        <v>2144.21</v>
      </c>
      <c r="H95" t="str">
        <f>"2000.00"</f>
        <v>2000.00</v>
      </c>
      <c r="I95" t="str">
        <f>"268"</f>
        <v>268</v>
      </c>
      <c r="J95" t="str">
        <f>"证券买入(中通国脉)"</f>
        <v>证券买入(中通国脉)</v>
      </c>
      <c r="K95" t="str">
        <f>"10.22"</f>
        <v>10.22</v>
      </c>
      <c r="L95" t="str">
        <f>"0.00"</f>
        <v>0.00</v>
      </c>
      <c r="M95" t="str">
        <f>"0.20"</f>
        <v>0.20</v>
      </c>
      <c r="N95" t="str">
        <f>"0.00"</f>
        <v>0.00</v>
      </c>
      <c r="O95" t="str">
        <f>"603559"</f>
        <v>603559</v>
      </c>
      <c r="P95" t="str">
        <f>"A400948245"</f>
        <v>A400948245</v>
      </c>
    </row>
    <row r="96" spans="1:16" x14ac:dyDescent="0.25">
      <c r="A96" t="str">
        <f t="shared" si="29"/>
        <v>人民币</v>
      </c>
      <c r="B96" t="str">
        <f>"震安科技"</f>
        <v>震安科技</v>
      </c>
      <c r="C96" t="str">
        <f t="shared" si="40"/>
        <v>20190314</v>
      </c>
      <c r="D96" t="str">
        <f>"0.000"</f>
        <v>0.000</v>
      </c>
      <c r="E96" t="str">
        <f>"9.00"</f>
        <v>9.00</v>
      </c>
      <c r="F96" t="str">
        <f>"0.00"</f>
        <v>0.00</v>
      </c>
      <c r="G96" t="str">
        <f>"2144.21"</f>
        <v>2144.21</v>
      </c>
      <c r="H96" t="str">
        <f>"0.00"</f>
        <v>0.00</v>
      </c>
      <c r="I96" t="str">
        <f>"266"</f>
        <v>266</v>
      </c>
      <c r="J96" t="str">
        <f>"申购配号(震安科技)"</f>
        <v>申购配号(震安科技)</v>
      </c>
      <c r="K96" t="str">
        <f>"0.00"</f>
        <v>0.00</v>
      </c>
      <c r="L96" t="str">
        <f>"0.00"</f>
        <v>0.00</v>
      </c>
      <c r="M96" t="str">
        <f>"0.00"</f>
        <v>0.00</v>
      </c>
      <c r="N96" t="str">
        <f>"0.00"</f>
        <v>0.00</v>
      </c>
      <c r="O96" t="str">
        <f>"300767"</f>
        <v>300767</v>
      </c>
      <c r="P96" t="str">
        <f>"0153613480"</f>
        <v>0153613480</v>
      </c>
    </row>
    <row r="97" spans="1:16" x14ac:dyDescent="0.25">
      <c r="A97" t="str">
        <f t="shared" si="29"/>
        <v>人民币</v>
      </c>
      <c r="B97" t="str">
        <f>"青农商行"</f>
        <v>青农商行</v>
      </c>
      <c r="C97" t="str">
        <f>"20190315"</f>
        <v>20190315</v>
      </c>
      <c r="D97" t="str">
        <f>"0.000"</f>
        <v>0.000</v>
      </c>
      <c r="E97" t="str">
        <f>"0.00"</f>
        <v>0.00</v>
      </c>
      <c r="F97" t="str">
        <f>"-1980.00"</f>
        <v>-1980.00</v>
      </c>
      <c r="G97" t="str">
        <f>"164.21"</f>
        <v>164.21</v>
      </c>
      <c r="H97" t="str">
        <f>"500.00"</f>
        <v>500.00</v>
      </c>
      <c r="I97" t="str">
        <f>"---"</f>
        <v>---</v>
      </c>
      <c r="J97" t="s">
        <v>18</v>
      </c>
      <c r="K97" t="str">
        <f>"---"</f>
        <v>---</v>
      </c>
      <c r="L97" t="str">
        <f>"---"</f>
        <v>---</v>
      </c>
      <c r="M97" t="str">
        <f>"---"</f>
        <v>---</v>
      </c>
      <c r="N97" t="str">
        <f>"---"</f>
        <v>---</v>
      </c>
      <c r="O97" t="str">
        <f>"002958"</f>
        <v>002958</v>
      </c>
      <c r="P97" t="str">
        <f>"0153613480"</f>
        <v>0153613480</v>
      </c>
    </row>
    <row r="98" spans="1:16" x14ac:dyDescent="0.25">
      <c r="A98" t="str">
        <f t="shared" si="29"/>
        <v>人民币</v>
      </c>
      <c r="B98" t="str">
        <f>"亚世光电"</f>
        <v>亚世光电</v>
      </c>
      <c r="C98" t="str">
        <f>"20190318"</f>
        <v>20190318</v>
      </c>
      <c r="D98" t="str">
        <f>"0.000"</f>
        <v>0.000</v>
      </c>
      <c r="E98" t="str">
        <f>"9.00"</f>
        <v>9.00</v>
      </c>
      <c r="F98" t="str">
        <f>"0.00"</f>
        <v>0.00</v>
      </c>
      <c r="G98" t="str">
        <f>"164.21"</f>
        <v>164.21</v>
      </c>
      <c r="H98" t="str">
        <f>"0.00"</f>
        <v>0.00</v>
      </c>
      <c r="I98" t="str">
        <f>"278"</f>
        <v>278</v>
      </c>
      <c r="J98" t="str">
        <f>"申购配号(亚世光电)"</f>
        <v>申购配号(亚世光电)</v>
      </c>
      <c r="K98" t="str">
        <f t="shared" ref="K98:N98" si="42">"0.00"</f>
        <v>0.00</v>
      </c>
      <c r="L98" t="str">
        <f t="shared" si="42"/>
        <v>0.00</v>
      </c>
      <c r="M98" t="str">
        <f t="shared" si="42"/>
        <v>0.00</v>
      </c>
      <c r="N98" t="str">
        <f t="shared" si="42"/>
        <v>0.00</v>
      </c>
      <c r="O98" t="str">
        <f>"002952"</f>
        <v>002952</v>
      </c>
      <c r="P98" t="str">
        <f>"0153613480"</f>
        <v>0153613480</v>
      </c>
    </row>
    <row r="99" spans="1:16" x14ac:dyDescent="0.25">
      <c r="A99" t="str">
        <f t="shared" si="29"/>
        <v>人民币</v>
      </c>
      <c r="B99" t="str">
        <f>""</f>
        <v/>
      </c>
      <c r="C99" t="str">
        <f>"20190319"</f>
        <v>20190319</v>
      </c>
      <c r="D99" t="str">
        <f>"---"</f>
        <v>---</v>
      </c>
      <c r="E99" t="str">
        <f>"---"</f>
        <v>---</v>
      </c>
      <c r="F99" t="str">
        <f>"10000.00"</f>
        <v>10000.00</v>
      </c>
      <c r="G99" t="str">
        <f>"10164.21"</f>
        <v>10164.21</v>
      </c>
      <c r="H99" t="str">
        <f>"---"</f>
        <v>---</v>
      </c>
      <c r="I99" t="str">
        <f>"---"</f>
        <v>---</v>
      </c>
      <c r="J99" t="str">
        <f>"银行转存"</f>
        <v>银行转存</v>
      </c>
      <c r="K99" t="str">
        <f t="shared" ref="K99:P99" si="43">"---"</f>
        <v>---</v>
      </c>
      <c r="L99" t="str">
        <f t="shared" si="43"/>
        <v>---</v>
      </c>
      <c r="M99" t="str">
        <f t="shared" si="43"/>
        <v>---</v>
      </c>
      <c r="N99" t="str">
        <f t="shared" si="43"/>
        <v>---</v>
      </c>
      <c r="O99" t="str">
        <f t="shared" si="43"/>
        <v>---</v>
      </c>
      <c r="P99" t="str">
        <f t="shared" si="43"/>
        <v>---</v>
      </c>
    </row>
    <row r="100" spans="1:16" x14ac:dyDescent="0.25">
      <c r="A100" t="str">
        <f t="shared" si="29"/>
        <v>人民币</v>
      </c>
      <c r="B100" t="str">
        <f>"信立泰"</f>
        <v>信立泰</v>
      </c>
      <c r="C100" t="str">
        <f>"20190319"</f>
        <v>20190319</v>
      </c>
      <c r="D100" t="str">
        <f>"25.640"</f>
        <v>25.640</v>
      </c>
      <c r="E100" t="str">
        <f>"-1000.00"</f>
        <v>-1000.00</v>
      </c>
      <c r="F100" t="str">
        <f>"25588.72"</f>
        <v>25588.72</v>
      </c>
      <c r="G100" t="str">
        <f>"35752.93"</f>
        <v>35752.93</v>
      </c>
      <c r="H100" t="str">
        <f>"0.00"</f>
        <v>0.00</v>
      </c>
      <c r="I100" t="str">
        <f>"289"</f>
        <v>289</v>
      </c>
      <c r="J100" t="str">
        <f>"证券卖出(信立泰)"</f>
        <v>证券卖出(信立泰)</v>
      </c>
      <c r="K100" t="str">
        <f>"25.64"</f>
        <v>25.64</v>
      </c>
      <c r="L100" t="str">
        <f>"25.64"</f>
        <v>25.64</v>
      </c>
      <c r="M100" t="str">
        <f t="shared" ref="M100:N102" si="44">"0.00"</f>
        <v>0.00</v>
      </c>
      <c r="N100" t="str">
        <f t="shared" si="44"/>
        <v>0.00</v>
      </c>
      <c r="O100" t="str">
        <f>"002294"</f>
        <v>002294</v>
      </c>
      <c r="P100" t="str">
        <f>"0153613480"</f>
        <v>0153613480</v>
      </c>
    </row>
    <row r="101" spans="1:16" x14ac:dyDescent="0.25">
      <c r="A101" t="str">
        <f t="shared" si="29"/>
        <v>人民币</v>
      </c>
      <c r="B101" t="str">
        <f>"长城证券"</f>
        <v>长城证券</v>
      </c>
      <c r="C101" t="str">
        <f>"20190319"</f>
        <v>20190319</v>
      </c>
      <c r="D101" t="str">
        <f>"14.820"</f>
        <v>14.820</v>
      </c>
      <c r="E101" t="str">
        <f>"600.00"</f>
        <v>600.00</v>
      </c>
      <c r="F101" t="str">
        <f>"-8900.89"</f>
        <v>-8900.89</v>
      </c>
      <c r="G101" t="str">
        <f>"26852.04"</f>
        <v>26852.04</v>
      </c>
      <c r="H101" t="str">
        <f>"600.00"</f>
        <v>600.00</v>
      </c>
      <c r="I101" t="str">
        <f>"283"</f>
        <v>283</v>
      </c>
      <c r="J101" t="str">
        <f>"证券买入(长城证券)"</f>
        <v>证券买入(长城证券)</v>
      </c>
      <c r="K101" t="str">
        <f>"8.89"</f>
        <v>8.89</v>
      </c>
      <c r="L101" t="str">
        <f>"0.00"</f>
        <v>0.00</v>
      </c>
      <c r="M101" t="str">
        <f t="shared" si="44"/>
        <v>0.00</v>
      </c>
      <c r="N101" t="str">
        <f t="shared" si="44"/>
        <v>0.00</v>
      </c>
      <c r="O101" t="str">
        <f>"002939"</f>
        <v>002939</v>
      </c>
      <c r="P101" t="str">
        <f>"0153613480"</f>
        <v>0153613480</v>
      </c>
    </row>
    <row r="102" spans="1:16" x14ac:dyDescent="0.25">
      <c r="A102" t="str">
        <f t="shared" si="29"/>
        <v>人民币</v>
      </c>
      <c r="B102" t="str">
        <f>"长城证券"</f>
        <v>长城证券</v>
      </c>
      <c r="C102" t="str">
        <f>"20190319"</f>
        <v>20190319</v>
      </c>
      <c r="D102" t="str">
        <f>"14.690"</f>
        <v>14.690</v>
      </c>
      <c r="E102" t="str">
        <f>"400.00"</f>
        <v>400.00</v>
      </c>
      <c r="F102" t="str">
        <f>"-5881.88"</f>
        <v>-5881.88</v>
      </c>
      <c r="G102" t="str">
        <f>"20970.16"</f>
        <v>20970.16</v>
      </c>
      <c r="H102" t="str">
        <f>"1000.00"</f>
        <v>1000.00</v>
      </c>
      <c r="I102" t="str">
        <f>"293"</f>
        <v>293</v>
      </c>
      <c r="J102" t="str">
        <f>"证券买入(长城证券)"</f>
        <v>证券买入(长城证券)</v>
      </c>
      <c r="K102" t="str">
        <f>"5.88"</f>
        <v>5.88</v>
      </c>
      <c r="L102" t="str">
        <f>"0.00"</f>
        <v>0.00</v>
      </c>
      <c r="M102" t="str">
        <f t="shared" si="44"/>
        <v>0.00</v>
      </c>
      <c r="N102" t="str">
        <f t="shared" si="44"/>
        <v>0.00</v>
      </c>
      <c r="O102" t="str">
        <f>"002939"</f>
        <v>002939</v>
      </c>
      <c r="P102" t="str">
        <f>"0153613480"</f>
        <v>0153613480</v>
      </c>
    </row>
    <row r="103" spans="1:16" x14ac:dyDescent="0.25">
      <c r="A103" t="str">
        <f t="shared" si="29"/>
        <v>人民币</v>
      </c>
      <c r="B103" t="str">
        <f>""</f>
        <v/>
      </c>
      <c r="C103" t="str">
        <f>"20190320"</f>
        <v>20190320</v>
      </c>
      <c r="D103" t="str">
        <f>"---"</f>
        <v>---</v>
      </c>
      <c r="E103" t="str">
        <f>"---"</f>
        <v>---</v>
      </c>
      <c r="F103" t="str">
        <f>"-5000.00"</f>
        <v>-5000.00</v>
      </c>
      <c r="G103" t="str">
        <f>"15970.16"</f>
        <v>15970.16</v>
      </c>
      <c r="H103" t="str">
        <f>"---"</f>
        <v>---</v>
      </c>
      <c r="I103" t="str">
        <f>"---"</f>
        <v>---</v>
      </c>
      <c r="J103" t="str">
        <f>"银行转取"</f>
        <v>银行转取</v>
      </c>
      <c r="K103" t="str">
        <f t="shared" ref="K103:N104" si="45">"---"</f>
        <v>---</v>
      </c>
      <c r="L103" t="str">
        <f t="shared" si="45"/>
        <v>---</v>
      </c>
      <c r="M103" t="str">
        <f t="shared" si="45"/>
        <v>---</v>
      </c>
      <c r="N103" t="str">
        <f t="shared" si="45"/>
        <v>---</v>
      </c>
      <c r="O103" t="str">
        <f>"---"</f>
        <v>---</v>
      </c>
      <c r="P103" t="str">
        <f>"---"</f>
        <v>---</v>
      </c>
    </row>
    <row r="104" spans="1:16" x14ac:dyDescent="0.25">
      <c r="A104" t="str">
        <f t="shared" si="29"/>
        <v>人民币</v>
      </c>
      <c r="B104" t="str">
        <f>""</f>
        <v/>
      </c>
      <c r="C104" t="str">
        <f>"20190320"</f>
        <v>20190320</v>
      </c>
      <c r="D104" t="str">
        <f>"---"</f>
        <v>---</v>
      </c>
      <c r="E104" t="str">
        <f>"---"</f>
        <v>---</v>
      </c>
      <c r="F104" t="str">
        <f>"4.97"</f>
        <v>4.97</v>
      </c>
      <c r="G104" t="str">
        <f>"15975.13"</f>
        <v>15975.13</v>
      </c>
      <c r="H104" t="str">
        <f>"---"</f>
        <v>---</v>
      </c>
      <c r="I104" t="str">
        <f>"---"</f>
        <v>---</v>
      </c>
      <c r="J104" t="str">
        <f>"批量利息归本"</f>
        <v>批量利息归本</v>
      </c>
      <c r="K104" t="str">
        <f t="shared" si="45"/>
        <v>---</v>
      </c>
      <c r="L104" t="str">
        <f t="shared" si="45"/>
        <v>---</v>
      </c>
      <c r="M104" t="str">
        <f t="shared" si="45"/>
        <v>---</v>
      </c>
      <c r="N104" t="str">
        <f t="shared" si="45"/>
        <v>---</v>
      </c>
      <c r="O104" t="str">
        <f>"---"</f>
        <v>---</v>
      </c>
      <c r="P104" t="str">
        <f>"---"</f>
        <v>---</v>
      </c>
    </row>
    <row r="105" spans="1:16" x14ac:dyDescent="0.25">
      <c r="A105" t="str">
        <f t="shared" si="29"/>
        <v>人民币</v>
      </c>
      <c r="B105" t="str">
        <f>"长城证券"</f>
        <v>长城证券</v>
      </c>
      <c r="C105" t="str">
        <f>"20190320"</f>
        <v>20190320</v>
      </c>
      <c r="D105" t="str">
        <f>"14.700"</f>
        <v>14.700</v>
      </c>
      <c r="E105" t="str">
        <f>"500.00"</f>
        <v>500.00</v>
      </c>
      <c r="F105" t="str">
        <f>"-7357.35"</f>
        <v>-7357.35</v>
      </c>
      <c r="G105" t="str">
        <f>"8617.78"</f>
        <v>8617.78</v>
      </c>
      <c r="H105" t="str">
        <f>"1500.00"</f>
        <v>1500.00</v>
      </c>
      <c r="I105" t="str">
        <f>"301"</f>
        <v>301</v>
      </c>
      <c r="J105" t="str">
        <f>"证券买入(长城证券)"</f>
        <v>证券买入(长城证券)</v>
      </c>
      <c r="K105" t="str">
        <f>"7.35"</f>
        <v>7.35</v>
      </c>
      <c r="L105" t="str">
        <f t="shared" ref="L105:N110" si="46">"0.00"</f>
        <v>0.00</v>
      </c>
      <c r="M105" t="str">
        <f t="shared" si="46"/>
        <v>0.00</v>
      </c>
      <c r="N105" t="str">
        <f t="shared" si="46"/>
        <v>0.00</v>
      </c>
      <c r="O105" t="str">
        <f>"002939"</f>
        <v>002939</v>
      </c>
      <c r="P105" t="str">
        <f>"0153613480"</f>
        <v>0153613480</v>
      </c>
    </row>
    <row r="106" spans="1:16" x14ac:dyDescent="0.25">
      <c r="A106" t="str">
        <f t="shared" si="29"/>
        <v>人民币</v>
      </c>
      <c r="B106" t="str">
        <f>"长城证券"</f>
        <v>长城证券</v>
      </c>
      <c r="C106" t="str">
        <f>"20190320"</f>
        <v>20190320</v>
      </c>
      <c r="D106" t="str">
        <f>"14.660"</f>
        <v>14.660</v>
      </c>
      <c r="E106" t="str">
        <f>"500.00"</f>
        <v>500.00</v>
      </c>
      <c r="F106" t="str">
        <f>"-7337.33"</f>
        <v>-7337.33</v>
      </c>
      <c r="G106" t="str">
        <f>"1280.45"</f>
        <v>1280.45</v>
      </c>
      <c r="H106" t="str">
        <f>"2000.00"</f>
        <v>2000.00</v>
      </c>
      <c r="I106" t="str">
        <f>"307"</f>
        <v>307</v>
      </c>
      <c r="J106" t="str">
        <f>"证券买入(长城证券)"</f>
        <v>证券买入(长城证券)</v>
      </c>
      <c r="K106" t="str">
        <f>"7.33"</f>
        <v>7.33</v>
      </c>
      <c r="L106" t="str">
        <f t="shared" si="46"/>
        <v>0.00</v>
      </c>
      <c r="M106" t="str">
        <f t="shared" si="46"/>
        <v>0.00</v>
      </c>
      <c r="N106" t="str">
        <f t="shared" si="46"/>
        <v>0.00</v>
      </c>
      <c r="O106" t="str">
        <f>"002939"</f>
        <v>002939</v>
      </c>
      <c r="P106" t="str">
        <f>"0153613480"</f>
        <v>0153613480</v>
      </c>
    </row>
    <row r="107" spans="1:16" x14ac:dyDescent="0.25">
      <c r="A107" t="str">
        <f t="shared" si="29"/>
        <v>人民币</v>
      </c>
      <c r="B107" t="str">
        <f>"三美配号"</f>
        <v>三美配号</v>
      </c>
      <c r="C107" t="str">
        <f>"20190321"</f>
        <v>20190321</v>
      </c>
      <c r="D107" t="str">
        <f>"0.000"</f>
        <v>0.000</v>
      </c>
      <c r="E107" t="str">
        <f>"6.00"</f>
        <v>6.00</v>
      </c>
      <c r="F107" t="str">
        <f>"0.00"</f>
        <v>0.00</v>
      </c>
      <c r="G107" t="str">
        <f>"1280.45"</f>
        <v>1280.45</v>
      </c>
      <c r="H107" t="str">
        <f>"0.00"</f>
        <v>0.00</v>
      </c>
      <c r="I107" t="str">
        <f>"313"</f>
        <v>313</v>
      </c>
      <c r="J107" t="str">
        <f>"申购配号(三美配号)"</f>
        <v>申购配号(三美配号)</v>
      </c>
      <c r="K107" t="str">
        <f>"0.00"</f>
        <v>0.00</v>
      </c>
      <c r="L107" t="str">
        <f t="shared" si="46"/>
        <v>0.00</v>
      </c>
      <c r="M107" t="str">
        <f t="shared" si="46"/>
        <v>0.00</v>
      </c>
      <c r="N107" t="str">
        <f t="shared" si="46"/>
        <v>0.00</v>
      </c>
      <c r="O107" t="str">
        <f>"736379"</f>
        <v>736379</v>
      </c>
      <c r="P107" t="str">
        <f>"A400948245"</f>
        <v>A400948245</v>
      </c>
    </row>
    <row r="108" spans="1:16" x14ac:dyDescent="0.25">
      <c r="A108" t="str">
        <f t="shared" si="29"/>
        <v>人民币</v>
      </c>
      <c r="B108" t="str">
        <f>"长城证券"</f>
        <v>长城证券</v>
      </c>
      <c r="C108" t="str">
        <f>"20190321"</f>
        <v>20190321</v>
      </c>
      <c r="D108" t="str">
        <f>"15.780"</f>
        <v>15.780</v>
      </c>
      <c r="E108" t="str">
        <f>"-1000.00"</f>
        <v>-1000.00</v>
      </c>
      <c r="F108" t="str">
        <f>"15748.44"</f>
        <v>15748.44</v>
      </c>
      <c r="G108" t="str">
        <f>"17028.89"</f>
        <v>17028.89</v>
      </c>
      <c r="H108" t="str">
        <f>"1000.00"</f>
        <v>1000.00</v>
      </c>
      <c r="I108" t="str">
        <f>"315"</f>
        <v>315</v>
      </c>
      <c r="J108" t="str">
        <f>"证券卖出(长城证券)"</f>
        <v>证券卖出(长城证券)</v>
      </c>
      <c r="K108" t="str">
        <f>"15.78"</f>
        <v>15.78</v>
      </c>
      <c r="L108" t="str">
        <f>"15.78"</f>
        <v>15.78</v>
      </c>
      <c r="M108" t="str">
        <f t="shared" si="46"/>
        <v>0.00</v>
      </c>
      <c r="N108" t="str">
        <f t="shared" si="46"/>
        <v>0.00</v>
      </c>
      <c r="O108" t="str">
        <f>"002939"</f>
        <v>002939</v>
      </c>
      <c r="P108" t="str">
        <f>"0153613480"</f>
        <v>0153613480</v>
      </c>
    </row>
    <row r="109" spans="1:16" x14ac:dyDescent="0.25">
      <c r="A109" t="str">
        <f t="shared" si="29"/>
        <v>人民币</v>
      </c>
      <c r="B109" t="str">
        <f>"长城证券"</f>
        <v>长城证券</v>
      </c>
      <c r="C109" t="str">
        <f>"20190321"</f>
        <v>20190321</v>
      </c>
      <c r="D109" t="str">
        <f>"15.790"</f>
        <v>15.790</v>
      </c>
      <c r="E109" t="str">
        <f>"-1000.00"</f>
        <v>-1000.00</v>
      </c>
      <c r="F109" t="str">
        <f>"15758.42"</f>
        <v>15758.42</v>
      </c>
      <c r="G109" t="str">
        <f>"32787.31"</f>
        <v>32787.31</v>
      </c>
      <c r="H109" t="str">
        <f>"0.00"</f>
        <v>0.00</v>
      </c>
      <c r="I109" t="str">
        <f>"320"</f>
        <v>320</v>
      </c>
      <c r="J109" t="str">
        <f>"证券卖出(长城证券)"</f>
        <v>证券卖出(长城证券)</v>
      </c>
      <c r="K109" t="str">
        <f>"15.79"</f>
        <v>15.79</v>
      </c>
      <c r="L109" t="str">
        <f>"15.79"</f>
        <v>15.79</v>
      </c>
      <c r="M109" t="str">
        <f t="shared" si="46"/>
        <v>0.00</v>
      </c>
      <c r="N109" t="str">
        <f t="shared" si="46"/>
        <v>0.00</v>
      </c>
      <c r="O109" t="str">
        <f>"002939"</f>
        <v>002939</v>
      </c>
      <c r="P109" t="str">
        <f>"0153613480"</f>
        <v>0153613480</v>
      </c>
    </row>
    <row r="110" spans="1:16" x14ac:dyDescent="0.25">
      <c r="A110" t="str">
        <f t="shared" si="29"/>
        <v>人民币</v>
      </c>
      <c r="B110" t="str">
        <f>"蓝思科技"</f>
        <v>蓝思科技</v>
      </c>
      <c r="C110" t="str">
        <f>"20190321"</f>
        <v>20190321</v>
      </c>
      <c r="D110" t="str">
        <f>"8.910"</f>
        <v>8.910</v>
      </c>
      <c r="E110" t="str">
        <f>"500.00"</f>
        <v>500.00</v>
      </c>
      <c r="F110" t="str">
        <f>"-4460.00"</f>
        <v>-4460.00</v>
      </c>
      <c r="G110" t="str">
        <f>"28327.31"</f>
        <v>28327.31</v>
      </c>
      <c r="H110" t="str">
        <f>"2300.00"</f>
        <v>2300.00</v>
      </c>
      <c r="I110" t="str">
        <f>"323"</f>
        <v>323</v>
      </c>
      <c r="J110" t="str">
        <f>"证券买入(蓝思科技)"</f>
        <v>证券买入(蓝思科技)</v>
      </c>
      <c r="K110" t="str">
        <f>"5.00"</f>
        <v>5.00</v>
      </c>
      <c r="L110" t="str">
        <f t="shared" ref="L110:L115" si="47">"0.00"</f>
        <v>0.00</v>
      </c>
      <c r="M110" t="str">
        <f t="shared" si="46"/>
        <v>0.00</v>
      </c>
      <c r="N110" t="str">
        <f t="shared" si="46"/>
        <v>0.00</v>
      </c>
      <c r="O110" t="str">
        <f>"300433"</f>
        <v>300433</v>
      </c>
      <c r="P110" t="str">
        <f>"0153613480"</f>
        <v>0153613480</v>
      </c>
    </row>
    <row r="111" spans="1:16" x14ac:dyDescent="0.25">
      <c r="A111" t="str">
        <f t="shared" si="29"/>
        <v>人民币</v>
      </c>
      <c r="B111" t="str">
        <f>"七一二"</f>
        <v>七一二</v>
      </c>
      <c r="C111" t="str">
        <f>"20190322"</f>
        <v>20190322</v>
      </c>
      <c r="D111" t="str">
        <f>"18.650"</f>
        <v>18.650</v>
      </c>
      <c r="E111" t="str">
        <f>"300.00"</f>
        <v>300.00</v>
      </c>
      <c r="F111" t="str">
        <f>"-5600.71"</f>
        <v>-5600.71</v>
      </c>
      <c r="G111" t="str">
        <f>"22726.60"</f>
        <v>22726.60</v>
      </c>
      <c r="H111" t="str">
        <f>"2300.00"</f>
        <v>2300.00</v>
      </c>
      <c r="I111" t="str">
        <f>"339"</f>
        <v>339</v>
      </c>
      <c r="J111" t="str">
        <f>"证券买入(七一二)"</f>
        <v>证券买入(七一二)</v>
      </c>
      <c r="K111" t="str">
        <f>"5.60"</f>
        <v>5.60</v>
      </c>
      <c r="L111" t="str">
        <f t="shared" si="47"/>
        <v>0.00</v>
      </c>
      <c r="M111" t="str">
        <f>"0.11"</f>
        <v>0.11</v>
      </c>
      <c r="N111" t="str">
        <f>"0.00"</f>
        <v>0.00</v>
      </c>
      <c r="O111" t="str">
        <f>"603712"</f>
        <v>603712</v>
      </c>
      <c r="P111" t="str">
        <f>"A400948245"</f>
        <v>A400948245</v>
      </c>
    </row>
    <row r="112" spans="1:16" x14ac:dyDescent="0.25">
      <c r="A112" t="str">
        <f t="shared" si="29"/>
        <v>人民币</v>
      </c>
      <c r="B112" t="str">
        <f>"银之杰"</f>
        <v>银之杰</v>
      </c>
      <c r="C112" t="str">
        <f>"20190322"</f>
        <v>20190322</v>
      </c>
      <c r="D112" t="str">
        <f>"18.570"</f>
        <v>18.570</v>
      </c>
      <c r="E112" t="str">
        <f>"500.00"</f>
        <v>500.00</v>
      </c>
      <c r="F112" t="str">
        <f>"-9294.29"</f>
        <v>-9294.29</v>
      </c>
      <c r="G112" t="str">
        <f>"13432.31"</f>
        <v>13432.31</v>
      </c>
      <c r="H112" t="str">
        <f>"500.00"</f>
        <v>500.00</v>
      </c>
      <c r="I112" t="str">
        <f>"330"</f>
        <v>330</v>
      </c>
      <c r="J112" t="str">
        <f>"证券买入(银之杰)"</f>
        <v>证券买入(银之杰)</v>
      </c>
      <c r="K112" t="str">
        <f>"9.29"</f>
        <v>9.29</v>
      </c>
      <c r="L112" t="str">
        <f t="shared" si="47"/>
        <v>0.00</v>
      </c>
      <c r="M112" t="str">
        <f>"0.00"</f>
        <v>0.00</v>
      </c>
      <c r="N112" t="str">
        <f>"0.00"</f>
        <v>0.00</v>
      </c>
      <c r="O112" t="str">
        <f>"300085"</f>
        <v>300085</v>
      </c>
      <c r="P112" t="str">
        <f>"0153613480"</f>
        <v>0153613480</v>
      </c>
    </row>
    <row r="113" spans="1:16" x14ac:dyDescent="0.25">
      <c r="A113" t="str">
        <f t="shared" si="29"/>
        <v>人民币</v>
      </c>
      <c r="B113" t="str">
        <f>"银之杰"</f>
        <v>银之杰</v>
      </c>
      <c r="C113" t="str">
        <f>"20190322"</f>
        <v>20190322</v>
      </c>
      <c r="D113" t="str">
        <f>"18.350"</f>
        <v>18.350</v>
      </c>
      <c r="E113" t="str">
        <f>"300.00"</f>
        <v>300.00</v>
      </c>
      <c r="F113" t="str">
        <f>"-5510.51"</f>
        <v>-5510.51</v>
      </c>
      <c r="G113" t="str">
        <f>"7921.80"</f>
        <v>7921.80</v>
      </c>
      <c r="H113" t="str">
        <f>"800.00"</f>
        <v>800.00</v>
      </c>
      <c r="I113" t="str">
        <f>"333"</f>
        <v>333</v>
      </c>
      <c r="J113" t="str">
        <f>"证券买入(银之杰)"</f>
        <v>证券买入(银之杰)</v>
      </c>
      <c r="K113" t="str">
        <f>"5.51"</f>
        <v>5.51</v>
      </c>
      <c r="L113" t="str">
        <f t="shared" si="47"/>
        <v>0.00</v>
      </c>
      <c r="M113" t="str">
        <f>"0.00"</f>
        <v>0.00</v>
      </c>
      <c r="N113" t="str">
        <f>"0.00"</f>
        <v>0.00</v>
      </c>
      <c r="O113" t="str">
        <f>"300085"</f>
        <v>300085</v>
      </c>
      <c r="P113" t="str">
        <f>"0153613480"</f>
        <v>0153613480</v>
      </c>
    </row>
    <row r="114" spans="1:16" x14ac:dyDescent="0.25">
      <c r="A114" t="str">
        <f t="shared" si="29"/>
        <v>人民币</v>
      </c>
      <c r="B114" t="str">
        <f>"银之杰"</f>
        <v>银之杰</v>
      </c>
      <c r="C114" t="str">
        <f>"20190322"</f>
        <v>20190322</v>
      </c>
      <c r="D114" t="str">
        <f>"17.950"</f>
        <v>17.950</v>
      </c>
      <c r="E114" t="str">
        <f>"200.00"</f>
        <v>200.00</v>
      </c>
      <c r="F114" t="str">
        <f>"-3595.00"</f>
        <v>-3595.00</v>
      </c>
      <c r="G114" t="str">
        <f>"4326.80"</f>
        <v>4326.80</v>
      </c>
      <c r="H114" t="str">
        <f>"1000.00"</f>
        <v>1000.00</v>
      </c>
      <c r="I114" t="str">
        <f>"336"</f>
        <v>336</v>
      </c>
      <c r="J114" t="str">
        <f>"证券买入(银之杰)"</f>
        <v>证券买入(银之杰)</v>
      </c>
      <c r="K114" t="str">
        <f>"5.00"</f>
        <v>5.00</v>
      </c>
      <c r="L114" t="str">
        <f t="shared" si="47"/>
        <v>0.00</v>
      </c>
      <c r="M114" t="str">
        <f>"0.00"</f>
        <v>0.00</v>
      </c>
      <c r="N114" t="str">
        <f>"0.00"</f>
        <v>0.00</v>
      </c>
      <c r="O114" t="str">
        <f>"300085"</f>
        <v>300085</v>
      </c>
      <c r="P114" t="str">
        <f>"0153613480"</f>
        <v>0153613480</v>
      </c>
    </row>
    <row r="115" spans="1:16" x14ac:dyDescent="0.25">
      <c r="A115" t="str">
        <f t="shared" si="29"/>
        <v>人民币</v>
      </c>
      <c r="B115" t="str">
        <f>"银之杰"</f>
        <v>银之杰</v>
      </c>
      <c r="C115" t="str">
        <f>"20190325"</f>
        <v>20190325</v>
      </c>
      <c r="D115" t="str">
        <f>"17.850"</f>
        <v>17.850</v>
      </c>
      <c r="E115" t="str">
        <f>"200.00"</f>
        <v>200.00</v>
      </c>
      <c r="F115" t="str">
        <f>"-3575.00"</f>
        <v>-3575.00</v>
      </c>
      <c r="G115" t="str">
        <f>"751.80"</f>
        <v>751.80</v>
      </c>
      <c r="H115" t="str">
        <f>"1200.00"</f>
        <v>1200.00</v>
      </c>
      <c r="I115" t="str">
        <f>"352"</f>
        <v>352</v>
      </c>
      <c r="J115" t="str">
        <f>"证券买入(银之杰)"</f>
        <v>证券买入(银之杰)</v>
      </c>
      <c r="K115" t="str">
        <f>"5.00"</f>
        <v>5.00</v>
      </c>
      <c r="L115" t="str">
        <f t="shared" si="47"/>
        <v>0.00</v>
      </c>
      <c r="M115" t="str">
        <f>"0.00"</f>
        <v>0.00</v>
      </c>
      <c r="N115" t="str">
        <f>"0.00"</f>
        <v>0.00</v>
      </c>
      <c r="O115" t="str">
        <f>"300085"</f>
        <v>300085</v>
      </c>
      <c r="P115" t="str">
        <f>"0153613480"</f>
        <v>0153613480</v>
      </c>
    </row>
    <row r="116" spans="1:16" x14ac:dyDescent="0.25">
      <c r="A116" t="str">
        <f t="shared" si="29"/>
        <v>人民币</v>
      </c>
      <c r="B116" t="str">
        <f>""</f>
        <v/>
      </c>
      <c r="C116" t="str">
        <f>"20190326"</f>
        <v>20190326</v>
      </c>
      <c r="D116" t="str">
        <f>"---"</f>
        <v>---</v>
      </c>
      <c r="E116" t="str">
        <f>"---"</f>
        <v>---</v>
      </c>
      <c r="F116" t="str">
        <f>"10000.00"</f>
        <v>10000.00</v>
      </c>
      <c r="G116" t="str">
        <f>"10751.80"</f>
        <v>10751.80</v>
      </c>
      <c r="H116" t="str">
        <f>"---"</f>
        <v>---</v>
      </c>
      <c r="I116" t="str">
        <f>"---"</f>
        <v>---</v>
      </c>
      <c r="J116" t="str">
        <f>"银行转存"</f>
        <v>银行转存</v>
      </c>
      <c r="K116" t="str">
        <f t="shared" ref="K116:P116" si="48">"---"</f>
        <v>---</v>
      </c>
      <c r="L116" t="str">
        <f t="shared" si="48"/>
        <v>---</v>
      </c>
      <c r="M116" t="str">
        <f t="shared" si="48"/>
        <v>---</v>
      </c>
      <c r="N116" t="str">
        <f t="shared" si="48"/>
        <v>---</v>
      </c>
      <c r="O116" t="str">
        <f t="shared" si="48"/>
        <v>---</v>
      </c>
      <c r="P116" t="str">
        <f t="shared" si="48"/>
        <v>---</v>
      </c>
    </row>
    <row r="117" spans="1:16" x14ac:dyDescent="0.25">
      <c r="A117" t="str">
        <f t="shared" si="29"/>
        <v>人民币</v>
      </c>
      <c r="B117" t="str">
        <f>"银之杰"</f>
        <v>银之杰</v>
      </c>
      <c r="C117" t="str">
        <f>"20190326"</f>
        <v>20190326</v>
      </c>
      <c r="D117" t="str">
        <f>"17.180"</f>
        <v>17.180</v>
      </c>
      <c r="E117" t="str">
        <f>"600.00"</f>
        <v>600.00</v>
      </c>
      <c r="F117" t="str">
        <f>"-10318.31"</f>
        <v>-10318.31</v>
      </c>
      <c r="G117" t="str">
        <f>"433.49"</f>
        <v>433.49</v>
      </c>
      <c r="H117" t="str">
        <f>"1800.00"</f>
        <v>1800.00</v>
      </c>
      <c r="I117" t="str">
        <f>"2"</f>
        <v>2</v>
      </c>
      <c r="J117" t="str">
        <f>"证券买入(银之杰)"</f>
        <v>证券买入(银之杰)</v>
      </c>
      <c r="K117" t="str">
        <f>"10.31"</f>
        <v>10.31</v>
      </c>
      <c r="L117" t="str">
        <f>"0.00"</f>
        <v>0.00</v>
      </c>
      <c r="M117" t="str">
        <f>"0.00"</f>
        <v>0.00</v>
      </c>
      <c r="N117" t="str">
        <f>"0.00"</f>
        <v>0.00</v>
      </c>
      <c r="O117" t="str">
        <f>"300085"</f>
        <v>300085</v>
      </c>
      <c r="P117" t="str">
        <f>"0153613480"</f>
        <v>0153613480</v>
      </c>
    </row>
    <row r="118" spans="1:16" x14ac:dyDescent="0.25">
      <c r="A118" t="str">
        <f t="shared" si="29"/>
        <v>人民币</v>
      </c>
      <c r="B118" t="str">
        <f>""</f>
        <v/>
      </c>
      <c r="C118" t="str">
        <f>"20190327"</f>
        <v>20190327</v>
      </c>
      <c r="D118" t="str">
        <f>"---"</f>
        <v>---</v>
      </c>
      <c r="E118" t="str">
        <f>"---"</f>
        <v>---</v>
      </c>
      <c r="F118" t="str">
        <f>"10000.00"</f>
        <v>10000.00</v>
      </c>
      <c r="G118" t="str">
        <f>"10433.49"</f>
        <v>10433.49</v>
      </c>
      <c r="H118" t="str">
        <f>"---"</f>
        <v>---</v>
      </c>
      <c r="I118" t="str">
        <f>"---"</f>
        <v>---</v>
      </c>
      <c r="J118" t="str">
        <f>"银行转存"</f>
        <v>银行转存</v>
      </c>
      <c r="K118" t="str">
        <f t="shared" ref="K118:P118" si="49">"---"</f>
        <v>---</v>
      </c>
      <c r="L118" t="str">
        <f t="shared" si="49"/>
        <v>---</v>
      </c>
      <c r="M118" t="str">
        <f t="shared" si="49"/>
        <v>---</v>
      </c>
      <c r="N118" t="str">
        <f t="shared" si="49"/>
        <v>---</v>
      </c>
      <c r="O118" t="str">
        <f t="shared" si="49"/>
        <v>---</v>
      </c>
      <c r="P118" t="str">
        <f t="shared" si="49"/>
        <v>---</v>
      </c>
    </row>
    <row r="119" spans="1:16" x14ac:dyDescent="0.25">
      <c r="A119" t="str">
        <f t="shared" si="29"/>
        <v>人民币</v>
      </c>
      <c r="B119" t="str">
        <f>"银之杰"</f>
        <v>银之杰</v>
      </c>
      <c r="C119" t="str">
        <f>"20190327"</f>
        <v>20190327</v>
      </c>
      <c r="D119" t="str">
        <f>"16.360"</f>
        <v>16.360</v>
      </c>
      <c r="E119" t="str">
        <f>"600.00"</f>
        <v>600.00</v>
      </c>
      <c r="F119" t="str">
        <f>"-9825.82"</f>
        <v>-9825.82</v>
      </c>
      <c r="G119" t="str">
        <f>"607.67"</f>
        <v>607.67</v>
      </c>
      <c r="H119" t="str">
        <f>"2400.00"</f>
        <v>2400.00</v>
      </c>
      <c r="I119" t="str">
        <f>"7"</f>
        <v>7</v>
      </c>
      <c r="J119" t="str">
        <f>"证券买入(银之杰)"</f>
        <v>证券买入(银之杰)</v>
      </c>
      <c r="K119" t="str">
        <f>"9.82"</f>
        <v>9.82</v>
      </c>
      <c r="L119" t="str">
        <f>"0.00"</f>
        <v>0.00</v>
      </c>
      <c r="M119" t="str">
        <f>"0.00"</f>
        <v>0.00</v>
      </c>
      <c r="N119" t="str">
        <f>"0.00"</f>
        <v>0.00</v>
      </c>
      <c r="O119" t="str">
        <f>"300085"</f>
        <v>300085</v>
      </c>
      <c r="P119" t="str">
        <f>"0153613480"</f>
        <v>0153613480</v>
      </c>
    </row>
    <row r="120" spans="1:16" x14ac:dyDescent="0.25">
      <c r="A120" t="str">
        <f t="shared" si="29"/>
        <v>人民币</v>
      </c>
      <c r="B120" t="str">
        <f>"银之杰"</f>
        <v>银之杰</v>
      </c>
      <c r="C120" t="str">
        <f>"20190401"</f>
        <v>20190401</v>
      </c>
      <c r="D120" t="str">
        <f>"18.850"</f>
        <v>18.850</v>
      </c>
      <c r="E120" t="str">
        <f>"-800.00"</f>
        <v>-800.00</v>
      </c>
      <c r="F120" t="str">
        <f>"15049.84"</f>
        <v>15049.84</v>
      </c>
      <c r="G120" t="str">
        <f>"15657.51"</f>
        <v>15657.51</v>
      </c>
      <c r="H120" t="str">
        <f>"1600.00"</f>
        <v>1600.00</v>
      </c>
      <c r="I120" t="str">
        <f>"11"</f>
        <v>11</v>
      </c>
      <c r="J120" t="str">
        <f>"证券卖出(银之杰)"</f>
        <v>证券卖出(银之杰)</v>
      </c>
      <c r="K120" t="str">
        <f>"15.08"</f>
        <v>15.08</v>
      </c>
      <c r="L120" t="str">
        <f>"15.08"</f>
        <v>15.08</v>
      </c>
      <c r="M120" t="str">
        <f t="shared" ref="M120:N126" si="50">"0.00"</f>
        <v>0.00</v>
      </c>
      <c r="N120" t="str">
        <f t="shared" si="50"/>
        <v>0.00</v>
      </c>
      <c r="O120" t="str">
        <f>"300085"</f>
        <v>300085</v>
      </c>
      <c r="P120" t="str">
        <f>"0153613480"</f>
        <v>0153613480</v>
      </c>
    </row>
    <row r="121" spans="1:16" x14ac:dyDescent="0.25">
      <c r="A121" t="str">
        <f t="shared" si="29"/>
        <v>人民币</v>
      </c>
      <c r="B121" t="str">
        <f>"银之杰"</f>
        <v>银之杰</v>
      </c>
      <c r="C121" t="str">
        <f>"20190401"</f>
        <v>20190401</v>
      </c>
      <c r="D121" t="str">
        <f>"18.850"</f>
        <v>18.850</v>
      </c>
      <c r="E121" t="str">
        <f>"-1500.00"</f>
        <v>-1500.00</v>
      </c>
      <c r="F121" t="str">
        <f>"28218.44"</f>
        <v>28218.44</v>
      </c>
      <c r="G121" t="str">
        <f>"43875.95"</f>
        <v>43875.95</v>
      </c>
      <c r="H121" t="str">
        <f>"100.00"</f>
        <v>100.00</v>
      </c>
      <c r="I121" t="str">
        <f>"14"</f>
        <v>14</v>
      </c>
      <c r="J121" t="str">
        <f>"证券卖出(银之杰)"</f>
        <v>证券卖出(银之杰)</v>
      </c>
      <c r="K121" t="str">
        <f>"28.28"</f>
        <v>28.28</v>
      </c>
      <c r="L121" t="str">
        <f>"28.28"</f>
        <v>28.28</v>
      </c>
      <c r="M121" t="str">
        <f t="shared" si="50"/>
        <v>0.00</v>
      </c>
      <c r="N121" t="str">
        <f t="shared" si="50"/>
        <v>0.00</v>
      </c>
      <c r="O121" t="str">
        <f>"300085"</f>
        <v>300085</v>
      </c>
      <c r="P121" t="str">
        <f>"0153613480"</f>
        <v>0153613480</v>
      </c>
    </row>
    <row r="122" spans="1:16" x14ac:dyDescent="0.25">
      <c r="A122" t="str">
        <f t="shared" si="29"/>
        <v>人民币</v>
      </c>
      <c r="B122" t="str">
        <f>"银之杰"</f>
        <v>银之杰</v>
      </c>
      <c r="C122" t="str">
        <f>"20190401"</f>
        <v>20190401</v>
      </c>
      <c r="D122" t="str">
        <f>"18.910"</f>
        <v>18.910</v>
      </c>
      <c r="E122" t="str">
        <f>"-100.00"</f>
        <v>-100.00</v>
      </c>
      <c r="F122" t="str">
        <f>"1884.11"</f>
        <v>1884.11</v>
      </c>
      <c r="G122" t="str">
        <f>"45760.06"</f>
        <v>45760.06</v>
      </c>
      <c r="H122" t="str">
        <f>"0.00"</f>
        <v>0.00</v>
      </c>
      <c r="I122" t="str">
        <f>"17"</f>
        <v>17</v>
      </c>
      <c r="J122" t="str">
        <f>"证券卖出(银之杰)"</f>
        <v>证券卖出(银之杰)</v>
      </c>
      <c r="K122" t="str">
        <f>"5.00"</f>
        <v>5.00</v>
      </c>
      <c r="L122" t="str">
        <f>"1.89"</f>
        <v>1.89</v>
      </c>
      <c r="M122" t="str">
        <f t="shared" si="50"/>
        <v>0.00</v>
      </c>
      <c r="N122" t="str">
        <f t="shared" si="50"/>
        <v>0.00</v>
      </c>
      <c r="O122" t="str">
        <f>"300085"</f>
        <v>300085</v>
      </c>
      <c r="P122" t="str">
        <f>"0153613480"</f>
        <v>0153613480</v>
      </c>
    </row>
    <row r="123" spans="1:16" x14ac:dyDescent="0.25">
      <c r="A123" t="str">
        <f t="shared" si="29"/>
        <v>人民币</v>
      </c>
      <c r="B123" t="str">
        <f>"安硕信息"</f>
        <v>安硕信息</v>
      </c>
      <c r="C123" t="str">
        <f>"20190401"</f>
        <v>20190401</v>
      </c>
      <c r="D123" t="str">
        <f>"26.450"</f>
        <v>26.450</v>
      </c>
      <c r="E123" t="str">
        <f>"400.00"</f>
        <v>400.00</v>
      </c>
      <c r="F123" t="str">
        <f>"-10590.58"</f>
        <v>-10590.58</v>
      </c>
      <c r="G123" t="str">
        <f>"35169.48"</f>
        <v>35169.48</v>
      </c>
      <c r="H123" t="str">
        <f>"400.00"</f>
        <v>400.00</v>
      </c>
      <c r="I123" t="str">
        <f>"20"</f>
        <v>20</v>
      </c>
      <c r="J123" t="str">
        <f>"证券买入(安硕信息)"</f>
        <v>证券买入(安硕信息)</v>
      </c>
      <c r="K123" t="str">
        <f>"10.58"</f>
        <v>10.58</v>
      </c>
      <c r="L123" t="str">
        <f>"0.00"</f>
        <v>0.00</v>
      </c>
      <c r="M123" t="str">
        <f t="shared" si="50"/>
        <v>0.00</v>
      </c>
      <c r="N123" t="str">
        <f t="shared" si="50"/>
        <v>0.00</v>
      </c>
      <c r="O123" t="str">
        <f>"300380"</f>
        <v>300380</v>
      </c>
      <c r="P123" t="str">
        <f>"0153613480"</f>
        <v>0153613480</v>
      </c>
    </row>
    <row r="124" spans="1:16" x14ac:dyDescent="0.25">
      <c r="A124" t="str">
        <f t="shared" si="29"/>
        <v>人民币</v>
      </c>
      <c r="B124" t="str">
        <f>"博通配号"</f>
        <v>博通配号</v>
      </c>
      <c r="C124" t="str">
        <f>"20190402"</f>
        <v>20190402</v>
      </c>
      <c r="D124" t="str">
        <f>"0.000"</f>
        <v>0.000</v>
      </c>
      <c r="E124" t="str">
        <f>"8.00"</f>
        <v>8.00</v>
      </c>
      <c r="F124" t="str">
        <f>"0.00"</f>
        <v>0.00</v>
      </c>
      <c r="G124" t="str">
        <f>"35169.48"</f>
        <v>35169.48</v>
      </c>
      <c r="H124" t="str">
        <f>"0.00"</f>
        <v>0.00</v>
      </c>
      <c r="I124" t="str">
        <f>"29"</f>
        <v>29</v>
      </c>
      <c r="J124" t="str">
        <f>"申购配号(博通配号)"</f>
        <v>申购配号(博通配号)</v>
      </c>
      <c r="K124" t="str">
        <f>"0.00"</f>
        <v>0.00</v>
      </c>
      <c r="L124" t="str">
        <f>"0.00"</f>
        <v>0.00</v>
      </c>
      <c r="M124" t="str">
        <f t="shared" si="50"/>
        <v>0.00</v>
      </c>
      <c r="N124" t="str">
        <f t="shared" si="50"/>
        <v>0.00</v>
      </c>
      <c r="O124" t="str">
        <f>"736068"</f>
        <v>736068</v>
      </c>
      <c r="P124" t="str">
        <f>"A400948245"</f>
        <v>A400948245</v>
      </c>
    </row>
    <row r="125" spans="1:16" x14ac:dyDescent="0.25">
      <c r="A125" t="str">
        <f t="shared" si="29"/>
        <v>人民币</v>
      </c>
      <c r="B125" t="str">
        <f>"安硕信息"</f>
        <v>安硕信息</v>
      </c>
      <c r="C125" t="str">
        <f>"20190402"</f>
        <v>20190402</v>
      </c>
      <c r="D125" t="str">
        <f>"26.550"</f>
        <v>26.550</v>
      </c>
      <c r="E125" t="str">
        <f>"600.00"</f>
        <v>600.00</v>
      </c>
      <c r="F125" t="str">
        <f>"-15945.93"</f>
        <v>-15945.93</v>
      </c>
      <c r="G125" t="str">
        <f>"19223.55"</f>
        <v>19223.55</v>
      </c>
      <c r="H125" t="str">
        <f>"1000.00"</f>
        <v>1000.00</v>
      </c>
      <c r="I125" t="str">
        <f>"33"</f>
        <v>33</v>
      </c>
      <c r="J125" t="str">
        <f>"证券买入(安硕信息)"</f>
        <v>证券买入(安硕信息)</v>
      </c>
      <c r="K125" t="str">
        <f>"15.93"</f>
        <v>15.93</v>
      </c>
      <c r="L125" t="str">
        <f>"0.00"</f>
        <v>0.00</v>
      </c>
      <c r="M125" t="str">
        <f t="shared" si="50"/>
        <v>0.00</v>
      </c>
      <c r="N125" t="str">
        <f t="shared" si="50"/>
        <v>0.00</v>
      </c>
      <c r="O125" t="str">
        <f>"300380"</f>
        <v>300380</v>
      </c>
      <c r="P125" t="str">
        <f>"0153613480"</f>
        <v>0153613480</v>
      </c>
    </row>
    <row r="126" spans="1:16" x14ac:dyDescent="0.25">
      <c r="A126" t="str">
        <f t="shared" si="29"/>
        <v>人民币</v>
      </c>
      <c r="B126" t="str">
        <f>"迪普科技"</f>
        <v>迪普科技</v>
      </c>
      <c r="C126" t="str">
        <f>"20190402"</f>
        <v>20190402</v>
      </c>
      <c r="D126" t="str">
        <f>"0.000"</f>
        <v>0.000</v>
      </c>
      <c r="E126" t="str">
        <f>"8.00"</f>
        <v>8.00</v>
      </c>
      <c r="F126" t="str">
        <f>"0.00"</f>
        <v>0.00</v>
      </c>
      <c r="G126" t="str">
        <f>"19223.55"</f>
        <v>19223.55</v>
      </c>
      <c r="H126" t="str">
        <f>"0.00"</f>
        <v>0.00</v>
      </c>
      <c r="I126" t="str">
        <f>"31"</f>
        <v>31</v>
      </c>
      <c r="J126" t="str">
        <f>"申购配号(迪普科技)"</f>
        <v>申购配号(迪普科技)</v>
      </c>
      <c r="K126" t="str">
        <f>"0.00"</f>
        <v>0.00</v>
      </c>
      <c r="L126" t="str">
        <f>"0.00"</f>
        <v>0.00</v>
      </c>
      <c r="M126" t="str">
        <f t="shared" si="50"/>
        <v>0.00</v>
      </c>
      <c r="N126" t="str">
        <f t="shared" si="50"/>
        <v>0.00</v>
      </c>
      <c r="O126" t="str">
        <f>"300768"</f>
        <v>300768</v>
      </c>
      <c r="P126" t="str">
        <f>"0153613480"</f>
        <v>0153613480</v>
      </c>
    </row>
    <row r="127" spans="1:16" x14ac:dyDescent="0.25">
      <c r="A127" t="str">
        <f t="shared" si="29"/>
        <v>人民币</v>
      </c>
      <c r="B127" t="str">
        <f>""</f>
        <v/>
      </c>
      <c r="C127" t="str">
        <f t="shared" ref="C127:C136" si="51">"20190403"</f>
        <v>20190403</v>
      </c>
      <c r="D127" t="str">
        <f>"---"</f>
        <v>---</v>
      </c>
      <c r="E127" t="str">
        <f>"---"</f>
        <v>---</v>
      </c>
      <c r="F127" t="str">
        <f>"-15000.00"</f>
        <v>-15000.00</v>
      </c>
      <c r="G127" t="str">
        <f>"4223.55"</f>
        <v>4223.55</v>
      </c>
      <c r="H127" t="str">
        <f>"---"</f>
        <v>---</v>
      </c>
      <c r="I127" t="str">
        <f>"---"</f>
        <v>---</v>
      </c>
      <c r="J127" t="str">
        <f>"银行转取"</f>
        <v>银行转取</v>
      </c>
      <c r="K127" t="str">
        <f t="shared" ref="K127:P127" si="52">"---"</f>
        <v>---</v>
      </c>
      <c r="L127" t="str">
        <f t="shared" si="52"/>
        <v>---</v>
      </c>
      <c r="M127" t="str">
        <f t="shared" si="52"/>
        <v>---</v>
      </c>
      <c r="N127" t="str">
        <f t="shared" si="52"/>
        <v>---</v>
      </c>
      <c r="O127" t="str">
        <f t="shared" si="52"/>
        <v>---</v>
      </c>
      <c r="P127" t="str">
        <f t="shared" si="52"/>
        <v>---</v>
      </c>
    </row>
    <row r="128" spans="1:16" x14ac:dyDescent="0.25">
      <c r="A128" t="str">
        <f t="shared" si="29"/>
        <v>人民币</v>
      </c>
      <c r="B128" t="str">
        <f>"天味配号"</f>
        <v>天味配号</v>
      </c>
      <c r="C128" t="str">
        <f t="shared" si="51"/>
        <v>20190403</v>
      </c>
      <c r="D128" t="str">
        <f>"0.000"</f>
        <v>0.000</v>
      </c>
      <c r="E128" t="str">
        <f>"8.00"</f>
        <v>8.00</v>
      </c>
      <c r="F128" t="str">
        <f>"0.00"</f>
        <v>0.00</v>
      </c>
      <c r="G128" t="str">
        <f>"4223.55"</f>
        <v>4223.55</v>
      </c>
      <c r="H128" t="str">
        <f>"0.00"</f>
        <v>0.00</v>
      </c>
      <c r="I128" t="str">
        <f>"40"</f>
        <v>40</v>
      </c>
      <c r="J128" t="str">
        <f>"申购配号(天味配号)"</f>
        <v>申购配号(天味配号)</v>
      </c>
      <c r="K128" t="str">
        <f>"0.00"</f>
        <v>0.00</v>
      </c>
      <c r="L128" t="str">
        <f>"0.00"</f>
        <v>0.00</v>
      </c>
      <c r="M128" t="str">
        <f>"0.00"</f>
        <v>0.00</v>
      </c>
      <c r="N128" t="str">
        <f>"0.00"</f>
        <v>0.00</v>
      </c>
      <c r="O128" t="str">
        <f>"736317"</f>
        <v>736317</v>
      </c>
      <c r="P128" t="str">
        <f>"A400948245"</f>
        <v>A400948245</v>
      </c>
    </row>
    <row r="129" spans="1:16" x14ac:dyDescent="0.25">
      <c r="A129" t="str">
        <f t="shared" si="29"/>
        <v>人民币</v>
      </c>
      <c r="B129" t="str">
        <f>"七一二"</f>
        <v>七一二</v>
      </c>
      <c r="C129" t="str">
        <f t="shared" si="51"/>
        <v>20190403</v>
      </c>
      <c r="D129" t="str">
        <f>"21.810"</f>
        <v>21.810</v>
      </c>
      <c r="E129" t="str">
        <f>"-600.00"</f>
        <v>-600.00</v>
      </c>
      <c r="F129" t="str">
        <f>"13059.56"</f>
        <v>13059.56</v>
      </c>
      <c r="G129" t="str">
        <f>"17283.11"</f>
        <v>17283.11</v>
      </c>
      <c r="H129" t="str">
        <f>"1700.00"</f>
        <v>1700.00</v>
      </c>
      <c r="I129" t="str">
        <f>"48"</f>
        <v>48</v>
      </c>
      <c r="J129" t="str">
        <f>"证券卖出(七一二)"</f>
        <v>证券卖出(七一二)</v>
      </c>
      <c r="K129" t="str">
        <f>"13.09"</f>
        <v>13.09</v>
      </c>
      <c r="L129" t="str">
        <f>"13.09"</f>
        <v>13.09</v>
      </c>
      <c r="M129" t="str">
        <f>"0.26"</f>
        <v>0.26</v>
      </c>
      <c r="N129" t="str">
        <f t="shared" ref="N129:N136" si="53">"0.00"</f>
        <v>0.00</v>
      </c>
      <c r="O129" t="str">
        <f>"603712"</f>
        <v>603712</v>
      </c>
      <c r="P129" t="str">
        <f>"A400948245"</f>
        <v>A400948245</v>
      </c>
    </row>
    <row r="130" spans="1:16" x14ac:dyDescent="0.25">
      <c r="A130" t="str">
        <f t="shared" ref="A130:A193" si="54">"人民币"</f>
        <v>人民币</v>
      </c>
      <c r="B130" t="str">
        <f>"七一二"</f>
        <v>七一二</v>
      </c>
      <c r="C130" t="str">
        <f t="shared" si="51"/>
        <v>20190403</v>
      </c>
      <c r="D130" t="str">
        <f>"21.710"</f>
        <v>21.710</v>
      </c>
      <c r="E130" t="str">
        <f>"-300.00"</f>
        <v>-300.00</v>
      </c>
      <c r="F130" t="str">
        <f>"6499.85"</f>
        <v>6499.85</v>
      </c>
      <c r="G130" t="str">
        <f>"23782.96"</f>
        <v>23782.96</v>
      </c>
      <c r="H130" t="str">
        <f>"1400.00"</f>
        <v>1400.00</v>
      </c>
      <c r="I130" t="str">
        <f>"70"</f>
        <v>70</v>
      </c>
      <c r="J130" t="str">
        <f>"证券卖出(七一二)"</f>
        <v>证券卖出(七一二)</v>
      </c>
      <c r="K130" t="str">
        <f>"6.51"</f>
        <v>6.51</v>
      </c>
      <c r="L130" t="str">
        <f>"6.51"</f>
        <v>6.51</v>
      </c>
      <c r="M130" t="str">
        <f>"0.13"</f>
        <v>0.13</v>
      </c>
      <c r="N130" t="str">
        <f t="shared" si="53"/>
        <v>0.00</v>
      </c>
      <c r="O130" t="str">
        <f>"603712"</f>
        <v>603712</v>
      </c>
      <c r="P130" t="str">
        <f>"A400948245"</f>
        <v>A400948245</v>
      </c>
    </row>
    <row r="131" spans="1:16" x14ac:dyDescent="0.25">
      <c r="A131" t="str">
        <f t="shared" si="54"/>
        <v>人民币</v>
      </c>
      <c r="B131" t="str">
        <f>"安硕信息"</f>
        <v>安硕信息</v>
      </c>
      <c r="C131" t="str">
        <f t="shared" si="51"/>
        <v>20190403</v>
      </c>
      <c r="D131" t="str">
        <f>"26.380"</f>
        <v>26.380</v>
      </c>
      <c r="E131" t="str">
        <f>"300.00"</f>
        <v>300.00</v>
      </c>
      <c r="F131" t="str">
        <f>"-7921.91"</f>
        <v>-7921.91</v>
      </c>
      <c r="G131" t="str">
        <f>"15861.05"</f>
        <v>15861.05</v>
      </c>
      <c r="H131" t="str">
        <f>"1300.00"</f>
        <v>1300.00</v>
      </c>
      <c r="I131" t="str">
        <f>"44"</f>
        <v>44</v>
      </c>
      <c r="J131" t="str">
        <f>"证券买入(安硕信息)"</f>
        <v>证券买入(安硕信息)</v>
      </c>
      <c r="K131" t="str">
        <f>"7.91"</f>
        <v>7.91</v>
      </c>
      <c r="L131" t="str">
        <f>"0.00"</f>
        <v>0.00</v>
      </c>
      <c r="M131" t="str">
        <f>"0.00"</f>
        <v>0.00</v>
      </c>
      <c r="N131" t="str">
        <f t="shared" si="53"/>
        <v>0.00</v>
      </c>
      <c r="O131" t="str">
        <f>"300380"</f>
        <v>300380</v>
      </c>
      <c r="P131" t="str">
        <f t="shared" ref="P131:P136" si="55">"0153613480"</f>
        <v>0153613480</v>
      </c>
    </row>
    <row r="132" spans="1:16" x14ac:dyDescent="0.25">
      <c r="A132" t="str">
        <f t="shared" si="54"/>
        <v>人民币</v>
      </c>
      <c r="B132" t="str">
        <f>"青农商行"</f>
        <v>青农商行</v>
      </c>
      <c r="C132" t="str">
        <f t="shared" si="51"/>
        <v>20190403</v>
      </c>
      <c r="D132" t="str">
        <f>"10.110"</f>
        <v>10.110</v>
      </c>
      <c r="E132" t="str">
        <f>"-500.00"</f>
        <v>-500.00</v>
      </c>
      <c r="F132" t="str">
        <f>"5044.88"</f>
        <v>5044.88</v>
      </c>
      <c r="G132" t="str">
        <f>"20905.93"</f>
        <v>20905.93</v>
      </c>
      <c r="H132" t="str">
        <f>"0.00"</f>
        <v>0.00</v>
      </c>
      <c r="I132" t="str">
        <f>"51"</f>
        <v>51</v>
      </c>
      <c r="J132" t="str">
        <f>"证券卖出(青农商行)"</f>
        <v>证券卖出(青农商行)</v>
      </c>
      <c r="K132" t="str">
        <f>"5.06"</f>
        <v>5.06</v>
      </c>
      <c r="L132" t="str">
        <f>"5.06"</f>
        <v>5.06</v>
      </c>
      <c r="M132" t="str">
        <f>"0.00"</f>
        <v>0.00</v>
      </c>
      <c r="N132" t="str">
        <f t="shared" si="53"/>
        <v>0.00</v>
      </c>
      <c r="O132" t="str">
        <f>"002958"</f>
        <v>002958</v>
      </c>
      <c r="P132" t="str">
        <f t="shared" si="55"/>
        <v>0153613480</v>
      </c>
    </row>
    <row r="133" spans="1:16" x14ac:dyDescent="0.25">
      <c r="A133" t="str">
        <f t="shared" si="54"/>
        <v>人民币</v>
      </c>
      <c r="B133" t="str">
        <f>"西部建设"</f>
        <v>西部建设</v>
      </c>
      <c r="C133" t="str">
        <f t="shared" si="51"/>
        <v>20190403</v>
      </c>
      <c r="D133" t="str">
        <f>"15.680"</f>
        <v>15.680</v>
      </c>
      <c r="E133" t="str">
        <f>"500.00"</f>
        <v>500.00</v>
      </c>
      <c r="F133" t="str">
        <f>"-7847.84"</f>
        <v>-7847.84</v>
      </c>
      <c r="G133" t="str">
        <f>"13058.09"</f>
        <v>13058.09</v>
      </c>
      <c r="H133" t="str">
        <f>"500.00"</f>
        <v>500.00</v>
      </c>
      <c r="I133" t="str">
        <f>"54"</f>
        <v>54</v>
      </c>
      <c r="J133" t="str">
        <f>"证券买入(西部建设)"</f>
        <v>证券买入(西部建设)</v>
      </c>
      <c r="K133" t="str">
        <f>"7.84"</f>
        <v>7.84</v>
      </c>
      <c r="L133" t="str">
        <f>"0.00"</f>
        <v>0.00</v>
      </c>
      <c r="M133" t="str">
        <f>"0.00"</f>
        <v>0.00</v>
      </c>
      <c r="N133" t="str">
        <f t="shared" si="53"/>
        <v>0.00</v>
      </c>
      <c r="O133" t="str">
        <f>"002302"</f>
        <v>002302</v>
      </c>
      <c r="P133" t="str">
        <f t="shared" si="55"/>
        <v>0153613480</v>
      </c>
    </row>
    <row r="134" spans="1:16" x14ac:dyDescent="0.25">
      <c r="A134" t="str">
        <f t="shared" si="54"/>
        <v>人民币</v>
      </c>
      <c r="B134" t="str">
        <f>"青农商行"</f>
        <v>青农商行</v>
      </c>
      <c r="C134" t="str">
        <f t="shared" si="51"/>
        <v>20190403</v>
      </c>
      <c r="D134" t="str">
        <f>"9.941"</f>
        <v>9.941</v>
      </c>
      <c r="E134" t="str">
        <f>"500.00"</f>
        <v>500.00</v>
      </c>
      <c r="F134" t="str">
        <f>"-4975.50"</f>
        <v>-4975.50</v>
      </c>
      <c r="G134" t="str">
        <f>"8082.59"</f>
        <v>8082.59</v>
      </c>
      <c r="H134" t="str">
        <f>"500.00"</f>
        <v>500.00</v>
      </c>
      <c r="I134" t="str">
        <f>"59"</f>
        <v>59</v>
      </c>
      <c r="J134" t="str">
        <f>"证券买入(青农商行)"</f>
        <v>证券买入(青农商行)</v>
      </c>
      <c r="K134" t="str">
        <f>"5.00"</f>
        <v>5.00</v>
      </c>
      <c r="L134" t="str">
        <f>"0.00"</f>
        <v>0.00</v>
      </c>
      <c r="M134" t="str">
        <f>"0.00"</f>
        <v>0.00</v>
      </c>
      <c r="N134" t="str">
        <f t="shared" si="53"/>
        <v>0.00</v>
      </c>
      <c r="O134" t="str">
        <f>"002958"</f>
        <v>002958</v>
      </c>
      <c r="P134" t="str">
        <f t="shared" si="55"/>
        <v>0153613480</v>
      </c>
    </row>
    <row r="135" spans="1:16" x14ac:dyDescent="0.25">
      <c r="A135" t="str">
        <f t="shared" si="54"/>
        <v>人民币</v>
      </c>
      <c r="B135" t="str">
        <f>"安硕信息"</f>
        <v>安硕信息</v>
      </c>
      <c r="C135" t="str">
        <f t="shared" si="51"/>
        <v>20190403</v>
      </c>
      <c r="D135" t="str">
        <f>"27.050"</f>
        <v>27.050</v>
      </c>
      <c r="E135" t="str">
        <f>"-500.00"</f>
        <v>-500.00</v>
      </c>
      <c r="F135" t="str">
        <f>"13497.94"</f>
        <v>13497.94</v>
      </c>
      <c r="G135" t="str">
        <f>"21580.53"</f>
        <v>21580.53</v>
      </c>
      <c r="H135" t="str">
        <f>"800.00"</f>
        <v>800.00</v>
      </c>
      <c r="I135" t="str">
        <f>"73"</f>
        <v>73</v>
      </c>
      <c r="J135" t="str">
        <f>"证券卖出(安硕信息)"</f>
        <v>证券卖出(安硕信息)</v>
      </c>
      <c r="K135" t="str">
        <f>"13.53"</f>
        <v>13.53</v>
      </c>
      <c r="L135" t="str">
        <f>"13.53"</f>
        <v>13.53</v>
      </c>
      <c r="M135" t="str">
        <f>"0.00"</f>
        <v>0.00</v>
      </c>
      <c r="N135" t="str">
        <f t="shared" si="53"/>
        <v>0.00</v>
      </c>
      <c r="O135" t="str">
        <f>"300380"</f>
        <v>300380</v>
      </c>
      <c r="P135" t="str">
        <f t="shared" si="55"/>
        <v>0153613480</v>
      </c>
    </row>
    <row r="136" spans="1:16" x14ac:dyDescent="0.25">
      <c r="A136" t="str">
        <f t="shared" si="54"/>
        <v>人民币</v>
      </c>
      <c r="B136" t="str">
        <f>"德方纳米"</f>
        <v>德方纳米</v>
      </c>
      <c r="C136" t="str">
        <f t="shared" si="51"/>
        <v>20190403</v>
      </c>
      <c r="D136" t="str">
        <f>"0.000"</f>
        <v>0.000</v>
      </c>
      <c r="E136" t="str">
        <f>"9.00"</f>
        <v>9.00</v>
      </c>
      <c r="F136" t="str">
        <f>"0.00"</f>
        <v>0.00</v>
      </c>
      <c r="G136" t="str">
        <f>"21580.53"</f>
        <v>21580.53</v>
      </c>
      <c r="H136" t="str">
        <f>"0.00"</f>
        <v>0.00</v>
      </c>
      <c r="I136" t="str">
        <f>"42"</f>
        <v>42</v>
      </c>
      <c r="J136" t="str">
        <f>"申购配号(德方纳米)"</f>
        <v>申购配号(德方纳米)</v>
      </c>
      <c r="K136" t="str">
        <f>"0.00"</f>
        <v>0.00</v>
      </c>
      <c r="L136" t="str">
        <f>"0.00"</f>
        <v>0.00</v>
      </c>
      <c r="M136" t="str">
        <f>"0.00"</f>
        <v>0.00</v>
      </c>
      <c r="N136" t="str">
        <f t="shared" si="53"/>
        <v>0.00</v>
      </c>
      <c r="O136" t="str">
        <f>"300769"</f>
        <v>300769</v>
      </c>
      <c r="P136" t="str">
        <f t="shared" si="55"/>
        <v>0153613480</v>
      </c>
    </row>
    <row r="137" spans="1:16" x14ac:dyDescent="0.25">
      <c r="A137" t="str">
        <f t="shared" si="54"/>
        <v>人民币</v>
      </c>
      <c r="B137" t="str">
        <f>""</f>
        <v/>
      </c>
      <c r="C137" t="str">
        <f t="shared" ref="C137:C146" si="56">"20190404"</f>
        <v>20190404</v>
      </c>
      <c r="D137" t="str">
        <f>"---"</f>
        <v>---</v>
      </c>
      <c r="E137" t="str">
        <f>"---"</f>
        <v>---</v>
      </c>
      <c r="F137" t="str">
        <f>"-20000.00"</f>
        <v>-20000.00</v>
      </c>
      <c r="G137" t="str">
        <f>"1580.53"</f>
        <v>1580.53</v>
      </c>
      <c r="H137" t="str">
        <f>"---"</f>
        <v>---</v>
      </c>
      <c r="I137" t="str">
        <f>"---"</f>
        <v>---</v>
      </c>
      <c r="J137" t="str">
        <f>"银行转取"</f>
        <v>银行转取</v>
      </c>
      <c r="K137" t="str">
        <f t="shared" ref="K137:P137" si="57">"---"</f>
        <v>---</v>
      </c>
      <c r="L137" t="str">
        <f t="shared" si="57"/>
        <v>---</v>
      </c>
      <c r="M137" t="str">
        <f t="shared" si="57"/>
        <v>---</v>
      </c>
      <c r="N137" t="str">
        <f t="shared" si="57"/>
        <v>---</v>
      </c>
      <c r="O137" t="str">
        <f t="shared" si="57"/>
        <v>---</v>
      </c>
      <c r="P137" t="str">
        <f t="shared" si="57"/>
        <v>---</v>
      </c>
    </row>
    <row r="138" spans="1:16" x14ac:dyDescent="0.25">
      <c r="A138" t="str">
        <f t="shared" si="54"/>
        <v>人民币</v>
      </c>
      <c r="B138" t="str">
        <f>"航发科技"</f>
        <v>航发科技</v>
      </c>
      <c r="C138" t="str">
        <f t="shared" si="56"/>
        <v>20190404</v>
      </c>
      <c r="D138" t="str">
        <f>"18.390"</f>
        <v>18.390</v>
      </c>
      <c r="E138" t="str">
        <f>"200.00"</f>
        <v>200.00</v>
      </c>
      <c r="F138" t="str">
        <f>"-3683.07"</f>
        <v>-3683.07</v>
      </c>
      <c r="G138" t="str">
        <f>"-2102.54"</f>
        <v>-2102.54</v>
      </c>
      <c r="H138" t="str">
        <f>"200.00"</f>
        <v>200.00</v>
      </c>
      <c r="I138" t="str">
        <f>"100"</f>
        <v>100</v>
      </c>
      <c r="J138" t="str">
        <f>"证券买入(航发科技)"</f>
        <v>证券买入(航发科技)</v>
      </c>
      <c r="K138" t="str">
        <f>"5.00"</f>
        <v>5.00</v>
      </c>
      <c r="L138" t="str">
        <f>"0.00"</f>
        <v>0.00</v>
      </c>
      <c r="M138" t="str">
        <f>"0.07"</f>
        <v>0.07</v>
      </c>
      <c r="N138" t="str">
        <f t="shared" ref="N138:N152" si="58">"0.00"</f>
        <v>0.00</v>
      </c>
      <c r="O138" t="str">
        <f>"600391"</f>
        <v>600391</v>
      </c>
      <c r="P138" t="str">
        <f>"A400948245"</f>
        <v>A400948245</v>
      </c>
    </row>
    <row r="139" spans="1:16" x14ac:dyDescent="0.25">
      <c r="A139" t="str">
        <f t="shared" si="54"/>
        <v>人民币</v>
      </c>
      <c r="B139" t="str">
        <f>"航发科技"</f>
        <v>航发科技</v>
      </c>
      <c r="C139" t="str">
        <f t="shared" si="56"/>
        <v>20190404</v>
      </c>
      <c r="D139" t="str">
        <f>"18.300"</f>
        <v>18.300</v>
      </c>
      <c r="E139" t="str">
        <f>"300.00"</f>
        <v>300.00</v>
      </c>
      <c r="F139" t="str">
        <f>"-5495.59"</f>
        <v>-5495.59</v>
      </c>
      <c r="G139" t="str">
        <f>"-7598.13"</f>
        <v>-7598.13</v>
      </c>
      <c r="H139" t="str">
        <f>"500.00"</f>
        <v>500.00</v>
      </c>
      <c r="I139" t="str">
        <f>"103"</f>
        <v>103</v>
      </c>
      <c r="J139" t="str">
        <f>"证券买入(航发科技)"</f>
        <v>证券买入(航发科技)</v>
      </c>
      <c r="K139" t="str">
        <f>"5.49"</f>
        <v>5.49</v>
      </c>
      <c r="L139" t="str">
        <f>"0.00"</f>
        <v>0.00</v>
      </c>
      <c r="M139" t="str">
        <f>"0.10"</f>
        <v>0.10</v>
      </c>
      <c r="N139" t="str">
        <f t="shared" si="58"/>
        <v>0.00</v>
      </c>
      <c r="O139" t="str">
        <f>"600391"</f>
        <v>600391</v>
      </c>
      <c r="P139" t="str">
        <f>"A400948245"</f>
        <v>A400948245</v>
      </c>
    </row>
    <row r="140" spans="1:16" x14ac:dyDescent="0.25">
      <c r="A140" t="str">
        <f t="shared" si="54"/>
        <v>人民币</v>
      </c>
      <c r="B140" t="str">
        <f>"航发科技"</f>
        <v>航发科技</v>
      </c>
      <c r="C140" t="str">
        <f t="shared" si="56"/>
        <v>20190404</v>
      </c>
      <c r="D140" t="str">
        <f>"18.180"</f>
        <v>18.180</v>
      </c>
      <c r="E140" t="str">
        <f>"500.00"</f>
        <v>500.00</v>
      </c>
      <c r="F140" t="str">
        <f>"-9099.27"</f>
        <v>-9099.27</v>
      </c>
      <c r="G140" t="str">
        <f>"-16697.40"</f>
        <v>-16697.40</v>
      </c>
      <c r="H140" t="str">
        <f>"1000.00"</f>
        <v>1000.00</v>
      </c>
      <c r="I140" t="str">
        <f>"114"</f>
        <v>114</v>
      </c>
      <c r="J140" t="str">
        <f>"证券买入(航发科技)"</f>
        <v>证券买入(航发科技)</v>
      </c>
      <c r="K140" t="str">
        <f>"9.09"</f>
        <v>9.09</v>
      </c>
      <c r="L140" t="str">
        <f>"0.00"</f>
        <v>0.00</v>
      </c>
      <c r="M140" t="str">
        <f>"0.18"</f>
        <v>0.18</v>
      </c>
      <c r="N140" t="str">
        <f t="shared" si="58"/>
        <v>0.00</v>
      </c>
      <c r="O140" t="str">
        <f>"600391"</f>
        <v>600391</v>
      </c>
      <c r="P140" t="str">
        <f>"A400948245"</f>
        <v>A400948245</v>
      </c>
    </row>
    <row r="141" spans="1:16" x14ac:dyDescent="0.25">
      <c r="A141" t="str">
        <f t="shared" si="54"/>
        <v>人民币</v>
      </c>
      <c r="B141" t="str">
        <f>"航发科技"</f>
        <v>航发科技</v>
      </c>
      <c r="C141" t="str">
        <f t="shared" si="56"/>
        <v>20190404</v>
      </c>
      <c r="D141" t="str">
        <f>"18.250"</f>
        <v>18.250</v>
      </c>
      <c r="E141" t="str">
        <f>"300.00"</f>
        <v>300.00</v>
      </c>
      <c r="F141" t="str">
        <f>"-5480.59"</f>
        <v>-5480.59</v>
      </c>
      <c r="G141" t="str">
        <f>"-22177.99"</f>
        <v>-22177.99</v>
      </c>
      <c r="H141" t="str">
        <f>"1300.00"</f>
        <v>1300.00</v>
      </c>
      <c r="I141" t="str">
        <f>"127"</f>
        <v>127</v>
      </c>
      <c r="J141" t="str">
        <f>"证券买入(航发科技)"</f>
        <v>证券买入(航发科技)</v>
      </c>
      <c r="K141" t="str">
        <f>"5.48"</f>
        <v>5.48</v>
      </c>
      <c r="L141" t="str">
        <f>"0.00"</f>
        <v>0.00</v>
      </c>
      <c r="M141" t="str">
        <f>"0.11"</f>
        <v>0.11</v>
      </c>
      <c r="N141" t="str">
        <f t="shared" si="58"/>
        <v>0.00</v>
      </c>
      <c r="O141" t="str">
        <f>"600391"</f>
        <v>600391</v>
      </c>
      <c r="P141" t="str">
        <f>"A400948245"</f>
        <v>A400948245</v>
      </c>
    </row>
    <row r="142" spans="1:16" x14ac:dyDescent="0.25">
      <c r="A142" t="str">
        <f t="shared" si="54"/>
        <v>人民币</v>
      </c>
      <c r="B142" t="str">
        <f>"蓝思科技"</f>
        <v>蓝思科技</v>
      </c>
      <c r="C142" t="str">
        <f t="shared" si="56"/>
        <v>20190404</v>
      </c>
      <c r="D142" t="str">
        <f>"9.330"</f>
        <v>9.330</v>
      </c>
      <c r="E142" t="str">
        <f>"-2300.00"</f>
        <v>-2300.00</v>
      </c>
      <c r="F142" t="str">
        <f>"21416.08"</f>
        <v>21416.08</v>
      </c>
      <c r="G142" t="str">
        <f>"-761.91"</f>
        <v>-761.91</v>
      </c>
      <c r="H142" t="str">
        <f>"0.00"</f>
        <v>0.00</v>
      </c>
      <c r="I142" t="str">
        <f>"91"</f>
        <v>91</v>
      </c>
      <c r="J142" t="str">
        <f>"证券卖出(蓝思科技)"</f>
        <v>证券卖出(蓝思科技)</v>
      </c>
      <c r="K142" t="str">
        <f>"21.46"</f>
        <v>21.46</v>
      </c>
      <c r="L142" t="str">
        <f>"21.46"</f>
        <v>21.46</v>
      </c>
      <c r="M142" t="str">
        <f>"0.00"</f>
        <v>0.00</v>
      </c>
      <c r="N142" t="str">
        <f t="shared" si="58"/>
        <v>0.00</v>
      </c>
      <c r="O142" t="str">
        <f>"300433"</f>
        <v>300433</v>
      </c>
      <c r="P142" t="str">
        <f>"0153613480"</f>
        <v>0153613480</v>
      </c>
    </row>
    <row r="143" spans="1:16" x14ac:dyDescent="0.25">
      <c r="A143" t="str">
        <f t="shared" si="54"/>
        <v>人民币</v>
      </c>
      <c r="B143" t="str">
        <f>"安硕信息"</f>
        <v>安硕信息</v>
      </c>
      <c r="C143" t="str">
        <f t="shared" si="56"/>
        <v>20190404</v>
      </c>
      <c r="D143" t="str">
        <f>"27.010"</f>
        <v>27.010</v>
      </c>
      <c r="E143" t="str">
        <f>"-500.00"</f>
        <v>-500.00</v>
      </c>
      <c r="F143" t="str">
        <f>"13477.98"</f>
        <v>13477.98</v>
      </c>
      <c r="G143" t="str">
        <f>"12716.07"</f>
        <v>12716.07</v>
      </c>
      <c r="H143" t="str">
        <f>"300.00"</f>
        <v>300.00</v>
      </c>
      <c r="I143" t="str">
        <f>"88"</f>
        <v>88</v>
      </c>
      <c r="J143" t="str">
        <f>"证券卖出(安硕信息)"</f>
        <v>证券卖出(安硕信息)</v>
      </c>
      <c r="K143" t="str">
        <f>"13.51"</f>
        <v>13.51</v>
      </c>
      <c r="L143" t="str">
        <f>"13.51"</f>
        <v>13.51</v>
      </c>
      <c r="M143" t="str">
        <f>"0.00"</f>
        <v>0.00</v>
      </c>
      <c r="N143" t="str">
        <f t="shared" si="58"/>
        <v>0.00</v>
      </c>
      <c r="O143" t="str">
        <f>"300380"</f>
        <v>300380</v>
      </c>
      <c r="P143" t="str">
        <f>"0153613480"</f>
        <v>0153613480</v>
      </c>
    </row>
    <row r="144" spans="1:16" x14ac:dyDescent="0.25">
      <c r="A144" t="str">
        <f t="shared" si="54"/>
        <v>人民币</v>
      </c>
      <c r="B144" t="str">
        <f>"安硕信息"</f>
        <v>安硕信息</v>
      </c>
      <c r="C144" t="str">
        <f t="shared" si="56"/>
        <v>20190404</v>
      </c>
      <c r="D144" t="str">
        <f>"26.580"</f>
        <v>26.580</v>
      </c>
      <c r="E144" t="str">
        <f>"-300.00"</f>
        <v>-300.00</v>
      </c>
      <c r="F144" t="str">
        <f>"7958.06"</f>
        <v>7958.06</v>
      </c>
      <c r="G144" t="str">
        <f>"20674.13"</f>
        <v>20674.13</v>
      </c>
      <c r="H144" t="str">
        <f>"0.00"</f>
        <v>0.00</v>
      </c>
      <c r="I144" t="str">
        <f>"120"</f>
        <v>120</v>
      </c>
      <c r="J144" t="str">
        <f>"证券卖出(安硕信息)"</f>
        <v>证券卖出(安硕信息)</v>
      </c>
      <c r="K144" t="str">
        <f>"7.97"</f>
        <v>7.97</v>
      </c>
      <c r="L144" t="str">
        <f>"7.97"</f>
        <v>7.97</v>
      </c>
      <c r="M144" t="str">
        <f>"0.00"</f>
        <v>0.00</v>
      </c>
      <c r="N144" t="str">
        <f t="shared" si="58"/>
        <v>0.00</v>
      </c>
      <c r="O144" t="str">
        <f>"300380"</f>
        <v>300380</v>
      </c>
      <c r="P144" t="str">
        <f>"0153613480"</f>
        <v>0153613480</v>
      </c>
    </row>
    <row r="145" spans="1:16" x14ac:dyDescent="0.25">
      <c r="A145" t="str">
        <f t="shared" si="54"/>
        <v>人民币</v>
      </c>
      <c r="B145" t="str">
        <f>"西部建设"</f>
        <v>西部建设</v>
      </c>
      <c r="C145" t="str">
        <f t="shared" si="56"/>
        <v>20190404</v>
      </c>
      <c r="D145" t="str">
        <f>"15.570"</f>
        <v>15.570</v>
      </c>
      <c r="E145" t="str">
        <f>"-500.00"</f>
        <v>-500.00</v>
      </c>
      <c r="F145" t="str">
        <f>"7769.42"</f>
        <v>7769.42</v>
      </c>
      <c r="G145" t="str">
        <f>"28443.55"</f>
        <v>28443.55</v>
      </c>
      <c r="H145" t="str">
        <f>"0.00"</f>
        <v>0.00</v>
      </c>
      <c r="I145" t="str">
        <f>"124"</f>
        <v>124</v>
      </c>
      <c r="J145" t="str">
        <f>"证券卖出(西部建设)"</f>
        <v>证券卖出(西部建设)</v>
      </c>
      <c r="K145" t="str">
        <f>"7.79"</f>
        <v>7.79</v>
      </c>
      <c r="L145" t="str">
        <f>"7.79"</f>
        <v>7.79</v>
      </c>
      <c r="M145" t="str">
        <f>"0.00"</f>
        <v>0.00</v>
      </c>
      <c r="N145" t="str">
        <f t="shared" si="58"/>
        <v>0.00</v>
      </c>
      <c r="O145" t="str">
        <f>"002302"</f>
        <v>002302</v>
      </c>
      <c r="P145" t="str">
        <f>"0153613480"</f>
        <v>0153613480</v>
      </c>
    </row>
    <row r="146" spans="1:16" x14ac:dyDescent="0.25">
      <c r="A146" t="str">
        <f t="shared" si="54"/>
        <v>人民币</v>
      </c>
      <c r="B146" t="str">
        <f>"青农商行"</f>
        <v>青农商行</v>
      </c>
      <c r="C146" t="str">
        <f t="shared" si="56"/>
        <v>20190404</v>
      </c>
      <c r="D146" t="str">
        <f>"10.790"</f>
        <v>10.790</v>
      </c>
      <c r="E146" t="str">
        <f>"-500.00"</f>
        <v>-500.00</v>
      </c>
      <c r="F146" t="str">
        <f>"5384.20"</f>
        <v>5384.20</v>
      </c>
      <c r="G146" t="str">
        <f>"33827.75"</f>
        <v>33827.75</v>
      </c>
      <c r="H146" t="str">
        <f>"0.00"</f>
        <v>0.00</v>
      </c>
      <c r="I146" t="str">
        <f>"111"</f>
        <v>111</v>
      </c>
      <c r="J146" t="str">
        <f>"证券卖出(青农商行)"</f>
        <v>证券卖出(青农商行)</v>
      </c>
      <c r="K146" t="str">
        <f>"5.40"</f>
        <v>5.40</v>
      </c>
      <c r="L146" t="str">
        <f>"5.40"</f>
        <v>5.40</v>
      </c>
      <c r="M146" t="str">
        <f>"0.00"</f>
        <v>0.00</v>
      </c>
      <c r="N146" t="str">
        <f t="shared" si="58"/>
        <v>0.00</v>
      </c>
      <c r="O146" t="str">
        <f>"002958"</f>
        <v>002958</v>
      </c>
      <c r="P146" t="str">
        <f>"0153613480"</f>
        <v>0153613480</v>
      </c>
    </row>
    <row r="147" spans="1:16" x14ac:dyDescent="0.25">
      <c r="A147" t="str">
        <f t="shared" si="54"/>
        <v>人民币</v>
      </c>
      <c r="B147" t="str">
        <f>"上海家化"</f>
        <v>上海家化</v>
      </c>
      <c r="C147" t="str">
        <f t="shared" ref="C147:C152" si="59">"20190408"</f>
        <v>20190408</v>
      </c>
      <c r="D147" t="str">
        <f>"31.910"</f>
        <v>31.910</v>
      </c>
      <c r="E147" t="str">
        <f>"200.00"</f>
        <v>200.00</v>
      </c>
      <c r="F147" t="str">
        <f>"-6388.51"</f>
        <v>-6388.51</v>
      </c>
      <c r="G147" t="str">
        <f>"27439.24"</f>
        <v>27439.24</v>
      </c>
      <c r="H147" t="str">
        <f>"200.00"</f>
        <v>200.00</v>
      </c>
      <c r="I147" t="str">
        <f>"143"</f>
        <v>143</v>
      </c>
      <c r="J147" t="str">
        <f>"证券买入(上海家化)"</f>
        <v>证券买入(上海家化)</v>
      </c>
      <c r="K147" t="str">
        <f>"6.38"</f>
        <v>6.38</v>
      </c>
      <c r="L147" t="str">
        <f>"0.00"</f>
        <v>0.00</v>
      </c>
      <c r="M147" t="str">
        <f>"0.13"</f>
        <v>0.13</v>
      </c>
      <c r="N147" t="str">
        <f t="shared" si="58"/>
        <v>0.00</v>
      </c>
      <c r="O147" t="str">
        <f>"600315"</f>
        <v>600315</v>
      </c>
      <c r="P147" t="str">
        <f t="shared" ref="P147:P152" si="60">"A400948245"</f>
        <v>A400948245</v>
      </c>
    </row>
    <row r="148" spans="1:16" x14ac:dyDescent="0.25">
      <c r="A148" t="str">
        <f t="shared" si="54"/>
        <v>人民币</v>
      </c>
      <c r="B148" t="str">
        <f>"七一二"</f>
        <v>七一二</v>
      </c>
      <c r="C148" t="str">
        <f t="shared" si="59"/>
        <v>20190408</v>
      </c>
      <c r="D148" t="str">
        <f>"21.580"</f>
        <v>21.580</v>
      </c>
      <c r="E148" t="str">
        <f>"300.00"</f>
        <v>300.00</v>
      </c>
      <c r="F148" t="str">
        <f>"-6480.60"</f>
        <v>-6480.60</v>
      </c>
      <c r="G148" t="str">
        <f>"20958.64"</f>
        <v>20958.64</v>
      </c>
      <c r="H148" t="str">
        <f>"1700.00"</f>
        <v>1700.00</v>
      </c>
      <c r="I148" t="str">
        <f>"146"</f>
        <v>146</v>
      </c>
      <c r="J148" t="str">
        <f>"证券买入(七一二)"</f>
        <v>证券买入(七一二)</v>
      </c>
      <c r="K148" t="str">
        <f>"6.47"</f>
        <v>6.47</v>
      </c>
      <c r="L148" t="str">
        <f>"0.00"</f>
        <v>0.00</v>
      </c>
      <c r="M148" t="str">
        <f>"0.13"</f>
        <v>0.13</v>
      </c>
      <c r="N148" t="str">
        <f t="shared" si="58"/>
        <v>0.00</v>
      </c>
      <c r="O148" t="str">
        <f>"603712"</f>
        <v>603712</v>
      </c>
      <c r="P148" t="str">
        <f t="shared" si="60"/>
        <v>A400948245</v>
      </c>
    </row>
    <row r="149" spans="1:16" x14ac:dyDescent="0.25">
      <c r="A149" t="str">
        <f t="shared" si="54"/>
        <v>人民币</v>
      </c>
      <c r="B149" t="str">
        <f>"七一二"</f>
        <v>七一二</v>
      </c>
      <c r="C149" t="str">
        <f t="shared" si="59"/>
        <v>20190408</v>
      </c>
      <c r="D149" t="str">
        <f>"22.870"</f>
        <v>22.870</v>
      </c>
      <c r="E149" t="str">
        <f>"-300.00"</f>
        <v>-300.00</v>
      </c>
      <c r="F149" t="str">
        <f>"6847.14"</f>
        <v>6847.14</v>
      </c>
      <c r="G149" t="str">
        <f>"27805.78"</f>
        <v>27805.78</v>
      </c>
      <c r="H149" t="str">
        <f>"1400.00"</f>
        <v>1400.00</v>
      </c>
      <c r="I149" t="str">
        <f>"149"</f>
        <v>149</v>
      </c>
      <c r="J149" t="str">
        <f>"证券卖出(七一二)"</f>
        <v>证券卖出(七一二)</v>
      </c>
      <c r="K149" t="str">
        <f>"6.86"</f>
        <v>6.86</v>
      </c>
      <c r="L149" t="str">
        <f>"6.86"</f>
        <v>6.86</v>
      </c>
      <c r="M149" t="str">
        <f>"0.14"</f>
        <v>0.14</v>
      </c>
      <c r="N149" t="str">
        <f t="shared" si="58"/>
        <v>0.00</v>
      </c>
      <c r="O149" t="str">
        <f>"603712"</f>
        <v>603712</v>
      </c>
      <c r="P149" t="str">
        <f t="shared" si="60"/>
        <v>A400948245</v>
      </c>
    </row>
    <row r="150" spans="1:16" x14ac:dyDescent="0.25">
      <c r="A150" t="str">
        <f t="shared" si="54"/>
        <v>人民币</v>
      </c>
      <c r="B150" t="str">
        <f>"七一二"</f>
        <v>七一二</v>
      </c>
      <c r="C150" t="str">
        <f t="shared" si="59"/>
        <v>20190408</v>
      </c>
      <c r="D150" t="str">
        <f>"22.600"</f>
        <v>22.600</v>
      </c>
      <c r="E150" t="str">
        <f>"300.00"</f>
        <v>300.00</v>
      </c>
      <c r="F150" t="str">
        <f>"-6786.92"</f>
        <v>-6786.92</v>
      </c>
      <c r="G150" t="str">
        <f>"21018.86"</f>
        <v>21018.86</v>
      </c>
      <c r="H150" t="str">
        <f>"1700.00"</f>
        <v>1700.00</v>
      </c>
      <c r="I150" t="str">
        <f>"152"</f>
        <v>152</v>
      </c>
      <c r="J150" t="str">
        <f>"证券买入(七一二)"</f>
        <v>证券买入(七一二)</v>
      </c>
      <c r="K150" t="str">
        <f>"6.78"</f>
        <v>6.78</v>
      </c>
      <c r="L150" t="str">
        <f>"0.00"</f>
        <v>0.00</v>
      </c>
      <c r="M150" t="str">
        <f>"0.14"</f>
        <v>0.14</v>
      </c>
      <c r="N150" t="str">
        <f t="shared" si="58"/>
        <v>0.00</v>
      </c>
      <c r="O150" t="str">
        <f>"603712"</f>
        <v>603712</v>
      </c>
      <c r="P150" t="str">
        <f t="shared" si="60"/>
        <v>A400948245</v>
      </c>
    </row>
    <row r="151" spans="1:16" x14ac:dyDescent="0.25">
      <c r="A151" t="str">
        <f t="shared" si="54"/>
        <v>人民币</v>
      </c>
      <c r="B151" t="str">
        <f>"七一二"</f>
        <v>七一二</v>
      </c>
      <c r="C151" t="str">
        <f t="shared" si="59"/>
        <v>20190408</v>
      </c>
      <c r="D151" t="str">
        <f>"22.440"</f>
        <v>22.440</v>
      </c>
      <c r="E151" t="str">
        <f>"300.00"</f>
        <v>300.00</v>
      </c>
      <c r="F151" t="str">
        <f>"-6738.86"</f>
        <v>-6738.86</v>
      </c>
      <c r="G151" t="str">
        <f>"14280.00"</f>
        <v>14280.00</v>
      </c>
      <c r="H151" t="str">
        <f>"2000.00"</f>
        <v>2000.00</v>
      </c>
      <c r="I151" t="str">
        <f>"155"</f>
        <v>155</v>
      </c>
      <c r="J151" t="str">
        <f>"证券买入(七一二)"</f>
        <v>证券买入(七一二)</v>
      </c>
      <c r="K151" t="str">
        <f>"6.73"</f>
        <v>6.73</v>
      </c>
      <c r="L151" t="str">
        <f>"0.00"</f>
        <v>0.00</v>
      </c>
      <c r="M151" t="str">
        <f>"0.13"</f>
        <v>0.13</v>
      </c>
      <c r="N151" t="str">
        <f t="shared" si="58"/>
        <v>0.00</v>
      </c>
      <c r="O151" t="str">
        <f>"603712"</f>
        <v>603712</v>
      </c>
      <c r="P151" t="str">
        <f t="shared" si="60"/>
        <v>A400948245</v>
      </c>
    </row>
    <row r="152" spans="1:16" x14ac:dyDescent="0.25">
      <c r="A152" t="str">
        <f t="shared" si="54"/>
        <v>人民币</v>
      </c>
      <c r="B152" t="str">
        <f>"航发科技"</f>
        <v>航发科技</v>
      </c>
      <c r="C152" t="str">
        <f t="shared" si="59"/>
        <v>20190408</v>
      </c>
      <c r="D152" t="str">
        <f>"17.740"</f>
        <v>17.740</v>
      </c>
      <c r="E152" t="str">
        <f>"300.00"</f>
        <v>300.00</v>
      </c>
      <c r="F152" t="str">
        <f>"-5327.43"</f>
        <v>-5327.43</v>
      </c>
      <c r="G152" t="str">
        <f>"8952.57"</f>
        <v>8952.57</v>
      </c>
      <c r="H152" t="str">
        <f>"1600.00"</f>
        <v>1600.00</v>
      </c>
      <c r="I152" t="str">
        <f>"159"</f>
        <v>159</v>
      </c>
      <c r="J152" t="str">
        <f>"证券买入(航发科技)"</f>
        <v>证券买入(航发科技)</v>
      </c>
      <c r="K152" t="str">
        <f>"5.32"</f>
        <v>5.32</v>
      </c>
      <c r="L152" t="str">
        <f>"0.00"</f>
        <v>0.00</v>
      </c>
      <c r="M152" t="str">
        <f>"0.11"</f>
        <v>0.11</v>
      </c>
      <c r="N152" t="str">
        <f t="shared" si="58"/>
        <v>0.00</v>
      </c>
      <c r="O152" t="str">
        <f>"600391"</f>
        <v>600391</v>
      </c>
      <c r="P152" t="str">
        <f t="shared" si="60"/>
        <v>A400948245</v>
      </c>
    </row>
    <row r="153" spans="1:16" x14ac:dyDescent="0.25">
      <c r="A153" t="str">
        <f t="shared" si="54"/>
        <v>人民币</v>
      </c>
      <c r="B153" t="str">
        <f>""</f>
        <v/>
      </c>
      <c r="C153" t="str">
        <f t="shared" ref="C153:C161" si="61">"20190409"</f>
        <v>20190409</v>
      </c>
      <c r="D153" t="str">
        <f>"---"</f>
        <v>---</v>
      </c>
      <c r="E153" t="str">
        <f>"---"</f>
        <v>---</v>
      </c>
      <c r="F153" t="str">
        <f>"10000.00"</f>
        <v>10000.00</v>
      </c>
      <c r="G153" t="str">
        <f>"18952.57"</f>
        <v>18952.57</v>
      </c>
      <c r="H153" t="str">
        <f>"---"</f>
        <v>---</v>
      </c>
      <c r="I153" t="str">
        <f>"---"</f>
        <v>---</v>
      </c>
      <c r="J153" t="str">
        <f>"银行转存"</f>
        <v>银行转存</v>
      </c>
      <c r="K153" t="str">
        <f t="shared" ref="K153:P153" si="62">"---"</f>
        <v>---</v>
      </c>
      <c r="L153" t="str">
        <f t="shared" si="62"/>
        <v>---</v>
      </c>
      <c r="M153" t="str">
        <f t="shared" si="62"/>
        <v>---</v>
      </c>
      <c r="N153" t="str">
        <f t="shared" si="62"/>
        <v>---</v>
      </c>
      <c r="O153" t="str">
        <f t="shared" si="62"/>
        <v>---</v>
      </c>
      <c r="P153" t="str">
        <f t="shared" si="62"/>
        <v>---</v>
      </c>
    </row>
    <row r="154" spans="1:16" x14ac:dyDescent="0.25">
      <c r="A154" t="str">
        <f t="shared" si="54"/>
        <v>人民币</v>
      </c>
      <c r="B154" t="str">
        <f>"七一二"</f>
        <v>七一二</v>
      </c>
      <c r="C154" t="str">
        <f t="shared" si="61"/>
        <v>20190409</v>
      </c>
      <c r="D154" t="str">
        <f>"22.220"</f>
        <v>22.220</v>
      </c>
      <c r="E154" t="str">
        <f>"400.00"</f>
        <v>400.00</v>
      </c>
      <c r="F154" t="str">
        <f>"-8897.07"</f>
        <v>-8897.07</v>
      </c>
      <c r="G154" t="str">
        <f>"10055.50"</f>
        <v>10055.50</v>
      </c>
      <c r="H154" t="str">
        <f>"2400.00"</f>
        <v>2400.00</v>
      </c>
      <c r="I154" t="str">
        <f>"169"</f>
        <v>169</v>
      </c>
      <c r="J154" t="str">
        <f>"证券买入(七一二)"</f>
        <v>证券买入(七一二)</v>
      </c>
      <c r="K154" t="str">
        <f>"8.89"</f>
        <v>8.89</v>
      </c>
      <c r="L154" t="str">
        <f>"0.00"</f>
        <v>0.00</v>
      </c>
      <c r="M154" t="str">
        <f>"0.18"</f>
        <v>0.18</v>
      </c>
      <c r="N154" t="str">
        <f t="shared" ref="N154:N161" si="63">"0.00"</f>
        <v>0.00</v>
      </c>
      <c r="O154" t="str">
        <f>"603712"</f>
        <v>603712</v>
      </c>
      <c r="P154" t="str">
        <f>"A400948245"</f>
        <v>A400948245</v>
      </c>
    </row>
    <row r="155" spans="1:16" x14ac:dyDescent="0.25">
      <c r="A155" t="str">
        <f t="shared" si="54"/>
        <v>人民币</v>
      </c>
      <c r="B155" t="str">
        <f>"航发科技"</f>
        <v>航发科技</v>
      </c>
      <c r="C155" t="str">
        <f t="shared" si="61"/>
        <v>20190409</v>
      </c>
      <c r="D155" t="str">
        <f>"17.600"</f>
        <v>17.600</v>
      </c>
      <c r="E155" t="str">
        <f>"400.00"</f>
        <v>400.00</v>
      </c>
      <c r="F155" t="str">
        <f>"-7047.18"</f>
        <v>-7047.18</v>
      </c>
      <c r="G155" t="str">
        <f>"3008.32"</f>
        <v>3008.32</v>
      </c>
      <c r="H155" t="str">
        <f>"2000.00"</f>
        <v>2000.00</v>
      </c>
      <c r="I155" t="str">
        <f>"173"</f>
        <v>173</v>
      </c>
      <c r="J155" t="str">
        <f>"证券买入(航发科技)"</f>
        <v>证券买入(航发科技)</v>
      </c>
      <c r="K155" t="str">
        <f>"7.04"</f>
        <v>7.04</v>
      </c>
      <c r="L155" t="str">
        <f>"0.00"</f>
        <v>0.00</v>
      </c>
      <c r="M155" t="str">
        <f>"0.14"</f>
        <v>0.14</v>
      </c>
      <c r="N155" t="str">
        <f t="shared" si="63"/>
        <v>0.00</v>
      </c>
      <c r="O155" t="str">
        <f>"600391"</f>
        <v>600391</v>
      </c>
      <c r="P155" t="str">
        <f>"A400948245"</f>
        <v>A400948245</v>
      </c>
    </row>
    <row r="156" spans="1:16" x14ac:dyDescent="0.25">
      <c r="A156" t="str">
        <f t="shared" si="54"/>
        <v>人民币</v>
      </c>
      <c r="B156" t="str">
        <f>"七一二"</f>
        <v>七一二</v>
      </c>
      <c r="C156" t="str">
        <f t="shared" si="61"/>
        <v>20190409</v>
      </c>
      <c r="D156" t="str">
        <f>"23.490"</f>
        <v>23.490</v>
      </c>
      <c r="E156" t="str">
        <f>"-400.00"</f>
        <v>-400.00</v>
      </c>
      <c r="F156" t="str">
        <f>"9377.01"</f>
        <v>9377.01</v>
      </c>
      <c r="G156" t="str">
        <f>"12385.33"</f>
        <v>12385.33</v>
      </c>
      <c r="H156" t="str">
        <f>"2000.00"</f>
        <v>2000.00</v>
      </c>
      <c r="I156" t="str">
        <f>"177"</f>
        <v>177</v>
      </c>
      <c r="J156" t="str">
        <f>"证券卖出(七一二)"</f>
        <v>证券卖出(七一二)</v>
      </c>
      <c r="K156" t="str">
        <f>"9.40"</f>
        <v>9.40</v>
      </c>
      <c r="L156" t="str">
        <f>"9.40"</f>
        <v>9.40</v>
      </c>
      <c r="M156" t="str">
        <f>"0.19"</f>
        <v>0.19</v>
      </c>
      <c r="N156" t="str">
        <f t="shared" si="63"/>
        <v>0.00</v>
      </c>
      <c r="O156" t="str">
        <f>"603712"</f>
        <v>603712</v>
      </c>
      <c r="P156" t="str">
        <f>"A400948245"</f>
        <v>A400948245</v>
      </c>
    </row>
    <row r="157" spans="1:16" x14ac:dyDescent="0.25">
      <c r="A157" t="str">
        <f t="shared" si="54"/>
        <v>人民币</v>
      </c>
      <c r="B157" t="str">
        <f>"上海家化"</f>
        <v>上海家化</v>
      </c>
      <c r="C157" t="str">
        <f t="shared" si="61"/>
        <v>20190409</v>
      </c>
      <c r="D157" t="str">
        <f>"30.590"</f>
        <v>30.590</v>
      </c>
      <c r="E157" t="str">
        <f>"-200.00"</f>
        <v>-200.00</v>
      </c>
      <c r="F157" t="str">
        <f>"6105.64"</f>
        <v>6105.64</v>
      </c>
      <c r="G157" t="str">
        <f>"18490.97"</f>
        <v>18490.97</v>
      </c>
      <c r="H157" t="str">
        <f>"0.00"</f>
        <v>0.00</v>
      </c>
      <c r="I157" t="str">
        <f>"183"</f>
        <v>183</v>
      </c>
      <c r="J157" t="str">
        <f>"证券卖出(上海家化)"</f>
        <v>证券卖出(上海家化)</v>
      </c>
      <c r="K157" t="str">
        <f>"6.12"</f>
        <v>6.12</v>
      </c>
      <c r="L157" t="str">
        <f>"6.12"</f>
        <v>6.12</v>
      </c>
      <c r="M157" t="str">
        <f>"0.12"</f>
        <v>0.12</v>
      </c>
      <c r="N157" t="str">
        <f t="shared" si="63"/>
        <v>0.00</v>
      </c>
      <c r="O157" t="str">
        <f>"600315"</f>
        <v>600315</v>
      </c>
      <c r="P157" t="str">
        <f>"A400948245"</f>
        <v>A400948245</v>
      </c>
    </row>
    <row r="158" spans="1:16" x14ac:dyDescent="0.25">
      <c r="A158" t="str">
        <f t="shared" si="54"/>
        <v>人民币</v>
      </c>
      <c r="B158" t="str">
        <f>"上海新阳"</f>
        <v>上海新阳</v>
      </c>
      <c r="C158" t="str">
        <f t="shared" si="61"/>
        <v>20190409</v>
      </c>
      <c r="D158" t="str">
        <f>"41.000"</f>
        <v>41.000</v>
      </c>
      <c r="E158" t="str">
        <f>"100.00"</f>
        <v>100.00</v>
      </c>
      <c r="F158" t="str">
        <f>"-4105.00"</f>
        <v>-4105.00</v>
      </c>
      <c r="G158" t="str">
        <f>"14385.97"</f>
        <v>14385.97</v>
      </c>
      <c r="H158" t="str">
        <f>"100.00"</f>
        <v>100.00</v>
      </c>
      <c r="I158" t="str">
        <f>"180"</f>
        <v>180</v>
      </c>
      <c r="J158" t="str">
        <f>"证券买入(上海新阳)"</f>
        <v>证券买入(上海新阳)</v>
      </c>
      <c r="K158" t="str">
        <f>"5.00"</f>
        <v>5.00</v>
      </c>
      <c r="L158" t="str">
        <f t="shared" ref="L158:M161" si="64">"0.00"</f>
        <v>0.00</v>
      </c>
      <c r="M158" t="str">
        <f t="shared" si="64"/>
        <v>0.00</v>
      </c>
      <c r="N158" t="str">
        <f t="shared" si="63"/>
        <v>0.00</v>
      </c>
      <c r="O158" t="str">
        <f>"300236"</f>
        <v>300236</v>
      </c>
      <c r="P158" t="str">
        <f>"0153613480"</f>
        <v>0153613480</v>
      </c>
    </row>
    <row r="159" spans="1:16" x14ac:dyDescent="0.25">
      <c r="A159" t="str">
        <f t="shared" si="54"/>
        <v>人民币</v>
      </c>
      <c r="B159" t="str">
        <f>"上海新阳"</f>
        <v>上海新阳</v>
      </c>
      <c r="C159" t="str">
        <f t="shared" si="61"/>
        <v>20190409</v>
      </c>
      <c r="D159" t="str">
        <f>"41.180"</f>
        <v>41.180</v>
      </c>
      <c r="E159" t="str">
        <f>"100.00"</f>
        <v>100.00</v>
      </c>
      <c r="F159" t="str">
        <f>"-4123.00"</f>
        <v>-4123.00</v>
      </c>
      <c r="G159" t="str">
        <f>"10262.97"</f>
        <v>10262.97</v>
      </c>
      <c r="H159" t="str">
        <f>"200.00"</f>
        <v>200.00</v>
      </c>
      <c r="I159" t="str">
        <f>"195"</f>
        <v>195</v>
      </c>
      <c r="J159" t="str">
        <f>"证券买入(上海新阳)"</f>
        <v>证券买入(上海新阳)</v>
      </c>
      <c r="K159" t="str">
        <f>"5.00"</f>
        <v>5.00</v>
      </c>
      <c r="L159" t="str">
        <f t="shared" si="64"/>
        <v>0.00</v>
      </c>
      <c r="M159" t="str">
        <f t="shared" si="64"/>
        <v>0.00</v>
      </c>
      <c r="N159" t="str">
        <f t="shared" si="63"/>
        <v>0.00</v>
      </c>
      <c r="O159" t="str">
        <f>"300236"</f>
        <v>300236</v>
      </c>
      <c r="P159" t="str">
        <f>"0153613480"</f>
        <v>0153613480</v>
      </c>
    </row>
    <row r="160" spans="1:16" x14ac:dyDescent="0.25">
      <c r="A160" t="str">
        <f t="shared" si="54"/>
        <v>人民币</v>
      </c>
      <c r="B160" t="str">
        <f>"上海新阳"</f>
        <v>上海新阳</v>
      </c>
      <c r="C160" t="str">
        <f t="shared" si="61"/>
        <v>20190409</v>
      </c>
      <c r="D160" t="str">
        <f>"40.960"</f>
        <v>40.960</v>
      </c>
      <c r="E160" t="str">
        <f>"100.00"</f>
        <v>100.00</v>
      </c>
      <c r="F160" t="str">
        <f>"-4101.00"</f>
        <v>-4101.00</v>
      </c>
      <c r="G160" t="str">
        <f>"6161.97"</f>
        <v>6161.97</v>
      </c>
      <c r="H160" t="str">
        <f>"300.00"</f>
        <v>300.00</v>
      </c>
      <c r="I160" t="str">
        <f>"198"</f>
        <v>198</v>
      </c>
      <c r="J160" t="str">
        <f>"证券买入(上海新阳)"</f>
        <v>证券买入(上海新阳)</v>
      </c>
      <c r="K160" t="str">
        <f>"5.00"</f>
        <v>5.00</v>
      </c>
      <c r="L160" t="str">
        <f t="shared" si="64"/>
        <v>0.00</v>
      </c>
      <c r="M160" t="str">
        <f t="shared" si="64"/>
        <v>0.00</v>
      </c>
      <c r="N160" t="str">
        <f t="shared" si="63"/>
        <v>0.00</v>
      </c>
      <c r="O160" t="str">
        <f>"300236"</f>
        <v>300236</v>
      </c>
      <c r="P160" t="str">
        <f>"0153613480"</f>
        <v>0153613480</v>
      </c>
    </row>
    <row r="161" spans="1:16" x14ac:dyDescent="0.25">
      <c r="A161" t="str">
        <f t="shared" si="54"/>
        <v>人民币</v>
      </c>
      <c r="B161" t="str">
        <f>"上海新阳"</f>
        <v>上海新阳</v>
      </c>
      <c r="C161" t="str">
        <f t="shared" si="61"/>
        <v>20190409</v>
      </c>
      <c r="D161" t="str">
        <f>"40.870"</f>
        <v>40.870</v>
      </c>
      <c r="E161" t="str">
        <f>"100.00"</f>
        <v>100.00</v>
      </c>
      <c r="F161" t="str">
        <f>"-4092.00"</f>
        <v>-4092.00</v>
      </c>
      <c r="G161" t="str">
        <f>"2069.97"</f>
        <v>2069.97</v>
      </c>
      <c r="H161" t="str">
        <f>"400.00"</f>
        <v>400.00</v>
      </c>
      <c r="I161" t="str">
        <f>"201"</f>
        <v>201</v>
      </c>
      <c r="J161" t="str">
        <f>"证券买入(上海新阳)"</f>
        <v>证券买入(上海新阳)</v>
      </c>
      <c r="K161" t="str">
        <f>"5.00"</f>
        <v>5.00</v>
      </c>
      <c r="L161" t="str">
        <f t="shared" si="64"/>
        <v>0.00</v>
      </c>
      <c r="M161" t="str">
        <f t="shared" si="64"/>
        <v>0.00</v>
      </c>
      <c r="N161" t="str">
        <f t="shared" si="63"/>
        <v>0.00</v>
      </c>
      <c r="O161" t="str">
        <f>"300236"</f>
        <v>300236</v>
      </c>
      <c r="P161" t="str">
        <f>"0153613480"</f>
        <v>0153613480</v>
      </c>
    </row>
    <row r="162" spans="1:16" x14ac:dyDescent="0.25">
      <c r="A162" t="str">
        <f t="shared" si="54"/>
        <v>人民币</v>
      </c>
      <c r="B162" t="str">
        <f>""</f>
        <v/>
      </c>
      <c r="C162" t="str">
        <f>"20190410"</f>
        <v>20190410</v>
      </c>
      <c r="D162" t="str">
        <f>"---"</f>
        <v>---</v>
      </c>
      <c r="E162" t="str">
        <f>"---"</f>
        <v>---</v>
      </c>
      <c r="F162" t="str">
        <f>"10000.00"</f>
        <v>10000.00</v>
      </c>
      <c r="G162" t="str">
        <f>"12069.97"</f>
        <v>12069.97</v>
      </c>
      <c r="H162" t="str">
        <f>"---"</f>
        <v>---</v>
      </c>
      <c r="I162" t="str">
        <f>"---"</f>
        <v>---</v>
      </c>
      <c r="J162" t="str">
        <f>"银行转存"</f>
        <v>银行转存</v>
      </c>
      <c r="K162" t="str">
        <f t="shared" ref="K162:P162" si="65">"---"</f>
        <v>---</v>
      </c>
      <c r="L162" t="str">
        <f t="shared" si="65"/>
        <v>---</v>
      </c>
      <c r="M162" t="str">
        <f t="shared" si="65"/>
        <v>---</v>
      </c>
      <c r="N162" t="str">
        <f t="shared" si="65"/>
        <v>---</v>
      </c>
      <c r="O162" t="str">
        <f t="shared" si="65"/>
        <v>---</v>
      </c>
      <c r="P162" t="str">
        <f t="shared" si="65"/>
        <v>---</v>
      </c>
    </row>
    <row r="163" spans="1:16" x14ac:dyDescent="0.25">
      <c r="A163" t="str">
        <f t="shared" si="54"/>
        <v>人民币</v>
      </c>
      <c r="B163" t="str">
        <f>"七一二"</f>
        <v>七一二</v>
      </c>
      <c r="C163" t="str">
        <f>"20190410"</f>
        <v>20190410</v>
      </c>
      <c r="D163" t="str">
        <f>"21.410"</f>
        <v>21.410</v>
      </c>
      <c r="E163" t="str">
        <f>"500.00"</f>
        <v>500.00</v>
      </c>
      <c r="F163" t="str">
        <f>"-10715.92"</f>
        <v>-10715.92</v>
      </c>
      <c r="G163" t="str">
        <f>"1354.05"</f>
        <v>1354.05</v>
      </c>
      <c r="H163" t="str">
        <f>"2500.00"</f>
        <v>2500.00</v>
      </c>
      <c r="I163" t="str">
        <f>"221"</f>
        <v>221</v>
      </c>
      <c r="J163" t="str">
        <f>"证券买入(七一二)"</f>
        <v>证券买入(七一二)</v>
      </c>
      <c r="K163" t="str">
        <f>"10.71"</f>
        <v>10.71</v>
      </c>
      <c r="L163" t="str">
        <f>"0.00"</f>
        <v>0.00</v>
      </c>
      <c r="M163" t="str">
        <f>"0.21"</f>
        <v>0.21</v>
      </c>
      <c r="N163" t="str">
        <f>"0.00"</f>
        <v>0.00</v>
      </c>
      <c r="O163" t="str">
        <f>"603712"</f>
        <v>603712</v>
      </c>
      <c r="P163" t="str">
        <f>"A400948245"</f>
        <v>A400948245</v>
      </c>
    </row>
    <row r="164" spans="1:16" x14ac:dyDescent="0.25">
      <c r="A164" t="str">
        <f t="shared" si="54"/>
        <v>人民币</v>
      </c>
      <c r="B164" t="str">
        <f>"新媒股份"</f>
        <v>新媒股份</v>
      </c>
      <c r="C164" t="str">
        <f>"20190410"</f>
        <v>20190410</v>
      </c>
      <c r="D164" t="str">
        <f>"0.000"</f>
        <v>0.000</v>
      </c>
      <c r="E164" t="str">
        <f>"9.00"</f>
        <v>9.00</v>
      </c>
      <c r="F164" t="str">
        <f>"0.00"</f>
        <v>0.00</v>
      </c>
      <c r="G164" t="str">
        <f>"1354.05"</f>
        <v>1354.05</v>
      </c>
      <c r="H164" t="str">
        <f>"0.00"</f>
        <v>0.00</v>
      </c>
      <c r="I164" t="str">
        <f>"219"</f>
        <v>219</v>
      </c>
      <c r="J164" t="str">
        <f>"申购配号(新媒股份)"</f>
        <v>申购配号(新媒股份)</v>
      </c>
      <c r="K164" t="str">
        <f>"0.00"</f>
        <v>0.00</v>
      </c>
      <c r="L164" t="str">
        <f>"0.00"</f>
        <v>0.00</v>
      </c>
      <c r="M164" t="str">
        <f>"0.00"</f>
        <v>0.00</v>
      </c>
      <c r="N164" t="str">
        <f>"0.00"</f>
        <v>0.00</v>
      </c>
      <c r="O164" t="str">
        <f>"300770"</f>
        <v>300770</v>
      </c>
      <c r="P164" t="str">
        <f>"0153613480"</f>
        <v>0153613480</v>
      </c>
    </row>
    <row r="165" spans="1:16" x14ac:dyDescent="0.25">
      <c r="A165" t="str">
        <f t="shared" si="54"/>
        <v>人民币</v>
      </c>
      <c r="B165" t="str">
        <f>""</f>
        <v/>
      </c>
      <c r="C165" t="str">
        <f>"20190411"</f>
        <v>20190411</v>
      </c>
      <c r="D165" t="str">
        <f>"---"</f>
        <v>---</v>
      </c>
      <c r="E165" t="str">
        <f>"---"</f>
        <v>---</v>
      </c>
      <c r="F165" t="str">
        <f>"10000.00"</f>
        <v>10000.00</v>
      </c>
      <c r="G165" t="str">
        <f>"11354.05"</f>
        <v>11354.05</v>
      </c>
      <c r="H165" t="str">
        <f>"---"</f>
        <v>---</v>
      </c>
      <c r="I165" t="str">
        <f>"---"</f>
        <v>---</v>
      </c>
      <c r="J165" t="str">
        <f>"银行转存"</f>
        <v>银行转存</v>
      </c>
      <c r="K165" t="str">
        <f t="shared" ref="K165:P165" si="66">"---"</f>
        <v>---</v>
      </c>
      <c r="L165" t="str">
        <f t="shared" si="66"/>
        <v>---</v>
      </c>
      <c r="M165" t="str">
        <f t="shared" si="66"/>
        <v>---</v>
      </c>
      <c r="N165" t="str">
        <f t="shared" si="66"/>
        <v>---</v>
      </c>
      <c r="O165" t="str">
        <f t="shared" si="66"/>
        <v>---</v>
      </c>
      <c r="P165" t="str">
        <f t="shared" si="66"/>
        <v>---</v>
      </c>
    </row>
    <row r="166" spans="1:16" x14ac:dyDescent="0.25">
      <c r="A166" t="str">
        <f t="shared" si="54"/>
        <v>人民币</v>
      </c>
      <c r="B166" t="str">
        <f>"航发科技"</f>
        <v>航发科技</v>
      </c>
      <c r="C166" t="str">
        <f>"20190411"</f>
        <v>20190411</v>
      </c>
      <c r="D166" t="str">
        <f>"17.390"</f>
        <v>17.390</v>
      </c>
      <c r="E166" t="str">
        <f>"400.00"</f>
        <v>400.00</v>
      </c>
      <c r="F166" t="str">
        <f>"-6963.10"</f>
        <v>-6963.10</v>
      </c>
      <c r="G166" t="str">
        <f>"4390.95"</f>
        <v>4390.95</v>
      </c>
      <c r="H166" t="str">
        <f>"2400.00"</f>
        <v>2400.00</v>
      </c>
      <c r="I166" t="str">
        <f>"235"</f>
        <v>235</v>
      </c>
      <c r="J166" t="str">
        <f>"证券买入(航发科技)"</f>
        <v>证券买入(航发科技)</v>
      </c>
      <c r="K166" t="str">
        <f>"6.96"</f>
        <v>6.96</v>
      </c>
      <c r="L166" t="str">
        <f>"0.00"</f>
        <v>0.00</v>
      </c>
      <c r="M166" t="str">
        <f>"0.14"</f>
        <v>0.14</v>
      </c>
      <c r="N166" t="str">
        <f>"0.00"</f>
        <v>0.00</v>
      </c>
      <c r="O166" t="str">
        <f>"600391"</f>
        <v>600391</v>
      </c>
      <c r="P166" t="str">
        <f>"A400948245"</f>
        <v>A400948245</v>
      </c>
    </row>
    <row r="167" spans="1:16" x14ac:dyDescent="0.25">
      <c r="A167" t="str">
        <f t="shared" si="54"/>
        <v>人民币</v>
      </c>
      <c r="B167" t="str">
        <f>"上海新阳"</f>
        <v>上海新阳</v>
      </c>
      <c r="C167" t="str">
        <f>"20190411"</f>
        <v>20190411</v>
      </c>
      <c r="D167" t="str">
        <f>"37.800"</f>
        <v>37.800</v>
      </c>
      <c r="E167" t="str">
        <f>"100.00"</f>
        <v>100.00</v>
      </c>
      <c r="F167" t="str">
        <f>"-3785.00"</f>
        <v>-3785.00</v>
      </c>
      <c r="G167" t="str">
        <f>"605.95"</f>
        <v>605.95</v>
      </c>
      <c r="H167" t="str">
        <f>"500.00"</f>
        <v>500.00</v>
      </c>
      <c r="I167" t="str">
        <f>"229"</f>
        <v>229</v>
      </c>
      <c r="J167" t="str">
        <f>"证券买入(上海新阳)"</f>
        <v>证券买入(上海新阳)</v>
      </c>
      <c r="K167" t="str">
        <f>"5.00"</f>
        <v>5.00</v>
      </c>
      <c r="L167" t="str">
        <f>"0.00"</f>
        <v>0.00</v>
      </c>
      <c r="M167" t="str">
        <f>"0.00"</f>
        <v>0.00</v>
      </c>
      <c r="N167" t="str">
        <f>"0.00"</f>
        <v>0.00</v>
      </c>
      <c r="O167" t="str">
        <f>"300236"</f>
        <v>300236</v>
      </c>
      <c r="P167" t="str">
        <f>"0153613480"</f>
        <v>0153613480</v>
      </c>
    </row>
    <row r="168" spans="1:16" x14ac:dyDescent="0.25">
      <c r="A168" t="str">
        <f t="shared" si="54"/>
        <v>人民币</v>
      </c>
      <c r="B168" t="str">
        <f>"上海新阳"</f>
        <v>上海新阳</v>
      </c>
      <c r="C168" t="str">
        <f>"20190412"</f>
        <v>20190412</v>
      </c>
      <c r="D168" t="str">
        <f>"38.770"</f>
        <v>38.770</v>
      </c>
      <c r="E168" t="str">
        <f>"-100.00"</f>
        <v>-100.00</v>
      </c>
      <c r="F168" t="str">
        <f>"3868.12"</f>
        <v>3868.12</v>
      </c>
      <c r="G168" t="str">
        <f>"4474.07"</f>
        <v>4474.07</v>
      </c>
      <c r="H168" t="str">
        <f>"400.00"</f>
        <v>400.00</v>
      </c>
      <c r="I168" t="str">
        <f>"243"</f>
        <v>243</v>
      </c>
      <c r="J168" t="str">
        <f>"证券卖出(上海新阳)"</f>
        <v>证券卖出(上海新阳)</v>
      </c>
      <c r="K168" t="str">
        <f>"5.00"</f>
        <v>5.00</v>
      </c>
      <c r="L168" t="str">
        <f>"3.88"</f>
        <v>3.88</v>
      </c>
      <c r="M168" t="str">
        <f>"0.00"</f>
        <v>0.00</v>
      </c>
      <c r="N168" t="str">
        <f>"0.00"</f>
        <v>0.00</v>
      </c>
      <c r="O168" t="str">
        <f>"300236"</f>
        <v>300236</v>
      </c>
      <c r="P168" t="str">
        <f>"0153613480"</f>
        <v>0153613480</v>
      </c>
    </row>
    <row r="169" spans="1:16" x14ac:dyDescent="0.25">
      <c r="A169" t="str">
        <f t="shared" si="54"/>
        <v>人民币</v>
      </c>
      <c r="B169" t="str">
        <f>""</f>
        <v/>
      </c>
      <c r="C169" t="str">
        <f>"20190415"</f>
        <v>20190415</v>
      </c>
      <c r="D169" t="str">
        <f>"---"</f>
        <v>---</v>
      </c>
      <c r="E169" t="str">
        <f>"---"</f>
        <v>---</v>
      </c>
      <c r="F169" t="str">
        <f>"-4000.00"</f>
        <v>-4000.00</v>
      </c>
      <c r="G169" t="str">
        <f>"474.07"</f>
        <v>474.07</v>
      </c>
      <c r="H169" t="str">
        <f>"---"</f>
        <v>---</v>
      </c>
      <c r="I169" t="str">
        <f>"---"</f>
        <v>---</v>
      </c>
      <c r="J169" t="str">
        <f>"银行转取"</f>
        <v>银行转取</v>
      </c>
      <c r="K169" t="str">
        <f t="shared" ref="K169:P169" si="67">"---"</f>
        <v>---</v>
      </c>
      <c r="L169" t="str">
        <f t="shared" si="67"/>
        <v>---</v>
      </c>
      <c r="M169" t="str">
        <f t="shared" si="67"/>
        <v>---</v>
      </c>
      <c r="N169" t="str">
        <f t="shared" si="67"/>
        <v>---</v>
      </c>
      <c r="O169" t="str">
        <f t="shared" si="67"/>
        <v>---</v>
      </c>
      <c r="P169" t="str">
        <f t="shared" si="67"/>
        <v>---</v>
      </c>
    </row>
    <row r="170" spans="1:16" x14ac:dyDescent="0.25">
      <c r="A170" t="str">
        <f t="shared" si="54"/>
        <v>人民币</v>
      </c>
      <c r="B170" t="str">
        <f>"拉卡拉"</f>
        <v>拉卡拉</v>
      </c>
      <c r="C170" t="str">
        <f>"20190416"</f>
        <v>20190416</v>
      </c>
      <c r="D170" t="str">
        <f>"0.000"</f>
        <v>0.000</v>
      </c>
      <c r="E170" t="str">
        <f>"9.00"</f>
        <v>9.00</v>
      </c>
      <c r="F170" t="str">
        <f>"0.00"</f>
        <v>0.00</v>
      </c>
      <c r="G170" t="str">
        <f>"474.07"</f>
        <v>474.07</v>
      </c>
      <c r="H170" t="str">
        <f>"0.00"</f>
        <v>0.00</v>
      </c>
      <c r="I170" t="str">
        <f>"248"</f>
        <v>248</v>
      </c>
      <c r="J170" t="str">
        <f>"申购配号(拉卡拉)"</f>
        <v>申购配号(拉卡拉)</v>
      </c>
      <c r="K170" t="str">
        <f t="shared" ref="K170:N172" si="68">"0.00"</f>
        <v>0.00</v>
      </c>
      <c r="L170" t="str">
        <f t="shared" si="68"/>
        <v>0.00</v>
      </c>
      <c r="M170" t="str">
        <f t="shared" si="68"/>
        <v>0.00</v>
      </c>
      <c r="N170" t="str">
        <f t="shared" si="68"/>
        <v>0.00</v>
      </c>
      <c r="O170" t="str">
        <f>"300773"</f>
        <v>300773</v>
      </c>
      <c r="P170" t="str">
        <f>"0153613480"</f>
        <v>0153613480</v>
      </c>
    </row>
    <row r="171" spans="1:16" x14ac:dyDescent="0.25">
      <c r="A171" t="str">
        <f t="shared" si="54"/>
        <v>人民币</v>
      </c>
      <c r="B171" t="str">
        <f>"中创配号"</f>
        <v>中创配号</v>
      </c>
      <c r="C171" t="str">
        <f>"20190417"</f>
        <v>20190417</v>
      </c>
      <c r="D171" t="str">
        <f>"0.000"</f>
        <v>0.000</v>
      </c>
      <c r="E171" t="str">
        <f>"10.00"</f>
        <v>10.00</v>
      </c>
      <c r="F171" t="str">
        <f>"0.00"</f>
        <v>0.00</v>
      </c>
      <c r="G171" t="str">
        <f>"474.07"</f>
        <v>474.07</v>
      </c>
      <c r="H171" t="str">
        <f>"0.00"</f>
        <v>0.00</v>
      </c>
      <c r="I171" t="str">
        <f>"251"</f>
        <v>251</v>
      </c>
      <c r="J171" t="str">
        <f>"申购配号(中创配号)"</f>
        <v>申购配号(中创配号)</v>
      </c>
      <c r="K171" t="str">
        <f t="shared" si="68"/>
        <v>0.00</v>
      </c>
      <c r="L171" t="str">
        <f t="shared" si="68"/>
        <v>0.00</v>
      </c>
      <c r="M171" t="str">
        <f t="shared" si="68"/>
        <v>0.00</v>
      </c>
      <c r="N171" t="str">
        <f t="shared" si="68"/>
        <v>0.00</v>
      </c>
      <c r="O171" t="str">
        <f>"736967"</f>
        <v>736967</v>
      </c>
      <c r="P171" t="str">
        <f>"A400948245"</f>
        <v>A400948245</v>
      </c>
    </row>
    <row r="172" spans="1:16" x14ac:dyDescent="0.25">
      <c r="A172" t="str">
        <f t="shared" si="54"/>
        <v>人民币</v>
      </c>
      <c r="B172" t="str">
        <f>"运达股份"</f>
        <v>运达股份</v>
      </c>
      <c r="C172" t="str">
        <f>"20190417"</f>
        <v>20190417</v>
      </c>
      <c r="D172" t="str">
        <f>"0.000"</f>
        <v>0.000</v>
      </c>
      <c r="E172" t="str">
        <f>"9.00"</f>
        <v>9.00</v>
      </c>
      <c r="F172" t="str">
        <f>"0.00"</f>
        <v>0.00</v>
      </c>
      <c r="G172" t="str">
        <f>"474.07"</f>
        <v>474.07</v>
      </c>
      <c r="H172" t="str">
        <f>"0.00"</f>
        <v>0.00</v>
      </c>
      <c r="I172" t="str">
        <f>"253"</f>
        <v>253</v>
      </c>
      <c r="J172" t="str">
        <f>"申购配号(运达股份)"</f>
        <v>申购配号(运达股份)</v>
      </c>
      <c r="K172" t="str">
        <f t="shared" si="68"/>
        <v>0.00</v>
      </c>
      <c r="L172" t="str">
        <f t="shared" si="68"/>
        <v>0.00</v>
      </c>
      <c r="M172" t="str">
        <f t="shared" si="68"/>
        <v>0.00</v>
      </c>
      <c r="N172" t="str">
        <f t="shared" si="68"/>
        <v>0.00</v>
      </c>
      <c r="O172" t="str">
        <f>"300772"</f>
        <v>300772</v>
      </c>
      <c r="P172" t="str">
        <f>"0153613480"</f>
        <v>0153613480</v>
      </c>
    </row>
    <row r="173" spans="1:16" x14ac:dyDescent="0.25">
      <c r="A173" t="str">
        <f t="shared" si="54"/>
        <v>人民币</v>
      </c>
      <c r="B173" t="str">
        <f>"中通国脉"</f>
        <v>中通国脉</v>
      </c>
      <c r="C173" t="str">
        <f>"20190422"</f>
        <v>20190422</v>
      </c>
      <c r="D173" t="str">
        <f>"27.550"</f>
        <v>27.550</v>
      </c>
      <c r="E173" t="str">
        <f>"-700.00"</f>
        <v>-700.00</v>
      </c>
      <c r="F173" t="str">
        <f>"19246.03"</f>
        <v>19246.03</v>
      </c>
      <c r="G173" t="str">
        <f>"19720.10"</f>
        <v>19720.10</v>
      </c>
      <c r="H173" t="str">
        <f>"1300.00"</f>
        <v>1300.00</v>
      </c>
      <c r="I173" t="str">
        <f>"257"</f>
        <v>257</v>
      </c>
      <c r="J173" t="str">
        <f>"证券卖出(中通国脉)"</f>
        <v>证券卖出(中通国脉)</v>
      </c>
      <c r="K173" t="str">
        <f>"19.29"</f>
        <v>19.29</v>
      </c>
      <c r="L173" t="str">
        <f>"19.29"</f>
        <v>19.29</v>
      </c>
      <c r="M173" t="str">
        <f>"0.39"</f>
        <v>0.39</v>
      </c>
      <c r="N173" t="str">
        <f>"0.00"</f>
        <v>0.00</v>
      </c>
      <c r="O173" t="str">
        <f>"603559"</f>
        <v>603559</v>
      </c>
      <c r="P173" t="str">
        <f>"A400948245"</f>
        <v>A400948245</v>
      </c>
    </row>
    <row r="174" spans="1:16" x14ac:dyDescent="0.25">
      <c r="A174" t="str">
        <f t="shared" si="54"/>
        <v>人民币</v>
      </c>
      <c r="B174" t="str">
        <f>"七一二"</f>
        <v>七一二</v>
      </c>
      <c r="C174" t="str">
        <f>"20190422"</f>
        <v>20190422</v>
      </c>
      <c r="D174" t="str">
        <f>"21.210"</f>
        <v>21.210</v>
      </c>
      <c r="E174" t="str">
        <f>"500.00"</f>
        <v>500.00</v>
      </c>
      <c r="F174" t="str">
        <f>"-10615.82"</f>
        <v>-10615.82</v>
      </c>
      <c r="G174" t="str">
        <f>"9104.28"</f>
        <v>9104.28</v>
      </c>
      <c r="H174" t="str">
        <f>"3000.00"</f>
        <v>3000.00</v>
      </c>
      <c r="I174" t="str">
        <f>"260"</f>
        <v>260</v>
      </c>
      <c r="J174" t="str">
        <f>"证券买入(七一二)"</f>
        <v>证券买入(七一二)</v>
      </c>
      <c r="K174" t="str">
        <f>"10.61"</f>
        <v>10.61</v>
      </c>
      <c r="L174" t="str">
        <f>"0.00"</f>
        <v>0.00</v>
      </c>
      <c r="M174" t="str">
        <f>"0.21"</f>
        <v>0.21</v>
      </c>
      <c r="N174" t="str">
        <f>"0.00"</f>
        <v>0.00</v>
      </c>
      <c r="O174" t="str">
        <f>"603712"</f>
        <v>603712</v>
      </c>
      <c r="P174" t="str">
        <f>"A400948245"</f>
        <v>A400948245</v>
      </c>
    </row>
    <row r="175" spans="1:16" x14ac:dyDescent="0.25">
      <c r="A175" t="str">
        <f t="shared" si="54"/>
        <v>人民币</v>
      </c>
      <c r="B175" t="str">
        <f>"中通国脉"</f>
        <v>中通国脉</v>
      </c>
      <c r="C175" t="str">
        <f>"20190422"</f>
        <v>20190422</v>
      </c>
      <c r="D175" t="str">
        <f>"26.530"</f>
        <v>26.530</v>
      </c>
      <c r="E175" t="str">
        <f>"300.00"</f>
        <v>300.00</v>
      </c>
      <c r="F175" t="str">
        <f>"-7967.12"</f>
        <v>-7967.12</v>
      </c>
      <c r="G175" t="str">
        <f>"1137.16"</f>
        <v>1137.16</v>
      </c>
      <c r="H175" t="str">
        <f>"1600.00"</f>
        <v>1600.00</v>
      </c>
      <c r="I175" t="str">
        <f>"264"</f>
        <v>264</v>
      </c>
      <c r="J175" t="str">
        <f>"证券买入(中通国脉)"</f>
        <v>证券买入(中通国脉)</v>
      </c>
      <c r="K175" t="str">
        <f>"7.96"</f>
        <v>7.96</v>
      </c>
      <c r="L175" t="str">
        <f>"0.00"</f>
        <v>0.00</v>
      </c>
      <c r="M175" t="str">
        <f>"0.16"</f>
        <v>0.16</v>
      </c>
      <c r="N175" t="str">
        <f>"0.00"</f>
        <v>0.00</v>
      </c>
      <c r="O175" t="str">
        <f>"603559"</f>
        <v>603559</v>
      </c>
      <c r="P175" t="str">
        <f>"A400948245"</f>
        <v>A400948245</v>
      </c>
    </row>
    <row r="176" spans="1:16" x14ac:dyDescent="0.25">
      <c r="A176" t="str">
        <f t="shared" si="54"/>
        <v>人民币</v>
      </c>
      <c r="B176" t="str">
        <f>"日丰股份"</f>
        <v>日丰股份</v>
      </c>
      <c r="C176" t="str">
        <f>"20190424"</f>
        <v>20190424</v>
      </c>
      <c r="D176" t="str">
        <f>"0.000"</f>
        <v>0.000</v>
      </c>
      <c r="E176" t="str">
        <f>"8.00"</f>
        <v>8.00</v>
      </c>
      <c r="F176" t="str">
        <f>"0.00"</f>
        <v>0.00</v>
      </c>
      <c r="G176" t="str">
        <f>"1137.16"</f>
        <v>1137.16</v>
      </c>
      <c r="H176" t="str">
        <f>"0.00"</f>
        <v>0.00</v>
      </c>
      <c r="I176" t="str">
        <f>"270"</f>
        <v>270</v>
      </c>
      <c r="J176" t="str">
        <f>"申购配号(日丰股份)"</f>
        <v>申购配号(日丰股份)</v>
      </c>
      <c r="K176" t="str">
        <f>"0.00"</f>
        <v>0.00</v>
      </c>
      <c r="L176" t="str">
        <f>"0.00"</f>
        <v>0.00</v>
      </c>
      <c r="M176" t="str">
        <f>"0.00"</f>
        <v>0.00</v>
      </c>
      <c r="N176" t="str">
        <f>"0.00"</f>
        <v>0.00</v>
      </c>
      <c r="O176" t="str">
        <f>"002953"</f>
        <v>002953</v>
      </c>
      <c r="P176" t="str">
        <f>"0153613480"</f>
        <v>0153613480</v>
      </c>
    </row>
    <row r="177" spans="1:16" x14ac:dyDescent="0.25">
      <c r="A177" t="str">
        <f t="shared" si="54"/>
        <v>人民币</v>
      </c>
      <c r="B177" t="str">
        <f>""</f>
        <v/>
      </c>
      <c r="C177" t="str">
        <f>"20190429"</f>
        <v>20190429</v>
      </c>
      <c r="D177" t="str">
        <f>"---"</f>
        <v>---</v>
      </c>
      <c r="E177" t="str">
        <f>"---"</f>
        <v>---</v>
      </c>
      <c r="F177" t="str">
        <f>"10000.00"</f>
        <v>10000.00</v>
      </c>
      <c r="G177" t="str">
        <f>"11137.16"</f>
        <v>11137.16</v>
      </c>
      <c r="H177" t="str">
        <f>"---"</f>
        <v>---</v>
      </c>
      <c r="I177" t="str">
        <f>"---"</f>
        <v>---</v>
      </c>
      <c r="J177" t="str">
        <f>"银行转存"</f>
        <v>银行转存</v>
      </c>
      <c r="K177" t="str">
        <f t="shared" ref="K177:P177" si="69">"---"</f>
        <v>---</v>
      </c>
      <c r="L177" t="str">
        <f t="shared" si="69"/>
        <v>---</v>
      </c>
      <c r="M177" t="str">
        <f t="shared" si="69"/>
        <v>---</v>
      </c>
      <c r="N177" t="str">
        <f t="shared" si="69"/>
        <v>---</v>
      </c>
      <c r="O177" t="str">
        <f t="shared" si="69"/>
        <v>---</v>
      </c>
      <c r="P177" t="str">
        <f t="shared" si="69"/>
        <v>---</v>
      </c>
    </row>
    <row r="178" spans="1:16" x14ac:dyDescent="0.25">
      <c r="A178" t="str">
        <f t="shared" si="54"/>
        <v>人民币</v>
      </c>
      <c r="B178" t="str">
        <f>"中通国脉"</f>
        <v>中通国脉</v>
      </c>
      <c r="C178" t="str">
        <f>"20190429"</f>
        <v>20190429</v>
      </c>
      <c r="D178" t="str">
        <f>"22.020"</f>
        <v>22.020</v>
      </c>
      <c r="E178" t="str">
        <f>"500.00"</f>
        <v>500.00</v>
      </c>
      <c r="F178" t="str">
        <f>"-11021.23"</f>
        <v>-11021.23</v>
      </c>
      <c r="G178" t="str">
        <f>"115.93"</f>
        <v>115.93</v>
      </c>
      <c r="H178" t="str">
        <f>"2100.00"</f>
        <v>2100.00</v>
      </c>
      <c r="I178" t="str">
        <f>"277"</f>
        <v>277</v>
      </c>
      <c r="J178" t="str">
        <f>"证券买入(中通国脉)"</f>
        <v>证券买入(中通国脉)</v>
      </c>
      <c r="K178" t="str">
        <f>"11.01"</f>
        <v>11.01</v>
      </c>
      <c r="L178" t="str">
        <f>"0.00"</f>
        <v>0.00</v>
      </c>
      <c r="M178" t="str">
        <f>"0.22"</f>
        <v>0.22</v>
      </c>
      <c r="N178" t="str">
        <f>"0.00"</f>
        <v>0.00</v>
      </c>
      <c r="O178" t="str">
        <f>"603559"</f>
        <v>603559</v>
      </c>
      <c r="P178" t="str">
        <f>"A400948245"</f>
        <v>A400948245</v>
      </c>
    </row>
    <row r="179" spans="1:16" x14ac:dyDescent="0.25">
      <c r="A179" t="str">
        <f t="shared" si="54"/>
        <v>人民币</v>
      </c>
      <c r="B179" t="str">
        <f>"鸿远配号"</f>
        <v>鸿远配号</v>
      </c>
      <c r="C179" t="str">
        <f>"20190430"</f>
        <v>20190430</v>
      </c>
      <c r="D179" t="str">
        <f>"0.000"</f>
        <v>0.000</v>
      </c>
      <c r="E179" t="str">
        <f>"13.00"</f>
        <v>13.00</v>
      </c>
      <c r="F179" t="str">
        <f>"0.00"</f>
        <v>0.00</v>
      </c>
      <c r="G179" t="str">
        <f>"115.93"</f>
        <v>115.93</v>
      </c>
      <c r="H179" t="str">
        <f>"0.00"</f>
        <v>0.00</v>
      </c>
      <c r="I179" t="str">
        <f>"281"</f>
        <v>281</v>
      </c>
      <c r="J179" t="str">
        <f>"申购配号(鸿远配号)"</f>
        <v>申购配号(鸿远配号)</v>
      </c>
      <c r="K179" t="str">
        <f>"0.00"</f>
        <v>0.00</v>
      </c>
      <c r="L179" t="str">
        <f>"0.00"</f>
        <v>0.00</v>
      </c>
      <c r="M179" t="str">
        <f>"0.00"</f>
        <v>0.00</v>
      </c>
      <c r="N179" t="str">
        <f>"0.00"</f>
        <v>0.00</v>
      </c>
      <c r="O179" t="str">
        <f>"736267"</f>
        <v>736267</v>
      </c>
      <c r="P179" t="str">
        <f>"A400948245"</f>
        <v>A400948245</v>
      </c>
    </row>
    <row r="180" spans="1:16" x14ac:dyDescent="0.25">
      <c r="A180" t="str">
        <f t="shared" si="54"/>
        <v>人民币</v>
      </c>
      <c r="B180" t="str">
        <f>"宝丰配号"</f>
        <v>宝丰配号</v>
      </c>
      <c r="C180" t="str">
        <f>"20190430"</f>
        <v>20190430</v>
      </c>
      <c r="D180" t="str">
        <f>"0.000"</f>
        <v>0.000</v>
      </c>
      <c r="E180" t="str">
        <f>"13.00"</f>
        <v>13.00</v>
      </c>
      <c r="F180" t="str">
        <f>"0.00"</f>
        <v>0.00</v>
      </c>
      <c r="G180" t="str">
        <f>"115.93"</f>
        <v>115.93</v>
      </c>
      <c r="H180" t="str">
        <f>"0.00"</f>
        <v>0.00</v>
      </c>
      <c r="I180" t="str">
        <f>"283"</f>
        <v>283</v>
      </c>
      <c r="J180" t="str">
        <f>"申购配号(宝丰配号)"</f>
        <v>申购配号(宝丰配号)</v>
      </c>
      <c r="K180" t="str">
        <f>"0.00"</f>
        <v>0.00</v>
      </c>
      <c r="L180" t="str">
        <f>"0.00"</f>
        <v>0.00</v>
      </c>
      <c r="M180" t="str">
        <f>"0.00"</f>
        <v>0.00</v>
      </c>
      <c r="N180" t="str">
        <f>"0.00"</f>
        <v>0.00</v>
      </c>
      <c r="O180" t="str">
        <f>"741989"</f>
        <v>741989</v>
      </c>
      <c r="P180" t="str">
        <f>"A400948245"</f>
        <v>A400948245</v>
      </c>
    </row>
    <row r="181" spans="1:16" x14ac:dyDescent="0.25">
      <c r="A181" t="str">
        <f t="shared" si="54"/>
        <v>人民币</v>
      </c>
      <c r="B181" t="str">
        <f>""</f>
        <v/>
      </c>
      <c r="C181" t="str">
        <f>"20190506"</f>
        <v>20190506</v>
      </c>
      <c r="D181" t="str">
        <f>"---"</f>
        <v>---</v>
      </c>
      <c r="E181" t="str">
        <f>"---"</f>
        <v>---</v>
      </c>
      <c r="F181" t="str">
        <f>"7000.00"</f>
        <v>7000.00</v>
      </c>
      <c r="G181" t="str">
        <f>"7115.93"</f>
        <v>7115.93</v>
      </c>
      <c r="H181" t="str">
        <f>"---"</f>
        <v>---</v>
      </c>
      <c r="I181" t="str">
        <f>"---"</f>
        <v>---</v>
      </c>
      <c r="J181" t="str">
        <f>"银行转存"</f>
        <v>银行转存</v>
      </c>
      <c r="K181" t="str">
        <f t="shared" ref="K181:P181" si="70">"---"</f>
        <v>---</v>
      </c>
      <c r="L181" t="str">
        <f t="shared" si="70"/>
        <v>---</v>
      </c>
      <c r="M181" t="str">
        <f t="shared" si="70"/>
        <v>---</v>
      </c>
      <c r="N181" t="str">
        <f t="shared" si="70"/>
        <v>---</v>
      </c>
      <c r="O181" t="str">
        <f t="shared" si="70"/>
        <v>---</v>
      </c>
      <c r="P181" t="str">
        <f t="shared" si="70"/>
        <v>---</v>
      </c>
    </row>
    <row r="182" spans="1:16" x14ac:dyDescent="0.25">
      <c r="A182" t="str">
        <f t="shared" si="54"/>
        <v>人民币</v>
      </c>
      <c r="B182" t="str">
        <f>"航发科技"</f>
        <v>航发科技</v>
      </c>
      <c r="C182" t="str">
        <f>"20190506"</f>
        <v>20190506</v>
      </c>
      <c r="D182" t="str">
        <f>"14.300"</f>
        <v>14.300</v>
      </c>
      <c r="E182" t="str">
        <f>"400.00"</f>
        <v>400.00</v>
      </c>
      <c r="F182" t="str">
        <f>"-5725.83"</f>
        <v>-5725.83</v>
      </c>
      <c r="G182" t="str">
        <f>"1390.10"</f>
        <v>1390.10</v>
      </c>
      <c r="H182" t="str">
        <f>"2800.00"</f>
        <v>2800.00</v>
      </c>
      <c r="I182" t="str">
        <f>"288"</f>
        <v>288</v>
      </c>
      <c r="J182" t="str">
        <f>"证券买入(航发科技)"</f>
        <v>证券买入(航发科技)</v>
      </c>
      <c r="K182" t="str">
        <f>"5.72"</f>
        <v>5.72</v>
      </c>
      <c r="L182" t="str">
        <f>"0.00"</f>
        <v>0.00</v>
      </c>
      <c r="M182" t="str">
        <f>"0.11"</f>
        <v>0.11</v>
      </c>
      <c r="N182" t="str">
        <f>"0.00"</f>
        <v>0.00</v>
      </c>
      <c r="O182" t="str">
        <f>"600391"</f>
        <v>600391</v>
      </c>
      <c r="P182" t="str">
        <f>"A400948245"</f>
        <v>A400948245</v>
      </c>
    </row>
    <row r="183" spans="1:16" x14ac:dyDescent="0.25">
      <c r="A183" t="str">
        <f t="shared" si="54"/>
        <v>人民币</v>
      </c>
      <c r="B183" t="str">
        <f>"中简科技"</f>
        <v>中简科技</v>
      </c>
      <c r="C183" t="str">
        <f>"20190506"</f>
        <v>20190506</v>
      </c>
      <c r="D183" t="str">
        <f>"0.000"</f>
        <v>0.000</v>
      </c>
      <c r="E183" t="str">
        <f>"5.00"</f>
        <v>5.00</v>
      </c>
      <c r="F183" t="str">
        <f>"0.00"</f>
        <v>0.00</v>
      </c>
      <c r="G183" t="str">
        <f>"1390.10"</f>
        <v>1390.10</v>
      </c>
      <c r="H183" t="str">
        <f>"0.00"</f>
        <v>0.00</v>
      </c>
      <c r="I183" t="str">
        <f>"292"</f>
        <v>292</v>
      </c>
      <c r="J183" t="str">
        <f>"申购配号(中简科技)"</f>
        <v>申购配号(中简科技)</v>
      </c>
      <c r="K183" t="str">
        <f>"0.00"</f>
        <v>0.00</v>
      </c>
      <c r="L183" t="str">
        <f>"0.00"</f>
        <v>0.00</v>
      </c>
      <c r="M183" t="str">
        <f>"0.00"</f>
        <v>0.00</v>
      </c>
      <c r="N183" t="str">
        <f>"0.00"</f>
        <v>0.00</v>
      </c>
      <c r="O183" t="str">
        <f>"300777"</f>
        <v>300777</v>
      </c>
      <c r="P183" t="str">
        <f>"0153613480"</f>
        <v>0153613480</v>
      </c>
    </row>
    <row r="184" spans="1:16" x14ac:dyDescent="0.25">
      <c r="A184" t="str">
        <f t="shared" si="54"/>
        <v>人民币</v>
      </c>
      <c r="B184" t="str">
        <f>"帝尔激光"</f>
        <v>帝尔激光</v>
      </c>
      <c r="C184" t="str">
        <f>"20190507"</f>
        <v>20190507</v>
      </c>
      <c r="D184" t="str">
        <f>"0.000"</f>
        <v>0.000</v>
      </c>
      <c r="E184" t="str">
        <f>"5.00"</f>
        <v>5.00</v>
      </c>
      <c r="F184" t="str">
        <f>"0.00"</f>
        <v>0.00</v>
      </c>
      <c r="G184" t="str">
        <f>"1390.10"</f>
        <v>1390.10</v>
      </c>
      <c r="H184" t="str">
        <f>"0.00"</f>
        <v>0.00</v>
      </c>
      <c r="I184" t="str">
        <f>"1"</f>
        <v>1</v>
      </c>
      <c r="J184" t="str">
        <f>"申购配号(帝尔激光)"</f>
        <v>申购配号(帝尔激光)</v>
      </c>
      <c r="K184" t="str">
        <f>"0.00"</f>
        <v>0.00</v>
      </c>
      <c r="L184" t="str">
        <f>"0.00"</f>
        <v>0.00</v>
      </c>
      <c r="M184" t="str">
        <f>"0.00"</f>
        <v>0.00</v>
      </c>
      <c r="N184" t="str">
        <f>"0.00"</f>
        <v>0.00</v>
      </c>
      <c r="O184" t="str">
        <f>"300776"</f>
        <v>300776</v>
      </c>
      <c r="P184" t="str">
        <f>"0153613480"</f>
        <v>0153613480</v>
      </c>
    </row>
    <row r="185" spans="1:16" x14ac:dyDescent="0.25">
      <c r="A185" t="str">
        <f t="shared" si="54"/>
        <v>人民币</v>
      </c>
      <c r="B185" t="str">
        <f>""</f>
        <v/>
      </c>
      <c r="C185" t="str">
        <f t="shared" ref="C185:C192" si="71">"20190510"</f>
        <v>20190510</v>
      </c>
      <c r="D185" t="str">
        <f>"---"</f>
        <v>---</v>
      </c>
      <c r="E185" t="str">
        <f>"---"</f>
        <v>---</v>
      </c>
      <c r="F185" t="str">
        <f>"10000.00"</f>
        <v>10000.00</v>
      </c>
      <c r="G185" t="str">
        <f>"11390.10"</f>
        <v>11390.10</v>
      </c>
      <c r="H185" t="str">
        <f>"---"</f>
        <v>---</v>
      </c>
      <c r="I185" t="str">
        <f>"---"</f>
        <v>---</v>
      </c>
      <c r="J185" t="str">
        <f>"银行转存"</f>
        <v>银行转存</v>
      </c>
      <c r="K185" t="str">
        <f t="shared" ref="K185:P186" si="72">"---"</f>
        <v>---</v>
      </c>
      <c r="L185" t="str">
        <f t="shared" si="72"/>
        <v>---</v>
      </c>
      <c r="M185" t="str">
        <f t="shared" si="72"/>
        <v>---</v>
      </c>
      <c r="N185" t="str">
        <f t="shared" si="72"/>
        <v>---</v>
      </c>
      <c r="O185" t="str">
        <f t="shared" si="72"/>
        <v>---</v>
      </c>
      <c r="P185" t="str">
        <f t="shared" si="72"/>
        <v>---</v>
      </c>
    </row>
    <row r="186" spans="1:16" x14ac:dyDescent="0.25">
      <c r="A186" t="str">
        <f t="shared" si="54"/>
        <v>人民币</v>
      </c>
      <c r="B186" t="str">
        <f>""</f>
        <v/>
      </c>
      <c r="C186" t="str">
        <f t="shared" si="71"/>
        <v>20190510</v>
      </c>
      <c r="D186" t="str">
        <f>"---"</f>
        <v>---</v>
      </c>
      <c r="E186" t="str">
        <f>"---"</f>
        <v>---</v>
      </c>
      <c r="F186" t="str">
        <f>"-10000.00"</f>
        <v>-10000.00</v>
      </c>
      <c r="G186" t="str">
        <f>"1390.10"</f>
        <v>1390.10</v>
      </c>
      <c r="H186" t="str">
        <f>"---"</f>
        <v>---</v>
      </c>
      <c r="I186" t="str">
        <f>"---"</f>
        <v>---</v>
      </c>
      <c r="J186" t="str">
        <f>"银行转取"</f>
        <v>银行转取</v>
      </c>
      <c r="K186" t="str">
        <f t="shared" si="72"/>
        <v>---</v>
      </c>
      <c r="L186" t="str">
        <f t="shared" si="72"/>
        <v>---</v>
      </c>
      <c r="M186" t="str">
        <f t="shared" si="72"/>
        <v>---</v>
      </c>
      <c r="N186" t="str">
        <f t="shared" si="72"/>
        <v>---</v>
      </c>
      <c r="O186" t="str">
        <f t="shared" si="72"/>
        <v>---</v>
      </c>
      <c r="P186" t="str">
        <f t="shared" si="72"/>
        <v>---</v>
      </c>
    </row>
    <row r="187" spans="1:16" x14ac:dyDescent="0.25">
      <c r="A187" t="str">
        <f t="shared" si="54"/>
        <v>人民币</v>
      </c>
      <c r="B187" t="str">
        <f>"泉峰配号"</f>
        <v>泉峰配号</v>
      </c>
      <c r="C187" t="str">
        <f t="shared" si="71"/>
        <v>20190510</v>
      </c>
      <c r="D187" t="str">
        <f>"0.000"</f>
        <v>0.000</v>
      </c>
      <c r="E187" t="str">
        <f>"14.00"</f>
        <v>14.00</v>
      </c>
      <c r="F187" t="str">
        <f>"0.00"</f>
        <v>0.00</v>
      </c>
      <c r="G187" t="str">
        <f>"1390.10"</f>
        <v>1390.10</v>
      </c>
      <c r="H187" t="str">
        <f>"0.00"</f>
        <v>0.00</v>
      </c>
      <c r="I187" t="str">
        <f>"6"</f>
        <v>6</v>
      </c>
      <c r="J187" t="str">
        <f>"申购配号(泉峰配号)"</f>
        <v>申购配号(泉峰配号)</v>
      </c>
      <c r="K187" t="str">
        <f>"0.00"</f>
        <v>0.00</v>
      </c>
      <c r="L187" t="str">
        <f>"0.00"</f>
        <v>0.00</v>
      </c>
      <c r="M187" t="str">
        <f>"0.00"</f>
        <v>0.00</v>
      </c>
      <c r="N187" t="str">
        <f>"0.00"</f>
        <v>0.00</v>
      </c>
      <c r="O187" t="str">
        <f>"736982"</f>
        <v>736982</v>
      </c>
      <c r="P187" t="str">
        <f>"A400948245"</f>
        <v>A400948245</v>
      </c>
    </row>
    <row r="188" spans="1:16" x14ac:dyDescent="0.25">
      <c r="A188" t="str">
        <f t="shared" si="54"/>
        <v>人民币</v>
      </c>
      <c r="B188" t="str">
        <f>"航发科技"</f>
        <v>航发科技</v>
      </c>
      <c r="C188" t="str">
        <f t="shared" si="71"/>
        <v>20190510</v>
      </c>
      <c r="D188" t="str">
        <f>"14.740"</f>
        <v>14.740</v>
      </c>
      <c r="E188" t="str">
        <f>"-400.00"</f>
        <v>-400.00</v>
      </c>
      <c r="F188" t="str">
        <f>"5884.08"</f>
        <v>5884.08</v>
      </c>
      <c r="G188" t="str">
        <f>"7274.18"</f>
        <v>7274.18</v>
      </c>
      <c r="H188" t="str">
        <f>"2400.00"</f>
        <v>2400.00</v>
      </c>
      <c r="I188" t="str">
        <f>"24"</f>
        <v>24</v>
      </c>
      <c r="J188" t="str">
        <f>"证券卖出(航发科技)"</f>
        <v>证券卖出(航发科技)</v>
      </c>
      <c r="K188" t="str">
        <f>"5.90"</f>
        <v>5.90</v>
      </c>
      <c r="L188" t="str">
        <f>"5.90"</f>
        <v>5.90</v>
      </c>
      <c r="M188" t="str">
        <f>"0.12"</f>
        <v>0.12</v>
      </c>
      <c r="N188" t="str">
        <f>"0.00"</f>
        <v>0.00</v>
      </c>
      <c r="O188" t="str">
        <f>"600391"</f>
        <v>600391</v>
      </c>
      <c r="P188" t="str">
        <f>"A400948245"</f>
        <v>A400948245</v>
      </c>
    </row>
    <row r="189" spans="1:16" x14ac:dyDescent="0.25">
      <c r="A189" t="str">
        <f t="shared" si="54"/>
        <v>人民币</v>
      </c>
      <c r="B189" t="str">
        <f>"上海新阳"</f>
        <v>上海新阳</v>
      </c>
      <c r="C189" t="str">
        <f t="shared" si="71"/>
        <v>20190510</v>
      </c>
      <c r="D189" t="str">
        <f>"31.900"</f>
        <v>31.900</v>
      </c>
      <c r="E189" t="str">
        <f>"100.00"</f>
        <v>100.00</v>
      </c>
      <c r="F189" t="str">
        <f>"-3195.00"</f>
        <v>-3195.00</v>
      </c>
      <c r="G189" t="str">
        <f>"4079.18"</f>
        <v>4079.18</v>
      </c>
      <c r="H189" t="str">
        <f>"500.00"</f>
        <v>500.00</v>
      </c>
      <c r="I189" t="str">
        <f>"11"</f>
        <v>11</v>
      </c>
      <c r="J189" t="str">
        <f>"证券买入(上海新阳)"</f>
        <v>证券买入(上海新阳)</v>
      </c>
      <c r="K189" t="str">
        <f>"5.00"</f>
        <v>5.00</v>
      </c>
      <c r="L189" t="str">
        <f>"0.00"</f>
        <v>0.00</v>
      </c>
      <c r="M189" t="str">
        <f>"0.00"</f>
        <v>0.00</v>
      </c>
      <c r="N189" t="str">
        <f>"0.00"</f>
        <v>0.00</v>
      </c>
      <c r="O189" t="str">
        <f>"300236"</f>
        <v>300236</v>
      </c>
      <c r="P189" t="str">
        <f>"0153613480"</f>
        <v>0153613480</v>
      </c>
    </row>
    <row r="190" spans="1:16" x14ac:dyDescent="0.25">
      <c r="A190" t="str">
        <f t="shared" si="54"/>
        <v>人民币</v>
      </c>
      <c r="B190" t="str">
        <f>"上海新阳"</f>
        <v>上海新阳</v>
      </c>
      <c r="C190" t="str">
        <f t="shared" si="71"/>
        <v>20190510</v>
      </c>
      <c r="D190" t="str">
        <f>"33.800"</f>
        <v>33.800</v>
      </c>
      <c r="E190" t="str">
        <f>"-100.00"</f>
        <v>-100.00</v>
      </c>
      <c r="F190" t="str">
        <f>"3371.62"</f>
        <v>3371.62</v>
      </c>
      <c r="G190" t="str">
        <f>"7450.80"</f>
        <v>7450.80</v>
      </c>
      <c r="H190" t="str">
        <f>"400.00"</f>
        <v>400.00</v>
      </c>
      <c r="I190" t="str">
        <f>"21"</f>
        <v>21</v>
      </c>
      <c r="J190" t="str">
        <f>"证券卖出(上海新阳)"</f>
        <v>证券卖出(上海新阳)</v>
      </c>
      <c r="K190" t="str">
        <f>"5.00"</f>
        <v>5.00</v>
      </c>
      <c r="L190" t="str">
        <f>"3.38"</f>
        <v>3.38</v>
      </c>
      <c r="M190" t="str">
        <f>"0.00"</f>
        <v>0.00</v>
      </c>
      <c r="N190" t="str">
        <f>"0.00"</f>
        <v>0.00</v>
      </c>
      <c r="O190" t="str">
        <f>"300236"</f>
        <v>300236</v>
      </c>
      <c r="P190" t="str">
        <f>"0153613480"</f>
        <v>0153613480</v>
      </c>
    </row>
    <row r="191" spans="1:16" x14ac:dyDescent="0.25">
      <c r="A191" t="str">
        <f t="shared" si="54"/>
        <v>人民币</v>
      </c>
      <c r="B191" t="str">
        <f>"三角防务"</f>
        <v>三角防务</v>
      </c>
      <c r="C191" t="str">
        <f t="shared" si="71"/>
        <v>20190510</v>
      </c>
      <c r="D191" t="str">
        <f>"0.000"</f>
        <v>0.000</v>
      </c>
      <c r="E191" t="str">
        <f>"4.00"</f>
        <v>4.00</v>
      </c>
      <c r="F191" t="str">
        <f>"0.00"</f>
        <v>0.00</v>
      </c>
      <c r="G191" t="str">
        <f>"7450.80"</f>
        <v>7450.80</v>
      </c>
      <c r="H191" t="str">
        <f>"0.00"</f>
        <v>0.00</v>
      </c>
      <c r="I191" t="str">
        <f>"8"</f>
        <v>8</v>
      </c>
      <c r="J191" t="str">
        <f>"申购配号(三角防务)"</f>
        <v>申购配号(三角防务)</v>
      </c>
      <c r="K191" t="str">
        <f>"0.00"</f>
        <v>0.00</v>
      </c>
      <c r="L191" t="str">
        <f>"0.00"</f>
        <v>0.00</v>
      </c>
      <c r="M191" t="str">
        <f>"0.00"</f>
        <v>0.00</v>
      </c>
      <c r="N191" t="str">
        <f>"0.00"</f>
        <v>0.00</v>
      </c>
      <c r="O191" t="str">
        <f>"300775"</f>
        <v>300775</v>
      </c>
      <c r="P191" t="str">
        <f>"0153613480"</f>
        <v>0153613480</v>
      </c>
    </row>
    <row r="192" spans="1:16" x14ac:dyDescent="0.25">
      <c r="A192" t="str">
        <f t="shared" si="54"/>
        <v>人民币</v>
      </c>
      <c r="B192" t="str">
        <f>"鸿合科技"</f>
        <v>鸿合科技</v>
      </c>
      <c r="C192" t="str">
        <f t="shared" si="71"/>
        <v>20190510</v>
      </c>
      <c r="D192" t="str">
        <f>"0.000"</f>
        <v>0.000</v>
      </c>
      <c r="E192" t="str">
        <f>"4.00"</f>
        <v>4.00</v>
      </c>
      <c r="F192" t="str">
        <f>"0.00"</f>
        <v>0.00</v>
      </c>
      <c r="G192" t="str">
        <f>"7450.80"</f>
        <v>7450.80</v>
      </c>
      <c r="H192" t="str">
        <f>"0.00"</f>
        <v>0.00</v>
      </c>
      <c r="I192" t="str">
        <f>"4"</f>
        <v>4</v>
      </c>
      <c r="J192" t="str">
        <f>"申购配号(鸿合科技)"</f>
        <v>申购配号(鸿合科技)</v>
      </c>
      <c r="K192" t="str">
        <f>"0.00"</f>
        <v>0.00</v>
      </c>
      <c r="L192" t="str">
        <f>"0.00"</f>
        <v>0.00</v>
      </c>
      <c r="M192" t="str">
        <f>"0.00"</f>
        <v>0.00</v>
      </c>
      <c r="N192" t="str">
        <f>"0.00"</f>
        <v>0.00</v>
      </c>
      <c r="O192" t="str">
        <f>"002955"</f>
        <v>002955</v>
      </c>
      <c r="P192" t="str">
        <f>"0153613480"</f>
        <v>0153613480</v>
      </c>
    </row>
    <row r="193" spans="1:16" x14ac:dyDescent="0.25">
      <c r="A193" t="str">
        <f t="shared" si="54"/>
        <v>人民币</v>
      </c>
      <c r="B193" t="str">
        <f>""</f>
        <v/>
      </c>
      <c r="C193" t="str">
        <f>"20190513"</f>
        <v>20190513</v>
      </c>
      <c r="D193" t="str">
        <f>"---"</f>
        <v>---</v>
      </c>
      <c r="E193" t="str">
        <f>"---"</f>
        <v>---</v>
      </c>
      <c r="F193" t="str">
        <f>"-6000.00"</f>
        <v>-6000.00</v>
      </c>
      <c r="G193" t="str">
        <f>"1450.80"</f>
        <v>1450.80</v>
      </c>
      <c r="H193" t="str">
        <f>"---"</f>
        <v>---</v>
      </c>
      <c r="I193" t="str">
        <f>"---"</f>
        <v>---</v>
      </c>
      <c r="J193" t="str">
        <f>"银行转取"</f>
        <v>银行转取</v>
      </c>
      <c r="K193" t="str">
        <f t="shared" ref="K193:P193" si="73">"---"</f>
        <v>---</v>
      </c>
      <c r="L193" t="str">
        <f t="shared" si="73"/>
        <v>---</v>
      </c>
      <c r="M193" t="str">
        <f t="shared" si="73"/>
        <v>---</v>
      </c>
      <c r="N193" t="str">
        <f t="shared" si="73"/>
        <v>---</v>
      </c>
      <c r="O193" t="str">
        <f t="shared" si="73"/>
        <v>---</v>
      </c>
      <c r="P193" t="str">
        <f t="shared" si="73"/>
        <v>---</v>
      </c>
    </row>
    <row r="194" spans="1:16" x14ac:dyDescent="0.25">
      <c r="A194" t="str">
        <f t="shared" ref="A194:A255" si="74">"人民币"</f>
        <v>人民币</v>
      </c>
      <c r="B194" t="str">
        <f>"福蓉配号"</f>
        <v>福蓉配号</v>
      </c>
      <c r="C194" t="str">
        <f>"20190513"</f>
        <v>20190513</v>
      </c>
      <c r="D194" t="str">
        <f>"0.000"</f>
        <v>0.000</v>
      </c>
      <c r="E194" t="str">
        <f>"14.00"</f>
        <v>14.00</v>
      </c>
      <c r="F194" t="str">
        <f>"0.00"</f>
        <v>0.00</v>
      </c>
      <c r="G194" t="str">
        <f>"1450.80"</f>
        <v>1450.80</v>
      </c>
      <c r="H194" t="str">
        <f>"0.00"</f>
        <v>0.00</v>
      </c>
      <c r="I194" t="str">
        <f>"34"</f>
        <v>34</v>
      </c>
      <c r="J194" t="str">
        <f>"申购配号(福蓉配号)"</f>
        <v>申购配号(福蓉配号)</v>
      </c>
      <c r="K194" t="str">
        <f t="shared" ref="K194:N207" si="75">"0.00"</f>
        <v>0.00</v>
      </c>
      <c r="L194" t="str">
        <f t="shared" si="75"/>
        <v>0.00</v>
      </c>
      <c r="M194" t="str">
        <f t="shared" si="75"/>
        <v>0.00</v>
      </c>
      <c r="N194" t="str">
        <f t="shared" si="75"/>
        <v>0.00</v>
      </c>
      <c r="O194" t="str">
        <f>"736327"</f>
        <v>736327</v>
      </c>
      <c r="P194" t="str">
        <f>"A400948245"</f>
        <v>A400948245</v>
      </c>
    </row>
    <row r="195" spans="1:16" x14ac:dyDescent="0.25">
      <c r="A195" t="str">
        <f t="shared" si="74"/>
        <v>人民币</v>
      </c>
      <c r="B195" t="str">
        <f>"惠城环保"</f>
        <v>惠城环保</v>
      </c>
      <c r="C195" t="str">
        <f>"20190513"</f>
        <v>20190513</v>
      </c>
      <c r="D195" t="str">
        <f>"0.000"</f>
        <v>0.000</v>
      </c>
      <c r="E195" t="str">
        <f>"4.00"</f>
        <v>4.00</v>
      </c>
      <c r="F195" t="str">
        <f>"0.00"</f>
        <v>0.00</v>
      </c>
      <c r="G195" t="str">
        <f>"1450.80"</f>
        <v>1450.80</v>
      </c>
      <c r="H195" t="str">
        <f>"0.00"</f>
        <v>0.00</v>
      </c>
      <c r="I195" t="str">
        <f>"36"</f>
        <v>36</v>
      </c>
      <c r="J195" t="str">
        <f>"申购配号(惠城环保)"</f>
        <v>申购配号(惠城环保)</v>
      </c>
      <c r="K195" t="str">
        <f t="shared" si="75"/>
        <v>0.00</v>
      </c>
      <c r="L195" t="str">
        <f t="shared" si="75"/>
        <v>0.00</v>
      </c>
      <c r="M195" t="str">
        <f t="shared" si="75"/>
        <v>0.00</v>
      </c>
      <c r="N195" t="str">
        <f t="shared" si="75"/>
        <v>0.00</v>
      </c>
      <c r="O195" t="str">
        <f>"300779"</f>
        <v>300779</v>
      </c>
      <c r="P195" t="str">
        <f>"0153613480"</f>
        <v>0153613480</v>
      </c>
    </row>
    <row r="196" spans="1:16" x14ac:dyDescent="0.25">
      <c r="A196" t="str">
        <f t="shared" si="74"/>
        <v>人民币</v>
      </c>
      <c r="B196" t="str">
        <f>"德恩精工"</f>
        <v>德恩精工</v>
      </c>
      <c r="C196" t="str">
        <f>"20190522"</f>
        <v>20190522</v>
      </c>
      <c r="D196" t="str">
        <f>"0.000"</f>
        <v>0.000</v>
      </c>
      <c r="E196" t="str">
        <f>"3.00"</f>
        <v>3.00</v>
      </c>
      <c r="F196" t="str">
        <f>"0.00"</f>
        <v>0.00</v>
      </c>
      <c r="G196" t="str">
        <f>"1450.80"</f>
        <v>1450.80</v>
      </c>
      <c r="H196" t="str">
        <f>"0.00"</f>
        <v>0.00</v>
      </c>
      <c r="I196" t="str">
        <f>"41"</f>
        <v>41</v>
      </c>
      <c r="J196" t="str">
        <f>"申购配号(德恩精工)"</f>
        <v>申购配号(德恩精工)</v>
      </c>
      <c r="K196" t="str">
        <f t="shared" si="75"/>
        <v>0.00</v>
      </c>
      <c r="L196" t="str">
        <f t="shared" si="75"/>
        <v>0.00</v>
      </c>
      <c r="M196" t="str">
        <f t="shared" si="75"/>
        <v>0.00</v>
      </c>
      <c r="N196" t="str">
        <f t="shared" si="75"/>
        <v>0.00</v>
      </c>
      <c r="O196" t="str">
        <f>"300780"</f>
        <v>300780</v>
      </c>
      <c r="P196" t="str">
        <f>"0153613480"</f>
        <v>0153613480</v>
      </c>
    </row>
    <row r="197" spans="1:16" x14ac:dyDescent="0.25">
      <c r="A197" t="str">
        <f t="shared" si="74"/>
        <v>人民币</v>
      </c>
      <c r="B197" t="str">
        <f>"七一二"</f>
        <v>七一二</v>
      </c>
      <c r="C197" t="str">
        <f>"20190527"</f>
        <v>20190527</v>
      </c>
      <c r="D197" t="str">
        <f>"22.340"</f>
        <v>22.340</v>
      </c>
      <c r="E197" t="str">
        <f>"-1000.00"</f>
        <v>-1000.00</v>
      </c>
      <c r="F197" t="str">
        <f>"22294.87"</f>
        <v>22294.87</v>
      </c>
      <c r="G197" t="str">
        <f>"23745.67"</f>
        <v>23745.67</v>
      </c>
      <c r="H197" t="str">
        <f>"2000.00"</f>
        <v>2000.00</v>
      </c>
      <c r="I197" t="str">
        <f>"44"</f>
        <v>44</v>
      </c>
      <c r="J197" t="str">
        <f>"证券卖出(七一二)"</f>
        <v>证券卖出(七一二)</v>
      </c>
      <c r="K197" t="str">
        <f>"22.34"</f>
        <v>22.34</v>
      </c>
      <c r="L197" t="str">
        <f>"22.34"</f>
        <v>22.34</v>
      </c>
      <c r="M197" t="str">
        <f>"0.45"</f>
        <v>0.45</v>
      </c>
      <c r="N197" t="str">
        <f t="shared" si="75"/>
        <v>0.00</v>
      </c>
      <c r="O197" t="str">
        <f>"603712"</f>
        <v>603712</v>
      </c>
      <c r="P197" t="str">
        <f>"A400948245"</f>
        <v>A400948245</v>
      </c>
    </row>
    <row r="198" spans="1:16" x14ac:dyDescent="0.25">
      <c r="A198" t="str">
        <f t="shared" si="74"/>
        <v>人民币</v>
      </c>
      <c r="B198" t="str">
        <f>"中国人保"</f>
        <v>中国人保</v>
      </c>
      <c r="C198" t="str">
        <f>"20190527"</f>
        <v>20190527</v>
      </c>
      <c r="D198" t="str">
        <f>"8.390"</f>
        <v>8.390</v>
      </c>
      <c r="E198" t="str">
        <f>"2000.00"</f>
        <v>2000.00</v>
      </c>
      <c r="F198" t="str">
        <f>"-16797.12"</f>
        <v>-16797.12</v>
      </c>
      <c r="G198" t="str">
        <f>"6948.55"</f>
        <v>6948.55</v>
      </c>
      <c r="H198" t="str">
        <f>"2000.00"</f>
        <v>2000.00</v>
      </c>
      <c r="I198" t="str">
        <f>"47"</f>
        <v>47</v>
      </c>
      <c r="J198" t="str">
        <f>"证券买入(中国人保)"</f>
        <v>证券买入(中国人保)</v>
      </c>
      <c r="K198" t="str">
        <f>"16.78"</f>
        <v>16.78</v>
      </c>
      <c r="L198" t="str">
        <f>"0.00"</f>
        <v>0.00</v>
      </c>
      <c r="M198" t="str">
        <f>"0.34"</f>
        <v>0.34</v>
      </c>
      <c r="N198" t="str">
        <f t="shared" si="75"/>
        <v>0.00</v>
      </c>
      <c r="O198" t="str">
        <f>"601319"</f>
        <v>601319</v>
      </c>
      <c r="P198" t="str">
        <f>"A400948245"</f>
        <v>A400948245</v>
      </c>
    </row>
    <row r="199" spans="1:16" x14ac:dyDescent="0.25">
      <c r="A199" t="str">
        <f t="shared" si="74"/>
        <v>人民币</v>
      </c>
      <c r="B199" t="str">
        <f>"中通国脉"</f>
        <v>中通国脉</v>
      </c>
      <c r="C199" t="str">
        <f>"20190528"</f>
        <v>20190528</v>
      </c>
      <c r="D199" t="str">
        <f>"19.380"</f>
        <v>19.380</v>
      </c>
      <c r="E199" t="str">
        <f>"300.00"</f>
        <v>300.00</v>
      </c>
      <c r="F199" t="str">
        <f>"-5819.93"</f>
        <v>-5819.93</v>
      </c>
      <c r="G199" t="str">
        <f>"1128.62"</f>
        <v>1128.62</v>
      </c>
      <c r="H199" t="str">
        <f>"2400.00"</f>
        <v>2400.00</v>
      </c>
      <c r="I199" t="str">
        <f>"54"</f>
        <v>54</v>
      </c>
      <c r="J199" t="str">
        <f>"证券买入(中通国脉)"</f>
        <v>证券买入(中通国脉)</v>
      </c>
      <c r="K199" t="str">
        <f>"5.81"</f>
        <v>5.81</v>
      </c>
      <c r="L199" t="str">
        <f>"0.00"</f>
        <v>0.00</v>
      </c>
      <c r="M199" t="str">
        <f>"0.12"</f>
        <v>0.12</v>
      </c>
      <c r="N199" t="str">
        <f t="shared" si="75"/>
        <v>0.00</v>
      </c>
      <c r="O199" t="str">
        <f>"603559"</f>
        <v>603559</v>
      </c>
      <c r="P199" t="str">
        <f>"A400948245"</f>
        <v>A400948245</v>
      </c>
    </row>
    <row r="200" spans="1:16" x14ac:dyDescent="0.25">
      <c r="A200" t="str">
        <f t="shared" si="74"/>
        <v>人民币</v>
      </c>
      <c r="B200" t="str">
        <f>"中国人保"</f>
        <v>中国人保</v>
      </c>
      <c r="C200" t="str">
        <f>"20190528"</f>
        <v>20190528</v>
      </c>
      <c r="D200" t="str">
        <f>"8.460"</f>
        <v>8.460</v>
      </c>
      <c r="E200" t="str">
        <f>"-2000.00"</f>
        <v>-2000.00</v>
      </c>
      <c r="F200" t="str">
        <f>"16885.82"</f>
        <v>16885.82</v>
      </c>
      <c r="G200" t="str">
        <f>"18014.44"</f>
        <v>18014.44</v>
      </c>
      <c r="H200" t="str">
        <f>"0.00"</f>
        <v>0.00</v>
      </c>
      <c r="I200" t="str">
        <f>"60"</f>
        <v>60</v>
      </c>
      <c r="J200" t="str">
        <f>"证券卖出(中国人保)"</f>
        <v>证券卖出(中国人保)</v>
      </c>
      <c r="K200" t="str">
        <f>"16.92"</f>
        <v>16.92</v>
      </c>
      <c r="L200" t="str">
        <f>"16.92"</f>
        <v>16.92</v>
      </c>
      <c r="M200" t="str">
        <f>"0.34"</f>
        <v>0.34</v>
      </c>
      <c r="N200" t="str">
        <f t="shared" si="75"/>
        <v>0.00</v>
      </c>
      <c r="O200" t="str">
        <f>"601319"</f>
        <v>601319</v>
      </c>
      <c r="P200" t="str">
        <f>"A400948245"</f>
        <v>A400948245</v>
      </c>
    </row>
    <row r="201" spans="1:16" x14ac:dyDescent="0.25">
      <c r="A201" t="str">
        <f t="shared" si="74"/>
        <v>人民币</v>
      </c>
      <c r="B201" t="str">
        <f>"七一二"</f>
        <v>七一二</v>
      </c>
      <c r="C201" t="str">
        <f>"20190528"</f>
        <v>20190528</v>
      </c>
      <c r="D201" t="str">
        <f>"22.300"</f>
        <v>22.300</v>
      </c>
      <c r="E201" t="str">
        <f>"500.00"</f>
        <v>500.00</v>
      </c>
      <c r="F201" t="str">
        <f>"-11161.37"</f>
        <v>-11161.37</v>
      </c>
      <c r="G201" t="str">
        <f>"6853.07"</f>
        <v>6853.07</v>
      </c>
      <c r="H201" t="str">
        <f>"2500.00"</f>
        <v>2500.00</v>
      </c>
      <c r="I201" t="str">
        <f>"63"</f>
        <v>63</v>
      </c>
      <c r="J201" t="str">
        <f>"证券买入(七一二)"</f>
        <v>证券买入(七一二)</v>
      </c>
      <c r="K201" t="str">
        <f>"11.15"</f>
        <v>11.15</v>
      </c>
      <c r="L201" t="str">
        <f>"0.00"</f>
        <v>0.00</v>
      </c>
      <c r="M201" t="str">
        <f>"0.22"</f>
        <v>0.22</v>
      </c>
      <c r="N201" t="str">
        <f t="shared" si="75"/>
        <v>0.00</v>
      </c>
      <c r="O201" t="str">
        <f>"603712"</f>
        <v>603712</v>
      </c>
      <c r="P201" t="str">
        <f>"A400948245"</f>
        <v>A400948245</v>
      </c>
    </row>
    <row r="202" spans="1:16" x14ac:dyDescent="0.25">
      <c r="A202" t="str">
        <f t="shared" si="74"/>
        <v>人民币</v>
      </c>
      <c r="B202" t="str">
        <f>"因赛集团"</f>
        <v>因赛集团</v>
      </c>
      <c r="C202" t="str">
        <f>"20190528"</f>
        <v>20190528</v>
      </c>
      <c r="D202" t="str">
        <f>"0.000"</f>
        <v>0.000</v>
      </c>
      <c r="E202" t="str">
        <f>"2.00"</f>
        <v>2.00</v>
      </c>
      <c r="F202" t="str">
        <f>"0.00"</f>
        <v>0.00</v>
      </c>
      <c r="G202" t="str">
        <f>"6853.07"</f>
        <v>6853.07</v>
      </c>
      <c r="H202" t="str">
        <f>"0.00"</f>
        <v>0.00</v>
      </c>
      <c r="I202" t="str">
        <f>"52"</f>
        <v>52</v>
      </c>
      <c r="J202" t="str">
        <f>"申购配号(因赛集团)"</f>
        <v>申购配号(因赛集团)</v>
      </c>
      <c r="K202" t="str">
        <f>"0.00"</f>
        <v>0.00</v>
      </c>
      <c r="L202" t="str">
        <f>"0.00"</f>
        <v>0.00</v>
      </c>
      <c r="M202" t="str">
        <f>"0.00"</f>
        <v>0.00</v>
      </c>
      <c r="N202" t="str">
        <f t="shared" si="75"/>
        <v>0.00</v>
      </c>
      <c r="O202" t="str">
        <f>"300781"</f>
        <v>300781</v>
      </c>
      <c r="P202" t="str">
        <f>"0153613480"</f>
        <v>0153613480</v>
      </c>
    </row>
    <row r="203" spans="1:16" x14ac:dyDescent="0.25">
      <c r="A203" t="str">
        <f t="shared" si="74"/>
        <v>人民币</v>
      </c>
      <c r="B203" t="str">
        <f>"中通国脉"</f>
        <v>中通国脉</v>
      </c>
      <c r="C203" t="str">
        <f>"20190529"</f>
        <v>20190529</v>
      </c>
      <c r="D203" t="str">
        <f>"19.610"</f>
        <v>19.610</v>
      </c>
      <c r="E203" t="str">
        <f>"-300.00"</f>
        <v>-300.00</v>
      </c>
      <c r="F203" t="str">
        <f>"5871.12"</f>
        <v>5871.12</v>
      </c>
      <c r="G203" t="str">
        <f>"12724.19"</f>
        <v>12724.19</v>
      </c>
      <c r="H203" t="str">
        <f>"2100.00"</f>
        <v>2100.00</v>
      </c>
      <c r="I203" t="str">
        <f>"82"</f>
        <v>82</v>
      </c>
      <c r="J203" t="str">
        <f>"证券卖出(中通国脉)"</f>
        <v>证券卖出(中通国脉)</v>
      </c>
      <c r="K203" t="str">
        <f>"5.88"</f>
        <v>5.88</v>
      </c>
      <c r="L203" t="str">
        <f>"5.88"</f>
        <v>5.88</v>
      </c>
      <c r="M203" t="str">
        <f>"0.12"</f>
        <v>0.12</v>
      </c>
      <c r="N203" t="str">
        <f t="shared" si="75"/>
        <v>0.00</v>
      </c>
      <c r="O203" t="str">
        <f>"603559"</f>
        <v>603559</v>
      </c>
      <c r="P203" t="str">
        <f>"A400948245"</f>
        <v>A400948245</v>
      </c>
    </row>
    <row r="204" spans="1:16" x14ac:dyDescent="0.25">
      <c r="A204" t="str">
        <f t="shared" si="74"/>
        <v>人民币</v>
      </c>
      <c r="B204" t="str">
        <f>"丰乐种业"</f>
        <v>丰乐种业</v>
      </c>
      <c r="C204" t="str">
        <f>"20190529"</f>
        <v>20190529</v>
      </c>
      <c r="D204" t="str">
        <f>"11.390"</f>
        <v>11.390</v>
      </c>
      <c r="E204" t="str">
        <f>"600.00"</f>
        <v>600.00</v>
      </c>
      <c r="F204" t="str">
        <f>"-6840.83"</f>
        <v>-6840.83</v>
      </c>
      <c r="G204" t="str">
        <f>"5883.36"</f>
        <v>5883.36</v>
      </c>
      <c r="H204" t="str">
        <f>"600.00"</f>
        <v>600.00</v>
      </c>
      <c r="I204" t="str">
        <f>"79"</f>
        <v>79</v>
      </c>
      <c r="J204" t="str">
        <f>"证券买入(丰乐种业)"</f>
        <v>证券买入(丰乐种业)</v>
      </c>
      <c r="K204" t="str">
        <f>"6.83"</f>
        <v>6.83</v>
      </c>
      <c r="L204" t="str">
        <f>"0.00"</f>
        <v>0.00</v>
      </c>
      <c r="M204" t="str">
        <f>"0.00"</f>
        <v>0.00</v>
      </c>
      <c r="N204" t="str">
        <f t="shared" si="75"/>
        <v>0.00</v>
      </c>
      <c r="O204" t="str">
        <f>"000713"</f>
        <v>000713</v>
      </c>
      <c r="P204" t="str">
        <f>"0153613480"</f>
        <v>0153613480</v>
      </c>
    </row>
    <row r="205" spans="1:16" x14ac:dyDescent="0.25">
      <c r="A205" t="str">
        <f t="shared" si="74"/>
        <v>人民币</v>
      </c>
      <c r="B205" t="str">
        <f>"丰乐种业"</f>
        <v>丰乐种业</v>
      </c>
      <c r="C205" t="str">
        <f>"20190530"</f>
        <v>20190530</v>
      </c>
      <c r="D205" t="str">
        <f>"13.780"</f>
        <v>13.780</v>
      </c>
      <c r="E205" t="str">
        <f>"-600.00"</f>
        <v>-600.00</v>
      </c>
      <c r="F205" t="str">
        <f>"8251.46"</f>
        <v>8251.46</v>
      </c>
      <c r="G205" t="str">
        <f>"14134.82"</f>
        <v>14134.82</v>
      </c>
      <c r="H205" t="str">
        <f>"0.00"</f>
        <v>0.00</v>
      </c>
      <c r="I205" t="str">
        <f>"87"</f>
        <v>87</v>
      </c>
      <c r="J205" t="str">
        <f>"证券卖出(丰乐种业)"</f>
        <v>证券卖出(丰乐种业)</v>
      </c>
      <c r="K205" t="str">
        <f>"8.27"</f>
        <v>8.27</v>
      </c>
      <c r="L205" t="str">
        <f>"8.27"</f>
        <v>8.27</v>
      </c>
      <c r="M205" t="str">
        <f>"0.00"</f>
        <v>0.00</v>
      </c>
      <c r="N205" t="str">
        <f t="shared" si="75"/>
        <v>0.00</v>
      </c>
      <c r="O205" t="str">
        <f>"000713"</f>
        <v>000713</v>
      </c>
      <c r="P205" t="str">
        <f>"0153613480"</f>
        <v>0153613480</v>
      </c>
    </row>
    <row r="206" spans="1:16" x14ac:dyDescent="0.25">
      <c r="A206" t="str">
        <f t="shared" si="74"/>
        <v>人民币</v>
      </c>
      <c r="B206" t="str">
        <f>"东方通信"</f>
        <v>东方通信</v>
      </c>
      <c r="C206" t="str">
        <f>"20190531"</f>
        <v>20190531</v>
      </c>
      <c r="D206" t="str">
        <f>"24.100"</f>
        <v>24.100</v>
      </c>
      <c r="E206" t="str">
        <f>"500.00"</f>
        <v>500.00</v>
      </c>
      <c r="F206" t="str">
        <f>"-12062.29"</f>
        <v>-12062.29</v>
      </c>
      <c r="G206" t="str">
        <f>"2072.53"</f>
        <v>2072.53</v>
      </c>
      <c r="H206" t="str">
        <f>"500.00"</f>
        <v>500.00</v>
      </c>
      <c r="I206" t="str">
        <f>"91"</f>
        <v>91</v>
      </c>
      <c r="J206" t="str">
        <f>"证券买入(东方通信)"</f>
        <v>证券买入(东方通信)</v>
      </c>
      <c r="K206" t="str">
        <f>"12.05"</f>
        <v>12.05</v>
      </c>
      <c r="L206" t="str">
        <f>"0.00"</f>
        <v>0.00</v>
      </c>
      <c r="M206" t="str">
        <f>"0.24"</f>
        <v>0.24</v>
      </c>
      <c r="N206" t="str">
        <f t="shared" si="75"/>
        <v>0.00</v>
      </c>
      <c r="O206" t="str">
        <f>"600776"</f>
        <v>600776</v>
      </c>
      <c r="P206" t="str">
        <f>"A400948245"</f>
        <v>A400948245</v>
      </c>
    </row>
    <row r="207" spans="1:16" x14ac:dyDescent="0.25">
      <c r="A207" t="str">
        <f t="shared" si="74"/>
        <v>人民币</v>
      </c>
      <c r="B207" t="str">
        <f>"东方通信"</f>
        <v>东方通信</v>
      </c>
      <c r="C207" t="str">
        <f>"20190603"</f>
        <v>20190603</v>
      </c>
      <c r="D207" t="str">
        <f>"25.490"</f>
        <v>25.490</v>
      </c>
      <c r="E207" t="str">
        <f>"-500.00"</f>
        <v>-500.00</v>
      </c>
      <c r="F207" t="str">
        <f>"12719.25"</f>
        <v>12719.25</v>
      </c>
      <c r="G207" t="str">
        <f>"14791.78"</f>
        <v>14791.78</v>
      </c>
      <c r="H207" t="str">
        <f>"0.00"</f>
        <v>0.00</v>
      </c>
      <c r="I207" t="str">
        <f>"96"</f>
        <v>96</v>
      </c>
      <c r="J207" t="str">
        <f>"证券卖出(东方通信)"</f>
        <v>证券卖出(东方通信)</v>
      </c>
      <c r="K207" t="str">
        <f>"12.75"</f>
        <v>12.75</v>
      </c>
      <c r="L207" t="str">
        <f>"12.75"</f>
        <v>12.75</v>
      </c>
      <c r="M207" t="str">
        <f>"0.25"</f>
        <v>0.25</v>
      </c>
      <c r="N207" t="str">
        <f t="shared" si="75"/>
        <v>0.00</v>
      </c>
      <c r="O207" t="str">
        <f>"600776"</f>
        <v>600776</v>
      </c>
      <c r="P207" t="str">
        <f>"A400948245"</f>
        <v>A400948245</v>
      </c>
    </row>
    <row r="208" spans="1:16" x14ac:dyDescent="0.25">
      <c r="A208" t="str">
        <f t="shared" si="74"/>
        <v>人民币</v>
      </c>
      <c r="B208" t="str">
        <f>""</f>
        <v/>
      </c>
      <c r="C208" t="str">
        <f t="shared" ref="C208:C215" si="76">"20190604"</f>
        <v>20190604</v>
      </c>
      <c r="D208" t="str">
        <f>"---"</f>
        <v>---</v>
      </c>
      <c r="E208" t="str">
        <f>"---"</f>
        <v>---</v>
      </c>
      <c r="F208" t="str">
        <f>"-7000.00"</f>
        <v>-7000.00</v>
      </c>
      <c r="G208" t="str">
        <f>"7791.78"</f>
        <v>7791.78</v>
      </c>
      <c r="H208" t="str">
        <f>"---"</f>
        <v>---</v>
      </c>
      <c r="I208" t="str">
        <f>"---"</f>
        <v>---</v>
      </c>
      <c r="J208" t="str">
        <f>"银行转取"</f>
        <v>银行转取</v>
      </c>
      <c r="K208" t="str">
        <f t="shared" ref="K208:P208" si="77">"---"</f>
        <v>---</v>
      </c>
      <c r="L208" t="str">
        <f t="shared" si="77"/>
        <v>---</v>
      </c>
      <c r="M208" t="str">
        <f t="shared" si="77"/>
        <v>---</v>
      </c>
      <c r="N208" t="str">
        <f t="shared" si="77"/>
        <v>---</v>
      </c>
      <c r="O208" t="str">
        <f t="shared" si="77"/>
        <v>---</v>
      </c>
      <c r="P208" t="str">
        <f t="shared" si="77"/>
        <v>---</v>
      </c>
    </row>
    <row r="209" spans="1:16" x14ac:dyDescent="0.25">
      <c r="A209" t="str">
        <f t="shared" si="74"/>
        <v>人民币</v>
      </c>
      <c r="B209" t="str">
        <f>"中通国脉"</f>
        <v>中通国脉</v>
      </c>
      <c r="C209" t="str">
        <f t="shared" si="76"/>
        <v>20190604</v>
      </c>
      <c r="D209" t="str">
        <f>"22.710"</f>
        <v>22.710</v>
      </c>
      <c r="E209" t="str">
        <f>"-500.00"</f>
        <v>-500.00</v>
      </c>
      <c r="F209" t="str">
        <f>"11332.05"</f>
        <v>11332.05</v>
      </c>
      <c r="G209" t="str">
        <f>"19123.83"</f>
        <v>19123.83</v>
      </c>
      <c r="H209" t="str">
        <f>"1600.00"</f>
        <v>1600.00</v>
      </c>
      <c r="I209" t="str">
        <f>"100"</f>
        <v>100</v>
      </c>
      <c r="J209" t="str">
        <f>"证券卖出(中通国脉)"</f>
        <v>证券卖出(中通国脉)</v>
      </c>
      <c r="K209" t="str">
        <f>"11.36"</f>
        <v>11.36</v>
      </c>
      <c r="L209" t="str">
        <f>"11.36"</f>
        <v>11.36</v>
      </c>
      <c r="M209" t="str">
        <f>"0.23"</f>
        <v>0.23</v>
      </c>
      <c r="N209" t="str">
        <f t="shared" ref="N209:N228" si="78">"0.00"</f>
        <v>0.00</v>
      </c>
      <c r="O209" t="str">
        <f>"603559"</f>
        <v>603559</v>
      </c>
      <c r="P209" t="str">
        <f t="shared" ref="P209:P214" si="79">"A400948245"</f>
        <v>A400948245</v>
      </c>
    </row>
    <row r="210" spans="1:16" x14ac:dyDescent="0.25">
      <c r="A210" t="str">
        <f t="shared" si="74"/>
        <v>人民币</v>
      </c>
      <c r="B210" t="str">
        <f>"七一二"</f>
        <v>七一二</v>
      </c>
      <c r="C210" t="str">
        <f t="shared" si="76"/>
        <v>20190604</v>
      </c>
      <c r="D210" t="str">
        <f>"20.280"</f>
        <v>20.280</v>
      </c>
      <c r="E210" t="str">
        <f>"500.00"</f>
        <v>500.00</v>
      </c>
      <c r="F210" t="str">
        <f>"-10150.34"</f>
        <v>-10150.34</v>
      </c>
      <c r="G210" t="str">
        <f>"8973.49"</f>
        <v>8973.49</v>
      </c>
      <c r="H210" t="str">
        <f>"3000.00"</f>
        <v>3000.00</v>
      </c>
      <c r="I210" t="str">
        <f>"109"</f>
        <v>109</v>
      </c>
      <c r="J210" t="str">
        <f>"证券买入(七一二)"</f>
        <v>证券买入(七一二)</v>
      </c>
      <c r="K210" t="str">
        <f>"10.14"</f>
        <v>10.14</v>
      </c>
      <c r="L210" t="str">
        <f t="shared" ref="L210:M221" si="80">"0.00"</f>
        <v>0.00</v>
      </c>
      <c r="M210" t="str">
        <f>"0.20"</f>
        <v>0.20</v>
      </c>
      <c r="N210" t="str">
        <f t="shared" si="78"/>
        <v>0.00</v>
      </c>
      <c r="O210" t="str">
        <f>"603712"</f>
        <v>603712</v>
      </c>
      <c r="P210" t="str">
        <f t="shared" si="79"/>
        <v>A400948245</v>
      </c>
    </row>
    <row r="211" spans="1:16" x14ac:dyDescent="0.25">
      <c r="A211" t="str">
        <f t="shared" si="74"/>
        <v>人民币</v>
      </c>
      <c r="B211" t="str">
        <f>"国茂配号"</f>
        <v>国茂配号</v>
      </c>
      <c r="C211" t="str">
        <f t="shared" si="76"/>
        <v>20190604</v>
      </c>
      <c r="D211" t="str">
        <f>"0.000"</f>
        <v>0.000</v>
      </c>
      <c r="E211" t="str">
        <f>"13.00"</f>
        <v>13.00</v>
      </c>
      <c r="F211" t="str">
        <f>"0.00"</f>
        <v>0.00</v>
      </c>
      <c r="G211" t="str">
        <f>"8973.49"</f>
        <v>8973.49</v>
      </c>
      <c r="H211" t="str">
        <f>"0.00"</f>
        <v>0.00</v>
      </c>
      <c r="I211" t="str">
        <f>"113"</f>
        <v>113</v>
      </c>
      <c r="J211" t="str">
        <f>"申购配号(国茂配号)"</f>
        <v>申购配号(国茂配号)</v>
      </c>
      <c r="K211" t="str">
        <f>"0.00"</f>
        <v>0.00</v>
      </c>
      <c r="L211" t="str">
        <f t="shared" si="80"/>
        <v>0.00</v>
      </c>
      <c r="M211" t="str">
        <f>"0.00"</f>
        <v>0.00</v>
      </c>
      <c r="N211" t="str">
        <f t="shared" si="78"/>
        <v>0.00</v>
      </c>
      <c r="O211" t="str">
        <f>"736915"</f>
        <v>736915</v>
      </c>
      <c r="P211" t="str">
        <f t="shared" si="79"/>
        <v>A400948245</v>
      </c>
    </row>
    <row r="212" spans="1:16" x14ac:dyDescent="0.25">
      <c r="A212" t="str">
        <f t="shared" si="74"/>
        <v>人民币</v>
      </c>
      <c r="B212" t="str">
        <f>"七一二"</f>
        <v>七一二</v>
      </c>
      <c r="C212" t="str">
        <f t="shared" si="76"/>
        <v>20190604</v>
      </c>
      <c r="D212" t="str">
        <f>"20.150"</f>
        <v>20.150</v>
      </c>
      <c r="E212" t="str">
        <f>"400.00"</f>
        <v>400.00</v>
      </c>
      <c r="F212" t="str">
        <f>"-8068.22"</f>
        <v>-8068.22</v>
      </c>
      <c r="G212" t="str">
        <f>"905.27"</f>
        <v>905.27</v>
      </c>
      <c r="H212" t="str">
        <f>"3400.00"</f>
        <v>3400.00</v>
      </c>
      <c r="I212" t="str">
        <f>"126"</f>
        <v>126</v>
      </c>
      <c r="J212" t="str">
        <f>"证券买入(七一二)"</f>
        <v>证券买入(七一二)</v>
      </c>
      <c r="K212" t="str">
        <f>"8.06"</f>
        <v>8.06</v>
      </c>
      <c r="L212" t="str">
        <f t="shared" si="80"/>
        <v>0.00</v>
      </c>
      <c r="M212" t="str">
        <f>"0.16"</f>
        <v>0.16</v>
      </c>
      <c r="N212" t="str">
        <f t="shared" si="78"/>
        <v>0.00</v>
      </c>
      <c r="O212" t="str">
        <f>"603712"</f>
        <v>603712</v>
      </c>
      <c r="P212" t="str">
        <f t="shared" si="79"/>
        <v>A400948245</v>
      </c>
    </row>
    <row r="213" spans="1:16" x14ac:dyDescent="0.25">
      <c r="A213" t="str">
        <f t="shared" si="74"/>
        <v>人民币</v>
      </c>
      <c r="B213" t="str">
        <f>"国茂配号"</f>
        <v>国茂配号</v>
      </c>
      <c r="C213" t="str">
        <f t="shared" si="76"/>
        <v>20190604</v>
      </c>
      <c r="D213" t="str">
        <f>"0.000"</f>
        <v>0.000</v>
      </c>
      <c r="E213" t="str">
        <f>"0.00"</f>
        <v>0.00</v>
      </c>
      <c r="F213" t="str">
        <f>"0.00"</f>
        <v>0.00</v>
      </c>
      <c r="G213" t="str">
        <f>"905.27"</f>
        <v>905.27</v>
      </c>
      <c r="H213" t="str">
        <f>"0.00"</f>
        <v>0.00</v>
      </c>
      <c r="I213" t="str">
        <f>"117"</f>
        <v>117</v>
      </c>
      <c r="J213" t="str">
        <f>"申购配号(国茂配号)"</f>
        <v>申购配号(国茂配号)</v>
      </c>
      <c r="K213" t="str">
        <f>"0.00"</f>
        <v>0.00</v>
      </c>
      <c r="L213" t="str">
        <f t="shared" si="80"/>
        <v>0.00</v>
      </c>
      <c r="M213" t="str">
        <f t="shared" si="80"/>
        <v>0.00</v>
      </c>
      <c r="N213" t="str">
        <f t="shared" si="78"/>
        <v>0.00</v>
      </c>
      <c r="O213" t="str">
        <f>"736915"</f>
        <v>736915</v>
      </c>
      <c r="P213" t="str">
        <f t="shared" si="79"/>
        <v>A400948245</v>
      </c>
    </row>
    <row r="214" spans="1:16" x14ac:dyDescent="0.25">
      <c r="A214" t="str">
        <f t="shared" si="74"/>
        <v>人民币</v>
      </c>
      <c r="B214" t="str">
        <f>"国茂配号"</f>
        <v>国茂配号</v>
      </c>
      <c r="C214" t="str">
        <f t="shared" si="76"/>
        <v>20190604</v>
      </c>
      <c r="D214" t="str">
        <f>"0.000"</f>
        <v>0.000</v>
      </c>
      <c r="E214" t="str">
        <f>"0.00"</f>
        <v>0.00</v>
      </c>
      <c r="F214" t="str">
        <f>"0.00"</f>
        <v>0.00</v>
      </c>
      <c r="G214" t="str">
        <f>"905.27"</f>
        <v>905.27</v>
      </c>
      <c r="H214" t="str">
        <f>"0.00"</f>
        <v>0.00</v>
      </c>
      <c r="I214" t="str">
        <f>"121"</f>
        <v>121</v>
      </c>
      <c r="J214" t="str">
        <f>"申购配号(国茂配号)"</f>
        <v>申购配号(国茂配号)</v>
      </c>
      <c r="K214" t="str">
        <f>"0.00"</f>
        <v>0.00</v>
      </c>
      <c r="L214" t="str">
        <f t="shared" si="80"/>
        <v>0.00</v>
      </c>
      <c r="M214" t="str">
        <f t="shared" si="80"/>
        <v>0.00</v>
      </c>
      <c r="N214" t="str">
        <f t="shared" si="78"/>
        <v>0.00</v>
      </c>
      <c r="O214" t="str">
        <f>"736915"</f>
        <v>736915</v>
      </c>
      <c r="P214" t="str">
        <f t="shared" si="79"/>
        <v>A400948245</v>
      </c>
    </row>
    <row r="215" spans="1:16" x14ac:dyDescent="0.25">
      <c r="A215" t="str">
        <f t="shared" si="74"/>
        <v>人民币</v>
      </c>
      <c r="B215" t="str">
        <f>"卓胜微"</f>
        <v>卓胜微</v>
      </c>
      <c r="C215" t="str">
        <f t="shared" si="76"/>
        <v>20190604</v>
      </c>
      <c r="D215" t="str">
        <f>"0.000"</f>
        <v>0.000</v>
      </c>
      <c r="E215" t="str">
        <f>"2.00"</f>
        <v>2.00</v>
      </c>
      <c r="F215" t="str">
        <f>"0.00"</f>
        <v>0.00</v>
      </c>
      <c r="G215" t="str">
        <f>"905.27"</f>
        <v>905.27</v>
      </c>
      <c r="H215" t="str">
        <f>"0.00"</f>
        <v>0.00</v>
      </c>
      <c r="I215" t="str">
        <f>"115"</f>
        <v>115</v>
      </c>
      <c r="J215" t="str">
        <f>"申购配号(卓胜微)"</f>
        <v>申购配号(卓胜微)</v>
      </c>
      <c r="K215" t="str">
        <f>"0.00"</f>
        <v>0.00</v>
      </c>
      <c r="L215" t="str">
        <f t="shared" si="80"/>
        <v>0.00</v>
      </c>
      <c r="M215" t="str">
        <f t="shared" si="80"/>
        <v>0.00</v>
      </c>
      <c r="N215" t="str">
        <f t="shared" si="78"/>
        <v>0.00</v>
      </c>
      <c r="O215" t="str">
        <f>"300782"</f>
        <v>300782</v>
      </c>
      <c r="P215" t="str">
        <f>"0153613480"</f>
        <v>0153613480</v>
      </c>
    </row>
    <row r="216" spans="1:16" x14ac:dyDescent="0.25">
      <c r="A216" t="str">
        <f t="shared" si="74"/>
        <v>人民币</v>
      </c>
      <c r="B216" t="str">
        <f>"上海新阳"</f>
        <v>上海新阳</v>
      </c>
      <c r="C216" t="str">
        <f>"20190605"</f>
        <v>20190605</v>
      </c>
      <c r="D216" t="str">
        <f>"33.995"</f>
        <v>33.995</v>
      </c>
      <c r="E216" t="str">
        <f>"-400.00"</f>
        <v>-400.00</v>
      </c>
      <c r="F216" t="str">
        <f>"13570.80"</f>
        <v>13570.80</v>
      </c>
      <c r="G216" t="str">
        <f>"14476.07"</f>
        <v>14476.07</v>
      </c>
      <c r="H216" t="str">
        <f>"0.00"</f>
        <v>0.00</v>
      </c>
      <c r="I216" t="str">
        <f>"137"</f>
        <v>137</v>
      </c>
      <c r="J216" t="str">
        <f>"证券卖出(上海新阳)"</f>
        <v>证券卖出(上海新阳)</v>
      </c>
      <c r="K216" t="str">
        <f>"13.60"</f>
        <v>13.60</v>
      </c>
      <c r="L216" t="str">
        <f>"13.60"</f>
        <v>13.60</v>
      </c>
      <c r="M216" t="str">
        <f t="shared" si="80"/>
        <v>0.00</v>
      </c>
      <c r="N216" t="str">
        <f t="shared" si="78"/>
        <v>0.00</v>
      </c>
      <c r="O216" t="str">
        <f>"300236"</f>
        <v>300236</v>
      </c>
      <c r="P216" t="str">
        <f>"0153613480"</f>
        <v>0153613480</v>
      </c>
    </row>
    <row r="217" spans="1:16" x14ac:dyDescent="0.25">
      <c r="A217" t="str">
        <f t="shared" si="74"/>
        <v>人民币</v>
      </c>
      <c r="B217" t="str">
        <f>"吴通控股"</f>
        <v>吴通控股</v>
      </c>
      <c r="C217" t="str">
        <f>"20190605"</f>
        <v>20190605</v>
      </c>
      <c r="D217" t="str">
        <f>"7.870"</f>
        <v>7.870</v>
      </c>
      <c r="E217" t="str">
        <f>"1000.00"</f>
        <v>1000.00</v>
      </c>
      <c r="F217" t="str">
        <f>"-7877.87"</f>
        <v>-7877.87</v>
      </c>
      <c r="G217" t="str">
        <f>"6598.20"</f>
        <v>6598.20</v>
      </c>
      <c r="H217" t="str">
        <f>"1000.00"</f>
        <v>1000.00</v>
      </c>
      <c r="I217" t="str">
        <f>"141"</f>
        <v>141</v>
      </c>
      <c r="J217" t="str">
        <f>"证券买入(吴通控股)"</f>
        <v>证券买入(吴通控股)</v>
      </c>
      <c r="K217" t="str">
        <f>"7.87"</f>
        <v>7.87</v>
      </c>
      <c r="L217" t="str">
        <f t="shared" ref="L217:L222" si="81">"0.00"</f>
        <v>0.00</v>
      </c>
      <c r="M217" t="str">
        <f t="shared" si="80"/>
        <v>0.00</v>
      </c>
      <c r="N217" t="str">
        <f t="shared" si="78"/>
        <v>0.00</v>
      </c>
      <c r="O217" t="str">
        <f>"300292"</f>
        <v>300292</v>
      </c>
      <c r="P217" t="str">
        <f>"0153613480"</f>
        <v>0153613480</v>
      </c>
    </row>
    <row r="218" spans="1:16" x14ac:dyDescent="0.25">
      <c r="A218" t="str">
        <f t="shared" si="74"/>
        <v>人民币</v>
      </c>
      <c r="B218" t="str">
        <f>"西麦食品"</f>
        <v>西麦食品</v>
      </c>
      <c r="C218" t="str">
        <f>"20190605"</f>
        <v>20190605</v>
      </c>
      <c r="D218" t="str">
        <f>"0.000"</f>
        <v>0.000</v>
      </c>
      <c r="E218" t="str">
        <f>"2.00"</f>
        <v>2.00</v>
      </c>
      <c r="F218" t="str">
        <f>"0.00"</f>
        <v>0.00</v>
      </c>
      <c r="G218" t="str">
        <f>"6598.20"</f>
        <v>6598.20</v>
      </c>
      <c r="H218" t="str">
        <f>"0.00"</f>
        <v>0.00</v>
      </c>
      <c r="I218" t="str">
        <f>"144"</f>
        <v>144</v>
      </c>
      <c r="J218" t="str">
        <f>"申购配号(西麦食品)"</f>
        <v>申购配号(西麦食品)</v>
      </c>
      <c r="K218" t="str">
        <f>"0.00"</f>
        <v>0.00</v>
      </c>
      <c r="L218" t="str">
        <f t="shared" si="81"/>
        <v>0.00</v>
      </c>
      <c r="M218" t="str">
        <f t="shared" si="80"/>
        <v>0.00</v>
      </c>
      <c r="N218" t="str">
        <f t="shared" si="78"/>
        <v>0.00</v>
      </c>
      <c r="O218" t="str">
        <f>"002956"</f>
        <v>002956</v>
      </c>
      <c r="P218" t="str">
        <f>"0153613480"</f>
        <v>0153613480</v>
      </c>
    </row>
    <row r="219" spans="1:16" x14ac:dyDescent="0.25">
      <c r="A219" t="str">
        <f t="shared" si="74"/>
        <v>人民币</v>
      </c>
      <c r="B219" t="str">
        <f>"吴通控股"</f>
        <v>吴通控股</v>
      </c>
      <c r="C219" t="str">
        <f>"20190606"</f>
        <v>20190606</v>
      </c>
      <c r="D219" t="str">
        <f>"7.250"</f>
        <v>7.250</v>
      </c>
      <c r="E219" t="str">
        <f>"900.00"</f>
        <v>900.00</v>
      </c>
      <c r="F219" t="str">
        <f>"-6531.53"</f>
        <v>-6531.53</v>
      </c>
      <c r="G219" t="str">
        <f>"66.67"</f>
        <v>66.67</v>
      </c>
      <c r="H219" t="str">
        <f>"1900.00"</f>
        <v>1900.00</v>
      </c>
      <c r="I219" t="str">
        <f>"152"</f>
        <v>152</v>
      </c>
      <c r="J219" t="str">
        <f>"证券买入(吴通控股)"</f>
        <v>证券买入(吴通控股)</v>
      </c>
      <c r="K219" t="str">
        <f>"6.53"</f>
        <v>6.53</v>
      </c>
      <c r="L219" t="str">
        <f t="shared" si="81"/>
        <v>0.00</v>
      </c>
      <c r="M219" t="str">
        <f t="shared" si="80"/>
        <v>0.00</v>
      </c>
      <c r="N219" t="str">
        <f t="shared" si="78"/>
        <v>0.00</v>
      </c>
      <c r="O219" t="str">
        <f>"300292"</f>
        <v>300292</v>
      </c>
      <c r="P219" t="str">
        <f>"0153613480"</f>
        <v>0153613480</v>
      </c>
    </row>
    <row r="220" spans="1:16" x14ac:dyDescent="0.25">
      <c r="A220" t="str">
        <f t="shared" si="74"/>
        <v>人民币</v>
      </c>
      <c r="B220" t="str">
        <f>"元利配号"</f>
        <v>元利配号</v>
      </c>
      <c r="C220" t="str">
        <f>"20190611"</f>
        <v>20190611</v>
      </c>
      <c r="D220" t="str">
        <f>"0.000"</f>
        <v>0.000</v>
      </c>
      <c r="E220" t="str">
        <f>"9.00"</f>
        <v>9.00</v>
      </c>
      <c r="F220" t="str">
        <f>"0.00"</f>
        <v>0.00</v>
      </c>
      <c r="G220" t="str">
        <f>"66.67"</f>
        <v>66.67</v>
      </c>
      <c r="H220" t="str">
        <f>"0.00"</f>
        <v>0.00</v>
      </c>
      <c r="I220" t="str">
        <f>"159"</f>
        <v>159</v>
      </c>
      <c r="J220" t="str">
        <f>"申购配号(元利配号)"</f>
        <v>申购配号(元利配号)</v>
      </c>
      <c r="K220" t="str">
        <f>"0.00"</f>
        <v>0.00</v>
      </c>
      <c r="L220" t="str">
        <f t="shared" si="81"/>
        <v>0.00</v>
      </c>
      <c r="M220" t="str">
        <f t="shared" si="80"/>
        <v>0.00</v>
      </c>
      <c r="N220" t="str">
        <f t="shared" si="78"/>
        <v>0.00</v>
      </c>
      <c r="O220" t="str">
        <f>"736217"</f>
        <v>736217</v>
      </c>
      <c r="P220" t="str">
        <f>"A400948245"</f>
        <v>A400948245</v>
      </c>
    </row>
    <row r="221" spans="1:16" x14ac:dyDescent="0.25">
      <c r="A221" t="str">
        <f t="shared" si="74"/>
        <v>人民币</v>
      </c>
      <c r="B221" t="str">
        <f>"松炀配号"</f>
        <v>松炀配号</v>
      </c>
      <c r="C221" t="str">
        <f>"20190611"</f>
        <v>20190611</v>
      </c>
      <c r="D221" t="str">
        <f>"0.000"</f>
        <v>0.000</v>
      </c>
      <c r="E221" t="str">
        <f>"13.00"</f>
        <v>13.00</v>
      </c>
      <c r="F221" t="str">
        <f>"0.00"</f>
        <v>0.00</v>
      </c>
      <c r="G221" t="str">
        <f>"66.67"</f>
        <v>66.67</v>
      </c>
      <c r="H221" t="str">
        <f>"0.00"</f>
        <v>0.00</v>
      </c>
      <c r="I221" t="str">
        <f>"157"</f>
        <v>157</v>
      </c>
      <c r="J221" t="str">
        <f>"申购配号(松炀配号)"</f>
        <v>申购配号(松炀配号)</v>
      </c>
      <c r="K221" t="str">
        <f>"0.00"</f>
        <v>0.00</v>
      </c>
      <c r="L221" t="str">
        <f t="shared" si="81"/>
        <v>0.00</v>
      </c>
      <c r="M221" t="str">
        <f t="shared" si="80"/>
        <v>0.00</v>
      </c>
      <c r="N221" t="str">
        <f t="shared" si="78"/>
        <v>0.00</v>
      </c>
      <c r="O221" t="str">
        <f>"736863"</f>
        <v>736863</v>
      </c>
      <c r="P221" t="str">
        <f>"A400948245"</f>
        <v>A400948245</v>
      </c>
    </row>
    <row r="222" spans="1:16" x14ac:dyDescent="0.25">
      <c r="A222" t="str">
        <f t="shared" si="74"/>
        <v>人民币</v>
      </c>
      <c r="B222" t="str">
        <f>"中通国脉"</f>
        <v>中通国脉</v>
      </c>
      <c r="C222" t="str">
        <f>"20190612"</f>
        <v>20190612</v>
      </c>
      <c r="D222" t="str">
        <f>"22.020"</f>
        <v>22.020</v>
      </c>
      <c r="E222" t="str">
        <f>"400.00"</f>
        <v>400.00</v>
      </c>
      <c r="F222" t="str">
        <f>"-8816.99"</f>
        <v>-8816.99</v>
      </c>
      <c r="G222" t="str">
        <f>"-8750.32"</f>
        <v>-8750.32</v>
      </c>
      <c r="H222" t="str">
        <f>"2000.00"</f>
        <v>2000.00</v>
      </c>
      <c r="I222" t="str">
        <f>"177"</f>
        <v>177</v>
      </c>
      <c r="J222" t="str">
        <f>"证券买入(中通国脉)"</f>
        <v>证券买入(中通国脉)</v>
      </c>
      <c r="K222" t="str">
        <f>"8.81"</f>
        <v>8.81</v>
      </c>
      <c r="L222" t="str">
        <f t="shared" si="81"/>
        <v>0.00</v>
      </c>
      <c r="M222" t="str">
        <f>"0.18"</f>
        <v>0.18</v>
      </c>
      <c r="N222" t="str">
        <f t="shared" si="78"/>
        <v>0.00</v>
      </c>
      <c r="O222" t="str">
        <f>"603559"</f>
        <v>603559</v>
      </c>
      <c r="P222" t="str">
        <f>"A400948245"</f>
        <v>A400948245</v>
      </c>
    </row>
    <row r="223" spans="1:16" x14ac:dyDescent="0.25">
      <c r="A223" t="str">
        <f t="shared" si="74"/>
        <v>人民币</v>
      </c>
      <c r="B223" t="str">
        <f>"吴通控股"</f>
        <v>吴通控股</v>
      </c>
      <c r="C223" t="str">
        <f>"20190612"</f>
        <v>20190612</v>
      </c>
      <c r="D223" t="str">
        <f>"7.810"</f>
        <v>7.810</v>
      </c>
      <c r="E223" t="str">
        <f>"-900.00"</f>
        <v>-900.00</v>
      </c>
      <c r="F223" t="str">
        <f>"7014.94"</f>
        <v>7014.94</v>
      </c>
      <c r="G223" t="str">
        <f>"-1735.38"</f>
        <v>-1735.38</v>
      </c>
      <c r="H223" t="str">
        <f>"1000.00"</f>
        <v>1000.00</v>
      </c>
      <c r="I223" t="str">
        <f>"166"</f>
        <v>166</v>
      </c>
      <c r="J223" t="str">
        <f>"证券卖出(吴通控股)"</f>
        <v>证券卖出(吴通控股)</v>
      </c>
      <c r="K223" t="str">
        <f>"7.03"</f>
        <v>7.03</v>
      </c>
      <c r="L223" t="str">
        <f>"7.03"</f>
        <v>7.03</v>
      </c>
      <c r="M223" t="str">
        <f>"0.00"</f>
        <v>0.00</v>
      </c>
      <c r="N223" t="str">
        <f t="shared" si="78"/>
        <v>0.00</v>
      </c>
      <c r="O223" t="str">
        <f>"300292"</f>
        <v>300292</v>
      </c>
      <c r="P223" t="str">
        <f>"0153613480"</f>
        <v>0153613480</v>
      </c>
    </row>
    <row r="224" spans="1:16" x14ac:dyDescent="0.25">
      <c r="A224" t="str">
        <f t="shared" si="74"/>
        <v>人民币</v>
      </c>
      <c r="B224" t="str">
        <f>"吴通控股"</f>
        <v>吴通控股</v>
      </c>
      <c r="C224" t="str">
        <f>"20190612"</f>
        <v>20190612</v>
      </c>
      <c r="D224" t="str">
        <f>"7.900"</f>
        <v>7.900</v>
      </c>
      <c r="E224" t="str">
        <f>"-1000.00"</f>
        <v>-1000.00</v>
      </c>
      <c r="F224" t="str">
        <f>"7884.20"</f>
        <v>7884.20</v>
      </c>
      <c r="G224" t="str">
        <f>"6148.82"</f>
        <v>6148.82</v>
      </c>
      <c r="H224" t="str">
        <f>"0.00"</f>
        <v>0.00</v>
      </c>
      <c r="I224" t="str">
        <f>"174"</f>
        <v>174</v>
      </c>
      <c r="J224" t="str">
        <f>"证券卖出(吴通控股)"</f>
        <v>证券卖出(吴通控股)</v>
      </c>
      <c r="K224" t="str">
        <f>"7.90"</f>
        <v>7.90</v>
      </c>
      <c r="L224" t="str">
        <f>"7.90"</f>
        <v>7.90</v>
      </c>
      <c r="M224" t="str">
        <f>"0.00"</f>
        <v>0.00</v>
      </c>
      <c r="N224" t="str">
        <f t="shared" si="78"/>
        <v>0.00</v>
      </c>
      <c r="O224" t="str">
        <f>"300292"</f>
        <v>300292</v>
      </c>
      <c r="P224" t="str">
        <f>"0153613480"</f>
        <v>0153613480</v>
      </c>
    </row>
    <row r="225" spans="1:16" x14ac:dyDescent="0.25">
      <c r="A225" t="str">
        <f t="shared" si="74"/>
        <v>人民币</v>
      </c>
      <c r="B225" t="str">
        <f>"朗进科技"</f>
        <v>朗进科技</v>
      </c>
      <c r="C225" t="str">
        <f>"20190612"</f>
        <v>20190612</v>
      </c>
      <c r="D225" t="str">
        <f>"0.000"</f>
        <v>0.000</v>
      </c>
      <c r="E225" t="str">
        <f>"2.00"</f>
        <v>2.00</v>
      </c>
      <c r="F225" t="str">
        <f>"0.00"</f>
        <v>0.00</v>
      </c>
      <c r="G225" t="str">
        <f>"6148.82"</f>
        <v>6148.82</v>
      </c>
      <c r="H225" t="str">
        <f>"0.00"</f>
        <v>0.00</v>
      </c>
      <c r="I225" t="str">
        <f>"169"</f>
        <v>169</v>
      </c>
      <c r="J225" t="str">
        <f>"申购配号(朗进科技)"</f>
        <v>申购配号(朗进科技)</v>
      </c>
      <c r="K225" t="str">
        <f>"0.00"</f>
        <v>0.00</v>
      </c>
      <c r="L225" t="str">
        <f>"0.00"</f>
        <v>0.00</v>
      </c>
      <c r="M225" t="str">
        <f>"0.00"</f>
        <v>0.00</v>
      </c>
      <c r="N225" t="str">
        <f t="shared" si="78"/>
        <v>0.00</v>
      </c>
      <c r="O225" t="str">
        <f>"300594"</f>
        <v>300594</v>
      </c>
      <c r="P225" t="str">
        <f>"0153613480"</f>
        <v>0153613480</v>
      </c>
    </row>
    <row r="226" spans="1:16" x14ac:dyDescent="0.25">
      <c r="A226" t="str">
        <f t="shared" si="74"/>
        <v>人民币</v>
      </c>
      <c r="B226" t="str">
        <f>"七一二"</f>
        <v>七一二</v>
      </c>
      <c r="C226" t="str">
        <f>"20190613"</f>
        <v>20190613</v>
      </c>
      <c r="D226" t="str">
        <f>"24.020"</f>
        <v>24.020</v>
      </c>
      <c r="E226" t="str">
        <f>"-1400.00"</f>
        <v>-1400.00</v>
      </c>
      <c r="F226" t="str">
        <f>"33560.07"</f>
        <v>33560.07</v>
      </c>
      <c r="G226" t="str">
        <f>"39708.89"</f>
        <v>39708.89</v>
      </c>
      <c r="H226" t="str">
        <f>"2000.00"</f>
        <v>2000.00</v>
      </c>
      <c r="I226" t="str">
        <f>"187"</f>
        <v>187</v>
      </c>
      <c r="J226" t="str">
        <f>"证券卖出(七一二)"</f>
        <v>证券卖出(七一二)</v>
      </c>
      <c r="K226" t="str">
        <f>"33.63"</f>
        <v>33.63</v>
      </c>
      <c r="L226" t="str">
        <f>"33.63"</f>
        <v>33.63</v>
      </c>
      <c r="M226" t="str">
        <f>"0.67"</f>
        <v>0.67</v>
      </c>
      <c r="N226" t="str">
        <f t="shared" si="78"/>
        <v>0.00</v>
      </c>
      <c r="O226" t="str">
        <f>"603712"</f>
        <v>603712</v>
      </c>
      <c r="P226" t="str">
        <f>"A400948245"</f>
        <v>A400948245</v>
      </c>
    </row>
    <row r="227" spans="1:16" x14ac:dyDescent="0.25">
      <c r="A227" t="str">
        <f t="shared" si="74"/>
        <v>人民币</v>
      </c>
      <c r="B227" t="str">
        <f>"七一二"</f>
        <v>七一二</v>
      </c>
      <c r="C227" t="str">
        <f>"20190613"</f>
        <v>20190613</v>
      </c>
      <c r="D227" t="str">
        <f>"23.910"</f>
        <v>23.910</v>
      </c>
      <c r="E227" t="str">
        <f>"-1000.00"</f>
        <v>-1000.00</v>
      </c>
      <c r="F227" t="str">
        <f>"23861.70"</f>
        <v>23861.70</v>
      </c>
      <c r="G227" t="str">
        <f>"63570.59"</f>
        <v>63570.59</v>
      </c>
      <c r="H227" t="str">
        <f>"1000.00"</f>
        <v>1000.00</v>
      </c>
      <c r="I227" t="str">
        <f>"190"</f>
        <v>190</v>
      </c>
      <c r="J227" t="str">
        <f>"证券卖出(七一二)"</f>
        <v>证券卖出(七一二)</v>
      </c>
      <c r="K227" t="str">
        <f>"23.91"</f>
        <v>23.91</v>
      </c>
      <c r="L227" t="str">
        <f>"23.91"</f>
        <v>23.91</v>
      </c>
      <c r="M227" t="str">
        <f>"0.48"</f>
        <v>0.48</v>
      </c>
      <c r="N227" t="str">
        <f t="shared" si="78"/>
        <v>0.00</v>
      </c>
      <c r="O227" t="str">
        <f>"603712"</f>
        <v>603712</v>
      </c>
      <c r="P227" t="str">
        <f>"A400948245"</f>
        <v>A400948245</v>
      </c>
    </row>
    <row r="228" spans="1:16" x14ac:dyDescent="0.25">
      <c r="A228" t="str">
        <f t="shared" si="74"/>
        <v>人民币</v>
      </c>
      <c r="B228" t="str">
        <f>"七一二"</f>
        <v>七一二</v>
      </c>
      <c r="C228" t="str">
        <f>"20190613"</f>
        <v>20190613</v>
      </c>
      <c r="D228" t="str">
        <f>"23.960"</f>
        <v>23.960</v>
      </c>
      <c r="E228" t="str">
        <f>"-1000.00"</f>
        <v>-1000.00</v>
      </c>
      <c r="F228" t="str">
        <f>"23911.60"</f>
        <v>23911.60</v>
      </c>
      <c r="G228" t="str">
        <f>"87482.19"</f>
        <v>87482.19</v>
      </c>
      <c r="H228" t="str">
        <f>"0.00"</f>
        <v>0.00</v>
      </c>
      <c r="I228" t="str">
        <f>"194"</f>
        <v>194</v>
      </c>
      <c r="J228" t="str">
        <f>"证券卖出(七一二)"</f>
        <v>证券卖出(七一二)</v>
      </c>
      <c r="K228" t="str">
        <f>"23.96"</f>
        <v>23.96</v>
      </c>
      <c r="L228" t="str">
        <f>"23.96"</f>
        <v>23.96</v>
      </c>
      <c r="M228" t="str">
        <f>"0.48"</f>
        <v>0.48</v>
      </c>
      <c r="N228" t="str">
        <f t="shared" si="78"/>
        <v>0.00</v>
      </c>
      <c r="O228" t="str">
        <f>"603712"</f>
        <v>603712</v>
      </c>
      <c r="P228" t="str">
        <f>"A400948245"</f>
        <v>A400948245</v>
      </c>
    </row>
    <row r="229" spans="1:16" x14ac:dyDescent="0.25">
      <c r="A229" t="str">
        <f t="shared" si="74"/>
        <v>人民币</v>
      </c>
      <c r="B229" t="str">
        <f>""</f>
        <v/>
      </c>
      <c r="C229" t="str">
        <f t="shared" ref="C229:C234" si="82">"20190614"</f>
        <v>20190614</v>
      </c>
      <c r="D229" t="str">
        <f>"---"</f>
        <v>---</v>
      </c>
      <c r="E229" t="str">
        <f>"---"</f>
        <v>---</v>
      </c>
      <c r="F229" t="str">
        <f>"-10000.00"</f>
        <v>-10000.00</v>
      </c>
      <c r="G229" t="str">
        <f>"77482.19"</f>
        <v>77482.19</v>
      </c>
      <c r="H229" t="str">
        <f>"---"</f>
        <v>---</v>
      </c>
      <c r="I229" t="str">
        <f>"---"</f>
        <v>---</v>
      </c>
      <c r="J229" t="str">
        <f>"银行转取"</f>
        <v>银行转取</v>
      </c>
      <c r="K229" t="str">
        <f t="shared" ref="K229:P229" si="83">"---"</f>
        <v>---</v>
      </c>
      <c r="L229" t="str">
        <f t="shared" si="83"/>
        <v>---</v>
      </c>
      <c r="M229" t="str">
        <f t="shared" si="83"/>
        <v>---</v>
      </c>
      <c r="N229" t="str">
        <f t="shared" si="83"/>
        <v>---</v>
      </c>
      <c r="O229" t="str">
        <f t="shared" si="83"/>
        <v>---</v>
      </c>
      <c r="P229" t="str">
        <f t="shared" si="83"/>
        <v>---</v>
      </c>
    </row>
    <row r="230" spans="1:16" x14ac:dyDescent="0.25">
      <c r="A230" t="str">
        <f t="shared" si="74"/>
        <v>人民币</v>
      </c>
      <c r="B230" t="str">
        <f>"海油配号"</f>
        <v>海油配号</v>
      </c>
      <c r="C230" t="str">
        <f t="shared" si="82"/>
        <v>20190614</v>
      </c>
      <c r="D230" t="str">
        <f>"0.000"</f>
        <v>0.000</v>
      </c>
      <c r="E230" t="str">
        <f>"13.00"</f>
        <v>13.00</v>
      </c>
      <c r="F230" t="str">
        <f>"0.00"</f>
        <v>0.00</v>
      </c>
      <c r="G230" t="str">
        <f>"77482.19"</f>
        <v>77482.19</v>
      </c>
      <c r="H230" t="str">
        <f>"0.00"</f>
        <v>0.00</v>
      </c>
      <c r="I230" t="str">
        <f>"206"</f>
        <v>206</v>
      </c>
      <c r="J230" t="str">
        <f>"申购配号(海油配号)"</f>
        <v>申购配号(海油配号)</v>
      </c>
      <c r="K230" t="str">
        <f>"0.00"</f>
        <v>0.00</v>
      </c>
      <c r="L230" t="str">
        <f>"0.00"</f>
        <v>0.00</v>
      </c>
      <c r="M230" t="str">
        <f>"0.00"</f>
        <v>0.00</v>
      </c>
      <c r="N230" t="str">
        <f>"0.00"</f>
        <v>0.00</v>
      </c>
      <c r="O230" t="str">
        <f>"741968"</f>
        <v>741968</v>
      </c>
      <c r="P230" t="str">
        <f>"A400948245"</f>
        <v>A400948245</v>
      </c>
    </row>
    <row r="231" spans="1:16" x14ac:dyDescent="0.25">
      <c r="A231" t="str">
        <f t="shared" si="74"/>
        <v>人民币</v>
      </c>
      <c r="B231" t="str">
        <f>"中通国脉"</f>
        <v>中通国脉</v>
      </c>
      <c r="C231" t="str">
        <f t="shared" si="82"/>
        <v>20190614</v>
      </c>
      <c r="D231" t="str">
        <f>"21.340"</f>
        <v>21.340</v>
      </c>
      <c r="E231" t="str">
        <f>"200.00"</f>
        <v>200.00</v>
      </c>
      <c r="F231" t="str">
        <f>"-4273.09"</f>
        <v>-4273.09</v>
      </c>
      <c r="G231" t="str">
        <f>"73209.10"</f>
        <v>73209.10</v>
      </c>
      <c r="H231" t="str">
        <f>"2200.00"</f>
        <v>2200.00</v>
      </c>
      <c r="I231" t="str">
        <f>"204"</f>
        <v>204</v>
      </c>
      <c r="J231" t="str">
        <f>"证券买入(中通国脉)"</f>
        <v>证券买入(中通国脉)</v>
      </c>
      <c r="K231" t="str">
        <f>"5.00"</f>
        <v>5.00</v>
      </c>
      <c r="L231" t="str">
        <f t="shared" ref="L231:M239" si="84">"0.00"</f>
        <v>0.00</v>
      </c>
      <c r="M231" t="str">
        <f>"0.09"</f>
        <v>0.09</v>
      </c>
      <c r="N231" t="str">
        <f t="shared" ref="N231:N242" si="85">"0.00"</f>
        <v>0.00</v>
      </c>
      <c r="O231" t="str">
        <f>"603559"</f>
        <v>603559</v>
      </c>
      <c r="P231" t="str">
        <f>"A400948245"</f>
        <v>A400948245</v>
      </c>
    </row>
    <row r="232" spans="1:16" x14ac:dyDescent="0.25">
      <c r="A232" t="str">
        <f t="shared" si="74"/>
        <v>人民币</v>
      </c>
      <c r="B232" t="str">
        <f>"凯龙股份"</f>
        <v>凯龙股份</v>
      </c>
      <c r="C232" t="str">
        <f t="shared" si="82"/>
        <v>20190614</v>
      </c>
      <c r="D232" t="str">
        <f>"14.050"</f>
        <v>14.050</v>
      </c>
      <c r="E232" t="str">
        <f>"1000.00"</f>
        <v>1000.00</v>
      </c>
      <c r="F232" t="str">
        <f>"-14064.05"</f>
        <v>-14064.05</v>
      </c>
      <c r="G232" t="str">
        <f>"59145.05"</f>
        <v>59145.05</v>
      </c>
      <c r="H232" t="str">
        <f>"1000.00"</f>
        <v>1000.00</v>
      </c>
      <c r="I232" t="str">
        <f>"200"</f>
        <v>200</v>
      </c>
      <c r="J232" t="str">
        <f>"证券买入(凯龙股份)"</f>
        <v>证券买入(凯龙股份)</v>
      </c>
      <c r="K232" t="str">
        <f>"14.05"</f>
        <v>14.05</v>
      </c>
      <c r="L232" t="str">
        <f t="shared" si="84"/>
        <v>0.00</v>
      </c>
      <c r="M232" t="str">
        <f t="shared" si="84"/>
        <v>0.00</v>
      </c>
      <c r="N232" t="str">
        <f t="shared" si="85"/>
        <v>0.00</v>
      </c>
      <c r="O232" t="str">
        <f>"002783"</f>
        <v>002783</v>
      </c>
      <c r="P232" t="str">
        <f>"0153613480"</f>
        <v>0153613480</v>
      </c>
    </row>
    <row r="233" spans="1:16" x14ac:dyDescent="0.25">
      <c r="A233" t="str">
        <f t="shared" si="74"/>
        <v>人民币</v>
      </c>
      <c r="B233" t="str">
        <f>"凯龙股份"</f>
        <v>凯龙股份</v>
      </c>
      <c r="C233" t="str">
        <f t="shared" si="82"/>
        <v>20190614</v>
      </c>
      <c r="D233" t="str">
        <f>"14.164"</f>
        <v>14.164</v>
      </c>
      <c r="E233" t="str">
        <f>"1000.00"</f>
        <v>1000.00</v>
      </c>
      <c r="F233" t="str">
        <f>"-14177.96"</f>
        <v>-14177.96</v>
      </c>
      <c r="G233" t="str">
        <f>"44967.09"</f>
        <v>44967.09</v>
      </c>
      <c r="H233" t="str">
        <f>"2000.00"</f>
        <v>2000.00</v>
      </c>
      <c r="I233" t="str">
        <f>"212"</f>
        <v>212</v>
      </c>
      <c r="J233" t="str">
        <f>"证券买入(凯龙股份)"</f>
        <v>证券买入(凯龙股份)</v>
      </c>
      <c r="K233" t="str">
        <f>"14.16"</f>
        <v>14.16</v>
      </c>
      <c r="L233" t="str">
        <f t="shared" si="84"/>
        <v>0.00</v>
      </c>
      <c r="M233" t="str">
        <f t="shared" si="84"/>
        <v>0.00</v>
      </c>
      <c r="N233" t="str">
        <f t="shared" si="85"/>
        <v>0.00</v>
      </c>
      <c r="O233" t="str">
        <f>"002783"</f>
        <v>002783</v>
      </c>
      <c r="P233" t="str">
        <f>"0153613480"</f>
        <v>0153613480</v>
      </c>
    </row>
    <row r="234" spans="1:16" x14ac:dyDescent="0.25">
      <c r="A234" t="str">
        <f t="shared" si="74"/>
        <v>人民币</v>
      </c>
      <c r="B234" t="str">
        <f>"凯龙股份"</f>
        <v>凯龙股份</v>
      </c>
      <c r="C234" t="str">
        <f t="shared" si="82"/>
        <v>20190614</v>
      </c>
      <c r="D234" t="str">
        <f>"13.770"</f>
        <v>13.770</v>
      </c>
      <c r="E234" t="str">
        <f>"500.00"</f>
        <v>500.00</v>
      </c>
      <c r="F234" t="str">
        <f>"-6891.89"</f>
        <v>-6891.89</v>
      </c>
      <c r="G234" t="str">
        <f>"38075.20"</f>
        <v>38075.20</v>
      </c>
      <c r="H234" t="str">
        <f>"2500.00"</f>
        <v>2500.00</v>
      </c>
      <c r="I234" t="str">
        <f>"221"</f>
        <v>221</v>
      </c>
      <c r="J234" t="str">
        <f>"证券买入(凯龙股份)"</f>
        <v>证券买入(凯龙股份)</v>
      </c>
      <c r="K234" t="str">
        <f>"6.89"</f>
        <v>6.89</v>
      </c>
      <c r="L234" t="str">
        <f t="shared" si="84"/>
        <v>0.00</v>
      </c>
      <c r="M234" t="str">
        <f t="shared" si="84"/>
        <v>0.00</v>
      </c>
      <c r="N234" t="str">
        <f t="shared" si="85"/>
        <v>0.00</v>
      </c>
      <c r="O234" t="str">
        <f>"002783"</f>
        <v>002783</v>
      </c>
      <c r="P234" t="str">
        <f>"0153613480"</f>
        <v>0153613480</v>
      </c>
    </row>
    <row r="235" spans="1:16" x14ac:dyDescent="0.25">
      <c r="A235" t="str">
        <f t="shared" si="74"/>
        <v>人民币</v>
      </c>
      <c r="B235" t="str">
        <f>"新化配号"</f>
        <v>新化配号</v>
      </c>
      <c r="C235" t="str">
        <f>"20190617"</f>
        <v>20190617</v>
      </c>
      <c r="D235" t="str">
        <f>"0.000"</f>
        <v>0.000</v>
      </c>
      <c r="E235" t="str">
        <f>"13.00"</f>
        <v>13.00</v>
      </c>
      <c r="F235" t="str">
        <f>"0.00"</f>
        <v>0.00</v>
      </c>
      <c r="G235" t="str">
        <f>"38075.20"</f>
        <v>38075.20</v>
      </c>
      <c r="H235" t="str">
        <f>"0.00"</f>
        <v>0.00</v>
      </c>
      <c r="I235" t="str">
        <f>"232"</f>
        <v>232</v>
      </c>
      <c r="J235" t="str">
        <f>"申购配号(新化配号)"</f>
        <v>申购配号(新化配号)</v>
      </c>
      <c r="K235" t="str">
        <f>"0.00"</f>
        <v>0.00</v>
      </c>
      <c r="L235" t="str">
        <f t="shared" si="84"/>
        <v>0.00</v>
      </c>
      <c r="M235" t="str">
        <f t="shared" si="84"/>
        <v>0.00</v>
      </c>
      <c r="N235" t="str">
        <f t="shared" si="85"/>
        <v>0.00</v>
      </c>
      <c r="O235" t="str">
        <f>"736867"</f>
        <v>736867</v>
      </c>
      <c r="P235" t="str">
        <f>"A400948245"</f>
        <v>A400948245</v>
      </c>
    </row>
    <row r="236" spans="1:16" x14ac:dyDescent="0.25">
      <c r="A236" t="str">
        <f t="shared" si="74"/>
        <v>人民币</v>
      </c>
      <c r="B236" t="str">
        <f>"凯龙股份"</f>
        <v>凯龙股份</v>
      </c>
      <c r="C236" t="str">
        <f>"20190617"</f>
        <v>20190617</v>
      </c>
      <c r="D236" t="str">
        <f>"13.100"</f>
        <v>13.100</v>
      </c>
      <c r="E236" t="str">
        <f>"500.00"</f>
        <v>500.00</v>
      </c>
      <c r="F236" t="str">
        <f>"-6556.55"</f>
        <v>-6556.55</v>
      </c>
      <c r="G236" t="str">
        <f>"31518.65"</f>
        <v>31518.65</v>
      </c>
      <c r="H236" t="str">
        <f>"3000.00"</f>
        <v>3000.00</v>
      </c>
      <c r="I236" t="str">
        <f>"234"</f>
        <v>234</v>
      </c>
      <c r="J236" t="str">
        <f>"证券买入(凯龙股份)"</f>
        <v>证券买入(凯龙股份)</v>
      </c>
      <c r="K236" t="str">
        <f>"6.55"</f>
        <v>6.55</v>
      </c>
      <c r="L236" t="str">
        <f t="shared" si="84"/>
        <v>0.00</v>
      </c>
      <c r="M236" t="str">
        <f t="shared" si="84"/>
        <v>0.00</v>
      </c>
      <c r="N236" t="str">
        <f t="shared" si="85"/>
        <v>0.00</v>
      </c>
      <c r="O236" t="str">
        <f>"002783"</f>
        <v>002783</v>
      </c>
      <c r="P236" t="str">
        <f>"0153613480"</f>
        <v>0153613480</v>
      </c>
    </row>
    <row r="237" spans="1:16" x14ac:dyDescent="0.25">
      <c r="A237" t="str">
        <f t="shared" si="74"/>
        <v>人民币</v>
      </c>
      <c r="B237" t="str">
        <f>"卫通配号"</f>
        <v>卫通配号</v>
      </c>
      <c r="C237" t="str">
        <f>"20190618"</f>
        <v>20190618</v>
      </c>
      <c r="D237" t="str">
        <f>"0.000"</f>
        <v>0.000</v>
      </c>
      <c r="E237" t="str">
        <f>"13.00"</f>
        <v>13.00</v>
      </c>
      <c r="F237" t="str">
        <f>"0.00"</f>
        <v>0.00</v>
      </c>
      <c r="G237" t="str">
        <f>"31518.65"</f>
        <v>31518.65</v>
      </c>
      <c r="H237" t="str">
        <f>"0.00"</f>
        <v>0.00</v>
      </c>
      <c r="I237" t="str">
        <f>"1"</f>
        <v>1</v>
      </c>
      <c r="J237" t="str">
        <f>"申购配号(卫通配号)"</f>
        <v>申购配号(卫通配号)</v>
      </c>
      <c r="K237" t="str">
        <f>"0.00"</f>
        <v>0.00</v>
      </c>
      <c r="L237" t="str">
        <f t="shared" si="84"/>
        <v>0.00</v>
      </c>
      <c r="M237" t="str">
        <f t="shared" si="84"/>
        <v>0.00</v>
      </c>
      <c r="N237" t="str">
        <f t="shared" si="85"/>
        <v>0.00</v>
      </c>
      <c r="O237" t="str">
        <f>"791698"</f>
        <v>791698</v>
      </c>
      <c r="P237" t="str">
        <f>"A400948245"</f>
        <v>A400948245</v>
      </c>
    </row>
    <row r="238" spans="1:16" x14ac:dyDescent="0.25">
      <c r="A238" t="str">
        <f t="shared" si="74"/>
        <v>人民币</v>
      </c>
      <c r="B238" t="str">
        <f>"凯龙股份"</f>
        <v>凯龙股份</v>
      </c>
      <c r="C238" t="str">
        <f>"20190618"</f>
        <v>20190618</v>
      </c>
      <c r="D238" t="str">
        <f>"12.440"</f>
        <v>12.440</v>
      </c>
      <c r="E238" t="str">
        <f>"800.00"</f>
        <v>800.00</v>
      </c>
      <c r="F238" t="str">
        <f>"-9961.95"</f>
        <v>-9961.95</v>
      </c>
      <c r="G238" t="str">
        <f>"21556.70"</f>
        <v>21556.70</v>
      </c>
      <c r="H238" t="str">
        <f>"3800.00"</f>
        <v>3800.00</v>
      </c>
      <c r="I238" t="str">
        <f>"3"</f>
        <v>3</v>
      </c>
      <c r="J238" t="str">
        <f>"证券买入(凯龙股份)"</f>
        <v>证券买入(凯龙股份)</v>
      </c>
      <c r="K238" t="str">
        <f>"9.95"</f>
        <v>9.95</v>
      </c>
      <c r="L238" t="str">
        <f t="shared" si="84"/>
        <v>0.00</v>
      </c>
      <c r="M238" t="str">
        <f t="shared" si="84"/>
        <v>0.00</v>
      </c>
      <c r="N238" t="str">
        <f t="shared" si="85"/>
        <v>0.00</v>
      </c>
      <c r="O238" t="str">
        <f>"002783"</f>
        <v>002783</v>
      </c>
      <c r="P238" t="str">
        <f>"0153613480"</f>
        <v>0153613480</v>
      </c>
    </row>
    <row r="239" spans="1:16" x14ac:dyDescent="0.25">
      <c r="A239" t="str">
        <f t="shared" si="74"/>
        <v>人民币</v>
      </c>
      <c r="B239" t="str">
        <f>"凯龙股份"</f>
        <v>凯龙股份</v>
      </c>
      <c r="C239" t="str">
        <f>"20190618"</f>
        <v>20190618</v>
      </c>
      <c r="D239" t="str">
        <f>"12.760"</f>
        <v>12.760</v>
      </c>
      <c r="E239" t="str">
        <f>"-800.00"</f>
        <v>-800.00</v>
      </c>
      <c r="F239" t="str">
        <f>"10187.58"</f>
        <v>10187.58</v>
      </c>
      <c r="G239" t="str">
        <f>"31744.28"</f>
        <v>31744.28</v>
      </c>
      <c r="H239" t="str">
        <f>"3000.00"</f>
        <v>3000.00</v>
      </c>
      <c r="I239" t="str">
        <f>"6"</f>
        <v>6</v>
      </c>
      <c r="J239" t="str">
        <f>"证券卖出(凯龙股份)"</f>
        <v>证券卖出(凯龙股份)</v>
      </c>
      <c r="K239" t="str">
        <f>"10.21"</f>
        <v>10.21</v>
      </c>
      <c r="L239" t="str">
        <f>"10.21"</f>
        <v>10.21</v>
      </c>
      <c r="M239" t="str">
        <f t="shared" si="84"/>
        <v>0.00</v>
      </c>
      <c r="N239" t="str">
        <f t="shared" si="85"/>
        <v>0.00</v>
      </c>
      <c r="O239" t="str">
        <f>"002783"</f>
        <v>002783</v>
      </c>
      <c r="P239" t="str">
        <f>"0153613480"</f>
        <v>0153613480</v>
      </c>
    </row>
    <row r="240" spans="1:16" x14ac:dyDescent="0.25">
      <c r="A240" t="str">
        <f t="shared" si="74"/>
        <v>人民币</v>
      </c>
      <c r="B240" t="str">
        <f>"中通国脉"</f>
        <v>中通国脉</v>
      </c>
      <c r="C240" t="str">
        <f>"20190619"</f>
        <v>20190619</v>
      </c>
      <c r="D240" t="str">
        <f>"21.640"</f>
        <v>21.640</v>
      </c>
      <c r="E240" t="str">
        <f>"200.00"</f>
        <v>200.00</v>
      </c>
      <c r="F240" t="str">
        <f>"-4333.09"</f>
        <v>-4333.09</v>
      </c>
      <c r="G240" t="str">
        <f>"27411.19"</f>
        <v>27411.19</v>
      </c>
      <c r="H240" t="str">
        <f>"2400.00"</f>
        <v>2400.00</v>
      </c>
      <c r="I240" t="str">
        <f>"20"</f>
        <v>20</v>
      </c>
      <c r="J240" t="str">
        <f>"证券买入(中通国脉)"</f>
        <v>证券买入(中通国脉)</v>
      </c>
      <c r="K240" t="str">
        <f>"5.00"</f>
        <v>5.00</v>
      </c>
      <c r="L240" t="str">
        <f>"0.00"</f>
        <v>0.00</v>
      </c>
      <c r="M240" t="str">
        <f>"0.09"</f>
        <v>0.09</v>
      </c>
      <c r="N240" t="str">
        <f t="shared" si="85"/>
        <v>0.00</v>
      </c>
      <c r="O240" t="str">
        <f>"603559"</f>
        <v>603559</v>
      </c>
      <c r="P240" t="str">
        <f>"A400948245"</f>
        <v>A400948245</v>
      </c>
    </row>
    <row r="241" spans="1:16" x14ac:dyDescent="0.25">
      <c r="A241" t="str">
        <f t="shared" si="74"/>
        <v>人民币</v>
      </c>
      <c r="B241" t="str">
        <f>"凯龙股份"</f>
        <v>凯龙股份</v>
      </c>
      <c r="C241" t="str">
        <f>"20190619"</f>
        <v>20190619</v>
      </c>
      <c r="D241" t="str">
        <f>"13.360"</f>
        <v>13.360</v>
      </c>
      <c r="E241" t="str">
        <f>"500.00"</f>
        <v>500.00</v>
      </c>
      <c r="F241" t="str">
        <f>"-6686.68"</f>
        <v>-6686.68</v>
      </c>
      <c r="G241" t="str">
        <f>"20724.51"</f>
        <v>20724.51</v>
      </c>
      <c r="H241" t="str">
        <f>"3500.00"</f>
        <v>3500.00</v>
      </c>
      <c r="I241" t="str">
        <f>"13"</f>
        <v>13</v>
      </c>
      <c r="J241" t="str">
        <f>"证券买入(凯龙股份)"</f>
        <v>证券买入(凯龙股份)</v>
      </c>
      <c r="K241" t="str">
        <f>"6.68"</f>
        <v>6.68</v>
      </c>
      <c r="L241" t="str">
        <f>"0.00"</f>
        <v>0.00</v>
      </c>
      <c r="M241" t="str">
        <f>"0.00"</f>
        <v>0.00</v>
      </c>
      <c r="N241" t="str">
        <f t="shared" si="85"/>
        <v>0.00</v>
      </c>
      <c r="O241" t="str">
        <f>"002783"</f>
        <v>002783</v>
      </c>
      <c r="P241" t="str">
        <f>"0153613480"</f>
        <v>0153613480</v>
      </c>
    </row>
    <row r="242" spans="1:16" x14ac:dyDescent="0.25">
      <c r="A242" t="str">
        <f t="shared" si="74"/>
        <v>人民币</v>
      </c>
      <c r="B242" t="str">
        <f>"凯龙股份"</f>
        <v>凯龙股份</v>
      </c>
      <c r="C242" t="str">
        <f>"20190619"</f>
        <v>20190619</v>
      </c>
      <c r="D242" t="str">
        <f>"13.230"</f>
        <v>13.230</v>
      </c>
      <c r="E242" t="str">
        <f>"500.00"</f>
        <v>500.00</v>
      </c>
      <c r="F242" t="str">
        <f>"-6621.62"</f>
        <v>-6621.62</v>
      </c>
      <c r="G242" t="str">
        <f>"14102.89"</f>
        <v>14102.89</v>
      </c>
      <c r="H242" t="str">
        <f>"4000.00"</f>
        <v>4000.00</v>
      </c>
      <c r="I242" t="str">
        <f>"23"</f>
        <v>23</v>
      </c>
      <c r="J242" t="str">
        <f>"证券买入(凯龙股份)"</f>
        <v>证券买入(凯龙股份)</v>
      </c>
      <c r="K242" t="str">
        <f>"6.62"</f>
        <v>6.62</v>
      </c>
      <c r="L242" t="str">
        <f>"0.00"</f>
        <v>0.00</v>
      </c>
      <c r="M242" t="str">
        <f>"0.00"</f>
        <v>0.00</v>
      </c>
      <c r="N242" t="str">
        <f t="shared" si="85"/>
        <v>0.00</v>
      </c>
      <c r="O242" t="str">
        <f>"002783"</f>
        <v>002783</v>
      </c>
      <c r="P242" t="str">
        <f>"0153613480"</f>
        <v>0153613480</v>
      </c>
    </row>
    <row r="243" spans="1:16" x14ac:dyDescent="0.25">
      <c r="A243" t="str">
        <f t="shared" si="74"/>
        <v>人民币</v>
      </c>
      <c r="B243" t="str">
        <f>""</f>
        <v/>
      </c>
      <c r="C243" t="str">
        <f>"20190620"</f>
        <v>20190620</v>
      </c>
      <c r="D243" t="str">
        <f>"---"</f>
        <v>---</v>
      </c>
      <c r="E243" t="str">
        <f>"---"</f>
        <v>---</v>
      </c>
      <c r="F243" t="str">
        <f>"6.73"</f>
        <v>6.73</v>
      </c>
      <c r="G243" t="str">
        <f>"14109.62"</f>
        <v>14109.62</v>
      </c>
      <c r="H243" t="str">
        <f>"---"</f>
        <v>---</v>
      </c>
      <c r="I243" t="str">
        <f>"---"</f>
        <v>---</v>
      </c>
      <c r="J243" t="str">
        <f>"批量利息归本"</f>
        <v>批量利息归本</v>
      </c>
      <c r="K243" t="str">
        <f t="shared" ref="K243:P243" si="86">"---"</f>
        <v>---</v>
      </c>
      <c r="L243" t="str">
        <f t="shared" si="86"/>
        <v>---</v>
      </c>
      <c r="M243" t="str">
        <f t="shared" si="86"/>
        <v>---</v>
      </c>
      <c r="N243" t="str">
        <f t="shared" si="86"/>
        <v>---</v>
      </c>
      <c r="O243" t="str">
        <f t="shared" si="86"/>
        <v>---</v>
      </c>
      <c r="P243" t="str">
        <f t="shared" si="86"/>
        <v>---</v>
      </c>
    </row>
    <row r="244" spans="1:16" x14ac:dyDescent="0.25">
      <c r="A244" t="str">
        <f t="shared" si="74"/>
        <v>人民币</v>
      </c>
      <c r="B244" t="str">
        <f>"凯龙股份"</f>
        <v>凯龙股份</v>
      </c>
      <c r="C244" t="str">
        <f>"20190620"</f>
        <v>20190620</v>
      </c>
      <c r="D244" t="str">
        <f>"12.840"</f>
        <v>12.840</v>
      </c>
      <c r="E244" t="str">
        <f>"1000.00"</f>
        <v>1000.00</v>
      </c>
      <c r="F244" t="str">
        <f>"-12852.84"</f>
        <v>-12852.84</v>
      </c>
      <c r="G244" t="str">
        <f>"1256.78"</f>
        <v>1256.78</v>
      </c>
      <c r="H244" t="str">
        <f>"5000.00"</f>
        <v>5000.00</v>
      </c>
      <c r="I244" t="str">
        <f>"29"</f>
        <v>29</v>
      </c>
      <c r="J244" t="str">
        <f>254:254</f>
        <v>证券买入(宏和科技)</v>
      </c>
      <c r="K244" t="str">
        <f>"12.84"</f>
        <v>12.84</v>
      </c>
      <c r="L244" t="str">
        <f>"0.00"</f>
        <v>0.00</v>
      </c>
      <c r="M244" t="str">
        <f>"0.00"</f>
        <v>0.00</v>
      </c>
      <c r="N244" t="str">
        <f>"0.00"</f>
        <v>0.00</v>
      </c>
      <c r="O244" t="str">
        <f>"002783"</f>
        <v>002783</v>
      </c>
      <c r="P244" t="str">
        <f>"0153613480"</f>
        <v>0153613480</v>
      </c>
    </row>
    <row r="245" spans="1:16" x14ac:dyDescent="0.25">
      <c r="A245" t="str">
        <f t="shared" si="74"/>
        <v>人民币</v>
      </c>
      <c r="B245" t="str">
        <f>"凯龙股份"</f>
        <v>凯龙股份</v>
      </c>
      <c r="C245" t="str">
        <f>"20190620"</f>
        <v>20190620</v>
      </c>
      <c r="D245" t="str">
        <f>"13.260"</f>
        <v>13.260</v>
      </c>
      <c r="E245" t="str">
        <f>"-1000.00"</f>
        <v>-1000.00</v>
      </c>
      <c r="F245" t="str">
        <f>"13233.48"</f>
        <v>13233.48</v>
      </c>
      <c r="G245" t="str">
        <f>"14490.26"</f>
        <v>14490.26</v>
      </c>
      <c r="H245" t="str">
        <f>"4000.00"</f>
        <v>4000.00</v>
      </c>
      <c r="I245" t="str">
        <f>"33"</f>
        <v>33</v>
      </c>
      <c r="J245" t="str">
        <f>"证券卖出(凯龙股份)"</f>
        <v>证券卖出(凯龙股份)</v>
      </c>
      <c r="K245" t="str">
        <f>"13.26"</f>
        <v>13.26</v>
      </c>
      <c r="L245" t="str">
        <f>"13.26"</f>
        <v>13.26</v>
      </c>
      <c r="M245" t="str">
        <f t="shared" ref="M245:N250" si="87">"0.00"</f>
        <v>0.00</v>
      </c>
      <c r="N245" t="str">
        <f t="shared" si="87"/>
        <v>0.00</v>
      </c>
      <c r="O245" t="str">
        <f>"002783"</f>
        <v>002783</v>
      </c>
      <c r="P245" t="str">
        <f>"0153613480"</f>
        <v>0153613480</v>
      </c>
    </row>
    <row r="246" spans="1:16" x14ac:dyDescent="0.25">
      <c r="A246" t="str">
        <f t="shared" si="74"/>
        <v>人民币</v>
      </c>
      <c r="B246" t="str">
        <f>"凯龙股份"</f>
        <v>凯龙股份</v>
      </c>
      <c r="C246" t="str">
        <f>"20190620"</f>
        <v>20190620</v>
      </c>
      <c r="D246" t="str">
        <f>"13.130"</f>
        <v>13.130</v>
      </c>
      <c r="E246" t="str">
        <f>"1000.00"</f>
        <v>1000.00</v>
      </c>
      <c r="F246" t="str">
        <f>"-13143.13"</f>
        <v>-13143.13</v>
      </c>
      <c r="G246" t="str">
        <f>"1347.13"</f>
        <v>1347.13</v>
      </c>
      <c r="H246" t="str">
        <f>"5000.00"</f>
        <v>5000.00</v>
      </c>
      <c r="I246" t="str">
        <f>"36"</f>
        <v>36</v>
      </c>
      <c r="J246" t="str">
        <f>"证券买入(凯龙股份)"</f>
        <v>证券买入(凯龙股份)</v>
      </c>
      <c r="K246" t="str">
        <f>"13.13"</f>
        <v>13.13</v>
      </c>
      <c r="L246" t="str">
        <f>"0.00"</f>
        <v>0.00</v>
      </c>
      <c r="M246" t="str">
        <f t="shared" si="87"/>
        <v>0.00</v>
      </c>
      <c r="N246" t="str">
        <f t="shared" si="87"/>
        <v>0.00</v>
      </c>
      <c r="O246" t="str">
        <f>"002783"</f>
        <v>002783</v>
      </c>
      <c r="P246" t="str">
        <f>"0153613480"</f>
        <v>0153613480</v>
      </c>
    </row>
    <row r="247" spans="1:16" x14ac:dyDescent="0.25">
      <c r="A247" t="str">
        <f t="shared" si="74"/>
        <v>人民币</v>
      </c>
      <c r="B247" t="str">
        <f>"红证配号"</f>
        <v>红证配号</v>
      </c>
      <c r="C247" t="str">
        <f>"20190624"</f>
        <v>20190624</v>
      </c>
      <c r="D247" t="str">
        <f>"0.000"</f>
        <v>0.000</v>
      </c>
      <c r="E247" t="str">
        <f>"12.00"</f>
        <v>12.00</v>
      </c>
      <c r="F247" t="str">
        <f>"0.00"</f>
        <v>0.00</v>
      </c>
      <c r="G247" t="str">
        <f>"1347.13"</f>
        <v>1347.13</v>
      </c>
      <c r="H247" t="str">
        <f>"0.00"</f>
        <v>0.00</v>
      </c>
      <c r="I247" t="str">
        <f>"52"</f>
        <v>52</v>
      </c>
      <c r="J247" t="str">
        <f>"申购配号(红证配号)"</f>
        <v>申购配号(红证配号)</v>
      </c>
      <c r="K247" t="str">
        <f>"0.00"</f>
        <v>0.00</v>
      </c>
      <c r="L247" t="str">
        <f>"0.00"</f>
        <v>0.00</v>
      </c>
      <c r="M247" t="str">
        <f t="shared" si="87"/>
        <v>0.00</v>
      </c>
      <c r="N247" t="str">
        <f t="shared" si="87"/>
        <v>0.00</v>
      </c>
      <c r="O247" t="str">
        <f>"791236"</f>
        <v>791236</v>
      </c>
      <c r="P247" t="str">
        <f>"A400948245"</f>
        <v>A400948245</v>
      </c>
    </row>
    <row r="248" spans="1:16" x14ac:dyDescent="0.25">
      <c r="A248" t="str">
        <f t="shared" si="74"/>
        <v>人民币</v>
      </c>
      <c r="B248" t="str">
        <f>"值得买"</f>
        <v>值得买</v>
      </c>
      <c r="C248" t="str">
        <f>"20190703"</f>
        <v>20190703</v>
      </c>
      <c r="D248" t="str">
        <f>"0.000"</f>
        <v>0.000</v>
      </c>
      <c r="E248" t="str">
        <f>"7.00"</f>
        <v>7.00</v>
      </c>
      <c r="F248" t="str">
        <f>"0.00"</f>
        <v>0.00</v>
      </c>
      <c r="G248" t="str">
        <f>"1347.13"</f>
        <v>1347.13</v>
      </c>
      <c r="H248" t="str">
        <f>"0.00"</f>
        <v>0.00</v>
      </c>
      <c r="I248" t="str">
        <f>"55"</f>
        <v>55</v>
      </c>
      <c r="J248" t="str">
        <f>"申购配号(值得买)"</f>
        <v>申购配号(值得买)</v>
      </c>
      <c r="K248" t="str">
        <f>"0.00"</f>
        <v>0.00</v>
      </c>
      <c r="L248" t="str">
        <f>"0.00"</f>
        <v>0.00</v>
      </c>
      <c r="M248" t="str">
        <f t="shared" si="87"/>
        <v>0.00</v>
      </c>
      <c r="N248" t="str">
        <f t="shared" si="87"/>
        <v>0.00</v>
      </c>
      <c r="O248" t="str">
        <f>"300785"</f>
        <v>300785</v>
      </c>
      <c r="P248" t="str">
        <f>"0153613480"</f>
        <v>0153613480</v>
      </c>
    </row>
    <row r="249" spans="1:16" x14ac:dyDescent="0.25">
      <c r="A249" t="str">
        <f t="shared" si="74"/>
        <v>人民币</v>
      </c>
      <c r="B249" t="str">
        <f>"三只松鼠"</f>
        <v>三只松鼠</v>
      </c>
      <c r="C249" t="str">
        <f>"20190703"</f>
        <v>20190703</v>
      </c>
      <c r="D249" t="str">
        <f>"0.000"</f>
        <v>0.000</v>
      </c>
      <c r="E249" t="str">
        <f>"7.00"</f>
        <v>7.00</v>
      </c>
      <c r="F249" t="str">
        <f>"0.00"</f>
        <v>0.00</v>
      </c>
      <c r="G249" t="str">
        <f>"1347.13"</f>
        <v>1347.13</v>
      </c>
      <c r="H249" t="str">
        <f>"0.00"</f>
        <v>0.00</v>
      </c>
      <c r="I249" t="str">
        <f>"57"</f>
        <v>57</v>
      </c>
      <c r="J249" t="str">
        <f>"申购配号(三只松鼠)"</f>
        <v>申购配号(三只松鼠)</v>
      </c>
      <c r="K249" t="str">
        <f>"0.00"</f>
        <v>0.00</v>
      </c>
      <c r="L249" t="str">
        <f>"0.00"</f>
        <v>0.00</v>
      </c>
      <c r="M249" t="str">
        <f t="shared" si="87"/>
        <v>0.00</v>
      </c>
      <c r="N249" t="str">
        <f t="shared" si="87"/>
        <v>0.00</v>
      </c>
      <c r="O249" t="str">
        <f>"300783"</f>
        <v>300783</v>
      </c>
      <c r="P249" t="str">
        <f>"0153613480"</f>
        <v>0153613480</v>
      </c>
    </row>
    <row r="250" spans="1:16" x14ac:dyDescent="0.25">
      <c r="A250" t="str">
        <f t="shared" si="74"/>
        <v>人民币</v>
      </c>
      <c r="B250" t="str">
        <f>"移远配号"</f>
        <v>移远配号</v>
      </c>
      <c r="C250" t="str">
        <f>"20190704"</f>
        <v>20190704</v>
      </c>
      <c r="D250" t="str">
        <f>"0.000"</f>
        <v>0.000</v>
      </c>
      <c r="E250" t="str">
        <f>"8.00"</f>
        <v>8.00</v>
      </c>
      <c r="F250" t="str">
        <f>"0.00"</f>
        <v>0.00</v>
      </c>
      <c r="G250" t="str">
        <f>"1347.13"</f>
        <v>1347.13</v>
      </c>
      <c r="H250" t="str">
        <f>"0.00"</f>
        <v>0.00</v>
      </c>
      <c r="I250" t="str">
        <f>"61"</f>
        <v>61</v>
      </c>
      <c r="J250" t="str">
        <f>"申购配号(移远配号)"</f>
        <v>申购配号(移远配号)</v>
      </c>
      <c r="K250" t="str">
        <f>"0.00"</f>
        <v>0.00</v>
      </c>
      <c r="L250" t="str">
        <f>"0.00"</f>
        <v>0.00</v>
      </c>
      <c r="M250" t="str">
        <f t="shared" si="87"/>
        <v>0.00</v>
      </c>
      <c r="N250" t="str">
        <f t="shared" si="87"/>
        <v>0.00</v>
      </c>
      <c r="O250" t="str">
        <f>"736236"</f>
        <v>736236</v>
      </c>
      <c r="P250" t="str">
        <f>"A400948245"</f>
        <v>A400948245</v>
      </c>
    </row>
    <row r="251" spans="1:16" x14ac:dyDescent="0.25">
      <c r="A251" t="str">
        <f t="shared" si="74"/>
        <v>人民币</v>
      </c>
      <c r="B251" t="str">
        <f>""</f>
        <v/>
      </c>
      <c r="C251" t="str">
        <f>"20190705"</f>
        <v>20190705</v>
      </c>
      <c r="D251" t="str">
        <f>"---"</f>
        <v>---</v>
      </c>
      <c r="E251" t="str">
        <f>"---"</f>
        <v>---</v>
      </c>
      <c r="F251" t="str">
        <f>"10000.00"</f>
        <v>10000.00</v>
      </c>
      <c r="G251" t="str">
        <f>"11347.13"</f>
        <v>11347.13</v>
      </c>
      <c r="H251" t="str">
        <f>"---"</f>
        <v>---</v>
      </c>
      <c r="I251" t="str">
        <f>"---"</f>
        <v>---</v>
      </c>
      <c r="J251" t="str">
        <f>"银行转存"</f>
        <v>银行转存</v>
      </c>
      <c r="K251" t="str">
        <f t="shared" ref="K251:P251" si="88">"---"</f>
        <v>---</v>
      </c>
      <c r="L251" t="str">
        <f t="shared" si="88"/>
        <v>---</v>
      </c>
      <c r="M251" t="str">
        <f t="shared" si="88"/>
        <v>---</v>
      </c>
      <c r="N251" t="str">
        <f t="shared" si="88"/>
        <v>---</v>
      </c>
      <c r="O251" t="str">
        <f t="shared" si="88"/>
        <v>---</v>
      </c>
      <c r="P251" t="str">
        <f t="shared" si="88"/>
        <v>---</v>
      </c>
    </row>
    <row r="252" spans="1:16" x14ac:dyDescent="0.25">
      <c r="A252" t="str">
        <f t="shared" si="74"/>
        <v>人民币</v>
      </c>
      <c r="B252" t="str">
        <f>"凯龙股份"</f>
        <v>凯龙股份</v>
      </c>
      <c r="C252" t="str">
        <f>"20190705"</f>
        <v>20190705</v>
      </c>
      <c r="D252" t="str">
        <f>"12.820"</f>
        <v>12.820</v>
      </c>
      <c r="E252" t="str">
        <f>"800.00"</f>
        <v>800.00</v>
      </c>
      <c r="F252" t="str">
        <f>"-10266.26"</f>
        <v>-10266.26</v>
      </c>
      <c r="G252" t="str">
        <f>"1080.87"</f>
        <v>1080.87</v>
      </c>
      <c r="H252" t="str">
        <f>"5800.00"</f>
        <v>5800.00</v>
      </c>
      <c r="I252" t="str">
        <f>"65"</f>
        <v>65</v>
      </c>
      <c r="J252" t="str">
        <f>"证券买入(凯龙股份)"</f>
        <v>证券买入(凯龙股份)</v>
      </c>
      <c r="K252" t="str">
        <f>"10.26"</f>
        <v>10.26</v>
      </c>
      <c r="L252" t="str">
        <f t="shared" ref="L252:N252" si="89">"0.00"</f>
        <v>0.00</v>
      </c>
      <c r="M252" t="str">
        <f t="shared" si="89"/>
        <v>0.00</v>
      </c>
      <c r="N252" t="str">
        <f t="shared" si="89"/>
        <v>0.00</v>
      </c>
      <c r="O252" t="str">
        <f>"002783"</f>
        <v>002783</v>
      </c>
      <c r="P252" t="str">
        <f>"0153613480"</f>
        <v>0153613480</v>
      </c>
    </row>
    <row r="253" spans="1:16" x14ac:dyDescent="0.25">
      <c r="A253" t="str">
        <f t="shared" si="74"/>
        <v>人民币</v>
      </c>
      <c r="B253" t="str">
        <f>""</f>
        <v/>
      </c>
      <c r="C253" t="str">
        <f>"20190711"</f>
        <v>20190711</v>
      </c>
      <c r="D253" t="str">
        <f>"---"</f>
        <v>---</v>
      </c>
      <c r="E253" t="str">
        <f>"---"</f>
        <v>---</v>
      </c>
      <c r="F253" t="str">
        <f>"4000.00"</f>
        <v>4000.00</v>
      </c>
      <c r="G253" t="str">
        <f>"5080.87"</f>
        <v>5080.87</v>
      </c>
      <c r="H253" t="str">
        <f>"---"</f>
        <v>---</v>
      </c>
      <c r="I253" t="str">
        <f>"---"</f>
        <v>---</v>
      </c>
      <c r="J253" t="str">
        <f>"银行转存"</f>
        <v>银行转存</v>
      </c>
      <c r="K253" t="str">
        <f t="shared" ref="K253:P253" si="90">"---"</f>
        <v>---</v>
      </c>
      <c r="L253" t="str">
        <f t="shared" si="90"/>
        <v>---</v>
      </c>
      <c r="M253" t="str">
        <f t="shared" si="90"/>
        <v>---</v>
      </c>
      <c r="N253" t="str">
        <f t="shared" si="90"/>
        <v>---</v>
      </c>
      <c r="O253" t="str">
        <f t="shared" si="90"/>
        <v>---</v>
      </c>
      <c r="P253" t="str">
        <f t="shared" si="90"/>
        <v>---</v>
      </c>
    </row>
    <row r="254" spans="1:16" x14ac:dyDescent="0.25">
      <c r="A254" t="str">
        <f t="shared" si="74"/>
        <v>人民币</v>
      </c>
      <c r="B254" t="str">
        <f>"宏和科技"</f>
        <v>宏和科技</v>
      </c>
      <c r="C254" t="str">
        <f>"20190711"</f>
        <v>20190711</v>
      </c>
      <c r="D254" t="str">
        <f>"0.000"</f>
        <v>0.000</v>
      </c>
      <c r="E254" t="str">
        <f>"0.00"</f>
        <v>0.00</v>
      </c>
      <c r="F254" t="str">
        <f>"-4430.00"</f>
        <v>-4430.00</v>
      </c>
      <c r="G254" t="str">
        <f t="shared" ref="G254:G266" si="91">"650.87"</f>
        <v>650.87</v>
      </c>
      <c r="H254" t="str">
        <f>"1000.00"</f>
        <v>1000.00</v>
      </c>
      <c r="I254" t="str">
        <f>"---"</f>
        <v>---</v>
      </c>
      <c r="J254" t="str">
        <f>"证券买入(宏和科技)"</f>
        <v>证券买入(宏和科技)</v>
      </c>
      <c r="K254" t="str">
        <f>"---"</f>
        <v>---</v>
      </c>
      <c r="L254" t="str">
        <f>"---"</f>
        <v>---</v>
      </c>
      <c r="M254" t="str">
        <f>"---"</f>
        <v>---</v>
      </c>
      <c r="N254" t="str">
        <f>"---"</f>
        <v>---</v>
      </c>
      <c r="O254" t="str">
        <f>"732256"</f>
        <v>732256</v>
      </c>
      <c r="P254" t="str">
        <f>"A400948245"</f>
        <v>A400948245</v>
      </c>
    </row>
    <row r="255" spans="1:16" x14ac:dyDescent="0.25">
      <c r="A255" t="str">
        <f t="shared" si="74"/>
        <v>人民币</v>
      </c>
      <c r="B255" t="str">
        <f>"国林环保"</f>
        <v>国林环保</v>
      </c>
      <c r="C255" t="str">
        <f>"20190711"</f>
        <v>20190711</v>
      </c>
      <c r="D255" t="str">
        <f>"0.000"</f>
        <v>0.000</v>
      </c>
      <c r="E255" t="str">
        <f>"11.00"</f>
        <v>11.00</v>
      </c>
      <c r="F255" t="str">
        <f t="shared" ref="F255:F266" si="92">"0.00"</f>
        <v>0.00</v>
      </c>
      <c r="G255" t="str">
        <f t="shared" si="91"/>
        <v>650.87</v>
      </c>
      <c r="H255" t="str">
        <f t="shared" ref="H255:H260" si="93">"0.00"</f>
        <v>0.00</v>
      </c>
      <c r="I255" t="str">
        <f>"75"</f>
        <v>75</v>
      </c>
      <c r="J255" t="str">
        <f>"申购配号(国林环保)"</f>
        <v>申购配号(国林环保)</v>
      </c>
      <c r="K255" t="str">
        <f t="shared" ref="K255:N266" si="94">"0.00"</f>
        <v>0.00</v>
      </c>
      <c r="L255" t="str">
        <f t="shared" si="94"/>
        <v>0.00</v>
      </c>
      <c r="M255" t="str">
        <f t="shared" si="94"/>
        <v>0.00</v>
      </c>
      <c r="N255" t="str">
        <f t="shared" si="94"/>
        <v>0.00</v>
      </c>
      <c r="O255" t="str">
        <f>"300786"</f>
        <v>300786</v>
      </c>
      <c r="P255" t="str">
        <f>"0153613480"</f>
        <v>0153613480</v>
      </c>
    </row>
    <row r="256" spans="1:16" x14ac:dyDescent="0.25">
      <c r="A256" t="str">
        <f t="shared" ref="A256:A319" si="95">"人民币"</f>
        <v>人民币</v>
      </c>
      <c r="B256" t="str">
        <f>"丸美配号"</f>
        <v>丸美配号</v>
      </c>
      <c r="C256" t="str">
        <f>"20190716"</f>
        <v>20190716</v>
      </c>
      <c r="D256" t="str">
        <f t="shared" ref="D256:D266" si="96">"0.000"</f>
        <v>0.000</v>
      </c>
      <c r="E256" t="str">
        <f>"8.00"</f>
        <v>8.00</v>
      </c>
      <c r="F256" t="str">
        <f t="shared" si="92"/>
        <v>0.00</v>
      </c>
      <c r="G256" t="str">
        <f t="shared" si="91"/>
        <v>650.87</v>
      </c>
      <c r="H256" t="str">
        <f t="shared" si="93"/>
        <v>0.00</v>
      </c>
      <c r="I256" t="str">
        <f>"81"</f>
        <v>81</v>
      </c>
      <c r="J256" t="str">
        <f>"申购配号(丸美配号)"</f>
        <v>申购配号(丸美配号)</v>
      </c>
      <c r="K256" t="str">
        <f t="shared" si="94"/>
        <v>0.00</v>
      </c>
      <c r="L256" t="str">
        <f t="shared" si="94"/>
        <v>0.00</v>
      </c>
      <c r="M256" t="str">
        <f t="shared" si="94"/>
        <v>0.00</v>
      </c>
      <c r="N256" t="str">
        <f t="shared" si="94"/>
        <v>0.00</v>
      </c>
      <c r="O256" t="str">
        <f>"736983"</f>
        <v>736983</v>
      </c>
      <c r="P256" t="str">
        <f>"A400948245"</f>
        <v>A400948245</v>
      </c>
    </row>
    <row r="257" spans="1:16" x14ac:dyDescent="0.25">
      <c r="A257" t="str">
        <f t="shared" si="95"/>
        <v>人民币</v>
      </c>
      <c r="B257" t="str">
        <f>"胜达配号"</f>
        <v>胜达配号</v>
      </c>
      <c r="C257" t="str">
        <f>"20190716"</f>
        <v>20190716</v>
      </c>
      <c r="D257" t="str">
        <f t="shared" si="96"/>
        <v>0.000</v>
      </c>
      <c r="E257" t="str">
        <f>"8.00"</f>
        <v>8.00</v>
      </c>
      <c r="F257" t="str">
        <f t="shared" si="92"/>
        <v>0.00</v>
      </c>
      <c r="G257" t="str">
        <f t="shared" si="91"/>
        <v>650.87</v>
      </c>
      <c r="H257" t="str">
        <f t="shared" si="93"/>
        <v>0.00</v>
      </c>
      <c r="I257" t="str">
        <f>"83"</f>
        <v>83</v>
      </c>
      <c r="J257" t="str">
        <f>"申购配号(胜达配号)"</f>
        <v>申购配号(胜达配号)</v>
      </c>
      <c r="K257" t="str">
        <f t="shared" si="94"/>
        <v>0.00</v>
      </c>
      <c r="L257" t="str">
        <f t="shared" si="94"/>
        <v>0.00</v>
      </c>
      <c r="M257" t="str">
        <f t="shared" si="94"/>
        <v>0.00</v>
      </c>
      <c r="N257" t="str">
        <f t="shared" si="94"/>
        <v>0.00</v>
      </c>
      <c r="O257" t="str">
        <f>"736687"</f>
        <v>736687</v>
      </c>
      <c r="P257" t="str">
        <f>"A400948245"</f>
        <v>A400948245</v>
      </c>
    </row>
    <row r="258" spans="1:16" x14ac:dyDescent="0.25">
      <c r="A258" t="str">
        <f t="shared" si="95"/>
        <v>人民币</v>
      </c>
      <c r="B258" t="str">
        <f>"景津配号"</f>
        <v>景津配号</v>
      </c>
      <c r="C258" t="str">
        <f>"20190717"</f>
        <v>20190717</v>
      </c>
      <c r="D258" t="str">
        <f t="shared" si="96"/>
        <v>0.000</v>
      </c>
      <c r="E258" t="str">
        <f>"8.00"</f>
        <v>8.00</v>
      </c>
      <c r="F258" t="str">
        <f t="shared" si="92"/>
        <v>0.00</v>
      </c>
      <c r="G258" t="str">
        <f t="shared" si="91"/>
        <v>650.87</v>
      </c>
      <c r="H258" t="str">
        <f t="shared" si="93"/>
        <v>0.00</v>
      </c>
      <c r="I258" t="str">
        <f>"89"</f>
        <v>89</v>
      </c>
      <c r="J258" t="str">
        <f>"申购配号(景津配号)"</f>
        <v>申购配号(景津配号)</v>
      </c>
      <c r="K258" t="str">
        <f t="shared" si="94"/>
        <v>0.00</v>
      </c>
      <c r="L258" t="str">
        <f t="shared" si="94"/>
        <v>0.00</v>
      </c>
      <c r="M258" t="str">
        <f t="shared" si="94"/>
        <v>0.00</v>
      </c>
      <c r="N258" t="str">
        <f t="shared" si="94"/>
        <v>0.00</v>
      </c>
      <c r="O258" t="str">
        <f>"736279"</f>
        <v>736279</v>
      </c>
      <c r="P258" t="str">
        <f>"A400948245"</f>
        <v>A400948245</v>
      </c>
    </row>
    <row r="259" spans="1:16" x14ac:dyDescent="0.25">
      <c r="A259" t="str">
        <f t="shared" si="95"/>
        <v>人民币</v>
      </c>
      <c r="B259" t="str">
        <f>"科瑞技术"</f>
        <v>科瑞技术</v>
      </c>
      <c r="C259" t="str">
        <f>"20190717"</f>
        <v>20190717</v>
      </c>
      <c r="D259" t="str">
        <f t="shared" si="96"/>
        <v>0.000</v>
      </c>
      <c r="E259" t="str">
        <f>"13.00"</f>
        <v>13.00</v>
      </c>
      <c r="F259" t="str">
        <f t="shared" si="92"/>
        <v>0.00</v>
      </c>
      <c r="G259" t="str">
        <f t="shared" si="91"/>
        <v>650.87</v>
      </c>
      <c r="H259" t="str">
        <f t="shared" si="93"/>
        <v>0.00</v>
      </c>
      <c r="I259" t="str">
        <f>"87"</f>
        <v>87</v>
      </c>
      <c r="J259" t="str">
        <f>"申购配号(科瑞技术)"</f>
        <v>申购配号(科瑞技术)</v>
      </c>
      <c r="K259" t="str">
        <f t="shared" si="94"/>
        <v>0.00</v>
      </c>
      <c r="L259" t="str">
        <f t="shared" si="94"/>
        <v>0.00</v>
      </c>
      <c r="M259" t="str">
        <f t="shared" si="94"/>
        <v>0.00</v>
      </c>
      <c r="N259" t="str">
        <f t="shared" si="94"/>
        <v>0.00</v>
      </c>
      <c r="O259" t="str">
        <f>"002957"</f>
        <v>002957</v>
      </c>
      <c r="P259" t="str">
        <f>"0153613480"</f>
        <v>0153613480</v>
      </c>
    </row>
    <row r="260" spans="1:16" x14ac:dyDescent="0.25">
      <c r="A260" t="str">
        <f t="shared" si="95"/>
        <v>人民币</v>
      </c>
      <c r="B260" t="str">
        <f>"国联配号"</f>
        <v>国联配号</v>
      </c>
      <c r="C260" t="str">
        <f>"20190718"</f>
        <v>20190718</v>
      </c>
      <c r="D260" t="str">
        <f t="shared" si="96"/>
        <v>0.000</v>
      </c>
      <c r="E260" t="str">
        <f>"8.00"</f>
        <v>8.00</v>
      </c>
      <c r="F260" t="str">
        <f t="shared" si="92"/>
        <v>0.00</v>
      </c>
      <c r="G260" t="str">
        <f t="shared" si="91"/>
        <v>650.87</v>
      </c>
      <c r="H260" t="str">
        <f t="shared" si="93"/>
        <v>0.00</v>
      </c>
      <c r="I260" t="str">
        <f>"95"</f>
        <v>95</v>
      </c>
      <c r="J260" t="str">
        <f>"申购配号(国联配号)"</f>
        <v>申购配号(国联配号)</v>
      </c>
      <c r="K260" t="str">
        <f t="shared" si="94"/>
        <v>0.00</v>
      </c>
      <c r="L260" t="str">
        <f t="shared" si="94"/>
        <v>0.00</v>
      </c>
      <c r="M260" t="str">
        <f t="shared" si="94"/>
        <v>0.00</v>
      </c>
      <c r="N260" t="str">
        <f t="shared" si="94"/>
        <v>0.00</v>
      </c>
      <c r="O260" t="str">
        <f>"736613"</f>
        <v>736613</v>
      </c>
      <c r="P260" t="str">
        <f>"A400948245"</f>
        <v>A400948245</v>
      </c>
    </row>
    <row r="261" spans="1:16" x14ac:dyDescent="0.25">
      <c r="A261" t="str">
        <f t="shared" si="95"/>
        <v>人民币</v>
      </c>
      <c r="B261" t="str">
        <f>"苏州银行"</f>
        <v>苏州银行</v>
      </c>
      <c r="C261" t="str">
        <f>"20190718"</f>
        <v>20190718</v>
      </c>
      <c r="D261" t="str">
        <f t="shared" si="96"/>
        <v>0.000</v>
      </c>
      <c r="E261" t="str">
        <f>"13.00"</f>
        <v>13.00</v>
      </c>
      <c r="F261" t="str">
        <f t="shared" si="92"/>
        <v>0.00</v>
      </c>
      <c r="G261" t="str">
        <f t="shared" si="91"/>
        <v>650.87</v>
      </c>
      <c r="H261" t="str">
        <f t="shared" ref="H261:H266" si="97">"0.00"</f>
        <v>0.00</v>
      </c>
      <c r="I261" t="str">
        <f>"93"</f>
        <v>93</v>
      </c>
      <c r="J261" t="str">
        <f>"申购配号(苏州银行)"</f>
        <v>申购配号(苏州银行)</v>
      </c>
      <c r="K261" t="str">
        <f t="shared" si="94"/>
        <v>0.00</v>
      </c>
      <c r="L261" t="str">
        <f t="shared" si="94"/>
        <v>0.00</v>
      </c>
      <c r="M261" t="str">
        <f t="shared" si="94"/>
        <v>0.00</v>
      </c>
      <c r="N261" t="str">
        <f t="shared" si="94"/>
        <v>0.00</v>
      </c>
      <c r="O261" t="str">
        <f>"002966"</f>
        <v>002966</v>
      </c>
      <c r="P261" t="str">
        <f>"0153613480"</f>
        <v>0153613480</v>
      </c>
    </row>
    <row r="262" spans="1:16" x14ac:dyDescent="0.25">
      <c r="A262" t="str">
        <f t="shared" si="95"/>
        <v>人民币</v>
      </c>
      <c r="B262" t="str">
        <f>"神马配号"</f>
        <v>神马配号</v>
      </c>
      <c r="C262" t="str">
        <f>"20190724"</f>
        <v>20190724</v>
      </c>
      <c r="D262" t="str">
        <f t="shared" si="96"/>
        <v>0.000</v>
      </c>
      <c r="E262" t="str">
        <f>"8.00"</f>
        <v>8.00</v>
      </c>
      <c r="F262" t="str">
        <f t="shared" si="92"/>
        <v>0.00</v>
      </c>
      <c r="G262" t="str">
        <f t="shared" si="91"/>
        <v>650.87</v>
      </c>
      <c r="H262" t="str">
        <f t="shared" si="97"/>
        <v>0.00</v>
      </c>
      <c r="I262" t="str">
        <f>"100"</f>
        <v>100</v>
      </c>
      <c r="J262" t="str">
        <f>"申购配号(神马配号)"</f>
        <v>申购配号(神马配号)</v>
      </c>
      <c r="K262" t="str">
        <f t="shared" si="94"/>
        <v>0.00</v>
      </c>
      <c r="L262" t="str">
        <f t="shared" si="94"/>
        <v>0.00</v>
      </c>
      <c r="M262" t="str">
        <f t="shared" si="94"/>
        <v>0.00</v>
      </c>
      <c r="N262" t="str">
        <f t="shared" si="94"/>
        <v>0.00</v>
      </c>
      <c r="O262" t="str">
        <f>"736530"</f>
        <v>736530</v>
      </c>
      <c r="P262" t="str">
        <f>"A400948245"</f>
        <v>A400948245</v>
      </c>
    </row>
    <row r="263" spans="1:16" x14ac:dyDescent="0.25">
      <c r="A263" t="str">
        <f t="shared" si="95"/>
        <v>人民币</v>
      </c>
      <c r="B263" t="str">
        <f>"柯力配号"</f>
        <v>柯力配号</v>
      </c>
      <c r="C263" t="str">
        <f>"20190725"</f>
        <v>20190725</v>
      </c>
      <c r="D263" t="str">
        <f t="shared" si="96"/>
        <v>0.000</v>
      </c>
      <c r="E263" t="str">
        <f>"8.00"</f>
        <v>8.00</v>
      </c>
      <c r="F263" t="str">
        <f t="shared" si="92"/>
        <v>0.00</v>
      </c>
      <c r="G263" t="str">
        <f t="shared" si="91"/>
        <v>650.87</v>
      </c>
      <c r="H263" t="str">
        <f t="shared" si="97"/>
        <v>0.00</v>
      </c>
      <c r="I263" t="str">
        <f>"103"</f>
        <v>103</v>
      </c>
      <c r="J263" t="str">
        <f>"申购配号(柯力配号)"</f>
        <v>申购配号(柯力配号)</v>
      </c>
      <c r="K263" t="str">
        <f t="shared" si="94"/>
        <v>0.00</v>
      </c>
      <c r="L263" t="str">
        <f t="shared" si="94"/>
        <v>0.00</v>
      </c>
      <c r="M263" t="str">
        <f t="shared" si="94"/>
        <v>0.00</v>
      </c>
      <c r="N263" t="str">
        <f t="shared" si="94"/>
        <v>0.00</v>
      </c>
      <c r="O263" t="str">
        <f>"736662"</f>
        <v>736662</v>
      </c>
      <c r="P263" t="str">
        <f>"A400948245"</f>
        <v>A400948245</v>
      </c>
    </row>
    <row r="264" spans="1:16" x14ac:dyDescent="0.25">
      <c r="A264" t="str">
        <f t="shared" si="95"/>
        <v>人民币</v>
      </c>
      <c r="B264" t="str">
        <f>"青鸟消防"</f>
        <v>青鸟消防</v>
      </c>
      <c r="C264" t="str">
        <f>"20190730"</f>
        <v>20190730</v>
      </c>
      <c r="D264" t="str">
        <f t="shared" si="96"/>
        <v>0.000</v>
      </c>
      <c r="E264" t="str">
        <f>"13.00"</f>
        <v>13.00</v>
      </c>
      <c r="F264" t="str">
        <f t="shared" si="92"/>
        <v>0.00</v>
      </c>
      <c r="G264" t="str">
        <f t="shared" si="91"/>
        <v>650.87</v>
      </c>
      <c r="H264" t="str">
        <f t="shared" si="97"/>
        <v>0.00</v>
      </c>
      <c r="I264" t="str">
        <f>"106"</f>
        <v>106</v>
      </c>
      <c r="J264" t="str">
        <f>"申购配号(青鸟消防)"</f>
        <v>申购配号(青鸟消防)</v>
      </c>
      <c r="K264" t="str">
        <f t="shared" si="94"/>
        <v>0.00</v>
      </c>
      <c r="L264" t="str">
        <f t="shared" si="94"/>
        <v>0.00</v>
      </c>
      <c r="M264" t="str">
        <f t="shared" si="94"/>
        <v>0.00</v>
      </c>
      <c r="N264" t="str">
        <f t="shared" si="94"/>
        <v>0.00</v>
      </c>
      <c r="O264" t="str">
        <f>"002960"</f>
        <v>002960</v>
      </c>
      <c r="P264" t="str">
        <f>"0153613480"</f>
        <v>0153613480</v>
      </c>
    </row>
    <row r="265" spans="1:16" x14ac:dyDescent="0.25">
      <c r="A265" t="str">
        <f t="shared" si="95"/>
        <v>人民币</v>
      </c>
      <c r="B265" t="str">
        <f>"海星配号"</f>
        <v>海星配号</v>
      </c>
      <c r="C265" t="str">
        <f>"20190731"</f>
        <v>20190731</v>
      </c>
      <c r="D265" t="str">
        <f t="shared" si="96"/>
        <v>0.000</v>
      </c>
      <c r="E265" t="str">
        <f>"8.00"</f>
        <v>8.00</v>
      </c>
      <c r="F265" t="str">
        <f t="shared" si="92"/>
        <v>0.00</v>
      </c>
      <c r="G265" t="str">
        <f t="shared" si="91"/>
        <v>650.87</v>
      </c>
      <c r="H265" t="str">
        <f t="shared" si="97"/>
        <v>0.00</v>
      </c>
      <c r="I265" t="str">
        <f>"1"</f>
        <v>1</v>
      </c>
      <c r="J265" t="str">
        <f>"申购配号(海星配号)"</f>
        <v>申购配号(海星配号)</v>
      </c>
      <c r="K265" t="str">
        <f t="shared" si="94"/>
        <v>0.00</v>
      </c>
      <c r="L265" t="str">
        <f t="shared" si="94"/>
        <v>0.00</v>
      </c>
      <c r="M265" t="str">
        <f t="shared" si="94"/>
        <v>0.00</v>
      </c>
      <c r="N265" t="str">
        <f t="shared" si="94"/>
        <v>0.00</v>
      </c>
      <c r="O265" t="str">
        <f>"736115"</f>
        <v>736115</v>
      </c>
      <c r="P265" t="str">
        <f>"A400948245"</f>
        <v>A400948245</v>
      </c>
    </row>
    <row r="266" spans="1:16" x14ac:dyDescent="0.25">
      <c r="A266" t="str">
        <f t="shared" si="95"/>
        <v>人民币</v>
      </c>
      <c r="B266" t="str">
        <f>"海能实业"</f>
        <v>海能实业</v>
      </c>
      <c r="C266" t="str">
        <f>"20190806"</f>
        <v>20190806</v>
      </c>
      <c r="D266" t="str">
        <f t="shared" si="96"/>
        <v>0.000</v>
      </c>
      <c r="E266" t="str">
        <f>"13.00"</f>
        <v>13.00</v>
      </c>
      <c r="F266" t="str">
        <f t="shared" si="92"/>
        <v>0.00</v>
      </c>
      <c r="G266" t="str">
        <f t="shared" si="91"/>
        <v>650.87</v>
      </c>
      <c r="H266" t="str">
        <f t="shared" si="97"/>
        <v>0.00</v>
      </c>
      <c r="I266" t="str">
        <f>"4"</f>
        <v>4</v>
      </c>
      <c r="J266" t="str">
        <f>"申购配号(海能实业)"</f>
        <v>申购配号(海能实业)</v>
      </c>
      <c r="K266" t="str">
        <f t="shared" si="94"/>
        <v>0.00</v>
      </c>
      <c r="L266" t="str">
        <f t="shared" si="94"/>
        <v>0.00</v>
      </c>
      <c r="M266" t="str">
        <f t="shared" si="94"/>
        <v>0.00</v>
      </c>
      <c r="N266" t="str">
        <f t="shared" si="94"/>
        <v>0.00</v>
      </c>
      <c r="O266" t="str">
        <f>"300787"</f>
        <v>300787</v>
      </c>
      <c r="P266" t="str">
        <f>"0153613480"</f>
        <v>0153613480</v>
      </c>
    </row>
    <row r="267" spans="1:16" x14ac:dyDescent="0.25">
      <c r="A267" t="str">
        <f t="shared" si="95"/>
        <v>人民币</v>
      </c>
      <c r="B267" t="str">
        <f>"宏和科技"</f>
        <v>宏和科技</v>
      </c>
      <c r="C267" t="str">
        <f>"20190807"</f>
        <v>20190807</v>
      </c>
      <c r="D267" t="str">
        <f>"20.490"</f>
        <v>20.490</v>
      </c>
      <c r="E267" t="str">
        <f>"-500.00"</f>
        <v>-500.00</v>
      </c>
      <c r="F267" t="str">
        <f>"10224.30"</f>
        <v>10224.30</v>
      </c>
      <c r="G267" t="str">
        <f>"10875.17"</f>
        <v>10875.17</v>
      </c>
      <c r="H267" t="str">
        <f>"500.00"</f>
        <v>500.00</v>
      </c>
      <c r="I267" t="str">
        <f>"7"</f>
        <v>7</v>
      </c>
      <c r="J267" t="str">
        <f>"证券卖出(宏和科技)"</f>
        <v>证券卖出(宏和科技)</v>
      </c>
      <c r="K267" t="str">
        <f>"10.25"</f>
        <v>10.25</v>
      </c>
      <c r="L267" t="str">
        <f>"10.25"</f>
        <v>10.25</v>
      </c>
      <c r="M267" t="str">
        <f>"0.20"</f>
        <v>0.20</v>
      </c>
      <c r="N267" t="str">
        <f>"0.00"</f>
        <v>0.00</v>
      </c>
      <c r="O267" t="str">
        <f>"603256"</f>
        <v>603256</v>
      </c>
      <c r="P267" t="str">
        <f>"A400948245"</f>
        <v>A400948245</v>
      </c>
    </row>
    <row r="268" spans="1:16" x14ac:dyDescent="0.25">
      <c r="A268" t="str">
        <f t="shared" si="95"/>
        <v>人民币</v>
      </c>
      <c r="B268" t="str">
        <f>"宏和科技"</f>
        <v>宏和科技</v>
      </c>
      <c r="C268" t="str">
        <f>"20190807"</f>
        <v>20190807</v>
      </c>
      <c r="D268" t="str">
        <f>"20.500"</f>
        <v>20.500</v>
      </c>
      <c r="E268" t="str">
        <f>"-500.00"</f>
        <v>-500.00</v>
      </c>
      <c r="F268" t="str">
        <f>"10229.29"</f>
        <v>10229.29</v>
      </c>
      <c r="G268" t="str">
        <f>"21104.46"</f>
        <v>21104.46</v>
      </c>
      <c r="H268" t="str">
        <f>"0.00"</f>
        <v>0.00</v>
      </c>
      <c r="I268" t="str">
        <f>"10"</f>
        <v>10</v>
      </c>
      <c r="J268" t="str">
        <f>"证券卖出(宏和科技)"</f>
        <v>证券卖出(宏和科技)</v>
      </c>
      <c r="K268" t="str">
        <f>"10.25"</f>
        <v>10.25</v>
      </c>
      <c r="L268" t="str">
        <f>"10.25"</f>
        <v>10.25</v>
      </c>
      <c r="M268" t="str">
        <f>"0.21"</f>
        <v>0.21</v>
      </c>
      <c r="N268" t="str">
        <f>"0.00"</f>
        <v>0.00</v>
      </c>
      <c r="O268" t="str">
        <f>"603256"</f>
        <v>603256</v>
      </c>
      <c r="P268" t="str">
        <f>"A400948245"</f>
        <v>A400948245</v>
      </c>
    </row>
    <row r="269" spans="1:16" x14ac:dyDescent="0.25">
      <c r="A269" t="str">
        <f t="shared" si="95"/>
        <v>人民币</v>
      </c>
      <c r="B269" t="str">
        <f>""</f>
        <v/>
      </c>
      <c r="C269" t="str">
        <f>"20190808"</f>
        <v>20190808</v>
      </c>
      <c r="D269" t="str">
        <f>"---"</f>
        <v>---</v>
      </c>
      <c r="E269" t="str">
        <f>"---"</f>
        <v>---</v>
      </c>
      <c r="F269" t="str">
        <f>"-20000.00"</f>
        <v>-20000.00</v>
      </c>
      <c r="G269" t="str">
        <f>"1104.46"</f>
        <v>1104.46</v>
      </c>
      <c r="H269" t="str">
        <f>"---"</f>
        <v>---</v>
      </c>
      <c r="I269" t="str">
        <f>"---"</f>
        <v>---</v>
      </c>
      <c r="J269" t="str">
        <f>"银行转取"</f>
        <v>银行转取</v>
      </c>
      <c r="K269" t="str">
        <f t="shared" ref="K269:P269" si="98">"---"</f>
        <v>---</v>
      </c>
      <c r="L269" t="str">
        <f t="shared" si="98"/>
        <v>---</v>
      </c>
      <c r="M269" t="str">
        <f t="shared" si="98"/>
        <v>---</v>
      </c>
      <c r="N269" t="str">
        <f t="shared" si="98"/>
        <v>---</v>
      </c>
      <c r="O269" t="str">
        <f t="shared" si="98"/>
        <v>---</v>
      </c>
      <c r="P269" t="str">
        <f t="shared" si="98"/>
        <v>---</v>
      </c>
    </row>
    <row r="270" spans="1:16" x14ac:dyDescent="0.25">
      <c r="A270" t="str">
        <f t="shared" si="95"/>
        <v>人民币</v>
      </c>
      <c r="B270" t="str">
        <f>"中国广核"</f>
        <v>中国广核</v>
      </c>
      <c r="C270" t="str">
        <f>"20190812"</f>
        <v>20190812</v>
      </c>
      <c r="D270" t="str">
        <f>"0.000"</f>
        <v>0.000</v>
      </c>
      <c r="E270" t="str">
        <f>"12.00"</f>
        <v>12.00</v>
      </c>
      <c r="F270" t="str">
        <f>"0.00"</f>
        <v>0.00</v>
      </c>
      <c r="G270" t="str">
        <f>"1104.46"</f>
        <v>1104.46</v>
      </c>
      <c r="H270" t="str">
        <f>"0.00"</f>
        <v>0.00</v>
      </c>
      <c r="I270" t="str">
        <f>"16"</f>
        <v>16</v>
      </c>
      <c r="J270" t="str">
        <f>"申购配号(中国广核)"</f>
        <v>申购配号(中国广核)</v>
      </c>
      <c r="K270" t="str">
        <f>"0.00"</f>
        <v>0.00</v>
      </c>
      <c r="L270" t="str">
        <f>"0.00"</f>
        <v>0.00</v>
      </c>
      <c r="M270" t="str">
        <f>"0.00"</f>
        <v>0.00</v>
      </c>
      <c r="N270" t="str">
        <f>"0.00"</f>
        <v>0.00</v>
      </c>
      <c r="O270" t="str">
        <f>"003816"</f>
        <v>003816</v>
      </c>
      <c r="P270" t="str">
        <f>"0153613480"</f>
        <v>0153613480</v>
      </c>
    </row>
    <row r="271" spans="1:16" x14ac:dyDescent="0.25">
      <c r="A271" t="str">
        <f t="shared" si="95"/>
        <v>人民币</v>
      </c>
      <c r="B271" t="str">
        <f>""</f>
        <v/>
      </c>
      <c r="C271" t="str">
        <f>"20190813"</f>
        <v>20190813</v>
      </c>
      <c r="D271" t="str">
        <f>"---"</f>
        <v>---</v>
      </c>
      <c r="E271" t="str">
        <f>"---"</f>
        <v>---</v>
      </c>
      <c r="F271" t="str">
        <f>"30000.00"</f>
        <v>30000.00</v>
      </c>
      <c r="G271" t="str">
        <f>"31104.46"</f>
        <v>31104.46</v>
      </c>
      <c r="H271" t="str">
        <f>"---"</f>
        <v>---</v>
      </c>
      <c r="I271" t="str">
        <f>"---"</f>
        <v>---</v>
      </c>
      <c r="J271" t="str">
        <f>"银行转存"</f>
        <v>银行转存</v>
      </c>
      <c r="K271" t="str">
        <f t="shared" ref="K271:P271" si="99">"---"</f>
        <v>---</v>
      </c>
      <c r="L271" t="str">
        <f t="shared" si="99"/>
        <v>---</v>
      </c>
      <c r="M271" t="str">
        <f t="shared" si="99"/>
        <v>---</v>
      </c>
      <c r="N271" t="str">
        <f t="shared" si="99"/>
        <v>---</v>
      </c>
      <c r="O271" t="str">
        <f t="shared" si="99"/>
        <v>---</v>
      </c>
      <c r="P271" t="str">
        <f t="shared" si="99"/>
        <v>---</v>
      </c>
    </row>
    <row r="272" spans="1:16" x14ac:dyDescent="0.25">
      <c r="A272" t="str">
        <f t="shared" si="95"/>
        <v>人民币</v>
      </c>
      <c r="B272" t="str">
        <f>"航发科技"</f>
        <v>航发科技</v>
      </c>
      <c r="C272" t="str">
        <f>"20190813"</f>
        <v>20190813</v>
      </c>
      <c r="D272" t="str">
        <f>"15.430"</f>
        <v>15.430</v>
      </c>
      <c r="E272" t="str">
        <f>"1000.00"</f>
        <v>1000.00</v>
      </c>
      <c r="F272" t="str">
        <f>"-15445.73"</f>
        <v>-15445.73</v>
      </c>
      <c r="G272" t="str">
        <f>"15658.73"</f>
        <v>15658.73</v>
      </c>
      <c r="H272" t="str">
        <f>"3400.00"</f>
        <v>3400.00</v>
      </c>
      <c r="I272" t="str">
        <f>"20"</f>
        <v>20</v>
      </c>
      <c r="J272" t="str">
        <f>"证券买入(航发科技)"</f>
        <v>证券买入(航发科技)</v>
      </c>
      <c r="K272" t="str">
        <f>"15.43"</f>
        <v>15.43</v>
      </c>
      <c r="L272" t="str">
        <f>"0.00"</f>
        <v>0.00</v>
      </c>
      <c r="M272" t="str">
        <f>"0.30"</f>
        <v>0.30</v>
      </c>
      <c r="N272" t="str">
        <f t="shared" ref="N272:N289" si="100">"0.00"</f>
        <v>0.00</v>
      </c>
      <c r="O272" t="str">
        <f>"600391"</f>
        <v>600391</v>
      </c>
      <c r="P272" t="str">
        <f>"A400948245"</f>
        <v>A400948245</v>
      </c>
    </row>
    <row r="273" spans="1:16" x14ac:dyDescent="0.25">
      <c r="A273" t="str">
        <f t="shared" si="95"/>
        <v>人民币</v>
      </c>
      <c r="B273" t="str">
        <f>"凯龙股份"</f>
        <v>凯龙股份</v>
      </c>
      <c r="C273" t="str">
        <f>"20190813"</f>
        <v>20190813</v>
      </c>
      <c r="D273" t="str">
        <f>"9.910"</f>
        <v>9.910</v>
      </c>
      <c r="E273" t="str">
        <f>"800.00"</f>
        <v>800.00</v>
      </c>
      <c r="F273" t="str">
        <f>"-7935.93"</f>
        <v>-7935.93</v>
      </c>
      <c r="G273" t="str">
        <f>"7722.80"</f>
        <v>7722.80</v>
      </c>
      <c r="H273" t="str">
        <f>"6600.00"</f>
        <v>6600.00</v>
      </c>
      <c r="I273" t="str">
        <f>"28"</f>
        <v>28</v>
      </c>
      <c r="J273" t="str">
        <f>"证券买入(凯龙股份)"</f>
        <v>证券买入(凯龙股份)</v>
      </c>
      <c r="K273" t="str">
        <f>"7.93"</f>
        <v>7.93</v>
      </c>
      <c r="L273" t="str">
        <f>"0.00"</f>
        <v>0.00</v>
      </c>
      <c r="M273" t="str">
        <f>"0.00"</f>
        <v>0.00</v>
      </c>
      <c r="N273" t="str">
        <f t="shared" si="100"/>
        <v>0.00</v>
      </c>
      <c r="O273" t="str">
        <f>"002783"</f>
        <v>002783</v>
      </c>
      <c r="P273" t="str">
        <f>"0153613480"</f>
        <v>0153613480</v>
      </c>
    </row>
    <row r="274" spans="1:16" x14ac:dyDescent="0.25">
      <c r="A274" t="str">
        <f t="shared" si="95"/>
        <v>人民币</v>
      </c>
      <c r="B274" t="str">
        <f>"中通国脉"</f>
        <v>中通国脉</v>
      </c>
      <c r="C274" t="str">
        <f t="shared" ref="C274:C279" si="101">"20190814"</f>
        <v>20190814</v>
      </c>
      <c r="D274" t="str">
        <f>"19.310"</f>
        <v>19.310</v>
      </c>
      <c r="E274" t="str">
        <f>"800.00"</f>
        <v>800.00</v>
      </c>
      <c r="F274" t="str">
        <f>"-15463.76"</f>
        <v>-15463.76</v>
      </c>
      <c r="G274" t="str">
        <f>"-7740.96"</f>
        <v>-7740.96</v>
      </c>
      <c r="H274" t="str">
        <f>"3200.00"</f>
        <v>3200.00</v>
      </c>
      <c r="I274" t="str">
        <f>"37"</f>
        <v>37</v>
      </c>
      <c r="J274" t="str">
        <f>"证券买入(中通国脉)"</f>
        <v>证券买入(中通国脉)</v>
      </c>
      <c r="K274" t="str">
        <f>"15.45"</f>
        <v>15.45</v>
      </c>
      <c r="L274" t="str">
        <f>"0.00"</f>
        <v>0.00</v>
      </c>
      <c r="M274" t="str">
        <f>"0.31"</f>
        <v>0.31</v>
      </c>
      <c r="N274" t="str">
        <f t="shared" si="100"/>
        <v>0.00</v>
      </c>
      <c r="O274" t="str">
        <f>"603559"</f>
        <v>603559</v>
      </c>
      <c r="P274" t="str">
        <f>"A400948245"</f>
        <v>A400948245</v>
      </c>
    </row>
    <row r="275" spans="1:16" x14ac:dyDescent="0.25">
      <c r="A275" t="str">
        <f t="shared" si="95"/>
        <v>人民币</v>
      </c>
      <c r="B275" t="str">
        <f>"松霖配号"</f>
        <v>松霖配号</v>
      </c>
      <c r="C275" t="str">
        <f t="shared" si="101"/>
        <v>20190814</v>
      </c>
      <c r="D275" t="str">
        <f>"0.000"</f>
        <v>0.000</v>
      </c>
      <c r="E275" t="str">
        <f>"9.00"</f>
        <v>9.00</v>
      </c>
      <c r="F275" t="str">
        <f>"0.00"</f>
        <v>0.00</v>
      </c>
      <c r="G275" t="str">
        <f>"-7740.96"</f>
        <v>-7740.96</v>
      </c>
      <c r="H275" t="str">
        <f>"0.00"</f>
        <v>0.00</v>
      </c>
      <c r="I275" t="str">
        <f>"44"</f>
        <v>44</v>
      </c>
      <c r="J275" t="str">
        <f>"申购配号(松霖配号)"</f>
        <v>申购配号(松霖配号)</v>
      </c>
      <c r="K275" t="str">
        <f>"0.00"</f>
        <v>0.00</v>
      </c>
      <c r="L275" t="str">
        <f>"0.00"</f>
        <v>0.00</v>
      </c>
      <c r="M275" t="str">
        <f>"0.00"</f>
        <v>0.00</v>
      </c>
      <c r="N275" t="str">
        <f t="shared" si="100"/>
        <v>0.00</v>
      </c>
      <c r="O275" t="str">
        <f>"736992"</f>
        <v>736992</v>
      </c>
      <c r="P275" t="str">
        <f>"A400948245"</f>
        <v>A400948245</v>
      </c>
    </row>
    <row r="276" spans="1:16" x14ac:dyDescent="0.25">
      <c r="A276" t="str">
        <f t="shared" si="95"/>
        <v>人民币</v>
      </c>
      <c r="B276" t="str">
        <f>"航发科技"</f>
        <v>航发科技</v>
      </c>
      <c r="C276" t="str">
        <f t="shared" si="101"/>
        <v>20190814</v>
      </c>
      <c r="D276" t="str">
        <f>"15.740"</f>
        <v>15.740</v>
      </c>
      <c r="E276" t="str">
        <f>"-1000.00"</f>
        <v>-1000.00</v>
      </c>
      <c r="F276" t="str">
        <f>"15708.21"</f>
        <v>15708.21</v>
      </c>
      <c r="G276" t="str">
        <f>"7967.25"</f>
        <v>7967.25</v>
      </c>
      <c r="H276" t="str">
        <f>"2400.00"</f>
        <v>2400.00</v>
      </c>
      <c r="I276" t="str">
        <f>"46"</f>
        <v>46</v>
      </c>
      <c r="J276" t="str">
        <f>"证券卖出(航发科技)"</f>
        <v>证券卖出(航发科技)</v>
      </c>
      <c r="K276" t="str">
        <f>"15.74"</f>
        <v>15.74</v>
      </c>
      <c r="L276" t="str">
        <f>"15.74"</f>
        <v>15.74</v>
      </c>
      <c r="M276" t="str">
        <f>"0.31"</f>
        <v>0.31</v>
      </c>
      <c r="N276" t="str">
        <f t="shared" si="100"/>
        <v>0.00</v>
      </c>
      <c r="O276" t="str">
        <f>"600391"</f>
        <v>600391</v>
      </c>
      <c r="P276" t="str">
        <f>"A400948245"</f>
        <v>A400948245</v>
      </c>
    </row>
    <row r="277" spans="1:16" x14ac:dyDescent="0.25">
      <c r="A277" t="str">
        <f t="shared" si="95"/>
        <v>人民币</v>
      </c>
      <c r="B277" t="str">
        <f>"凯龙股份"</f>
        <v>凯龙股份</v>
      </c>
      <c r="C277" t="str">
        <f t="shared" si="101"/>
        <v>20190814</v>
      </c>
      <c r="D277" t="str">
        <f>"10.046"</f>
        <v>10.046</v>
      </c>
      <c r="E277" t="str">
        <f>"-800.00"</f>
        <v>-800.00</v>
      </c>
      <c r="F277" t="str">
        <f>"8020.92"</f>
        <v>8020.92</v>
      </c>
      <c r="G277" t="str">
        <f>"15988.17"</f>
        <v>15988.17</v>
      </c>
      <c r="H277" t="str">
        <f>"5800.00"</f>
        <v>5800.00</v>
      </c>
      <c r="I277" t="str">
        <f>"33"</f>
        <v>33</v>
      </c>
      <c r="J277" t="str">
        <f>"证券卖出(凯龙股份)"</f>
        <v>证券卖出(凯龙股份)</v>
      </c>
      <c r="K277" t="str">
        <f>"8.04"</f>
        <v>8.04</v>
      </c>
      <c r="L277" t="str">
        <f>"8.04"</f>
        <v>8.04</v>
      </c>
      <c r="M277" t="str">
        <f>"0.00"</f>
        <v>0.00</v>
      </c>
      <c r="N277" t="str">
        <f t="shared" si="100"/>
        <v>0.00</v>
      </c>
      <c r="O277" t="str">
        <f>"002783"</f>
        <v>002783</v>
      </c>
      <c r="P277" t="str">
        <f>"0153613480"</f>
        <v>0153613480</v>
      </c>
    </row>
    <row r="278" spans="1:16" x14ac:dyDescent="0.25">
      <c r="A278" t="str">
        <f t="shared" si="95"/>
        <v>人民币</v>
      </c>
      <c r="B278" t="str">
        <f>"唐源电气"</f>
        <v>唐源电气</v>
      </c>
      <c r="C278" t="str">
        <f t="shared" si="101"/>
        <v>20190814</v>
      </c>
      <c r="D278" t="str">
        <f>"0.000"</f>
        <v>0.000</v>
      </c>
      <c r="E278" t="str">
        <f>"12.00"</f>
        <v>12.00</v>
      </c>
      <c r="F278" t="str">
        <f>"0.00"</f>
        <v>0.00</v>
      </c>
      <c r="G278" t="str">
        <f>"15988.17"</f>
        <v>15988.17</v>
      </c>
      <c r="H278" t="str">
        <f>"0.00"</f>
        <v>0.00</v>
      </c>
      <c r="I278" t="str">
        <f>"40"</f>
        <v>40</v>
      </c>
      <c r="J278" t="str">
        <f>"申购配号(唐源电气)"</f>
        <v>申购配号(唐源电气)</v>
      </c>
      <c r="K278" t="str">
        <f t="shared" ref="K278:L280" si="102">"0.00"</f>
        <v>0.00</v>
      </c>
      <c r="L278" t="str">
        <f t="shared" si="102"/>
        <v>0.00</v>
      </c>
      <c r="M278" t="str">
        <f>"0.00"</f>
        <v>0.00</v>
      </c>
      <c r="N278" t="str">
        <f t="shared" si="100"/>
        <v>0.00</v>
      </c>
      <c r="O278" t="str">
        <f>"300789"</f>
        <v>300789</v>
      </c>
      <c r="P278" t="str">
        <f>"0153613480"</f>
        <v>0153613480</v>
      </c>
    </row>
    <row r="279" spans="1:16" x14ac:dyDescent="0.25">
      <c r="A279" t="str">
        <f t="shared" si="95"/>
        <v>人民币</v>
      </c>
      <c r="B279" t="str">
        <f>"小熊电器"</f>
        <v>小熊电器</v>
      </c>
      <c r="C279" t="str">
        <f t="shared" si="101"/>
        <v>20190814</v>
      </c>
      <c r="D279" t="str">
        <f>"0.000"</f>
        <v>0.000</v>
      </c>
      <c r="E279" t="str">
        <f>"12.00"</f>
        <v>12.00</v>
      </c>
      <c r="F279" t="str">
        <f>"0.00"</f>
        <v>0.00</v>
      </c>
      <c r="G279" t="str">
        <f>"15988.17"</f>
        <v>15988.17</v>
      </c>
      <c r="H279" t="str">
        <f>"0.00"</f>
        <v>0.00</v>
      </c>
      <c r="I279" t="str">
        <f>"42"</f>
        <v>42</v>
      </c>
      <c r="J279" t="str">
        <f>"申购配号(小熊电器)"</f>
        <v>申购配号(小熊电器)</v>
      </c>
      <c r="K279" t="str">
        <f t="shared" si="102"/>
        <v>0.00</v>
      </c>
      <c r="L279" t="str">
        <f t="shared" si="102"/>
        <v>0.00</v>
      </c>
      <c r="M279" t="str">
        <f>"0.00"</f>
        <v>0.00</v>
      </c>
      <c r="N279" t="str">
        <f t="shared" si="100"/>
        <v>0.00</v>
      </c>
      <c r="O279" t="str">
        <f>"002959"</f>
        <v>002959</v>
      </c>
      <c r="P279" t="str">
        <f>"0153613480"</f>
        <v>0153613480</v>
      </c>
    </row>
    <row r="280" spans="1:16" x14ac:dyDescent="0.25">
      <c r="A280" t="str">
        <f t="shared" si="95"/>
        <v>人民币</v>
      </c>
      <c r="B280" t="str">
        <f>"日辰配号"</f>
        <v>日辰配号</v>
      </c>
      <c r="C280" t="str">
        <f>"20190815"</f>
        <v>20190815</v>
      </c>
      <c r="D280" t="str">
        <f>"0.000"</f>
        <v>0.000</v>
      </c>
      <c r="E280" t="str">
        <f>"9.00"</f>
        <v>9.00</v>
      </c>
      <c r="F280" t="str">
        <f>"0.00"</f>
        <v>0.00</v>
      </c>
      <c r="G280" t="str">
        <f>"15988.17"</f>
        <v>15988.17</v>
      </c>
      <c r="H280" t="str">
        <f>"0.00"</f>
        <v>0.00</v>
      </c>
      <c r="I280" t="str">
        <f>"55"</f>
        <v>55</v>
      </c>
      <c r="J280" t="str">
        <f>"申购配号(日辰配号)"</f>
        <v>申购配号(日辰配号)</v>
      </c>
      <c r="K280" t="str">
        <f t="shared" si="102"/>
        <v>0.00</v>
      </c>
      <c r="L280" t="str">
        <f t="shared" si="102"/>
        <v>0.00</v>
      </c>
      <c r="M280" t="str">
        <f>"0.00"</f>
        <v>0.00</v>
      </c>
      <c r="N280" t="str">
        <f t="shared" si="100"/>
        <v>0.00</v>
      </c>
      <c r="O280" t="str">
        <f>"736755"</f>
        <v>736755</v>
      </c>
      <c r="P280" t="str">
        <f>"A400948245"</f>
        <v>A400948245</v>
      </c>
    </row>
    <row r="281" spans="1:16" x14ac:dyDescent="0.25">
      <c r="A281" t="str">
        <f t="shared" si="95"/>
        <v>人民币</v>
      </c>
      <c r="B281" t="str">
        <f>"航发科技"</f>
        <v>航发科技</v>
      </c>
      <c r="C281" t="str">
        <f>"20190815"</f>
        <v>20190815</v>
      </c>
      <c r="D281" t="str">
        <f>"15.380"</f>
        <v>15.380</v>
      </c>
      <c r="E281" t="str">
        <f>"1000.00"</f>
        <v>1000.00</v>
      </c>
      <c r="F281" t="str">
        <f>"-15395.69"</f>
        <v>-15395.69</v>
      </c>
      <c r="G281" t="str">
        <f>"592.48"</f>
        <v>592.48</v>
      </c>
      <c r="H281" t="str">
        <f>"3400.00"</f>
        <v>3400.00</v>
      </c>
      <c r="I281" t="str">
        <f>"57"</f>
        <v>57</v>
      </c>
      <c r="J281" t="str">
        <f>"证券买入(航发科技)"</f>
        <v>证券买入(航发科技)</v>
      </c>
      <c r="K281" t="str">
        <f>"15.38"</f>
        <v>15.38</v>
      </c>
      <c r="L281" t="str">
        <f>"0.00"</f>
        <v>0.00</v>
      </c>
      <c r="M281" t="str">
        <f>"0.31"</f>
        <v>0.31</v>
      </c>
      <c r="N281" t="str">
        <f t="shared" si="100"/>
        <v>0.00</v>
      </c>
      <c r="O281" t="str">
        <f>"600391"</f>
        <v>600391</v>
      </c>
      <c r="P281" t="str">
        <f>"A400948245"</f>
        <v>A400948245</v>
      </c>
    </row>
    <row r="282" spans="1:16" x14ac:dyDescent="0.25">
      <c r="A282" t="str">
        <f t="shared" si="95"/>
        <v>人民币</v>
      </c>
      <c r="B282" t="str">
        <f>"航发科技"</f>
        <v>航发科技</v>
      </c>
      <c r="C282" t="str">
        <f>"20190816"</f>
        <v>20190816</v>
      </c>
      <c r="D282" t="str">
        <f>"15.850"</f>
        <v>15.850</v>
      </c>
      <c r="E282" t="str">
        <f>"-1000.00"</f>
        <v>-1000.00</v>
      </c>
      <c r="F282" t="str">
        <f>"15817.98"</f>
        <v>15817.98</v>
      </c>
      <c r="G282" t="str">
        <f>"16410.46"</f>
        <v>16410.46</v>
      </c>
      <c r="H282" t="str">
        <f>"2400.00"</f>
        <v>2400.00</v>
      </c>
      <c r="I282" t="str">
        <f>"63"</f>
        <v>63</v>
      </c>
      <c r="J282" t="str">
        <f>"证券卖出(航发科技)"</f>
        <v>证券卖出(航发科技)</v>
      </c>
      <c r="K282" t="str">
        <f>"15.85"</f>
        <v>15.85</v>
      </c>
      <c r="L282" t="str">
        <f>"15.85"</f>
        <v>15.85</v>
      </c>
      <c r="M282" t="str">
        <f>"0.32"</f>
        <v>0.32</v>
      </c>
      <c r="N282" t="str">
        <f t="shared" si="100"/>
        <v>0.00</v>
      </c>
      <c r="O282" t="str">
        <f>"600391"</f>
        <v>600391</v>
      </c>
      <c r="P282" t="str">
        <f>"A400948245"</f>
        <v>A400948245</v>
      </c>
    </row>
    <row r="283" spans="1:16" x14ac:dyDescent="0.25">
      <c r="A283" t="str">
        <f t="shared" si="95"/>
        <v>人民币</v>
      </c>
      <c r="B283" t="str">
        <f>"凯龙股份"</f>
        <v>凯龙股份</v>
      </c>
      <c r="C283" t="str">
        <f>"20190816"</f>
        <v>20190816</v>
      </c>
      <c r="D283" t="str">
        <f>"9.900"</f>
        <v>9.900</v>
      </c>
      <c r="E283" t="str">
        <f>"600.00"</f>
        <v>600.00</v>
      </c>
      <c r="F283" t="str">
        <f>"-5945.94"</f>
        <v>-5945.94</v>
      </c>
      <c r="G283" t="str">
        <f>"10464.52"</f>
        <v>10464.52</v>
      </c>
      <c r="H283" t="str">
        <f>"6400.00"</f>
        <v>6400.00</v>
      </c>
      <c r="I283" t="str">
        <f>"66"</f>
        <v>66</v>
      </c>
      <c r="J283" t="str">
        <f>"证券买入(凯龙股份)"</f>
        <v>证券买入(凯龙股份)</v>
      </c>
      <c r="K283" t="str">
        <f>"5.94"</f>
        <v>5.94</v>
      </c>
      <c r="L283" t="str">
        <f>"0.00"</f>
        <v>0.00</v>
      </c>
      <c r="M283" t="str">
        <f>"0.00"</f>
        <v>0.00</v>
      </c>
      <c r="N283" t="str">
        <f t="shared" si="100"/>
        <v>0.00</v>
      </c>
      <c r="O283" t="str">
        <f>"002783"</f>
        <v>002783</v>
      </c>
      <c r="P283" t="str">
        <f>"0153613480"</f>
        <v>0153613480</v>
      </c>
    </row>
    <row r="284" spans="1:16" x14ac:dyDescent="0.25">
      <c r="A284" t="str">
        <f t="shared" si="95"/>
        <v>人民币</v>
      </c>
      <c r="B284" t="str">
        <f>"中通国脉"</f>
        <v>中通国脉</v>
      </c>
      <c r="C284" t="str">
        <f t="shared" ref="C284:C290" si="103">"20190819"</f>
        <v>20190819</v>
      </c>
      <c r="D284" t="str">
        <f>"19.820"</f>
        <v>19.820</v>
      </c>
      <c r="E284" t="str">
        <f>"500.00"</f>
        <v>500.00</v>
      </c>
      <c r="F284" t="str">
        <f>"-9920.11"</f>
        <v>-9920.11</v>
      </c>
      <c r="G284" t="str">
        <f>"544.41"</f>
        <v>544.41</v>
      </c>
      <c r="H284" t="str">
        <f>"3700.00"</f>
        <v>3700.00</v>
      </c>
      <c r="I284" t="str">
        <f>"80"</f>
        <v>80</v>
      </c>
      <c r="J284" t="str">
        <f>"证券买入(中通国脉)"</f>
        <v>证券买入(中通国脉)</v>
      </c>
      <c r="K284" t="str">
        <f>"9.91"</f>
        <v>9.91</v>
      </c>
      <c r="L284" t="str">
        <f>"0.00"</f>
        <v>0.00</v>
      </c>
      <c r="M284" t="str">
        <f>"0.20"</f>
        <v>0.20</v>
      </c>
      <c r="N284" t="str">
        <f t="shared" si="100"/>
        <v>0.00</v>
      </c>
      <c r="O284" t="str">
        <f>"603559"</f>
        <v>603559</v>
      </c>
      <c r="P284" t="str">
        <f>"A400948245"</f>
        <v>A400948245</v>
      </c>
    </row>
    <row r="285" spans="1:16" x14ac:dyDescent="0.25">
      <c r="A285" t="str">
        <f t="shared" si="95"/>
        <v>人民币</v>
      </c>
      <c r="B285" t="str">
        <f>"中通国脉"</f>
        <v>中通国脉</v>
      </c>
      <c r="C285" t="str">
        <f t="shared" si="103"/>
        <v>20190819</v>
      </c>
      <c r="D285" t="str">
        <f>"19.940"</f>
        <v>19.940</v>
      </c>
      <c r="E285" t="str">
        <f>"-800.00"</f>
        <v>-800.00</v>
      </c>
      <c r="F285" t="str">
        <f>"15919.78"</f>
        <v>15919.78</v>
      </c>
      <c r="G285" t="str">
        <f>"16464.19"</f>
        <v>16464.19</v>
      </c>
      <c r="H285" t="str">
        <f>"2900.00"</f>
        <v>2900.00</v>
      </c>
      <c r="I285" t="str">
        <f>"83"</f>
        <v>83</v>
      </c>
      <c r="J285" t="str">
        <f>"证券卖出(中通国脉)"</f>
        <v>证券卖出(中通国脉)</v>
      </c>
      <c r="K285" t="str">
        <f>"15.95"</f>
        <v>15.95</v>
      </c>
      <c r="L285" t="str">
        <f>"15.95"</f>
        <v>15.95</v>
      </c>
      <c r="M285" t="str">
        <f>"0.32"</f>
        <v>0.32</v>
      </c>
      <c r="N285" t="str">
        <f t="shared" si="100"/>
        <v>0.00</v>
      </c>
      <c r="O285" t="str">
        <f>"603559"</f>
        <v>603559</v>
      </c>
      <c r="P285" t="str">
        <f>"A400948245"</f>
        <v>A400948245</v>
      </c>
    </row>
    <row r="286" spans="1:16" x14ac:dyDescent="0.25">
      <c r="A286" t="str">
        <f t="shared" si="95"/>
        <v>人民币</v>
      </c>
      <c r="B286" t="str">
        <f>"中通国脉"</f>
        <v>中通国脉</v>
      </c>
      <c r="C286" t="str">
        <f t="shared" si="103"/>
        <v>20190819</v>
      </c>
      <c r="D286" t="str">
        <f>"20.140"</f>
        <v>20.140</v>
      </c>
      <c r="E286" t="str">
        <f>"-500.00"</f>
        <v>-500.00</v>
      </c>
      <c r="F286" t="str">
        <f>"10049.66"</f>
        <v>10049.66</v>
      </c>
      <c r="G286" t="str">
        <f>"26513.85"</f>
        <v>26513.85</v>
      </c>
      <c r="H286" t="str">
        <f>"2400.00"</f>
        <v>2400.00</v>
      </c>
      <c r="I286" t="str">
        <f>"89"</f>
        <v>89</v>
      </c>
      <c r="J286" t="str">
        <f>"证券卖出(中通国脉)"</f>
        <v>证券卖出(中通国脉)</v>
      </c>
      <c r="K286" t="str">
        <f>"10.07"</f>
        <v>10.07</v>
      </c>
      <c r="L286" t="str">
        <f>"10.07"</f>
        <v>10.07</v>
      </c>
      <c r="M286" t="str">
        <f>"0.20"</f>
        <v>0.20</v>
      </c>
      <c r="N286" t="str">
        <f t="shared" si="100"/>
        <v>0.00</v>
      </c>
      <c r="O286" t="str">
        <f>"603559"</f>
        <v>603559</v>
      </c>
      <c r="P286" t="str">
        <f>"A400948245"</f>
        <v>A400948245</v>
      </c>
    </row>
    <row r="287" spans="1:16" x14ac:dyDescent="0.25">
      <c r="A287" t="str">
        <f t="shared" si="95"/>
        <v>人民币</v>
      </c>
      <c r="B287" t="str">
        <f>"航发科技"</f>
        <v>航发科技</v>
      </c>
      <c r="C287" t="str">
        <f t="shared" si="103"/>
        <v>20190819</v>
      </c>
      <c r="D287" t="str">
        <f>"16.280"</f>
        <v>16.280</v>
      </c>
      <c r="E287" t="str">
        <f>"600.00"</f>
        <v>600.00</v>
      </c>
      <c r="F287" t="str">
        <f>"-9777.97"</f>
        <v>-9777.97</v>
      </c>
      <c r="G287" t="str">
        <f>"16735.88"</f>
        <v>16735.88</v>
      </c>
      <c r="H287" t="str">
        <f>"3000.00"</f>
        <v>3000.00</v>
      </c>
      <c r="I287" t="str">
        <f>"96"</f>
        <v>96</v>
      </c>
      <c r="J287" t="str">
        <f>"证券买入(航发科技)"</f>
        <v>证券买入(航发科技)</v>
      </c>
      <c r="K287" t="str">
        <f>"9.77"</f>
        <v>9.77</v>
      </c>
      <c r="L287" t="str">
        <f>"0.00"</f>
        <v>0.00</v>
      </c>
      <c r="M287" t="str">
        <f>"0.20"</f>
        <v>0.20</v>
      </c>
      <c r="N287" t="str">
        <f t="shared" si="100"/>
        <v>0.00</v>
      </c>
      <c r="O287" t="str">
        <f>"600391"</f>
        <v>600391</v>
      </c>
      <c r="P287" t="str">
        <f>"A400948245"</f>
        <v>A400948245</v>
      </c>
    </row>
    <row r="288" spans="1:16" x14ac:dyDescent="0.25">
      <c r="A288" t="str">
        <f t="shared" si="95"/>
        <v>人民币</v>
      </c>
      <c r="B288" t="str">
        <f>"华脉科技"</f>
        <v>华脉科技</v>
      </c>
      <c r="C288" t="str">
        <f t="shared" si="103"/>
        <v>20190819</v>
      </c>
      <c r="D288" t="str">
        <f>"16.200"</f>
        <v>16.200</v>
      </c>
      <c r="E288" t="str">
        <f>"800.00"</f>
        <v>800.00</v>
      </c>
      <c r="F288" t="str">
        <f>"-12973.22"</f>
        <v>-12973.22</v>
      </c>
      <c r="G288" t="str">
        <f>"3762.66"</f>
        <v>3762.66</v>
      </c>
      <c r="H288" t="str">
        <f>"800.00"</f>
        <v>800.00</v>
      </c>
      <c r="I288" t="str">
        <f>"100"</f>
        <v>100</v>
      </c>
      <c r="J288" t="str">
        <f>"证券买入(华脉科技)"</f>
        <v>证券买入(华脉科技)</v>
      </c>
      <c r="K288" t="str">
        <f>"12.96"</f>
        <v>12.96</v>
      </c>
      <c r="L288" t="str">
        <f>"0.00"</f>
        <v>0.00</v>
      </c>
      <c r="M288" t="str">
        <f>"0.26"</f>
        <v>0.26</v>
      </c>
      <c r="N288" t="str">
        <f t="shared" si="100"/>
        <v>0.00</v>
      </c>
      <c r="O288" t="str">
        <f>"603042"</f>
        <v>603042</v>
      </c>
      <c r="P288" t="str">
        <f>"A400948245"</f>
        <v>A400948245</v>
      </c>
    </row>
    <row r="289" spans="1:16" x14ac:dyDescent="0.25">
      <c r="A289" t="str">
        <f t="shared" si="95"/>
        <v>人民币</v>
      </c>
      <c r="B289" t="str">
        <f>"凯龙股份"</f>
        <v>凯龙股份</v>
      </c>
      <c r="C289" t="str">
        <f t="shared" si="103"/>
        <v>20190819</v>
      </c>
      <c r="D289" t="str">
        <f>"10.150"</f>
        <v>10.150</v>
      </c>
      <c r="E289" t="str">
        <f>"-600.00"</f>
        <v>-600.00</v>
      </c>
      <c r="F289" t="str">
        <f>"6077.82"</f>
        <v>6077.82</v>
      </c>
      <c r="G289" t="str">
        <f>"9840.48"</f>
        <v>9840.48</v>
      </c>
      <c r="H289" t="str">
        <f>"5800.00"</f>
        <v>5800.00</v>
      </c>
      <c r="I289" t="str">
        <f>"86"</f>
        <v>86</v>
      </c>
      <c r="J289" t="str">
        <f>"证券卖出(凯龙股份)"</f>
        <v>证券卖出(凯龙股份)</v>
      </c>
      <c r="K289" t="str">
        <f>"6.09"</f>
        <v>6.09</v>
      </c>
      <c r="L289" t="str">
        <f>"6.09"</f>
        <v>6.09</v>
      </c>
      <c r="M289" t="str">
        <f>"0.00"</f>
        <v>0.00</v>
      </c>
      <c r="N289" t="str">
        <f t="shared" si="100"/>
        <v>0.00</v>
      </c>
      <c r="O289" t="str">
        <f>"002783"</f>
        <v>002783</v>
      </c>
      <c r="P289" t="str">
        <f>"0153613480"</f>
        <v>0153613480</v>
      </c>
    </row>
    <row r="290" spans="1:16" x14ac:dyDescent="0.25">
      <c r="A290" t="str">
        <f t="shared" si="95"/>
        <v>人民币</v>
      </c>
      <c r="B290" t="str">
        <f>"中通国脉"</f>
        <v>中通国脉</v>
      </c>
      <c r="C290" t="str">
        <f t="shared" si="103"/>
        <v>20190819</v>
      </c>
      <c r="D290" t="str">
        <f>"0.000"</f>
        <v>0.000</v>
      </c>
      <c r="E290" t="str">
        <f>"0.00"</f>
        <v>0.00</v>
      </c>
      <c r="F290" t="str">
        <f>"52.80"</f>
        <v>52.80</v>
      </c>
      <c r="G290" t="str">
        <f>"9893.28"</f>
        <v>9893.28</v>
      </c>
      <c r="H290" t="str">
        <f>"2400.00"</f>
        <v>2400.00</v>
      </c>
      <c r="I290" t="str">
        <f>"---"</f>
        <v>---</v>
      </c>
      <c r="J290" t="str">
        <f>"股息入帐(中通国脉)"</f>
        <v>股息入帐(中通国脉)</v>
      </c>
      <c r="K290" t="str">
        <f>"---"</f>
        <v>---</v>
      </c>
      <c r="L290" t="str">
        <f>"---"</f>
        <v>---</v>
      </c>
      <c r="M290" t="str">
        <f>"---"</f>
        <v>---</v>
      </c>
      <c r="N290" t="str">
        <f>"---"</f>
        <v>---</v>
      </c>
      <c r="O290" t="str">
        <f>"603559"</f>
        <v>603559</v>
      </c>
      <c r="P290" t="str">
        <f>"A400948245"</f>
        <v>A400948245</v>
      </c>
    </row>
    <row r="291" spans="1:16" x14ac:dyDescent="0.25">
      <c r="A291" t="str">
        <f t="shared" si="95"/>
        <v>人民币</v>
      </c>
      <c r="B291" t="str">
        <f>"航发科技"</f>
        <v>航发科技</v>
      </c>
      <c r="C291" t="str">
        <f>"20190820"</f>
        <v>20190820</v>
      </c>
      <c r="D291" t="str">
        <f>"16.610"</f>
        <v>16.610</v>
      </c>
      <c r="E291" t="str">
        <f>"-600.00"</f>
        <v>-600.00</v>
      </c>
      <c r="F291" t="str">
        <f>"9945.86"</f>
        <v>9945.86</v>
      </c>
      <c r="G291" t="str">
        <f>"19839.14"</f>
        <v>19839.14</v>
      </c>
      <c r="H291" t="str">
        <f>"2400.00"</f>
        <v>2400.00</v>
      </c>
      <c r="I291" t="str">
        <f>"113"</f>
        <v>113</v>
      </c>
      <c r="J291" t="str">
        <f>"证券卖出(航发科技)"</f>
        <v>证券卖出(航发科技)</v>
      </c>
      <c r="K291" t="str">
        <f>"9.97"</f>
        <v>9.97</v>
      </c>
      <c r="L291" t="str">
        <f>"9.97"</f>
        <v>9.97</v>
      </c>
      <c r="M291" t="str">
        <f>"0.20"</f>
        <v>0.20</v>
      </c>
      <c r="N291" t="str">
        <f t="shared" ref="N291:N296" si="104">"0.00"</f>
        <v>0.00</v>
      </c>
      <c r="O291" t="str">
        <f>"600391"</f>
        <v>600391</v>
      </c>
      <c r="P291" t="str">
        <f>"A400948245"</f>
        <v>A400948245</v>
      </c>
    </row>
    <row r="292" spans="1:16" x14ac:dyDescent="0.25">
      <c r="A292" t="str">
        <f t="shared" si="95"/>
        <v>人民币</v>
      </c>
      <c r="B292" t="str">
        <f>"华脉科技"</f>
        <v>华脉科技</v>
      </c>
      <c r="C292" t="str">
        <f>"20190820"</f>
        <v>20190820</v>
      </c>
      <c r="D292" t="str">
        <f>"15.850"</f>
        <v>15.850</v>
      </c>
      <c r="E292" t="str">
        <f>"200.00"</f>
        <v>200.00</v>
      </c>
      <c r="F292" t="str">
        <f>"-3175.06"</f>
        <v>-3175.06</v>
      </c>
      <c r="G292" t="str">
        <f>"16664.08"</f>
        <v>16664.08</v>
      </c>
      <c r="H292" t="str">
        <f>"1000.00"</f>
        <v>1000.00</v>
      </c>
      <c r="I292" t="str">
        <f>"116"</f>
        <v>116</v>
      </c>
      <c r="J292" t="str">
        <f>"证券买入(华脉科技)"</f>
        <v>证券买入(华脉科技)</v>
      </c>
      <c r="K292" t="str">
        <f>"5.00"</f>
        <v>5.00</v>
      </c>
      <c r="L292" t="str">
        <f>"0.00"</f>
        <v>0.00</v>
      </c>
      <c r="M292" t="str">
        <f>"0.06"</f>
        <v>0.06</v>
      </c>
      <c r="N292" t="str">
        <f t="shared" si="104"/>
        <v>0.00</v>
      </c>
      <c r="O292" t="str">
        <f>"603042"</f>
        <v>603042</v>
      </c>
      <c r="P292" t="str">
        <f>"A400948245"</f>
        <v>A400948245</v>
      </c>
    </row>
    <row r="293" spans="1:16" x14ac:dyDescent="0.25">
      <c r="A293" t="str">
        <f t="shared" si="95"/>
        <v>人民币</v>
      </c>
      <c r="B293" t="str">
        <f>"华脉科技"</f>
        <v>华脉科技</v>
      </c>
      <c r="C293" t="str">
        <f>"20190820"</f>
        <v>20190820</v>
      </c>
      <c r="D293" t="str">
        <f>"15.810"</f>
        <v>15.810</v>
      </c>
      <c r="E293" t="str">
        <f>"200.00"</f>
        <v>200.00</v>
      </c>
      <c r="F293" t="str">
        <f>"-3167.06"</f>
        <v>-3167.06</v>
      </c>
      <c r="G293" t="str">
        <f>"13497.02"</f>
        <v>13497.02</v>
      </c>
      <c r="H293" t="str">
        <f>"1200.00"</f>
        <v>1200.00</v>
      </c>
      <c r="I293" t="str">
        <f>"119"</f>
        <v>119</v>
      </c>
      <c r="J293" t="str">
        <f>"证券买入(华脉科技)"</f>
        <v>证券买入(华脉科技)</v>
      </c>
      <c r="K293" t="str">
        <f>"5.00"</f>
        <v>5.00</v>
      </c>
      <c r="L293" t="str">
        <f>"0.00"</f>
        <v>0.00</v>
      </c>
      <c r="M293" t="str">
        <f>"0.06"</f>
        <v>0.06</v>
      </c>
      <c r="N293" t="str">
        <f t="shared" si="104"/>
        <v>0.00</v>
      </c>
      <c r="O293" t="str">
        <f>"603042"</f>
        <v>603042</v>
      </c>
      <c r="P293" t="str">
        <f>"A400948245"</f>
        <v>A400948245</v>
      </c>
    </row>
    <row r="294" spans="1:16" x14ac:dyDescent="0.25">
      <c r="A294" t="str">
        <f t="shared" si="95"/>
        <v>人民币</v>
      </c>
      <c r="B294" t="str">
        <f>"凯龙股份"</f>
        <v>凯龙股份</v>
      </c>
      <c r="C294" t="str">
        <f>"20190820"</f>
        <v>20190820</v>
      </c>
      <c r="D294" t="str">
        <f>"10.620"</f>
        <v>10.620</v>
      </c>
      <c r="E294" t="str">
        <f>"900.00"</f>
        <v>900.00</v>
      </c>
      <c r="F294" t="str">
        <f>"-9567.56"</f>
        <v>-9567.56</v>
      </c>
      <c r="G294" t="str">
        <f>"3929.46"</f>
        <v>3929.46</v>
      </c>
      <c r="H294" t="str">
        <f>"6700.00"</f>
        <v>6700.00</v>
      </c>
      <c r="I294" t="str">
        <f>"110"</f>
        <v>110</v>
      </c>
      <c r="J294" t="str">
        <f>"证券买入(凯龙股份)"</f>
        <v>证券买入(凯龙股份)</v>
      </c>
      <c r="K294" t="str">
        <f>"9.56"</f>
        <v>9.56</v>
      </c>
      <c r="L294" t="str">
        <f>"0.00"</f>
        <v>0.00</v>
      </c>
      <c r="M294" t="str">
        <f>"0.00"</f>
        <v>0.00</v>
      </c>
      <c r="N294" t="str">
        <f t="shared" si="104"/>
        <v>0.00</v>
      </c>
      <c r="O294" t="str">
        <f>"002783"</f>
        <v>002783</v>
      </c>
      <c r="P294" t="str">
        <f>"0153613480"</f>
        <v>0153613480</v>
      </c>
    </row>
    <row r="295" spans="1:16" x14ac:dyDescent="0.25">
      <c r="A295" t="str">
        <f t="shared" si="95"/>
        <v>人民币</v>
      </c>
      <c r="B295" t="str">
        <f>"南华配号"</f>
        <v>南华配号</v>
      </c>
      <c r="C295" t="str">
        <f>"20190821"</f>
        <v>20190821</v>
      </c>
      <c r="D295" t="str">
        <f>"0.000"</f>
        <v>0.000</v>
      </c>
      <c r="E295" t="str">
        <f>"9.00"</f>
        <v>9.00</v>
      </c>
      <c r="F295" t="str">
        <f>"0.00"</f>
        <v>0.00</v>
      </c>
      <c r="G295" t="str">
        <f>"3929.46"</f>
        <v>3929.46</v>
      </c>
      <c r="H295" t="str">
        <f>"0.00"</f>
        <v>0.00</v>
      </c>
      <c r="I295" t="str">
        <f>"126"</f>
        <v>126</v>
      </c>
      <c r="J295" t="str">
        <f>"申购配号(南华配号)"</f>
        <v>申购配号(南华配号)</v>
      </c>
      <c r="K295" t="str">
        <f>"0.00"</f>
        <v>0.00</v>
      </c>
      <c r="L295" t="str">
        <f>"0.00"</f>
        <v>0.00</v>
      </c>
      <c r="M295" t="str">
        <f>"0.00"</f>
        <v>0.00</v>
      </c>
      <c r="N295" t="str">
        <f t="shared" si="104"/>
        <v>0.00</v>
      </c>
      <c r="O295" t="str">
        <f>"736093"</f>
        <v>736093</v>
      </c>
      <c r="P295" t="str">
        <f>"A400948245"</f>
        <v>A400948245</v>
      </c>
    </row>
    <row r="296" spans="1:16" x14ac:dyDescent="0.25">
      <c r="A296" t="str">
        <f t="shared" si="95"/>
        <v>人民币</v>
      </c>
      <c r="B296" t="str">
        <f>"中通国脉"</f>
        <v>中通国脉</v>
      </c>
      <c r="C296" t="str">
        <f>"20190821"</f>
        <v>20190821</v>
      </c>
      <c r="D296" t="str">
        <f>"19.600"</f>
        <v>19.600</v>
      </c>
      <c r="E296" t="str">
        <f>"200.00"</f>
        <v>200.00</v>
      </c>
      <c r="F296" t="str">
        <f>"-3925.08"</f>
        <v>-3925.08</v>
      </c>
      <c r="G296" t="str">
        <f>"4.38"</f>
        <v>4.38</v>
      </c>
      <c r="H296" t="str">
        <f>"2600.00"</f>
        <v>2600.00</v>
      </c>
      <c r="I296" t="str">
        <f>"128"</f>
        <v>128</v>
      </c>
      <c r="J296" t="str">
        <f>"证券买入(中通国脉)"</f>
        <v>证券买入(中通国脉)</v>
      </c>
      <c r="K296" t="str">
        <f>"5.00"</f>
        <v>5.00</v>
      </c>
      <c r="L296" t="str">
        <f>"0.00"</f>
        <v>0.00</v>
      </c>
      <c r="M296" t="str">
        <f>"0.08"</f>
        <v>0.08</v>
      </c>
      <c r="N296" t="str">
        <f t="shared" si="104"/>
        <v>0.00</v>
      </c>
      <c r="O296" t="str">
        <f>"603559"</f>
        <v>603559</v>
      </c>
      <c r="P296" t="str">
        <f>"A400948245"</f>
        <v>A400948245</v>
      </c>
    </row>
    <row r="297" spans="1:16" x14ac:dyDescent="0.25">
      <c r="A297" t="str">
        <f t="shared" si="95"/>
        <v>人民币</v>
      </c>
      <c r="B297" t="str">
        <f>""</f>
        <v/>
      </c>
      <c r="C297" t="str">
        <f>"20190822"</f>
        <v>20190822</v>
      </c>
      <c r="D297" t="str">
        <f>"---"</f>
        <v>---</v>
      </c>
      <c r="E297" t="str">
        <f>"---"</f>
        <v>---</v>
      </c>
      <c r="F297" t="str">
        <f>"16000.00"</f>
        <v>16000.00</v>
      </c>
      <c r="G297" t="str">
        <f>"16004.38"</f>
        <v>16004.38</v>
      </c>
      <c r="H297" t="str">
        <f>"---"</f>
        <v>---</v>
      </c>
      <c r="I297" t="str">
        <f>"---"</f>
        <v>---</v>
      </c>
      <c r="J297" t="str">
        <f>"银行转存"</f>
        <v>银行转存</v>
      </c>
      <c r="K297" t="str">
        <f t="shared" ref="K297:P297" si="105">"---"</f>
        <v>---</v>
      </c>
      <c r="L297" t="str">
        <f t="shared" si="105"/>
        <v>---</v>
      </c>
      <c r="M297" t="str">
        <f t="shared" si="105"/>
        <v>---</v>
      </c>
      <c r="N297" t="str">
        <f t="shared" si="105"/>
        <v>---</v>
      </c>
      <c r="O297" t="str">
        <f t="shared" si="105"/>
        <v>---</v>
      </c>
      <c r="P297" t="str">
        <f t="shared" si="105"/>
        <v>---</v>
      </c>
    </row>
    <row r="298" spans="1:16" x14ac:dyDescent="0.25">
      <c r="A298" t="str">
        <f t="shared" si="95"/>
        <v>人民币</v>
      </c>
      <c r="B298" t="str">
        <f>"华脉科技"</f>
        <v>华脉科技</v>
      </c>
      <c r="C298" t="str">
        <f>"20190822"</f>
        <v>20190822</v>
      </c>
      <c r="D298" t="str">
        <f>"15.560"</f>
        <v>15.560</v>
      </c>
      <c r="E298" t="str">
        <f>"500.00"</f>
        <v>500.00</v>
      </c>
      <c r="F298" t="str">
        <f>"-7787.94"</f>
        <v>-7787.94</v>
      </c>
      <c r="G298" t="str">
        <f>"8216.44"</f>
        <v>8216.44</v>
      </c>
      <c r="H298" t="str">
        <f>"1700.00"</f>
        <v>1700.00</v>
      </c>
      <c r="I298" t="str">
        <f>"134"</f>
        <v>134</v>
      </c>
      <c r="J298" t="str">
        <f>"证券买入(华脉科技)"</f>
        <v>证券买入(华脉科技)</v>
      </c>
      <c r="K298" t="str">
        <f>"7.78"</f>
        <v>7.78</v>
      </c>
      <c r="L298" t="str">
        <f>"0.00"</f>
        <v>0.00</v>
      </c>
      <c r="M298" t="str">
        <f>"0.16"</f>
        <v>0.16</v>
      </c>
      <c r="N298" t="str">
        <f>"0.00"</f>
        <v>0.00</v>
      </c>
      <c r="O298" t="str">
        <f>"603042"</f>
        <v>603042</v>
      </c>
      <c r="P298" t="str">
        <f>"A400948245"</f>
        <v>A400948245</v>
      </c>
    </row>
    <row r="299" spans="1:16" x14ac:dyDescent="0.25">
      <c r="A299" t="str">
        <f t="shared" si="95"/>
        <v>人民币</v>
      </c>
      <c r="B299" t="str">
        <f>""</f>
        <v/>
      </c>
      <c r="C299" t="str">
        <f>"20190823"</f>
        <v>20190823</v>
      </c>
      <c r="D299" t="str">
        <f>"---"</f>
        <v>---</v>
      </c>
      <c r="E299" t="str">
        <f>"---"</f>
        <v>---</v>
      </c>
      <c r="F299" t="str">
        <f>"10000.00"</f>
        <v>10000.00</v>
      </c>
      <c r="G299" t="str">
        <f>"18216.44"</f>
        <v>18216.44</v>
      </c>
      <c r="H299" t="str">
        <f>"---"</f>
        <v>---</v>
      </c>
      <c r="I299" t="str">
        <f>"---"</f>
        <v>---</v>
      </c>
      <c r="J299" t="str">
        <f>"银行转存"</f>
        <v>银行转存</v>
      </c>
      <c r="K299" t="str">
        <f t="shared" ref="K299:P299" si="106">"---"</f>
        <v>---</v>
      </c>
      <c r="L299" t="str">
        <f t="shared" si="106"/>
        <v>---</v>
      </c>
      <c r="M299" t="str">
        <f t="shared" si="106"/>
        <v>---</v>
      </c>
      <c r="N299" t="str">
        <f t="shared" si="106"/>
        <v>---</v>
      </c>
      <c r="O299" t="str">
        <f t="shared" si="106"/>
        <v>---</v>
      </c>
      <c r="P299" t="str">
        <f t="shared" si="106"/>
        <v>---</v>
      </c>
    </row>
    <row r="300" spans="1:16" x14ac:dyDescent="0.25">
      <c r="A300" t="str">
        <f t="shared" si="95"/>
        <v>人民币</v>
      </c>
      <c r="B300" t="str">
        <f>"长城证券"</f>
        <v>长城证券</v>
      </c>
      <c r="C300" t="str">
        <f>"20190823"</f>
        <v>20190823</v>
      </c>
      <c r="D300" t="str">
        <f>"16.160"</f>
        <v>16.160</v>
      </c>
      <c r="E300" t="str">
        <f>"1100.00"</f>
        <v>1100.00</v>
      </c>
      <c r="F300" t="str">
        <f>"-17793.78"</f>
        <v>-17793.78</v>
      </c>
      <c r="G300" t="str">
        <f>"422.66"</f>
        <v>422.66</v>
      </c>
      <c r="H300" t="str">
        <f>"1100.00"</f>
        <v>1100.00</v>
      </c>
      <c r="I300" t="str">
        <f>"139"</f>
        <v>139</v>
      </c>
      <c r="J300" t="str">
        <f>"证券买入(长城证券)"</f>
        <v>证券买入(长城证券)</v>
      </c>
      <c r="K300" t="str">
        <f>"17.78"</f>
        <v>17.78</v>
      </c>
      <c r="L300" t="str">
        <f>"0.00"</f>
        <v>0.00</v>
      </c>
      <c r="M300" t="str">
        <f>"0.00"</f>
        <v>0.00</v>
      </c>
      <c r="N300" t="str">
        <f>"0.00"</f>
        <v>0.00</v>
      </c>
      <c r="O300" t="str">
        <f>"002939"</f>
        <v>002939</v>
      </c>
      <c r="P300" t="str">
        <f>"0153613480"</f>
        <v>0153613480</v>
      </c>
    </row>
    <row r="301" spans="1:16" x14ac:dyDescent="0.25">
      <c r="A301" t="str">
        <f t="shared" si="95"/>
        <v>人民币</v>
      </c>
      <c r="B301" t="str">
        <f>""</f>
        <v/>
      </c>
      <c r="C301" t="str">
        <f>"20190826"</f>
        <v>20190826</v>
      </c>
      <c r="D301" t="str">
        <f>"---"</f>
        <v>---</v>
      </c>
      <c r="E301" t="str">
        <f>"---"</f>
        <v>---</v>
      </c>
      <c r="F301" t="str">
        <f>"30000.00"</f>
        <v>30000.00</v>
      </c>
      <c r="G301" t="str">
        <f>"30422.66"</f>
        <v>30422.66</v>
      </c>
      <c r="H301" t="str">
        <f>"---"</f>
        <v>---</v>
      </c>
      <c r="I301" t="str">
        <f>"---"</f>
        <v>---</v>
      </c>
      <c r="J301" t="str">
        <f>"银行转存"</f>
        <v>银行转存</v>
      </c>
      <c r="K301" t="str">
        <f t="shared" ref="K301:P301" si="107">"---"</f>
        <v>---</v>
      </c>
      <c r="L301" t="str">
        <f t="shared" si="107"/>
        <v>---</v>
      </c>
      <c r="M301" t="str">
        <f t="shared" si="107"/>
        <v>---</v>
      </c>
      <c r="N301" t="str">
        <f t="shared" si="107"/>
        <v>---</v>
      </c>
      <c r="O301" t="str">
        <f t="shared" si="107"/>
        <v>---</v>
      </c>
      <c r="P301" t="str">
        <f t="shared" si="107"/>
        <v>---</v>
      </c>
    </row>
    <row r="302" spans="1:16" x14ac:dyDescent="0.25">
      <c r="A302" t="str">
        <f t="shared" si="95"/>
        <v>人民币</v>
      </c>
      <c r="B302" t="str">
        <f>"航发科技"</f>
        <v>航发科技</v>
      </c>
      <c r="C302" t="str">
        <f>"20190826"</f>
        <v>20190826</v>
      </c>
      <c r="D302" t="str">
        <f>"16.960"</f>
        <v>16.960</v>
      </c>
      <c r="E302" t="str">
        <f>"600.00"</f>
        <v>600.00</v>
      </c>
      <c r="F302" t="str">
        <f>"-10186.38"</f>
        <v>-10186.38</v>
      </c>
      <c r="G302" t="str">
        <f>"20236.28"</f>
        <v>20236.28</v>
      </c>
      <c r="H302" t="str">
        <f>"3000.00"</f>
        <v>3000.00</v>
      </c>
      <c r="I302" t="str">
        <f>"156"</f>
        <v>156</v>
      </c>
      <c r="J302" t="str">
        <f>"证券买入(航发科技)"</f>
        <v>证券买入(航发科技)</v>
      </c>
      <c r="K302" t="str">
        <f>"10.18"</f>
        <v>10.18</v>
      </c>
      <c r="L302" t="str">
        <f>"0.00"</f>
        <v>0.00</v>
      </c>
      <c r="M302" t="str">
        <f>"0.20"</f>
        <v>0.20</v>
      </c>
      <c r="N302" t="str">
        <f t="shared" ref="N302:N327" si="108">"0.00"</f>
        <v>0.00</v>
      </c>
      <c r="O302" t="str">
        <f>"600391"</f>
        <v>600391</v>
      </c>
      <c r="P302" t="str">
        <f>"A400948245"</f>
        <v>A400948245</v>
      </c>
    </row>
    <row r="303" spans="1:16" x14ac:dyDescent="0.25">
      <c r="A303" t="str">
        <f t="shared" si="95"/>
        <v>人民币</v>
      </c>
      <c r="B303" t="str">
        <f>"凯龙股份"</f>
        <v>凯龙股份</v>
      </c>
      <c r="C303" t="str">
        <f>"20190826"</f>
        <v>20190826</v>
      </c>
      <c r="D303" t="str">
        <f>"11.400"</f>
        <v>11.400</v>
      </c>
      <c r="E303" t="str">
        <f>"-900.00"</f>
        <v>-900.00</v>
      </c>
      <c r="F303" t="str">
        <f>"10239.48"</f>
        <v>10239.48</v>
      </c>
      <c r="G303" t="str">
        <f>"30475.76"</f>
        <v>30475.76</v>
      </c>
      <c r="H303" t="str">
        <f>"5800.00"</f>
        <v>5800.00</v>
      </c>
      <c r="I303" t="str">
        <f>"160"</f>
        <v>160</v>
      </c>
      <c r="J303" t="str">
        <f>"证券卖出(凯龙股份)"</f>
        <v>证券卖出(凯龙股份)</v>
      </c>
      <c r="K303" t="str">
        <f>"10.26"</f>
        <v>10.26</v>
      </c>
      <c r="L303" t="str">
        <f>"10.26"</f>
        <v>10.26</v>
      </c>
      <c r="M303" t="str">
        <f>"0.00"</f>
        <v>0.00</v>
      </c>
      <c r="N303" t="str">
        <f t="shared" si="108"/>
        <v>0.00</v>
      </c>
      <c r="O303" t="str">
        <f>"002783"</f>
        <v>002783</v>
      </c>
      <c r="P303" t="str">
        <f>"0153613480"</f>
        <v>0153613480</v>
      </c>
    </row>
    <row r="304" spans="1:16" x14ac:dyDescent="0.25">
      <c r="A304" t="str">
        <f t="shared" si="95"/>
        <v>人民币</v>
      </c>
      <c r="B304" t="str">
        <f>"中通国脉"</f>
        <v>中通国脉</v>
      </c>
      <c r="C304" t="str">
        <f t="shared" ref="C304:C309" si="109">"20190827"</f>
        <v>20190827</v>
      </c>
      <c r="D304" t="str">
        <f>"19.500"</f>
        <v>19.500</v>
      </c>
      <c r="E304" t="str">
        <f>"500.00"</f>
        <v>500.00</v>
      </c>
      <c r="F304" t="str">
        <f>"-9759.95"</f>
        <v>-9759.95</v>
      </c>
      <c r="G304" t="str">
        <f>"20715.81"</f>
        <v>20715.81</v>
      </c>
      <c r="H304" t="str">
        <f>"3100.00"</f>
        <v>3100.00</v>
      </c>
      <c r="I304" t="str">
        <f>"179"</f>
        <v>179</v>
      </c>
      <c r="J304" t="str">
        <f>"证券买入(中通国脉)"</f>
        <v>证券买入(中通国脉)</v>
      </c>
      <c r="K304" t="str">
        <f>"9.75"</f>
        <v>9.75</v>
      </c>
      <c r="L304" t="str">
        <f>"0.00"</f>
        <v>0.00</v>
      </c>
      <c r="M304" t="str">
        <f>"0.20"</f>
        <v>0.20</v>
      </c>
      <c r="N304" t="str">
        <f t="shared" si="108"/>
        <v>0.00</v>
      </c>
      <c r="O304" t="str">
        <f>"603559"</f>
        <v>603559</v>
      </c>
      <c r="P304" t="str">
        <f>"A400948245"</f>
        <v>A400948245</v>
      </c>
    </row>
    <row r="305" spans="1:16" x14ac:dyDescent="0.25">
      <c r="A305" t="str">
        <f t="shared" si="95"/>
        <v>人民币</v>
      </c>
      <c r="B305" t="str">
        <f>"中通国脉"</f>
        <v>中通国脉</v>
      </c>
      <c r="C305" t="str">
        <f t="shared" si="109"/>
        <v>20190827</v>
      </c>
      <c r="D305" t="str">
        <f>"19.360"</f>
        <v>19.360</v>
      </c>
      <c r="E305" t="str">
        <f>"400.00"</f>
        <v>400.00</v>
      </c>
      <c r="F305" t="str">
        <f>"-7751.90"</f>
        <v>-7751.90</v>
      </c>
      <c r="G305" t="str">
        <f>"12963.91"</f>
        <v>12963.91</v>
      </c>
      <c r="H305" t="str">
        <f>"3500.00"</f>
        <v>3500.00</v>
      </c>
      <c r="I305" t="str">
        <f>"182"</f>
        <v>182</v>
      </c>
      <c r="J305" t="str">
        <f>"证券买入(中通国脉)"</f>
        <v>证券买入(中通国脉)</v>
      </c>
      <c r="K305" t="str">
        <f>"7.74"</f>
        <v>7.74</v>
      </c>
      <c r="L305" t="str">
        <f>"0.00"</f>
        <v>0.00</v>
      </c>
      <c r="M305" t="str">
        <f>"0.16"</f>
        <v>0.16</v>
      </c>
      <c r="N305" t="str">
        <f t="shared" si="108"/>
        <v>0.00</v>
      </c>
      <c r="O305" t="str">
        <f>"603559"</f>
        <v>603559</v>
      </c>
      <c r="P305" t="str">
        <f>"A400948245"</f>
        <v>A400948245</v>
      </c>
    </row>
    <row r="306" spans="1:16" x14ac:dyDescent="0.25">
      <c r="A306" t="str">
        <f t="shared" si="95"/>
        <v>人民币</v>
      </c>
      <c r="B306" t="str">
        <f>"长城证券"</f>
        <v>长城证券</v>
      </c>
      <c r="C306" t="str">
        <f t="shared" si="109"/>
        <v>20190827</v>
      </c>
      <c r="D306" t="str">
        <f>"16.310"</f>
        <v>16.310</v>
      </c>
      <c r="E306" t="str">
        <f>"-1100.00"</f>
        <v>-1100.00</v>
      </c>
      <c r="F306" t="str">
        <f>"17905.12"</f>
        <v>17905.12</v>
      </c>
      <c r="G306" t="str">
        <f>"30869.03"</f>
        <v>30869.03</v>
      </c>
      <c r="H306" t="str">
        <f>"0.00"</f>
        <v>0.00</v>
      </c>
      <c r="I306" t="str">
        <f>"173"</f>
        <v>173</v>
      </c>
      <c r="J306" t="str">
        <f>"证券卖出(长城证券)"</f>
        <v>证券卖出(长城证券)</v>
      </c>
      <c r="K306" t="str">
        <f>"17.94"</f>
        <v>17.94</v>
      </c>
      <c r="L306" t="str">
        <f>"17.94"</f>
        <v>17.94</v>
      </c>
      <c r="M306" t="str">
        <f>"0.00"</f>
        <v>0.00</v>
      </c>
      <c r="N306" t="str">
        <f t="shared" si="108"/>
        <v>0.00</v>
      </c>
      <c r="O306" t="str">
        <f>"002939"</f>
        <v>002939</v>
      </c>
      <c r="P306" t="str">
        <f>"0153613480"</f>
        <v>0153613480</v>
      </c>
    </row>
    <row r="307" spans="1:16" x14ac:dyDescent="0.25">
      <c r="A307" t="str">
        <f t="shared" si="95"/>
        <v>人民币</v>
      </c>
      <c r="B307" t="str">
        <f>"凯龙股份"</f>
        <v>凯龙股份</v>
      </c>
      <c r="C307" t="str">
        <f t="shared" si="109"/>
        <v>20190827</v>
      </c>
      <c r="D307" t="str">
        <f>"12.460"</f>
        <v>12.460</v>
      </c>
      <c r="E307" t="str">
        <f>"1000.00"</f>
        <v>1000.00</v>
      </c>
      <c r="F307" t="str">
        <f>"-12472.46"</f>
        <v>-12472.46</v>
      </c>
      <c r="G307" t="str">
        <f>"18396.57"</f>
        <v>18396.57</v>
      </c>
      <c r="H307" t="str">
        <f>"6800.00"</f>
        <v>6800.00</v>
      </c>
      <c r="I307" t="str">
        <f>"167"</f>
        <v>167</v>
      </c>
      <c r="J307" t="str">
        <f>"证券买入(凯龙股份)"</f>
        <v>证券买入(凯龙股份)</v>
      </c>
      <c r="K307" t="str">
        <f>"12.46"</f>
        <v>12.46</v>
      </c>
      <c r="L307" t="str">
        <f>"0.00"</f>
        <v>0.00</v>
      </c>
      <c r="M307" t="str">
        <f>"0.00"</f>
        <v>0.00</v>
      </c>
      <c r="N307" t="str">
        <f t="shared" si="108"/>
        <v>0.00</v>
      </c>
      <c r="O307" t="str">
        <f>"002783"</f>
        <v>002783</v>
      </c>
      <c r="P307" t="str">
        <f>"0153613480"</f>
        <v>0153613480</v>
      </c>
    </row>
    <row r="308" spans="1:16" x14ac:dyDescent="0.25">
      <c r="A308" t="str">
        <f t="shared" si="95"/>
        <v>人民币</v>
      </c>
      <c r="B308" t="str">
        <f>"凯龙股份"</f>
        <v>凯龙股份</v>
      </c>
      <c r="C308" t="str">
        <f t="shared" si="109"/>
        <v>20190827</v>
      </c>
      <c r="D308" t="str">
        <f>"13.170"</f>
        <v>13.170</v>
      </c>
      <c r="E308" t="str">
        <f>"-1000.00"</f>
        <v>-1000.00</v>
      </c>
      <c r="F308" t="str">
        <f>"13143.66"</f>
        <v>13143.66</v>
      </c>
      <c r="G308" t="str">
        <f>"31540.23"</f>
        <v>31540.23</v>
      </c>
      <c r="H308" t="str">
        <f>"5800.00"</f>
        <v>5800.00</v>
      </c>
      <c r="I308" t="str">
        <f>"176"</f>
        <v>176</v>
      </c>
      <c r="J308" t="str">
        <f>"证券卖出(凯龙股份)"</f>
        <v>证券卖出(凯龙股份)</v>
      </c>
      <c r="K308" t="str">
        <f>"13.17"</f>
        <v>13.17</v>
      </c>
      <c r="L308" t="str">
        <f>"13.17"</f>
        <v>13.17</v>
      </c>
      <c r="M308" t="str">
        <f>"0.00"</f>
        <v>0.00</v>
      </c>
      <c r="N308" t="str">
        <f t="shared" si="108"/>
        <v>0.00</v>
      </c>
      <c r="O308" t="str">
        <f>"002783"</f>
        <v>002783</v>
      </c>
      <c r="P308" t="str">
        <f>"0153613480"</f>
        <v>0153613480</v>
      </c>
    </row>
    <row r="309" spans="1:16" x14ac:dyDescent="0.25">
      <c r="A309" t="str">
        <f t="shared" si="95"/>
        <v>人民币</v>
      </c>
      <c r="B309" t="str">
        <f>"瑞达期货"</f>
        <v>瑞达期货</v>
      </c>
      <c r="C309" t="str">
        <f t="shared" si="109"/>
        <v>20190827</v>
      </c>
      <c r="D309" t="str">
        <f>"0.000"</f>
        <v>0.000</v>
      </c>
      <c r="E309" t="str">
        <f>"12.00"</f>
        <v>12.00</v>
      </c>
      <c r="F309" t="str">
        <f>"0.00"</f>
        <v>0.00</v>
      </c>
      <c r="G309" t="str">
        <f>"31540.23"</f>
        <v>31540.23</v>
      </c>
      <c r="H309" t="str">
        <f>"0.00"</f>
        <v>0.00</v>
      </c>
      <c r="I309" t="str">
        <f>"171"</f>
        <v>171</v>
      </c>
      <c r="J309" t="str">
        <f>"申购配号(瑞达期货)"</f>
        <v>申购配号(瑞达期货)</v>
      </c>
      <c r="K309" t="str">
        <f>"0.00"</f>
        <v>0.00</v>
      </c>
      <c r="L309" t="str">
        <f>"0.00"</f>
        <v>0.00</v>
      </c>
      <c r="M309" t="str">
        <f>"0.00"</f>
        <v>0.00</v>
      </c>
      <c r="N309" t="str">
        <f t="shared" si="108"/>
        <v>0.00</v>
      </c>
      <c r="O309" t="str">
        <f>"002961"</f>
        <v>002961</v>
      </c>
      <c r="P309" t="str">
        <f>"0153613480"</f>
        <v>0153613480</v>
      </c>
    </row>
    <row r="310" spans="1:16" x14ac:dyDescent="0.25">
      <c r="A310" t="str">
        <f t="shared" si="95"/>
        <v>人民币</v>
      </c>
      <c r="B310" t="str">
        <f>"航发科技"</f>
        <v>航发科技</v>
      </c>
      <c r="C310" t="str">
        <f>"20190828"</f>
        <v>20190828</v>
      </c>
      <c r="D310" t="str">
        <f>"17.590"</f>
        <v>17.590</v>
      </c>
      <c r="E310" t="str">
        <f>"-600.00"</f>
        <v>-600.00</v>
      </c>
      <c r="F310" t="str">
        <f>"10532.69"</f>
        <v>10532.69</v>
      </c>
      <c r="G310" t="str">
        <f>"42072.92"</f>
        <v>42072.92</v>
      </c>
      <c r="H310" t="str">
        <f>"2400.00"</f>
        <v>2400.00</v>
      </c>
      <c r="I310" t="str">
        <f>"201"</f>
        <v>201</v>
      </c>
      <c r="J310" t="str">
        <f>"证券卖出(航发科技)"</f>
        <v>证券卖出(航发科技)</v>
      </c>
      <c r="K310" t="str">
        <f>"10.55"</f>
        <v>10.55</v>
      </c>
      <c r="L310" t="str">
        <f>"10.55"</f>
        <v>10.55</v>
      </c>
      <c r="M310" t="str">
        <f>"0.21"</f>
        <v>0.21</v>
      </c>
      <c r="N310" t="str">
        <f t="shared" si="108"/>
        <v>0.00</v>
      </c>
      <c r="O310" t="str">
        <f>"600391"</f>
        <v>600391</v>
      </c>
      <c r="P310" t="str">
        <f>"A400948245"</f>
        <v>A400948245</v>
      </c>
    </row>
    <row r="311" spans="1:16" x14ac:dyDescent="0.25">
      <c r="A311" t="str">
        <f t="shared" si="95"/>
        <v>人民币</v>
      </c>
      <c r="B311" t="str">
        <f>"中科配号"</f>
        <v>中科配号</v>
      </c>
      <c r="C311" t="str">
        <f>"20190828"</f>
        <v>20190828</v>
      </c>
      <c r="D311" t="str">
        <f>"0.000"</f>
        <v>0.000</v>
      </c>
      <c r="E311" t="str">
        <f>"10.00"</f>
        <v>10.00</v>
      </c>
      <c r="F311" t="str">
        <f>"0.00"</f>
        <v>0.00</v>
      </c>
      <c r="G311" t="str">
        <f>"42072.92"</f>
        <v>42072.92</v>
      </c>
      <c r="H311" t="str">
        <f>"0.00"</f>
        <v>0.00</v>
      </c>
      <c r="I311" t="str">
        <f>"204"</f>
        <v>204</v>
      </c>
      <c r="J311" t="str">
        <f>"申购配号(中科配号)"</f>
        <v>申购配号(中科配号)</v>
      </c>
      <c r="K311" t="str">
        <f>"0.00"</f>
        <v>0.00</v>
      </c>
      <c r="L311" t="str">
        <f>"0.00"</f>
        <v>0.00</v>
      </c>
      <c r="M311" t="str">
        <f>"0.00"</f>
        <v>0.00</v>
      </c>
      <c r="N311" t="str">
        <f t="shared" si="108"/>
        <v>0.00</v>
      </c>
      <c r="O311" t="str">
        <f>"736927"</f>
        <v>736927</v>
      </c>
      <c r="P311" t="str">
        <f>"A400948245"</f>
        <v>A400948245</v>
      </c>
    </row>
    <row r="312" spans="1:16" x14ac:dyDescent="0.25">
      <c r="A312" t="str">
        <f t="shared" si="95"/>
        <v>人民币</v>
      </c>
      <c r="B312" t="str">
        <f>"凯龙股份"</f>
        <v>凯龙股份</v>
      </c>
      <c r="C312" t="str">
        <f>"20190828"</f>
        <v>20190828</v>
      </c>
      <c r="D312" t="str">
        <f>"12.900"</f>
        <v>12.900</v>
      </c>
      <c r="E312" t="str">
        <f>"1000.00"</f>
        <v>1000.00</v>
      </c>
      <c r="F312" t="str">
        <f>"-12912.90"</f>
        <v>-12912.90</v>
      </c>
      <c r="G312" t="str">
        <f>"29160.02"</f>
        <v>29160.02</v>
      </c>
      <c r="H312" t="str">
        <f>"6800.00"</f>
        <v>6800.00</v>
      </c>
      <c r="I312" t="str">
        <f>"198"</f>
        <v>198</v>
      </c>
      <c r="J312" t="str">
        <f>"证券买入(凯龙股份)"</f>
        <v>证券买入(凯龙股份)</v>
      </c>
      <c r="K312" t="str">
        <f>"12.90"</f>
        <v>12.90</v>
      </c>
      <c r="L312" t="str">
        <f t="shared" ref="L312:M314" si="110">"0.00"</f>
        <v>0.00</v>
      </c>
      <c r="M312" t="str">
        <f t="shared" si="110"/>
        <v>0.00</v>
      </c>
      <c r="N312" t="str">
        <f t="shared" si="108"/>
        <v>0.00</v>
      </c>
      <c r="O312" t="str">
        <f>"002783"</f>
        <v>002783</v>
      </c>
      <c r="P312" t="str">
        <f>"0153613480"</f>
        <v>0153613480</v>
      </c>
    </row>
    <row r="313" spans="1:16" x14ac:dyDescent="0.25">
      <c r="A313" t="str">
        <f t="shared" si="95"/>
        <v>人民币</v>
      </c>
      <c r="B313" t="str">
        <f>"凯龙股份"</f>
        <v>凯龙股份</v>
      </c>
      <c r="C313" t="str">
        <f>"20190828"</f>
        <v>20190828</v>
      </c>
      <c r="D313" t="str">
        <f>"13.050"</f>
        <v>13.050</v>
      </c>
      <c r="E313" t="str">
        <f>"1000.00"</f>
        <v>1000.00</v>
      </c>
      <c r="F313" t="str">
        <f>"-13063.05"</f>
        <v>-13063.05</v>
      </c>
      <c r="G313" t="str">
        <f>"16096.97"</f>
        <v>16096.97</v>
      </c>
      <c r="H313" t="str">
        <f>"7800.00"</f>
        <v>7800.00</v>
      </c>
      <c r="I313" t="str">
        <f>"206"</f>
        <v>206</v>
      </c>
      <c r="J313" t="str">
        <f>"证券买入(凯龙股份)"</f>
        <v>证券买入(凯龙股份)</v>
      </c>
      <c r="K313" t="str">
        <f>"13.05"</f>
        <v>13.05</v>
      </c>
      <c r="L313" t="str">
        <f t="shared" si="110"/>
        <v>0.00</v>
      </c>
      <c r="M313" t="str">
        <f t="shared" si="110"/>
        <v>0.00</v>
      </c>
      <c r="N313" t="str">
        <f t="shared" si="108"/>
        <v>0.00</v>
      </c>
      <c r="O313" t="str">
        <f>"002783"</f>
        <v>002783</v>
      </c>
      <c r="P313" t="str">
        <f>"0153613480"</f>
        <v>0153613480</v>
      </c>
    </row>
    <row r="314" spans="1:16" x14ac:dyDescent="0.25">
      <c r="A314" t="str">
        <f t="shared" si="95"/>
        <v>人民币</v>
      </c>
      <c r="B314" t="str">
        <f>"凯龙股份"</f>
        <v>凯龙股份</v>
      </c>
      <c r="C314" t="str">
        <f>"20190828"</f>
        <v>20190828</v>
      </c>
      <c r="D314" t="str">
        <f>"12.560"</f>
        <v>12.560</v>
      </c>
      <c r="E314" t="str">
        <f>"1000.00"</f>
        <v>1000.00</v>
      </c>
      <c r="F314" t="str">
        <f>"-12572.56"</f>
        <v>-12572.56</v>
      </c>
      <c r="G314" t="str">
        <f>"3524.41"</f>
        <v>3524.41</v>
      </c>
      <c r="H314" t="str">
        <f>"8800.00"</f>
        <v>8800.00</v>
      </c>
      <c r="I314" t="str">
        <f>"212"</f>
        <v>212</v>
      </c>
      <c r="J314" t="str">
        <f>"证券买入(凯龙股份)"</f>
        <v>证券买入(凯龙股份)</v>
      </c>
      <c r="K314" t="str">
        <f>"12.56"</f>
        <v>12.56</v>
      </c>
      <c r="L314" t="str">
        <f t="shared" si="110"/>
        <v>0.00</v>
      </c>
      <c r="M314" t="str">
        <f t="shared" si="110"/>
        <v>0.00</v>
      </c>
      <c r="N314" t="str">
        <f t="shared" si="108"/>
        <v>0.00</v>
      </c>
      <c r="O314" t="str">
        <f>"002783"</f>
        <v>002783</v>
      </c>
      <c r="P314" t="str">
        <f>"0153613480"</f>
        <v>0153613480</v>
      </c>
    </row>
    <row r="315" spans="1:16" x14ac:dyDescent="0.25">
      <c r="A315" t="str">
        <f t="shared" si="95"/>
        <v>人民币</v>
      </c>
      <c r="B315" t="str">
        <f>"航发科技"</f>
        <v>航发科技</v>
      </c>
      <c r="C315" t="str">
        <f>"20190829"</f>
        <v>20190829</v>
      </c>
      <c r="D315" t="str">
        <f>"17.920"</f>
        <v>17.920</v>
      </c>
      <c r="E315" t="str">
        <f>"-800.00"</f>
        <v>-800.00</v>
      </c>
      <c r="F315" t="str">
        <f>"14307.03"</f>
        <v>14307.03</v>
      </c>
      <c r="G315" t="str">
        <f>"17831.44"</f>
        <v>17831.44</v>
      </c>
      <c r="H315" t="str">
        <f>"1600.00"</f>
        <v>1600.00</v>
      </c>
      <c r="I315" t="str">
        <f>"227"</f>
        <v>227</v>
      </c>
      <c r="J315" t="str">
        <f>"证券卖出(航发科技)"</f>
        <v>证券卖出(航发科技)</v>
      </c>
      <c r="K315" t="str">
        <f>"14.34"</f>
        <v>14.34</v>
      </c>
      <c r="L315" t="str">
        <f>"14.34"</f>
        <v>14.34</v>
      </c>
      <c r="M315" t="str">
        <f>"0.29"</f>
        <v>0.29</v>
      </c>
      <c r="N315" t="str">
        <f t="shared" si="108"/>
        <v>0.00</v>
      </c>
      <c r="O315" t="str">
        <f>"600391"</f>
        <v>600391</v>
      </c>
      <c r="P315" t="str">
        <f>"A400948245"</f>
        <v>A400948245</v>
      </c>
    </row>
    <row r="316" spans="1:16" x14ac:dyDescent="0.25">
      <c r="A316" t="str">
        <f t="shared" si="95"/>
        <v>人民币</v>
      </c>
      <c r="B316" t="str">
        <f>"航发科技"</f>
        <v>航发科技</v>
      </c>
      <c r="C316" t="str">
        <f>"20190830"</f>
        <v>20190830</v>
      </c>
      <c r="D316" t="str">
        <f>"18.000"</f>
        <v>18.000</v>
      </c>
      <c r="E316" t="str">
        <f>"-1000.00"</f>
        <v>-1000.00</v>
      </c>
      <c r="F316" t="str">
        <f>"17963.64"</f>
        <v>17963.64</v>
      </c>
      <c r="G316" t="str">
        <f>"35795.08"</f>
        <v>35795.08</v>
      </c>
      <c r="H316" t="str">
        <f>"600.00"</f>
        <v>600.00</v>
      </c>
      <c r="I316" t="str">
        <f>"238"</f>
        <v>238</v>
      </c>
      <c r="J316" t="str">
        <f>"证券卖出(航发科技)"</f>
        <v>证券卖出(航发科技)</v>
      </c>
      <c r="K316" t="str">
        <f>"18.00"</f>
        <v>18.00</v>
      </c>
      <c r="L316" t="str">
        <f>"18.00"</f>
        <v>18.00</v>
      </c>
      <c r="M316" t="str">
        <f>"0.36"</f>
        <v>0.36</v>
      </c>
      <c r="N316" t="str">
        <f t="shared" si="108"/>
        <v>0.00</v>
      </c>
      <c r="O316" t="str">
        <f>"600391"</f>
        <v>600391</v>
      </c>
      <c r="P316" t="str">
        <f>"A400948245"</f>
        <v>A400948245</v>
      </c>
    </row>
    <row r="317" spans="1:16" x14ac:dyDescent="0.25">
      <c r="A317" t="str">
        <f t="shared" si="95"/>
        <v>人民币</v>
      </c>
      <c r="B317" t="str">
        <f>"航发科技"</f>
        <v>航发科技</v>
      </c>
      <c r="C317" t="str">
        <f>"20190830"</f>
        <v>20190830</v>
      </c>
      <c r="D317" t="str">
        <f>"18.040"</f>
        <v>18.040</v>
      </c>
      <c r="E317" t="str">
        <f>"-600.00"</f>
        <v>-600.00</v>
      </c>
      <c r="F317" t="str">
        <f>"10802.14"</f>
        <v>10802.14</v>
      </c>
      <c r="G317" t="str">
        <f>"46597.22"</f>
        <v>46597.22</v>
      </c>
      <c r="H317" t="str">
        <f>"0.00"</f>
        <v>0.00</v>
      </c>
      <c r="I317" t="str">
        <f>"245"</f>
        <v>245</v>
      </c>
      <c r="J317" t="str">
        <f>"证券卖出(航发科技)"</f>
        <v>证券卖出(航发科技)</v>
      </c>
      <c r="K317" t="str">
        <f>"10.82"</f>
        <v>10.82</v>
      </c>
      <c r="L317" t="str">
        <f>"10.82"</f>
        <v>10.82</v>
      </c>
      <c r="M317" t="str">
        <f>"0.22"</f>
        <v>0.22</v>
      </c>
      <c r="N317" t="str">
        <f t="shared" si="108"/>
        <v>0.00</v>
      </c>
      <c r="O317" t="str">
        <f>"600391"</f>
        <v>600391</v>
      </c>
      <c r="P317" t="str">
        <f>"A400948245"</f>
        <v>A400948245</v>
      </c>
    </row>
    <row r="318" spans="1:16" x14ac:dyDescent="0.25">
      <c r="A318" t="str">
        <f t="shared" si="95"/>
        <v>人民币</v>
      </c>
      <c r="B318" t="str">
        <f>"凯龙股份"</f>
        <v>凯龙股份</v>
      </c>
      <c r="C318" t="str">
        <f>"20190830"</f>
        <v>20190830</v>
      </c>
      <c r="D318" t="str">
        <f>"12.170"</f>
        <v>12.170</v>
      </c>
      <c r="E318" t="str">
        <f>"1200.00"</f>
        <v>1200.00</v>
      </c>
      <c r="F318" t="str">
        <f>"-14618.60"</f>
        <v>-14618.60</v>
      </c>
      <c r="G318" t="str">
        <f>"31978.62"</f>
        <v>31978.62</v>
      </c>
      <c r="H318" t="str">
        <f>"10000.00"</f>
        <v>10000.00</v>
      </c>
      <c r="I318" t="str">
        <f>"248"</f>
        <v>248</v>
      </c>
      <c r="J318" t="str">
        <f>"证券买入(凯龙股份)"</f>
        <v>证券买入(凯龙股份)</v>
      </c>
      <c r="K318" t="str">
        <f>"14.60"</f>
        <v>14.60</v>
      </c>
      <c r="L318" t="str">
        <f>"0.00"</f>
        <v>0.00</v>
      </c>
      <c r="M318" t="str">
        <f>"0.00"</f>
        <v>0.00</v>
      </c>
      <c r="N318" t="str">
        <f t="shared" si="108"/>
        <v>0.00</v>
      </c>
      <c r="O318" t="str">
        <f>"002783"</f>
        <v>002783</v>
      </c>
      <c r="P318" t="str">
        <f>"0153613480"</f>
        <v>0153613480</v>
      </c>
    </row>
    <row r="319" spans="1:16" x14ac:dyDescent="0.25">
      <c r="A319" t="str">
        <f t="shared" si="95"/>
        <v>人民币</v>
      </c>
      <c r="B319" t="str">
        <f>"华脉科技"</f>
        <v>华脉科技</v>
      </c>
      <c r="C319" t="str">
        <f>"20190902"</f>
        <v>20190902</v>
      </c>
      <c r="D319" t="str">
        <f>"14.240"</f>
        <v>14.240</v>
      </c>
      <c r="E319" t="str">
        <f>"600.00"</f>
        <v>600.00</v>
      </c>
      <c r="F319" t="str">
        <f>"-8552.71"</f>
        <v>-8552.71</v>
      </c>
      <c r="G319" t="str">
        <f>"23425.91"</f>
        <v>23425.91</v>
      </c>
      <c r="H319" t="str">
        <f>"2300.00"</f>
        <v>2300.00</v>
      </c>
      <c r="I319" t="str">
        <f>"260"</f>
        <v>260</v>
      </c>
      <c r="J319" t="str">
        <f>"证券买入(华脉科技)"</f>
        <v>证券买入(华脉科技)</v>
      </c>
      <c r="K319" t="str">
        <f>"8.54"</f>
        <v>8.54</v>
      </c>
      <c r="L319" t="str">
        <f>"0.00"</f>
        <v>0.00</v>
      </c>
      <c r="M319" t="str">
        <f>"0.17"</f>
        <v>0.17</v>
      </c>
      <c r="N319" t="str">
        <f t="shared" si="108"/>
        <v>0.00</v>
      </c>
      <c r="O319" t="str">
        <f>"603042"</f>
        <v>603042</v>
      </c>
      <c r="P319" t="str">
        <f t="shared" ref="P319:P324" si="111">"A400948245"</f>
        <v>A400948245</v>
      </c>
    </row>
    <row r="320" spans="1:16" x14ac:dyDescent="0.25">
      <c r="A320" t="str">
        <f t="shared" ref="A320:A383" si="112">"人民币"</f>
        <v>人民币</v>
      </c>
      <c r="B320" t="str">
        <f>"华脉科技"</f>
        <v>华脉科技</v>
      </c>
      <c r="C320" t="str">
        <f>"20190902"</f>
        <v>20190902</v>
      </c>
      <c r="D320" t="str">
        <f>"14.500"</f>
        <v>14.500</v>
      </c>
      <c r="E320" t="str">
        <f>"-600.00"</f>
        <v>-600.00</v>
      </c>
      <c r="F320" t="str">
        <f>"8682.43"</f>
        <v>8682.43</v>
      </c>
      <c r="G320" t="str">
        <f>"32108.34"</f>
        <v>32108.34</v>
      </c>
      <c r="H320" t="str">
        <f>"1700.00"</f>
        <v>1700.00</v>
      </c>
      <c r="I320" t="str">
        <f>"267"</f>
        <v>267</v>
      </c>
      <c r="J320" t="str">
        <f>"证券卖出(华脉科技)"</f>
        <v>证券卖出(华脉科技)</v>
      </c>
      <c r="K320" t="str">
        <f>"8.70"</f>
        <v>8.70</v>
      </c>
      <c r="L320" t="str">
        <f>"8.70"</f>
        <v>8.70</v>
      </c>
      <c r="M320" t="str">
        <f>"0.17"</f>
        <v>0.17</v>
      </c>
      <c r="N320" t="str">
        <f t="shared" si="108"/>
        <v>0.00</v>
      </c>
      <c r="O320" t="str">
        <f>"603042"</f>
        <v>603042</v>
      </c>
      <c r="P320" t="str">
        <f t="shared" si="111"/>
        <v>A400948245</v>
      </c>
    </row>
    <row r="321" spans="1:16" x14ac:dyDescent="0.25">
      <c r="A321" t="str">
        <f t="shared" si="112"/>
        <v>人民币</v>
      </c>
      <c r="B321" t="str">
        <f>"中通国脉"</f>
        <v>中通国脉</v>
      </c>
      <c r="C321" t="str">
        <f t="shared" ref="C321:C327" si="113">"20190903"</f>
        <v>20190903</v>
      </c>
      <c r="D321" t="str">
        <f>"19.520"</f>
        <v>19.520</v>
      </c>
      <c r="E321" t="str">
        <f>"-400.00"</f>
        <v>-400.00</v>
      </c>
      <c r="F321" t="str">
        <f>"7792.22"</f>
        <v>7792.22</v>
      </c>
      <c r="G321" t="str">
        <f>"39900.56"</f>
        <v>39900.56</v>
      </c>
      <c r="H321" t="str">
        <f>"3100.00"</f>
        <v>3100.00</v>
      </c>
      <c r="I321" t="str">
        <f>"286"</f>
        <v>286</v>
      </c>
      <c r="J321" t="str">
        <f>"证券卖出(中通国脉)"</f>
        <v>证券卖出(中通国脉)</v>
      </c>
      <c r="K321" t="str">
        <f>"7.81"</f>
        <v>7.81</v>
      </c>
      <c r="L321" t="str">
        <f>"7.81"</f>
        <v>7.81</v>
      </c>
      <c r="M321" t="str">
        <f>"0.16"</f>
        <v>0.16</v>
      </c>
      <c r="N321" t="str">
        <f t="shared" si="108"/>
        <v>0.00</v>
      </c>
      <c r="O321" t="str">
        <f>"603559"</f>
        <v>603559</v>
      </c>
      <c r="P321" t="str">
        <f t="shared" si="111"/>
        <v>A400948245</v>
      </c>
    </row>
    <row r="322" spans="1:16" x14ac:dyDescent="0.25">
      <c r="A322" t="str">
        <f t="shared" si="112"/>
        <v>人民币</v>
      </c>
      <c r="B322" t="str">
        <f>"中通国脉"</f>
        <v>中通国脉</v>
      </c>
      <c r="C322" t="str">
        <f t="shared" si="113"/>
        <v>20190903</v>
      </c>
      <c r="D322" t="str">
        <f>"19.510"</f>
        <v>19.510</v>
      </c>
      <c r="E322" t="str">
        <f>"-500.00"</f>
        <v>-500.00</v>
      </c>
      <c r="F322" t="str">
        <f>"9735.29"</f>
        <v>9735.29</v>
      </c>
      <c r="G322" t="str">
        <f>"49635.85"</f>
        <v>49635.85</v>
      </c>
      <c r="H322" t="str">
        <f>"2600.00"</f>
        <v>2600.00</v>
      </c>
      <c r="I322" t="str">
        <f>"289"</f>
        <v>289</v>
      </c>
      <c r="J322" t="str">
        <f>"证券卖出(中通国脉)"</f>
        <v>证券卖出(中通国脉)</v>
      </c>
      <c r="K322" t="str">
        <f>"9.76"</f>
        <v>9.76</v>
      </c>
      <c r="L322" t="str">
        <f>"9.75"</f>
        <v>9.75</v>
      </c>
      <c r="M322" t="str">
        <f>"0.20"</f>
        <v>0.20</v>
      </c>
      <c r="N322" t="str">
        <f t="shared" si="108"/>
        <v>0.00</v>
      </c>
      <c r="O322" t="str">
        <f>"603559"</f>
        <v>603559</v>
      </c>
      <c r="P322" t="str">
        <f t="shared" si="111"/>
        <v>A400948245</v>
      </c>
    </row>
    <row r="323" spans="1:16" x14ac:dyDescent="0.25">
      <c r="A323" t="str">
        <f t="shared" si="112"/>
        <v>人民币</v>
      </c>
      <c r="B323" t="str">
        <f>"华脉科技"</f>
        <v>华脉科技</v>
      </c>
      <c r="C323" t="str">
        <f t="shared" si="113"/>
        <v>20190903</v>
      </c>
      <c r="D323" t="str">
        <f>"14.740"</f>
        <v>14.740</v>
      </c>
      <c r="E323" t="str">
        <f>"600.00"</f>
        <v>600.00</v>
      </c>
      <c r="F323" t="str">
        <f>"-8853.02"</f>
        <v>-8853.02</v>
      </c>
      <c r="G323" t="str">
        <f>"40782.83"</f>
        <v>40782.83</v>
      </c>
      <c r="H323" t="str">
        <f>"2300.00"</f>
        <v>2300.00</v>
      </c>
      <c r="I323" t="str">
        <f>"293"</f>
        <v>293</v>
      </c>
      <c r="J323" t="str">
        <f>"证券买入(华脉科技)"</f>
        <v>证券买入(华脉科技)</v>
      </c>
      <c r="K323" t="str">
        <f>"8.84"</f>
        <v>8.84</v>
      </c>
      <c r="L323" t="str">
        <f>"0.00"</f>
        <v>0.00</v>
      </c>
      <c r="M323" t="str">
        <f>"0.18"</f>
        <v>0.18</v>
      </c>
      <c r="N323" t="str">
        <f t="shared" si="108"/>
        <v>0.00</v>
      </c>
      <c r="O323" t="str">
        <f>"603042"</f>
        <v>603042</v>
      </c>
      <c r="P323" t="str">
        <f t="shared" si="111"/>
        <v>A400948245</v>
      </c>
    </row>
    <row r="324" spans="1:16" x14ac:dyDescent="0.25">
      <c r="A324" t="str">
        <f t="shared" si="112"/>
        <v>人民币</v>
      </c>
      <c r="B324" t="str">
        <f>"中通国脉"</f>
        <v>中通国脉</v>
      </c>
      <c r="C324" t="str">
        <f t="shared" si="113"/>
        <v>20190903</v>
      </c>
      <c r="D324" t="str">
        <f>"19.600"</f>
        <v>19.600</v>
      </c>
      <c r="E324" t="str">
        <f>"-200.00"</f>
        <v>-200.00</v>
      </c>
      <c r="F324" t="str">
        <f>"3911.00"</f>
        <v>3911.00</v>
      </c>
      <c r="G324" t="str">
        <f>"44693.83"</f>
        <v>44693.83</v>
      </c>
      <c r="H324" t="str">
        <f>"2400.00"</f>
        <v>2400.00</v>
      </c>
      <c r="I324" t="str">
        <f>"296"</f>
        <v>296</v>
      </c>
      <c r="J324" t="str">
        <f>"证券卖出(中通国脉)"</f>
        <v>证券卖出(中通国脉)</v>
      </c>
      <c r="K324" t="str">
        <f>"5.00"</f>
        <v>5.00</v>
      </c>
      <c r="L324" t="str">
        <f>"3.92"</f>
        <v>3.92</v>
      </c>
      <c r="M324" t="str">
        <f>"0.08"</f>
        <v>0.08</v>
      </c>
      <c r="N324" t="str">
        <f t="shared" si="108"/>
        <v>0.00</v>
      </c>
      <c r="O324" t="str">
        <f>"603559"</f>
        <v>603559</v>
      </c>
      <c r="P324" t="str">
        <f t="shared" si="111"/>
        <v>A400948245</v>
      </c>
    </row>
    <row r="325" spans="1:16" x14ac:dyDescent="0.25">
      <c r="A325" t="str">
        <f t="shared" si="112"/>
        <v>人民币</v>
      </c>
      <c r="B325" t="str">
        <f>"旋极信息"</f>
        <v>旋极信息</v>
      </c>
      <c r="C325" t="str">
        <f t="shared" si="113"/>
        <v>20190903</v>
      </c>
      <c r="D325" t="str">
        <f>"5.810"</f>
        <v>5.810</v>
      </c>
      <c r="E325" t="str">
        <f>"1500.00"</f>
        <v>1500.00</v>
      </c>
      <c r="F325" t="str">
        <f>"-8723.72"</f>
        <v>-8723.72</v>
      </c>
      <c r="G325" t="str">
        <f>"35970.11"</f>
        <v>35970.11</v>
      </c>
      <c r="H325" t="str">
        <f>"1500.00"</f>
        <v>1500.00</v>
      </c>
      <c r="I325" t="str">
        <f>"272"</f>
        <v>272</v>
      </c>
      <c r="J325" t="str">
        <f>"证券买入(旋极信息)"</f>
        <v>证券买入(旋极信息)</v>
      </c>
      <c r="K325" t="str">
        <f>"8.72"</f>
        <v>8.72</v>
      </c>
      <c r="L325" t="str">
        <f t="shared" ref="L325:M327" si="114">"0.00"</f>
        <v>0.00</v>
      </c>
      <c r="M325" t="str">
        <f t="shared" si="114"/>
        <v>0.00</v>
      </c>
      <c r="N325" t="str">
        <f t="shared" si="108"/>
        <v>0.00</v>
      </c>
      <c r="O325" t="str">
        <f>"300324"</f>
        <v>300324</v>
      </c>
      <c r="P325" t="str">
        <f>"0153613480"</f>
        <v>0153613480</v>
      </c>
    </row>
    <row r="326" spans="1:16" x14ac:dyDescent="0.25">
      <c r="A326" t="str">
        <f t="shared" si="112"/>
        <v>人民币</v>
      </c>
      <c r="B326" t="str">
        <f>"旋极信息"</f>
        <v>旋极信息</v>
      </c>
      <c r="C326" t="str">
        <f t="shared" si="113"/>
        <v>20190903</v>
      </c>
      <c r="D326" t="str">
        <f>"5.620"</f>
        <v>5.620</v>
      </c>
      <c r="E326" t="str">
        <f>"1000.00"</f>
        <v>1000.00</v>
      </c>
      <c r="F326" t="str">
        <f>"-5625.62"</f>
        <v>-5625.62</v>
      </c>
      <c r="G326" t="str">
        <f>"30344.49"</f>
        <v>30344.49</v>
      </c>
      <c r="H326" t="str">
        <f>"2500.00"</f>
        <v>2500.00</v>
      </c>
      <c r="I326" t="str">
        <f>"279"</f>
        <v>279</v>
      </c>
      <c r="J326" t="str">
        <f>"证券买入(旋极信息)"</f>
        <v>证券买入(旋极信息)</v>
      </c>
      <c r="K326" t="str">
        <f>"5.62"</f>
        <v>5.62</v>
      </c>
      <c r="L326" t="str">
        <f t="shared" si="114"/>
        <v>0.00</v>
      </c>
      <c r="M326" t="str">
        <f t="shared" si="114"/>
        <v>0.00</v>
      </c>
      <c r="N326" t="str">
        <f t="shared" si="108"/>
        <v>0.00</v>
      </c>
      <c r="O326" t="str">
        <f>"300324"</f>
        <v>300324</v>
      </c>
      <c r="P326" t="str">
        <f>"0153613480"</f>
        <v>0153613480</v>
      </c>
    </row>
    <row r="327" spans="1:16" x14ac:dyDescent="0.25">
      <c r="A327" t="str">
        <f t="shared" si="112"/>
        <v>人民币</v>
      </c>
      <c r="B327" t="str">
        <f>"旋极信息"</f>
        <v>旋极信息</v>
      </c>
      <c r="C327" t="str">
        <f t="shared" si="113"/>
        <v>20190903</v>
      </c>
      <c r="D327" t="str">
        <f>"5.590"</f>
        <v>5.590</v>
      </c>
      <c r="E327" t="str">
        <f>"500.00"</f>
        <v>500.00</v>
      </c>
      <c r="F327" t="str">
        <f>"-2800.00"</f>
        <v>-2800.00</v>
      </c>
      <c r="G327" t="str">
        <f>"27544.49"</f>
        <v>27544.49</v>
      </c>
      <c r="H327" t="str">
        <f>"3000.00"</f>
        <v>3000.00</v>
      </c>
      <c r="I327" t="str">
        <f>"299"</f>
        <v>299</v>
      </c>
      <c r="J327" t="str">
        <f>"证券买入(旋极信息)"</f>
        <v>证券买入(旋极信息)</v>
      </c>
      <c r="K327" t="str">
        <f>"5.00"</f>
        <v>5.00</v>
      </c>
      <c r="L327" t="str">
        <f t="shared" si="114"/>
        <v>0.00</v>
      </c>
      <c r="M327" t="str">
        <f t="shared" si="114"/>
        <v>0.00</v>
      </c>
      <c r="N327" t="str">
        <f t="shared" si="108"/>
        <v>0.00</v>
      </c>
      <c r="O327" t="str">
        <f>"300324"</f>
        <v>300324</v>
      </c>
      <c r="P327" t="str">
        <f>"0153613480"</f>
        <v>0153613480</v>
      </c>
    </row>
    <row r="328" spans="1:16" x14ac:dyDescent="0.25">
      <c r="A328" t="str">
        <f t="shared" si="112"/>
        <v>人民币</v>
      </c>
      <c r="B328" t="str">
        <f>"中通国脉"</f>
        <v>中通国脉</v>
      </c>
      <c r="C328" t="str">
        <f>"20190904"</f>
        <v>20190904</v>
      </c>
      <c r="D328" t="str">
        <f>"0.000"</f>
        <v>0.000</v>
      </c>
      <c r="E328" t="str">
        <f>"0.00"</f>
        <v>0.00</v>
      </c>
      <c r="F328" t="str">
        <f>"-0.66"</f>
        <v>-0.66</v>
      </c>
      <c r="G328" t="str">
        <f>"27543.83"</f>
        <v>27543.83</v>
      </c>
      <c r="H328" t="str">
        <f>"2400.00"</f>
        <v>2400.00</v>
      </c>
      <c r="I328" t="str">
        <f>"---"</f>
        <v>---</v>
      </c>
      <c r="J328" t="str">
        <f>"红利差异税扣税(中通国脉)"</f>
        <v>红利差异税扣税(中通国脉)</v>
      </c>
      <c r="K328" t="str">
        <f t="shared" ref="K328:N330" si="115">"---"</f>
        <v>---</v>
      </c>
      <c r="L328" t="str">
        <f t="shared" si="115"/>
        <v>---</v>
      </c>
      <c r="M328" t="str">
        <f t="shared" si="115"/>
        <v>---</v>
      </c>
      <c r="N328" t="str">
        <f t="shared" si="115"/>
        <v>---</v>
      </c>
      <c r="O328" t="str">
        <f>"603559"</f>
        <v>603559</v>
      </c>
      <c r="P328" t="str">
        <f>"A400948245"</f>
        <v>A400948245</v>
      </c>
    </row>
    <row r="329" spans="1:16" x14ac:dyDescent="0.25">
      <c r="A329" t="str">
        <f t="shared" si="112"/>
        <v>人民币</v>
      </c>
      <c r="B329" t="str">
        <f>"中通国脉"</f>
        <v>中通国脉</v>
      </c>
      <c r="C329" t="str">
        <f>"20190904"</f>
        <v>20190904</v>
      </c>
      <c r="D329" t="str">
        <f>"0.000"</f>
        <v>0.000</v>
      </c>
      <c r="E329" t="str">
        <f>"0.00"</f>
        <v>0.00</v>
      </c>
      <c r="F329" t="str">
        <f>"-0.66"</f>
        <v>-0.66</v>
      </c>
      <c r="G329" t="str">
        <f>"27543.17"</f>
        <v>27543.17</v>
      </c>
      <c r="H329" t="str">
        <f>"2400.00"</f>
        <v>2400.00</v>
      </c>
      <c r="I329" t="str">
        <f>"---"</f>
        <v>---</v>
      </c>
      <c r="J329" t="str">
        <f>"红利差异税扣税(中通国脉)"</f>
        <v>红利差异税扣税(中通国脉)</v>
      </c>
      <c r="K329" t="str">
        <f t="shared" si="115"/>
        <v>---</v>
      </c>
      <c r="L329" t="str">
        <f t="shared" si="115"/>
        <v>---</v>
      </c>
      <c r="M329" t="str">
        <f t="shared" si="115"/>
        <v>---</v>
      </c>
      <c r="N329" t="str">
        <f t="shared" si="115"/>
        <v>---</v>
      </c>
      <c r="O329" t="str">
        <f>"603559"</f>
        <v>603559</v>
      </c>
      <c r="P329" t="str">
        <f>"A400948245"</f>
        <v>A400948245</v>
      </c>
    </row>
    <row r="330" spans="1:16" x14ac:dyDescent="0.25">
      <c r="A330" t="str">
        <f t="shared" si="112"/>
        <v>人民币</v>
      </c>
      <c r="B330" t="str">
        <f>"中通国脉"</f>
        <v>中通国脉</v>
      </c>
      <c r="C330" t="str">
        <f>"20190904"</f>
        <v>20190904</v>
      </c>
      <c r="D330" t="str">
        <f>"0.000"</f>
        <v>0.000</v>
      </c>
      <c r="E330" t="str">
        <f>"0.00"</f>
        <v>0.00</v>
      </c>
      <c r="F330" t="str">
        <f>"-1.10"</f>
        <v>-1.10</v>
      </c>
      <c r="G330" t="str">
        <f>"27542.07"</f>
        <v>27542.07</v>
      </c>
      <c r="H330" t="str">
        <f>"2400.00"</f>
        <v>2400.00</v>
      </c>
      <c r="I330" t="str">
        <f>"---"</f>
        <v>---</v>
      </c>
      <c r="J330" t="str">
        <f>"红利差异税扣税(中通国脉)"</f>
        <v>红利差异税扣税(中通国脉)</v>
      </c>
      <c r="K330" t="str">
        <f t="shared" si="115"/>
        <v>---</v>
      </c>
      <c r="L330" t="str">
        <f t="shared" si="115"/>
        <v>---</v>
      </c>
      <c r="M330" t="str">
        <f t="shared" si="115"/>
        <v>---</v>
      </c>
      <c r="N330" t="str">
        <f t="shared" si="115"/>
        <v>---</v>
      </c>
      <c r="O330" t="str">
        <f>"603559"</f>
        <v>603559</v>
      </c>
      <c r="P330" t="str">
        <f>"A400948245"</f>
        <v>A400948245</v>
      </c>
    </row>
    <row r="331" spans="1:16" x14ac:dyDescent="0.25">
      <c r="A331" t="str">
        <f t="shared" si="112"/>
        <v>人民币</v>
      </c>
      <c r="B331" t="str">
        <f>"华脉科技"</f>
        <v>华脉科技</v>
      </c>
      <c r="C331" t="str">
        <f>"20190904"</f>
        <v>20190904</v>
      </c>
      <c r="D331" t="str">
        <f>"14.830"</f>
        <v>14.830</v>
      </c>
      <c r="E331" t="str">
        <f>"500.00"</f>
        <v>500.00</v>
      </c>
      <c r="F331" t="str">
        <f>"-7422.57"</f>
        <v>-7422.57</v>
      </c>
      <c r="G331" t="str">
        <f>"20119.50"</f>
        <v>20119.50</v>
      </c>
      <c r="H331" t="str">
        <f>"2800.00"</f>
        <v>2800.00</v>
      </c>
      <c r="I331" t="str">
        <f>"315"</f>
        <v>315</v>
      </c>
      <c r="J331" t="str">
        <f>"证券买入(华脉科技)"</f>
        <v>证券买入(华脉科技)</v>
      </c>
      <c r="K331" t="str">
        <f>"7.42"</f>
        <v>7.42</v>
      </c>
      <c r="L331" t="str">
        <f>"0.00"</f>
        <v>0.00</v>
      </c>
      <c r="M331" t="str">
        <f>"0.15"</f>
        <v>0.15</v>
      </c>
      <c r="N331" t="str">
        <f t="shared" ref="N331:N387" si="116">"0.00"</f>
        <v>0.00</v>
      </c>
      <c r="O331" t="str">
        <f>"603042"</f>
        <v>603042</v>
      </c>
      <c r="P331" t="str">
        <f>"A400948245"</f>
        <v>A400948245</v>
      </c>
    </row>
    <row r="332" spans="1:16" x14ac:dyDescent="0.25">
      <c r="A332" t="str">
        <f t="shared" si="112"/>
        <v>人民币</v>
      </c>
      <c r="B332" t="str">
        <f>"华脉科技"</f>
        <v>华脉科技</v>
      </c>
      <c r="C332" t="str">
        <f>"20190905"</f>
        <v>20190905</v>
      </c>
      <c r="D332" t="str">
        <f>"15.030"</f>
        <v>15.030</v>
      </c>
      <c r="E332" t="str">
        <f>"-1100.00"</f>
        <v>-1100.00</v>
      </c>
      <c r="F332" t="str">
        <f>"16499.61"</f>
        <v>16499.61</v>
      </c>
      <c r="G332" t="str">
        <f>"36619.11"</f>
        <v>36619.11</v>
      </c>
      <c r="H332" t="str">
        <f>"1700.00"</f>
        <v>1700.00</v>
      </c>
      <c r="I332" t="str">
        <f>"329"</f>
        <v>329</v>
      </c>
      <c r="J332" t="str">
        <f>"证券卖出(华脉科技)"</f>
        <v>证券卖出(华脉科技)</v>
      </c>
      <c r="K332" t="str">
        <f>"16.53"</f>
        <v>16.53</v>
      </c>
      <c r="L332" t="str">
        <f>"16.53"</f>
        <v>16.53</v>
      </c>
      <c r="M332" t="str">
        <f>"0.33"</f>
        <v>0.33</v>
      </c>
      <c r="N332" t="str">
        <f t="shared" si="116"/>
        <v>0.00</v>
      </c>
      <c r="O332" t="str">
        <f>"603042"</f>
        <v>603042</v>
      </c>
      <c r="P332" t="str">
        <f>"A400948245"</f>
        <v>A400948245</v>
      </c>
    </row>
    <row r="333" spans="1:16" x14ac:dyDescent="0.25">
      <c r="A333" t="str">
        <f t="shared" si="112"/>
        <v>人民币</v>
      </c>
      <c r="B333" t="str">
        <f>"长城证券"</f>
        <v>长城证券</v>
      </c>
      <c r="C333" t="str">
        <f>"20190905"</f>
        <v>20190905</v>
      </c>
      <c r="D333" t="str">
        <f>"16.597"</f>
        <v>16.597</v>
      </c>
      <c r="E333" t="str">
        <f>"1000.00"</f>
        <v>1000.00</v>
      </c>
      <c r="F333" t="str">
        <f>"-16613.60"</f>
        <v>-16613.60</v>
      </c>
      <c r="G333" t="str">
        <f>"20005.51"</f>
        <v>20005.51</v>
      </c>
      <c r="H333" t="str">
        <f>"1000.00"</f>
        <v>1000.00</v>
      </c>
      <c r="I333" t="str">
        <f>"319"</f>
        <v>319</v>
      </c>
      <c r="J333" t="str">
        <f>"证券买入(长城证券)"</f>
        <v>证券买入(长城证券)</v>
      </c>
      <c r="K333" t="str">
        <f>"16.60"</f>
        <v>16.60</v>
      </c>
      <c r="L333" t="str">
        <f>"0.00"</f>
        <v>0.00</v>
      </c>
      <c r="M333" t="str">
        <f>"0.00"</f>
        <v>0.00</v>
      </c>
      <c r="N333" t="str">
        <f t="shared" si="116"/>
        <v>0.00</v>
      </c>
      <c r="O333" t="str">
        <f>"002939"</f>
        <v>002939</v>
      </c>
      <c r="P333" t="str">
        <f t="shared" ref="P333:P341" si="117">"0153613480"</f>
        <v>0153613480</v>
      </c>
    </row>
    <row r="334" spans="1:16" x14ac:dyDescent="0.25">
      <c r="A334" t="str">
        <f t="shared" si="112"/>
        <v>人民币</v>
      </c>
      <c r="B334" t="str">
        <f>"长城证券"</f>
        <v>长城证券</v>
      </c>
      <c r="C334" t="str">
        <f>"20190905"</f>
        <v>20190905</v>
      </c>
      <c r="D334" t="str">
        <f>"16.500"</f>
        <v>16.500</v>
      </c>
      <c r="E334" t="str">
        <f>"200.00"</f>
        <v>200.00</v>
      </c>
      <c r="F334" t="str">
        <f>"-3305.00"</f>
        <v>-3305.00</v>
      </c>
      <c r="G334" t="str">
        <f>"16700.51"</f>
        <v>16700.51</v>
      </c>
      <c r="H334" t="str">
        <f>"1200.00"</f>
        <v>1200.00</v>
      </c>
      <c r="I334" t="str">
        <f>"326"</f>
        <v>326</v>
      </c>
      <c r="J334" t="str">
        <f>"证券买入(长城证券)"</f>
        <v>证券买入(长城证券)</v>
      </c>
      <c r="K334" t="str">
        <f>"5.00"</f>
        <v>5.00</v>
      </c>
      <c r="L334" t="str">
        <f>"0.00"</f>
        <v>0.00</v>
      </c>
      <c r="M334" t="str">
        <f>"0.00"</f>
        <v>0.00</v>
      </c>
      <c r="N334" t="str">
        <f t="shared" si="116"/>
        <v>0.00</v>
      </c>
      <c r="O334" t="str">
        <f>"002939"</f>
        <v>002939</v>
      </c>
      <c r="P334" t="str">
        <f t="shared" si="117"/>
        <v>0153613480</v>
      </c>
    </row>
    <row r="335" spans="1:16" x14ac:dyDescent="0.25">
      <c r="A335" t="str">
        <f t="shared" si="112"/>
        <v>人民币</v>
      </c>
      <c r="B335" t="str">
        <f>"旋极信息"</f>
        <v>旋极信息</v>
      </c>
      <c r="C335" t="str">
        <f>"20190905"</f>
        <v>20190905</v>
      </c>
      <c r="D335" t="str">
        <f>"5.810"</f>
        <v>5.810</v>
      </c>
      <c r="E335" t="str">
        <f>"-3000.00"</f>
        <v>-3000.00</v>
      </c>
      <c r="F335" t="str">
        <f>"17395.14"</f>
        <v>17395.14</v>
      </c>
      <c r="G335" t="str">
        <f>"34095.65"</f>
        <v>34095.65</v>
      </c>
      <c r="H335" t="str">
        <f>"0.00"</f>
        <v>0.00</v>
      </c>
      <c r="I335" t="str">
        <f>"332"</f>
        <v>332</v>
      </c>
      <c r="J335" t="str">
        <f>"证券卖出(旋极信息)"</f>
        <v>证券卖出(旋极信息)</v>
      </c>
      <c r="K335" t="str">
        <f>"17.43"</f>
        <v>17.43</v>
      </c>
      <c r="L335" t="str">
        <f>"17.43"</f>
        <v>17.43</v>
      </c>
      <c r="M335" t="str">
        <f t="shared" ref="M335:M341" si="118">"0.00"</f>
        <v>0.00</v>
      </c>
      <c r="N335" t="str">
        <f t="shared" si="116"/>
        <v>0.00</v>
      </c>
      <c r="O335" t="str">
        <f>"300324"</f>
        <v>300324</v>
      </c>
      <c r="P335" t="str">
        <f t="shared" si="117"/>
        <v>0153613480</v>
      </c>
    </row>
    <row r="336" spans="1:16" x14ac:dyDescent="0.25">
      <c r="A336" t="str">
        <f t="shared" si="112"/>
        <v>人民币</v>
      </c>
      <c r="B336" t="str">
        <f>"五方光电"</f>
        <v>五方光电</v>
      </c>
      <c r="C336" t="str">
        <f>"20190905"</f>
        <v>20190905</v>
      </c>
      <c r="D336" t="str">
        <f>"0.000"</f>
        <v>0.000</v>
      </c>
      <c r="E336" t="str">
        <f>"15.00"</f>
        <v>15.00</v>
      </c>
      <c r="F336" t="str">
        <f>"0.00"</f>
        <v>0.00</v>
      </c>
      <c r="G336" t="str">
        <f>"34095.65"</f>
        <v>34095.65</v>
      </c>
      <c r="H336" t="str">
        <f>"0.00"</f>
        <v>0.00</v>
      </c>
      <c r="I336" t="str">
        <f>"324"</f>
        <v>324</v>
      </c>
      <c r="J336" t="str">
        <f>"申购配号(五方光电)"</f>
        <v>申购配号(五方光电)</v>
      </c>
      <c r="K336" t="str">
        <f>"0.00"</f>
        <v>0.00</v>
      </c>
      <c r="L336" t="str">
        <f>"0.00"</f>
        <v>0.00</v>
      </c>
      <c r="M336" t="str">
        <f t="shared" si="118"/>
        <v>0.00</v>
      </c>
      <c r="N336" t="str">
        <f t="shared" si="116"/>
        <v>0.00</v>
      </c>
      <c r="O336" t="str">
        <f>"002962"</f>
        <v>002962</v>
      </c>
      <c r="P336" t="str">
        <f t="shared" si="117"/>
        <v>0153613480</v>
      </c>
    </row>
    <row r="337" spans="1:16" x14ac:dyDescent="0.25">
      <c r="A337" t="str">
        <f t="shared" si="112"/>
        <v>人民币</v>
      </c>
      <c r="B337" t="str">
        <f>"长城证券"</f>
        <v>长城证券</v>
      </c>
      <c r="C337" t="str">
        <f>"20190906"</f>
        <v>20190906</v>
      </c>
      <c r="D337" t="str">
        <f>"16.100"</f>
        <v>16.100</v>
      </c>
      <c r="E337" t="str">
        <f>"1000.00"</f>
        <v>1000.00</v>
      </c>
      <c r="F337" t="str">
        <f>"-16116.10"</f>
        <v>-16116.10</v>
      </c>
      <c r="G337" t="str">
        <f>"17979.55"</f>
        <v>17979.55</v>
      </c>
      <c r="H337" t="str">
        <f>"2200.00"</f>
        <v>2200.00</v>
      </c>
      <c r="I337" t="str">
        <f>"340"</f>
        <v>340</v>
      </c>
      <c r="J337" t="str">
        <f>"证券买入(长城证券)"</f>
        <v>证券买入(长城证券)</v>
      </c>
      <c r="K337" t="str">
        <f>"16.10"</f>
        <v>16.10</v>
      </c>
      <c r="L337" t="str">
        <f>"0.00"</f>
        <v>0.00</v>
      </c>
      <c r="M337" t="str">
        <f t="shared" si="118"/>
        <v>0.00</v>
      </c>
      <c r="N337" t="str">
        <f t="shared" si="116"/>
        <v>0.00</v>
      </c>
      <c r="O337" t="str">
        <f>"002939"</f>
        <v>002939</v>
      </c>
      <c r="P337" t="str">
        <f t="shared" si="117"/>
        <v>0153613480</v>
      </c>
    </row>
    <row r="338" spans="1:16" x14ac:dyDescent="0.25">
      <c r="A338" t="str">
        <f t="shared" si="112"/>
        <v>人民币</v>
      </c>
      <c r="B338" t="str">
        <f>"长城证券"</f>
        <v>长城证券</v>
      </c>
      <c r="C338" t="str">
        <f>"20190906"</f>
        <v>20190906</v>
      </c>
      <c r="D338" t="str">
        <f>"16.300"</f>
        <v>16.300</v>
      </c>
      <c r="E338" t="str">
        <f>"-1000.00"</f>
        <v>-1000.00</v>
      </c>
      <c r="F338" t="str">
        <f>"16267.40"</f>
        <v>16267.40</v>
      </c>
      <c r="G338" t="str">
        <f>"34246.95"</f>
        <v>34246.95</v>
      </c>
      <c r="H338" t="str">
        <f>"1200.00"</f>
        <v>1200.00</v>
      </c>
      <c r="I338" t="str">
        <f>"343"</f>
        <v>343</v>
      </c>
      <c r="J338" t="str">
        <f>"证券卖出(长城证券)"</f>
        <v>证券卖出(长城证券)</v>
      </c>
      <c r="K338" t="str">
        <f>"16.30"</f>
        <v>16.30</v>
      </c>
      <c r="L338" t="str">
        <f>"16.30"</f>
        <v>16.30</v>
      </c>
      <c r="M338" t="str">
        <f t="shared" si="118"/>
        <v>0.00</v>
      </c>
      <c r="N338" t="str">
        <f t="shared" si="116"/>
        <v>0.00</v>
      </c>
      <c r="O338" t="str">
        <f>"002939"</f>
        <v>002939</v>
      </c>
      <c r="P338" t="str">
        <f t="shared" si="117"/>
        <v>0153613480</v>
      </c>
    </row>
    <row r="339" spans="1:16" x14ac:dyDescent="0.25">
      <c r="A339" t="str">
        <f t="shared" si="112"/>
        <v>人民币</v>
      </c>
      <c r="B339" t="str">
        <f>"凯龙股份"</f>
        <v>凯龙股份</v>
      </c>
      <c r="C339" t="str">
        <f>"20190906"</f>
        <v>20190906</v>
      </c>
      <c r="D339" t="str">
        <f>"12.840"</f>
        <v>12.840</v>
      </c>
      <c r="E339" t="str">
        <f>"-1200.00"</f>
        <v>-1200.00</v>
      </c>
      <c r="F339" t="str">
        <f>"15377.18"</f>
        <v>15377.18</v>
      </c>
      <c r="G339" t="str">
        <f>"49624.13"</f>
        <v>49624.13</v>
      </c>
      <c r="H339" t="str">
        <f>"8800.00"</f>
        <v>8800.00</v>
      </c>
      <c r="I339" t="str">
        <f>"346"</f>
        <v>346</v>
      </c>
      <c r="J339" t="str">
        <f>"证券卖出(凯龙股份)"</f>
        <v>证券卖出(凯龙股份)</v>
      </c>
      <c r="K339" t="str">
        <f>"15.41"</f>
        <v>15.41</v>
      </c>
      <c r="L339" t="str">
        <f>"15.41"</f>
        <v>15.41</v>
      </c>
      <c r="M339" t="str">
        <f t="shared" si="118"/>
        <v>0.00</v>
      </c>
      <c r="N339" t="str">
        <f t="shared" si="116"/>
        <v>0.00</v>
      </c>
      <c r="O339" t="str">
        <f>"002783"</f>
        <v>002783</v>
      </c>
      <c r="P339" t="str">
        <f t="shared" si="117"/>
        <v>0153613480</v>
      </c>
    </row>
    <row r="340" spans="1:16" x14ac:dyDescent="0.25">
      <c r="A340" t="str">
        <f t="shared" si="112"/>
        <v>人民币</v>
      </c>
      <c r="B340" t="str">
        <f>"凯龙股份"</f>
        <v>凯龙股份</v>
      </c>
      <c r="C340" t="str">
        <f>"20190906"</f>
        <v>20190906</v>
      </c>
      <c r="D340" t="str">
        <f>"13.280"</f>
        <v>13.280</v>
      </c>
      <c r="E340" t="str">
        <f>"-3000.00"</f>
        <v>-3000.00</v>
      </c>
      <c r="F340" t="str">
        <f>"39760.32"</f>
        <v>39760.32</v>
      </c>
      <c r="G340" t="str">
        <f>"89384.45"</f>
        <v>89384.45</v>
      </c>
      <c r="H340" t="str">
        <f>"5800.00"</f>
        <v>5800.00</v>
      </c>
      <c r="I340" t="str">
        <f>"352"</f>
        <v>352</v>
      </c>
      <c r="J340" t="str">
        <f>"证券卖出(凯龙股份)"</f>
        <v>证券卖出(凯龙股份)</v>
      </c>
      <c r="K340" t="str">
        <f>"39.84"</f>
        <v>39.84</v>
      </c>
      <c r="L340" t="str">
        <f>"39.84"</f>
        <v>39.84</v>
      </c>
      <c r="M340" t="str">
        <f t="shared" si="118"/>
        <v>0.00</v>
      </c>
      <c r="N340" t="str">
        <f t="shared" si="116"/>
        <v>0.00</v>
      </c>
      <c r="O340" t="str">
        <f>"002783"</f>
        <v>002783</v>
      </c>
      <c r="P340" t="str">
        <f t="shared" si="117"/>
        <v>0153613480</v>
      </c>
    </row>
    <row r="341" spans="1:16" x14ac:dyDescent="0.25">
      <c r="A341" t="str">
        <f t="shared" si="112"/>
        <v>人民币</v>
      </c>
      <c r="B341" t="str">
        <f>"凯龙股份"</f>
        <v>凯龙股份</v>
      </c>
      <c r="C341" t="str">
        <f>"20190906"</f>
        <v>20190906</v>
      </c>
      <c r="D341" t="str">
        <f>"13.940"</f>
        <v>13.940</v>
      </c>
      <c r="E341" t="str">
        <f>"-5800.00"</f>
        <v>-5800.00</v>
      </c>
      <c r="F341" t="str">
        <f>"80690.30"</f>
        <v>80690.30</v>
      </c>
      <c r="G341" t="str">
        <f>"170074.75"</f>
        <v>170074.75</v>
      </c>
      <c r="H341" t="str">
        <f>"0.00"</f>
        <v>0.00</v>
      </c>
      <c r="I341" t="str">
        <f>"358"</f>
        <v>358</v>
      </c>
      <c r="J341" t="str">
        <f>"证券卖出(凯龙股份)"</f>
        <v>证券卖出(凯龙股份)</v>
      </c>
      <c r="K341" t="str">
        <f>"80.85"</f>
        <v>80.85</v>
      </c>
      <c r="L341" t="str">
        <f>"80.85"</f>
        <v>80.85</v>
      </c>
      <c r="M341" t="str">
        <f t="shared" si="118"/>
        <v>0.00</v>
      </c>
      <c r="N341" t="str">
        <f t="shared" si="116"/>
        <v>0.00</v>
      </c>
      <c r="O341" t="str">
        <f>"002783"</f>
        <v>002783</v>
      </c>
      <c r="P341" t="str">
        <f t="shared" si="117"/>
        <v>0153613480</v>
      </c>
    </row>
    <row r="342" spans="1:16" x14ac:dyDescent="0.25">
      <c r="A342" t="str">
        <f t="shared" si="112"/>
        <v>人民币</v>
      </c>
      <c r="B342" t="str">
        <f>"人民网"</f>
        <v>人民网</v>
      </c>
      <c r="C342" t="str">
        <f>"20190909"</f>
        <v>20190909</v>
      </c>
      <c r="D342" t="str">
        <f>"23.720"</f>
        <v>23.720</v>
      </c>
      <c r="E342" t="str">
        <f>"500.00"</f>
        <v>500.00</v>
      </c>
      <c r="F342" t="str">
        <f>"-11872.10"</f>
        <v>-11872.10</v>
      </c>
      <c r="G342" t="str">
        <f>"158202.65"</f>
        <v>158202.65</v>
      </c>
      <c r="H342" t="str">
        <f>"500.00"</f>
        <v>500.00</v>
      </c>
      <c r="I342" t="str">
        <f>"372"</f>
        <v>372</v>
      </c>
      <c r="J342" t="str">
        <f>"证券买入(人民网)"</f>
        <v>证券买入(人民网)</v>
      </c>
      <c r="K342" t="str">
        <f>"11.86"</f>
        <v>11.86</v>
      </c>
      <c r="L342" t="str">
        <f>"0.00"</f>
        <v>0.00</v>
      </c>
      <c r="M342" t="str">
        <f>"0.24"</f>
        <v>0.24</v>
      </c>
      <c r="N342" t="str">
        <f t="shared" si="116"/>
        <v>0.00</v>
      </c>
      <c r="O342" t="str">
        <f>"603000"</f>
        <v>603000</v>
      </c>
      <c r="P342" t="str">
        <f>"A400948245"</f>
        <v>A400948245</v>
      </c>
    </row>
    <row r="343" spans="1:16" x14ac:dyDescent="0.25">
      <c r="A343" t="str">
        <f t="shared" si="112"/>
        <v>人民币</v>
      </c>
      <c r="B343" t="str">
        <f>"华脉科技"</f>
        <v>华脉科技</v>
      </c>
      <c r="C343" t="str">
        <f>"20190909"</f>
        <v>20190909</v>
      </c>
      <c r="D343" t="str">
        <f>"16.150"</f>
        <v>16.150</v>
      </c>
      <c r="E343" t="str">
        <f>"-900.00"</f>
        <v>-900.00</v>
      </c>
      <c r="F343" t="str">
        <f>"14505.63"</f>
        <v>14505.63</v>
      </c>
      <c r="G343" t="str">
        <f>"172708.28"</f>
        <v>172708.28</v>
      </c>
      <c r="H343" t="str">
        <f>"800.00"</f>
        <v>800.00</v>
      </c>
      <c r="I343" t="str">
        <f>"375"</f>
        <v>375</v>
      </c>
      <c r="J343" t="str">
        <f>"证券卖出(华脉科技)"</f>
        <v>证券卖出(华脉科技)</v>
      </c>
      <c r="K343" t="str">
        <f>"14.54"</f>
        <v>14.54</v>
      </c>
      <c r="L343" t="str">
        <f>"14.54"</f>
        <v>14.54</v>
      </c>
      <c r="M343" t="str">
        <f>"0.29"</f>
        <v>0.29</v>
      </c>
      <c r="N343" t="str">
        <f t="shared" si="116"/>
        <v>0.00</v>
      </c>
      <c r="O343" t="str">
        <f>"603042"</f>
        <v>603042</v>
      </c>
      <c r="P343" t="str">
        <f>"A400948245"</f>
        <v>A400948245</v>
      </c>
    </row>
    <row r="344" spans="1:16" x14ac:dyDescent="0.25">
      <c r="A344" t="str">
        <f t="shared" si="112"/>
        <v>人民币</v>
      </c>
      <c r="B344" t="str">
        <f>"华脉科技"</f>
        <v>华脉科技</v>
      </c>
      <c r="C344" t="str">
        <f>"20190909"</f>
        <v>20190909</v>
      </c>
      <c r="D344" t="str">
        <f>"16.230"</f>
        <v>16.230</v>
      </c>
      <c r="E344" t="str">
        <f>"-800.00"</f>
        <v>-800.00</v>
      </c>
      <c r="F344" t="str">
        <f>"12957.78"</f>
        <v>12957.78</v>
      </c>
      <c r="G344" t="str">
        <f>"185666.06"</f>
        <v>185666.06</v>
      </c>
      <c r="H344" t="str">
        <f>"0.00"</f>
        <v>0.00</v>
      </c>
      <c r="I344" t="str">
        <f>"379"</f>
        <v>379</v>
      </c>
      <c r="J344" t="str">
        <f>"证券卖出(华脉科技)"</f>
        <v>证券卖出(华脉科技)</v>
      </c>
      <c r="K344" t="str">
        <f>"12.98"</f>
        <v>12.98</v>
      </c>
      <c r="L344" t="str">
        <f>"12.99"</f>
        <v>12.99</v>
      </c>
      <c r="M344" t="str">
        <f>"0.25"</f>
        <v>0.25</v>
      </c>
      <c r="N344" t="str">
        <f t="shared" si="116"/>
        <v>0.00</v>
      </c>
      <c r="O344" t="str">
        <f>"603042"</f>
        <v>603042</v>
      </c>
      <c r="P344" t="str">
        <f>"A400948245"</f>
        <v>A400948245</v>
      </c>
    </row>
    <row r="345" spans="1:16" x14ac:dyDescent="0.25">
      <c r="A345" t="str">
        <f t="shared" si="112"/>
        <v>人民币</v>
      </c>
      <c r="B345" t="str">
        <f>"梅安森"</f>
        <v>梅安森</v>
      </c>
      <c r="C345" t="str">
        <f>"20190909"</f>
        <v>20190909</v>
      </c>
      <c r="D345" t="str">
        <f>"10.170"</f>
        <v>10.170</v>
      </c>
      <c r="E345" t="str">
        <f>"3000.00"</f>
        <v>3000.00</v>
      </c>
      <c r="F345" t="str">
        <f>"-30540.51"</f>
        <v>-30540.51</v>
      </c>
      <c r="G345" t="str">
        <f>"155125.55"</f>
        <v>155125.55</v>
      </c>
      <c r="H345" t="str">
        <f>"3000.00"</f>
        <v>3000.00</v>
      </c>
      <c r="I345" t="str">
        <f>"386"</f>
        <v>386</v>
      </c>
      <c r="J345" t="str">
        <f>"证券买入(梅安森)"</f>
        <v>证券买入(梅安森)</v>
      </c>
      <c r="K345" t="str">
        <f>"30.51"</f>
        <v>30.51</v>
      </c>
      <c r="L345" t="str">
        <f>"0.00"</f>
        <v>0.00</v>
      </c>
      <c r="M345" t="str">
        <f>"0.00"</f>
        <v>0.00</v>
      </c>
      <c r="N345" t="str">
        <f t="shared" si="116"/>
        <v>0.00</v>
      </c>
      <c r="O345" t="str">
        <f>"300275"</f>
        <v>300275</v>
      </c>
      <c r="P345" t="str">
        <f>"0153613480"</f>
        <v>0153613480</v>
      </c>
    </row>
    <row r="346" spans="1:16" x14ac:dyDescent="0.25">
      <c r="A346" t="str">
        <f t="shared" si="112"/>
        <v>人民币</v>
      </c>
      <c r="B346" t="str">
        <f>"长城证券"</f>
        <v>长城证券</v>
      </c>
      <c r="C346" t="str">
        <f>"20190909"</f>
        <v>20190909</v>
      </c>
      <c r="D346" t="str">
        <f>"16.500"</f>
        <v>16.500</v>
      </c>
      <c r="E346" t="str">
        <f>"-1200.00"</f>
        <v>-1200.00</v>
      </c>
      <c r="F346" t="str">
        <f>"19760.40"</f>
        <v>19760.40</v>
      </c>
      <c r="G346" t="str">
        <f>"174885.95"</f>
        <v>174885.95</v>
      </c>
      <c r="H346" t="str">
        <f>"0.00"</f>
        <v>0.00</v>
      </c>
      <c r="I346" t="str">
        <f>"383"</f>
        <v>383</v>
      </c>
      <c r="J346" t="str">
        <f>"证券卖出(长城证券)"</f>
        <v>证券卖出(长城证券)</v>
      </c>
      <c r="K346" t="str">
        <f>"19.80"</f>
        <v>19.80</v>
      </c>
      <c r="L346" t="str">
        <f>"19.80"</f>
        <v>19.80</v>
      </c>
      <c r="M346" t="str">
        <f>"0.00"</f>
        <v>0.00</v>
      </c>
      <c r="N346" t="str">
        <f t="shared" si="116"/>
        <v>0.00</v>
      </c>
      <c r="O346" t="str">
        <f>"002939"</f>
        <v>002939</v>
      </c>
      <c r="P346" t="str">
        <f>"0153613480"</f>
        <v>0153613480</v>
      </c>
    </row>
    <row r="347" spans="1:16" x14ac:dyDescent="0.25">
      <c r="A347" t="str">
        <f t="shared" si="112"/>
        <v>人民币</v>
      </c>
      <c r="B347" t="str">
        <f>"人民网"</f>
        <v>人民网</v>
      </c>
      <c r="C347" t="str">
        <f t="shared" ref="C347:C354" si="119">"20190910"</f>
        <v>20190910</v>
      </c>
      <c r="D347" t="str">
        <f>"23.220"</f>
        <v>23.220</v>
      </c>
      <c r="E347" t="str">
        <f>"500.00"</f>
        <v>500.00</v>
      </c>
      <c r="F347" t="str">
        <f>"-11621.84"</f>
        <v>-11621.84</v>
      </c>
      <c r="G347" t="str">
        <f>"163264.11"</f>
        <v>163264.11</v>
      </c>
      <c r="H347" t="str">
        <f>"1000.00"</f>
        <v>1000.00</v>
      </c>
      <c r="I347" t="str">
        <f>"18"</f>
        <v>18</v>
      </c>
      <c r="J347" t="str">
        <f>"证券买入(人民网)"</f>
        <v>证券买入(人民网)</v>
      </c>
      <c r="K347" t="str">
        <f>"11.61"</f>
        <v>11.61</v>
      </c>
      <c r="L347" t="str">
        <f t="shared" ref="L347:L354" si="120">"0.00"</f>
        <v>0.00</v>
      </c>
      <c r="M347" t="str">
        <f>"0.23"</f>
        <v>0.23</v>
      </c>
      <c r="N347" t="str">
        <f t="shared" si="116"/>
        <v>0.00</v>
      </c>
      <c r="O347" t="str">
        <f>"603000"</f>
        <v>603000</v>
      </c>
      <c r="P347" t="str">
        <f>"A400948245"</f>
        <v>A400948245</v>
      </c>
    </row>
    <row r="348" spans="1:16" x14ac:dyDescent="0.25">
      <c r="A348" t="str">
        <f t="shared" si="112"/>
        <v>人民币</v>
      </c>
      <c r="B348" t="str">
        <f>"中通国脉"</f>
        <v>中通国脉</v>
      </c>
      <c r="C348" t="str">
        <f t="shared" si="119"/>
        <v>20190910</v>
      </c>
      <c r="D348" t="str">
        <f>"21.950"</f>
        <v>21.950</v>
      </c>
      <c r="E348" t="str">
        <f>"500.00"</f>
        <v>500.00</v>
      </c>
      <c r="F348" t="str">
        <f>"-10986.20"</f>
        <v>-10986.20</v>
      </c>
      <c r="G348" t="str">
        <f>"152277.91"</f>
        <v>152277.91</v>
      </c>
      <c r="H348" t="str">
        <f>"2900.00"</f>
        <v>2900.00</v>
      </c>
      <c r="I348" t="str">
        <f>"21"</f>
        <v>21</v>
      </c>
      <c r="J348" t="str">
        <f>"证券买入(中通国脉)"</f>
        <v>证券买入(中通国脉)</v>
      </c>
      <c r="K348" t="str">
        <f>"10.98"</f>
        <v>10.98</v>
      </c>
      <c r="L348" t="str">
        <f t="shared" si="120"/>
        <v>0.00</v>
      </c>
      <c r="M348" t="str">
        <f>"0.22"</f>
        <v>0.22</v>
      </c>
      <c r="N348" t="str">
        <f t="shared" si="116"/>
        <v>0.00</v>
      </c>
      <c r="O348" t="str">
        <f>"603559"</f>
        <v>603559</v>
      </c>
      <c r="P348" t="str">
        <f>"A400948245"</f>
        <v>A400948245</v>
      </c>
    </row>
    <row r="349" spans="1:16" x14ac:dyDescent="0.25">
      <c r="A349" t="str">
        <f t="shared" si="112"/>
        <v>人民币</v>
      </c>
      <c r="B349" t="str">
        <f>"中通国脉"</f>
        <v>中通国脉</v>
      </c>
      <c r="C349" t="str">
        <f t="shared" si="119"/>
        <v>20190910</v>
      </c>
      <c r="D349" t="str">
        <f>"21.770"</f>
        <v>21.770</v>
      </c>
      <c r="E349" t="str">
        <f>"100.00"</f>
        <v>100.00</v>
      </c>
      <c r="F349" t="str">
        <f>"-2182.04"</f>
        <v>-2182.04</v>
      </c>
      <c r="G349" t="str">
        <f>"150095.87"</f>
        <v>150095.87</v>
      </c>
      <c r="H349" t="str">
        <f>"3000.00"</f>
        <v>3000.00</v>
      </c>
      <c r="I349" t="str">
        <f>"24"</f>
        <v>24</v>
      </c>
      <c r="J349" t="str">
        <f>"证券买入(中通国脉)"</f>
        <v>证券买入(中通国脉)</v>
      </c>
      <c r="K349" t="str">
        <f>"5.00"</f>
        <v>5.00</v>
      </c>
      <c r="L349" t="str">
        <f t="shared" si="120"/>
        <v>0.00</v>
      </c>
      <c r="M349" t="str">
        <f>"0.04"</f>
        <v>0.04</v>
      </c>
      <c r="N349" t="str">
        <f t="shared" si="116"/>
        <v>0.00</v>
      </c>
      <c r="O349" t="str">
        <f>"603559"</f>
        <v>603559</v>
      </c>
      <c r="P349" t="str">
        <f>"A400948245"</f>
        <v>A400948245</v>
      </c>
    </row>
    <row r="350" spans="1:16" x14ac:dyDescent="0.25">
      <c r="A350" t="str">
        <f t="shared" si="112"/>
        <v>人民币</v>
      </c>
      <c r="B350" t="str">
        <f>"中通国脉"</f>
        <v>中通国脉</v>
      </c>
      <c r="C350" t="str">
        <f t="shared" si="119"/>
        <v>20190910</v>
      </c>
      <c r="D350" t="str">
        <f>"21.500"</f>
        <v>21.500</v>
      </c>
      <c r="E350" t="str">
        <f>"300.00"</f>
        <v>300.00</v>
      </c>
      <c r="F350" t="str">
        <f>"-6456.58"</f>
        <v>-6456.58</v>
      </c>
      <c r="G350" t="str">
        <f>"143639.29"</f>
        <v>143639.29</v>
      </c>
      <c r="H350" t="str">
        <f>"3300.00"</f>
        <v>3300.00</v>
      </c>
      <c r="I350" t="str">
        <f>"31"</f>
        <v>31</v>
      </c>
      <c r="J350" t="str">
        <f>"证券买入(中通国脉)"</f>
        <v>证券买入(中通国脉)</v>
      </c>
      <c r="K350" t="str">
        <f>"6.45"</f>
        <v>6.45</v>
      </c>
      <c r="L350" t="str">
        <f t="shared" si="120"/>
        <v>0.00</v>
      </c>
      <c r="M350" t="str">
        <f>"0.13"</f>
        <v>0.13</v>
      </c>
      <c r="N350" t="str">
        <f t="shared" si="116"/>
        <v>0.00</v>
      </c>
      <c r="O350" t="str">
        <f>"603559"</f>
        <v>603559</v>
      </c>
      <c r="P350" t="str">
        <f>"A400948245"</f>
        <v>A400948245</v>
      </c>
    </row>
    <row r="351" spans="1:16" x14ac:dyDescent="0.25">
      <c r="A351" t="str">
        <f t="shared" si="112"/>
        <v>人民币</v>
      </c>
      <c r="B351" t="str">
        <f>"中通国脉"</f>
        <v>中通国脉</v>
      </c>
      <c r="C351" t="str">
        <f t="shared" si="119"/>
        <v>20190910</v>
      </c>
      <c r="D351" t="str">
        <f>"21.280"</f>
        <v>21.280</v>
      </c>
      <c r="E351" t="str">
        <f>"400.00"</f>
        <v>400.00</v>
      </c>
      <c r="F351" t="str">
        <f>"-8520.68"</f>
        <v>-8520.68</v>
      </c>
      <c r="G351" t="str">
        <f>"135118.61"</f>
        <v>135118.61</v>
      </c>
      <c r="H351" t="str">
        <f>"3700.00"</f>
        <v>3700.00</v>
      </c>
      <c r="I351" t="str">
        <f>"35"</f>
        <v>35</v>
      </c>
      <c r="J351" t="str">
        <f>"证券买入(中通国脉)"</f>
        <v>证券买入(中通国脉)</v>
      </c>
      <c r="K351" t="str">
        <f>"8.51"</f>
        <v>8.51</v>
      </c>
      <c r="L351" t="str">
        <f t="shared" si="120"/>
        <v>0.00</v>
      </c>
      <c r="M351" t="str">
        <f>"0.17"</f>
        <v>0.17</v>
      </c>
      <c r="N351" t="str">
        <f t="shared" si="116"/>
        <v>0.00</v>
      </c>
      <c r="O351" t="str">
        <f>"603559"</f>
        <v>603559</v>
      </c>
      <c r="P351" t="str">
        <f>"A400948245"</f>
        <v>A400948245</v>
      </c>
    </row>
    <row r="352" spans="1:16" x14ac:dyDescent="0.25">
      <c r="A352" t="str">
        <f t="shared" si="112"/>
        <v>人民币</v>
      </c>
      <c r="B352" t="str">
        <f>"梅安森"</f>
        <v>梅安森</v>
      </c>
      <c r="C352" t="str">
        <f t="shared" si="119"/>
        <v>20190910</v>
      </c>
      <c r="D352" t="str">
        <f>"10.290"</f>
        <v>10.290</v>
      </c>
      <c r="E352" t="str">
        <f>"3000.00"</f>
        <v>3000.00</v>
      </c>
      <c r="F352" t="str">
        <f>"-30900.87"</f>
        <v>-30900.87</v>
      </c>
      <c r="G352" t="str">
        <f>"104217.74"</f>
        <v>104217.74</v>
      </c>
      <c r="H352" t="str">
        <f>"6000.00"</f>
        <v>6000.00</v>
      </c>
      <c r="I352" t="str">
        <f>"4"</f>
        <v>4</v>
      </c>
      <c r="J352" t="str">
        <f>"证券买入(梅安森)"</f>
        <v>证券买入(梅安森)</v>
      </c>
      <c r="K352" t="str">
        <f>"30.87"</f>
        <v>30.87</v>
      </c>
      <c r="L352" t="str">
        <f t="shared" si="120"/>
        <v>0.00</v>
      </c>
      <c r="M352" t="str">
        <f>"0.00"</f>
        <v>0.00</v>
      </c>
      <c r="N352" t="str">
        <f t="shared" si="116"/>
        <v>0.00</v>
      </c>
      <c r="O352" t="str">
        <f>"300275"</f>
        <v>300275</v>
      </c>
      <c r="P352" t="str">
        <f>"0153613480"</f>
        <v>0153613480</v>
      </c>
    </row>
    <row r="353" spans="1:16" x14ac:dyDescent="0.25">
      <c r="A353" t="str">
        <f t="shared" si="112"/>
        <v>人民币</v>
      </c>
      <c r="B353" t="str">
        <f>"诚志股份"</f>
        <v>诚志股份</v>
      </c>
      <c r="C353" t="str">
        <f t="shared" si="119"/>
        <v>20190910</v>
      </c>
      <c r="D353" t="str">
        <f>"16.490"</f>
        <v>16.490</v>
      </c>
      <c r="E353" t="str">
        <f>"2000.00"</f>
        <v>2000.00</v>
      </c>
      <c r="F353" t="str">
        <f>"-33012.98"</f>
        <v>-33012.98</v>
      </c>
      <c r="G353" t="str">
        <f>"71204.76"</f>
        <v>71204.76</v>
      </c>
      <c r="H353" t="str">
        <f>"2000.00"</f>
        <v>2000.00</v>
      </c>
      <c r="I353" t="str">
        <f>"12"</f>
        <v>12</v>
      </c>
      <c r="J353" t="str">
        <f>"证券买入(诚志股份)"</f>
        <v>证券买入(诚志股份)</v>
      </c>
      <c r="K353" t="str">
        <f>"32.98"</f>
        <v>32.98</v>
      </c>
      <c r="L353" t="str">
        <f t="shared" si="120"/>
        <v>0.00</v>
      </c>
      <c r="M353" t="str">
        <f>"0.00"</f>
        <v>0.00</v>
      </c>
      <c r="N353" t="str">
        <f t="shared" si="116"/>
        <v>0.00</v>
      </c>
      <c r="O353" t="str">
        <f>"000990"</f>
        <v>000990</v>
      </c>
      <c r="P353" t="str">
        <f>"0153613480"</f>
        <v>0153613480</v>
      </c>
    </row>
    <row r="354" spans="1:16" x14ac:dyDescent="0.25">
      <c r="A354" t="str">
        <f t="shared" si="112"/>
        <v>人民币</v>
      </c>
      <c r="B354" t="str">
        <f>"宇瞳光学"</f>
        <v>宇瞳光学</v>
      </c>
      <c r="C354" t="str">
        <f t="shared" si="119"/>
        <v>20190910</v>
      </c>
      <c r="D354" t="str">
        <f>"0.000"</f>
        <v>0.000</v>
      </c>
      <c r="E354" t="str">
        <f>"17.00"</f>
        <v>17.00</v>
      </c>
      <c r="F354" t="str">
        <f>"0.00"</f>
        <v>0.00</v>
      </c>
      <c r="G354" t="str">
        <f>"71204.76"</f>
        <v>71204.76</v>
      </c>
      <c r="H354" t="str">
        <f>"0.00"</f>
        <v>0.00</v>
      </c>
      <c r="I354" t="str">
        <f>"7"</f>
        <v>7</v>
      </c>
      <c r="J354" t="str">
        <f>"申购配号(宇瞳光学)"</f>
        <v>申购配号(宇瞳光学)</v>
      </c>
      <c r="K354" t="str">
        <f>"0.00"</f>
        <v>0.00</v>
      </c>
      <c r="L354" t="str">
        <f t="shared" si="120"/>
        <v>0.00</v>
      </c>
      <c r="M354" t="str">
        <f>"0.00"</f>
        <v>0.00</v>
      </c>
      <c r="N354" t="str">
        <f t="shared" si="116"/>
        <v>0.00</v>
      </c>
      <c r="O354" t="str">
        <f>"300790"</f>
        <v>300790</v>
      </c>
      <c r="P354" t="str">
        <f>"0153613480"</f>
        <v>0153613480</v>
      </c>
    </row>
    <row r="355" spans="1:16" x14ac:dyDescent="0.25">
      <c r="A355" t="str">
        <f t="shared" si="112"/>
        <v>人民币</v>
      </c>
      <c r="B355" t="str">
        <f>"人民网"</f>
        <v>人民网</v>
      </c>
      <c r="C355" t="str">
        <f t="shared" ref="C355:C360" si="121">"20190911"</f>
        <v>20190911</v>
      </c>
      <c r="D355" t="str">
        <f>"24.410"</f>
        <v>24.410</v>
      </c>
      <c r="E355" t="str">
        <f>"-500.00"</f>
        <v>-500.00</v>
      </c>
      <c r="F355" t="str">
        <f>"12180.34"</f>
        <v>12180.34</v>
      </c>
      <c r="G355" t="str">
        <f>"83385.10"</f>
        <v>83385.10</v>
      </c>
      <c r="H355" t="str">
        <f>"500.00"</f>
        <v>500.00</v>
      </c>
      <c r="I355" t="str">
        <f>"69"</f>
        <v>69</v>
      </c>
      <c r="J355" t="str">
        <f>"证券卖出(人民网)"</f>
        <v>证券卖出(人民网)</v>
      </c>
      <c r="K355" t="str">
        <f>"12.21"</f>
        <v>12.21</v>
      </c>
      <c r="L355" t="str">
        <f>"12.21"</f>
        <v>12.21</v>
      </c>
      <c r="M355" t="str">
        <f>"0.24"</f>
        <v>0.24</v>
      </c>
      <c r="N355" t="str">
        <f t="shared" si="116"/>
        <v>0.00</v>
      </c>
      <c r="O355" t="str">
        <f>"603000"</f>
        <v>603000</v>
      </c>
      <c r="P355" t="str">
        <f>"A400948245"</f>
        <v>A400948245</v>
      </c>
    </row>
    <row r="356" spans="1:16" x14ac:dyDescent="0.25">
      <c r="A356" t="str">
        <f t="shared" si="112"/>
        <v>人民币</v>
      </c>
      <c r="B356" t="str">
        <f>"人民网"</f>
        <v>人民网</v>
      </c>
      <c r="C356" t="str">
        <f t="shared" si="121"/>
        <v>20190911</v>
      </c>
      <c r="D356" t="str">
        <f>"24.600"</f>
        <v>24.600</v>
      </c>
      <c r="E356" t="str">
        <f>"-500.00"</f>
        <v>-500.00</v>
      </c>
      <c r="F356" t="str">
        <f>"12275.15"</f>
        <v>12275.15</v>
      </c>
      <c r="G356" t="str">
        <f>"95660.25"</f>
        <v>95660.25</v>
      </c>
      <c r="H356" t="str">
        <f>"0.00"</f>
        <v>0.00</v>
      </c>
      <c r="I356" t="str">
        <f>"72"</f>
        <v>72</v>
      </c>
      <c r="J356" t="str">
        <f>"证券卖出(人民网)"</f>
        <v>证券卖出(人民网)</v>
      </c>
      <c r="K356" t="str">
        <f>"12.30"</f>
        <v>12.30</v>
      </c>
      <c r="L356" t="str">
        <f>"12.30"</f>
        <v>12.30</v>
      </c>
      <c r="M356" t="str">
        <f>"0.25"</f>
        <v>0.25</v>
      </c>
      <c r="N356" t="str">
        <f t="shared" si="116"/>
        <v>0.00</v>
      </c>
      <c r="O356" t="str">
        <f>"603000"</f>
        <v>603000</v>
      </c>
      <c r="P356" t="str">
        <f>"A400948245"</f>
        <v>A400948245</v>
      </c>
    </row>
    <row r="357" spans="1:16" x14ac:dyDescent="0.25">
      <c r="A357" t="str">
        <f t="shared" si="112"/>
        <v>人民币</v>
      </c>
      <c r="B357" t="str">
        <f>"南京证券"</f>
        <v>南京证券</v>
      </c>
      <c r="C357" t="str">
        <f t="shared" si="121"/>
        <v>20190911</v>
      </c>
      <c r="D357" t="str">
        <f>"9.320"</f>
        <v>9.320</v>
      </c>
      <c r="E357" t="str">
        <f>"2000.00"</f>
        <v>2000.00</v>
      </c>
      <c r="F357" t="str">
        <f>"-18659.01"</f>
        <v>-18659.01</v>
      </c>
      <c r="G357" t="str">
        <f>"77001.24"</f>
        <v>77001.24</v>
      </c>
      <c r="H357" t="str">
        <f>"2000.00"</f>
        <v>2000.00</v>
      </c>
      <c r="I357" t="str">
        <f>"84"</f>
        <v>84</v>
      </c>
      <c r="J357" t="str">
        <f>"证券买入(南京证券)"</f>
        <v>证券买入(南京证券)</v>
      </c>
      <c r="K357" t="str">
        <f>"18.64"</f>
        <v>18.64</v>
      </c>
      <c r="L357" t="str">
        <f>"0.00"</f>
        <v>0.00</v>
      </c>
      <c r="M357" t="str">
        <f>"0.37"</f>
        <v>0.37</v>
      </c>
      <c r="N357" t="str">
        <f t="shared" si="116"/>
        <v>0.00</v>
      </c>
      <c r="O357" t="str">
        <f>"601990"</f>
        <v>601990</v>
      </c>
      <c r="P357" t="str">
        <f>"A400948245"</f>
        <v>A400948245</v>
      </c>
    </row>
    <row r="358" spans="1:16" x14ac:dyDescent="0.25">
      <c r="A358" t="str">
        <f t="shared" si="112"/>
        <v>人民币</v>
      </c>
      <c r="B358" t="str">
        <f>"诚志股份"</f>
        <v>诚志股份</v>
      </c>
      <c r="C358" t="str">
        <f t="shared" si="121"/>
        <v>20190911</v>
      </c>
      <c r="D358" t="str">
        <f>"17.510"</f>
        <v>17.510</v>
      </c>
      <c r="E358" t="str">
        <f>"-2000.00"</f>
        <v>-2000.00</v>
      </c>
      <c r="F358" t="str">
        <f>"34949.96"</f>
        <v>34949.96</v>
      </c>
      <c r="G358" t="str">
        <f>"111951.20"</f>
        <v>111951.20</v>
      </c>
      <c r="H358" t="str">
        <f>"0.00"</f>
        <v>0.00</v>
      </c>
      <c r="I358" t="str">
        <f>"59"</f>
        <v>59</v>
      </c>
      <c r="J358" t="str">
        <f>"证券卖出(诚志股份)"</f>
        <v>证券卖出(诚志股份)</v>
      </c>
      <c r="K358" t="str">
        <f>"35.02"</f>
        <v>35.02</v>
      </c>
      <c r="L358" t="str">
        <f>"35.02"</f>
        <v>35.02</v>
      </c>
      <c r="M358" t="str">
        <f>"0.00"</f>
        <v>0.00</v>
      </c>
      <c r="N358" t="str">
        <f t="shared" si="116"/>
        <v>0.00</v>
      </c>
      <c r="O358" t="str">
        <f>"000990"</f>
        <v>000990</v>
      </c>
      <c r="P358" t="str">
        <f>"0153613480"</f>
        <v>0153613480</v>
      </c>
    </row>
    <row r="359" spans="1:16" x14ac:dyDescent="0.25">
      <c r="A359" t="str">
        <f t="shared" si="112"/>
        <v>人民币</v>
      </c>
      <c r="B359" t="str">
        <f>"顺灏股份"</f>
        <v>顺灏股份</v>
      </c>
      <c r="C359" t="str">
        <f t="shared" si="121"/>
        <v>20190911</v>
      </c>
      <c r="D359" t="str">
        <f>"8.450"</f>
        <v>8.450</v>
      </c>
      <c r="E359" t="str">
        <f>"2000.00"</f>
        <v>2000.00</v>
      </c>
      <c r="F359" t="str">
        <f>"-16916.90"</f>
        <v>-16916.90</v>
      </c>
      <c r="G359" t="str">
        <f>"95034.30"</f>
        <v>95034.30</v>
      </c>
      <c r="H359" t="str">
        <f>"2000.00"</f>
        <v>2000.00</v>
      </c>
      <c r="I359" t="str">
        <f>"78"</f>
        <v>78</v>
      </c>
      <c r="J359" t="str">
        <f>"证券买入(顺灏股份)"</f>
        <v>证券买入(顺灏股份)</v>
      </c>
      <c r="K359" t="str">
        <f>"16.90"</f>
        <v>16.90</v>
      </c>
      <c r="L359" t="str">
        <f>"0.00"</f>
        <v>0.00</v>
      </c>
      <c r="M359" t="str">
        <f>"0.00"</f>
        <v>0.00</v>
      </c>
      <c r="N359" t="str">
        <f t="shared" si="116"/>
        <v>0.00</v>
      </c>
      <c r="O359" t="str">
        <f>"002565"</f>
        <v>002565</v>
      </c>
      <c r="P359" t="str">
        <f>"0153613480"</f>
        <v>0153613480</v>
      </c>
    </row>
    <row r="360" spans="1:16" x14ac:dyDescent="0.25">
      <c r="A360" t="str">
        <f t="shared" si="112"/>
        <v>人民币</v>
      </c>
      <c r="B360" t="str">
        <f>"顺灏股份"</f>
        <v>顺灏股份</v>
      </c>
      <c r="C360" t="str">
        <f t="shared" si="121"/>
        <v>20190911</v>
      </c>
      <c r="D360" t="str">
        <f>"8.300"</f>
        <v>8.300</v>
      </c>
      <c r="E360" t="str">
        <f>"1000.00"</f>
        <v>1000.00</v>
      </c>
      <c r="F360" t="str">
        <f>"-8308.30"</f>
        <v>-8308.30</v>
      </c>
      <c r="G360" t="str">
        <f>"86726.00"</f>
        <v>86726.00</v>
      </c>
      <c r="H360" t="str">
        <f>"3000.00"</f>
        <v>3000.00</v>
      </c>
      <c r="I360" t="str">
        <f>"87"</f>
        <v>87</v>
      </c>
      <c r="J360" t="str">
        <f>"证券买入(顺灏股份)"</f>
        <v>证券买入(顺灏股份)</v>
      </c>
      <c r="K360" t="str">
        <f>"8.30"</f>
        <v>8.30</v>
      </c>
      <c r="L360" t="str">
        <f>"0.00"</f>
        <v>0.00</v>
      </c>
      <c r="M360" t="str">
        <f>"0.00"</f>
        <v>0.00</v>
      </c>
      <c r="N360" t="str">
        <f t="shared" si="116"/>
        <v>0.00</v>
      </c>
      <c r="O360" t="str">
        <f>"002565"</f>
        <v>002565</v>
      </c>
      <c r="P360" t="str">
        <f>"0153613480"</f>
        <v>0153613480</v>
      </c>
    </row>
    <row r="361" spans="1:16" x14ac:dyDescent="0.25">
      <c r="A361" t="str">
        <f t="shared" si="112"/>
        <v>人民币</v>
      </c>
      <c r="B361" t="str">
        <f>"南京证券"</f>
        <v>南京证券</v>
      </c>
      <c r="C361" t="str">
        <f>"20190912"</f>
        <v>20190912</v>
      </c>
      <c r="D361" t="str">
        <f>"9.430"</f>
        <v>9.430</v>
      </c>
      <c r="E361" t="str">
        <f>"-2000.00"</f>
        <v>-2000.00</v>
      </c>
      <c r="F361" t="str">
        <f>"18821.89"</f>
        <v>18821.89</v>
      </c>
      <c r="G361" t="str">
        <f>"105547.89"</f>
        <v>105547.89</v>
      </c>
      <c r="H361" t="str">
        <f>"0.00"</f>
        <v>0.00</v>
      </c>
      <c r="I361" t="str">
        <f>"104"</f>
        <v>104</v>
      </c>
      <c r="J361" t="str">
        <f>"证券卖出(南京证券)"</f>
        <v>证券卖出(南京证券)</v>
      </c>
      <c r="K361" t="str">
        <f>"18.86"</f>
        <v>18.86</v>
      </c>
      <c r="L361" t="str">
        <f>"18.86"</f>
        <v>18.86</v>
      </c>
      <c r="M361" t="str">
        <f>"0.39"</f>
        <v>0.39</v>
      </c>
      <c r="N361" t="str">
        <f t="shared" si="116"/>
        <v>0.00</v>
      </c>
      <c r="O361" t="str">
        <f>"601990"</f>
        <v>601990</v>
      </c>
      <c r="P361" t="str">
        <f>"A400948245"</f>
        <v>A400948245</v>
      </c>
    </row>
    <row r="362" spans="1:16" x14ac:dyDescent="0.25">
      <c r="A362" t="str">
        <f t="shared" si="112"/>
        <v>人民币</v>
      </c>
      <c r="B362" t="str">
        <f>"顺灏股份"</f>
        <v>顺灏股份</v>
      </c>
      <c r="C362" t="str">
        <f>"20190912"</f>
        <v>20190912</v>
      </c>
      <c r="D362" t="str">
        <f>"7.930"</f>
        <v>7.930</v>
      </c>
      <c r="E362" t="str">
        <f>"2000.00"</f>
        <v>2000.00</v>
      </c>
      <c r="F362" t="str">
        <f>"-15875.86"</f>
        <v>-15875.86</v>
      </c>
      <c r="G362" t="str">
        <f>"89672.03"</f>
        <v>89672.03</v>
      </c>
      <c r="H362" t="str">
        <f>"5000.00"</f>
        <v>5000.00</v>
      </c>
      <c r="I362" t="str">
        <f>"96"</f>
        <v>96</v>
      </c>
      <c r="J362" t="str">
        <f>"证券买入(顺灏股份)"</f>
        <v>证券买入(顺灏股份)</v>
      </c>
      <c r="K362" t="str">
        <f>"15.86"</f>
        <v>15.86</v>
      </c>
      <c r="L362" t="str">
        <f>"0.00"</f>
        <v>0.00</v>
      </c>
      <c r="M362" t="str">
        <f>"0.00"</f>
        <v>0.00</v>
      </c>
      <c r="N362" t="str">
        <f t="shared" si="116"/>
        <v>0.00</v>
      </c>
      <c r="O362" t="str">
        <f>"002565"</f>
        <v>002565</v>
      </c>
      <c r="P362" t="str">
        <f>"0153613480"</f>
        <v>0153613480</v>
      </c>
    </row>
    <row r="363" spans="1:16" x14ac:dyDescent="0.25">
      <c r="A363" t="str">
        <f t="shared" si="112"/>
        <v>人民币</v>
      </c>
      <c r="B363" t="str">
        <f>"顺灏股份"</f>
        <v>顺灏股份</v>
      </c>
      <c r="C363" t="str">
        <f>"20190912"</f>
        <v>20190912</v>
      </c>
      <c r="D363" t="str">
        <f>"8.260"</f>
        <v>8.260</v>
      </c>
      <c r="E363" t="str">
        <f>"-2000.00"</f>
        <v>-2000.00</v>
      </c>
      <c r="F363" t="str">
        <f>"16486.96"</f>
        <v>16486.96</v>
      </c>
      <c r="G363" t="str">
        <f>"106158.99"</f>
        <v>106158.99</v>
      </c>
      <c r="H363" t="str">
        <f>"3000.00"</f>
        <v>3000.00</v>
      </c>
      <c r="I363" t="str">
        <f>"101"</f>
        <v>101</v>
      </c>
      <c r="J363" t="str">
        <f>"证券卖出(顺灏股份)"</f>
        <v>证券卖出(顺灏股份)</v>
      </c>
      <c r="K363" t="str">
        <f>"16.52"</f>
        <v>16.52</v>
      </c>
      <c r="L363" t="str">
        <f>"16.52"</f>
        <v>16.52</v>
      </c>
      <c r="M363" t="str">
        <f>"0.00"</f>
        <v>0.00</v>
      </c>
      <c r="N363" t="str">
        <f t="shared" si="116"/>
        <v>0.00</v>
      </c>
      <c r="O363" t="str">
        <f>"002565"</f>
        <v>002565</v>
      </c>
      <c r="P363" t="str">
        <f>"0153613480"</f>
        <v>0153613480</v>
      </c>
    </row>
    <row r="364" spans="1:16" x14ac:dyDescent="0.25">
      <c r="A364" t="str">
        <f t="shared" si="112"/>
        <v>人民币</v>
      </c>
      <c r="B364" t="str">
        <f>"仙乐健康"</f>
        <v>仙乐健康</v>
      </c>
      <c r="C364" t="str">
        <f>"20190912"</f>
        <v>20190912</v>
      </c>
      <c r="D364" t="str">
        <f>"0.000"</f>
        <v>0.000</v>
      </c>
      <c r="E364" t="str">
        <f>"17.00"</f>
        <v>17.00</v>
      </c>
      <c r="F364" t="str">
        <f>"0.00"</f>
        <v>0.00</v>
      </c>
      <c r="G364" t="str">
        <f>"106158.99"</f>
        <v>106158.99</v>
      </c>
      <c r="H364" t="str">
        <f>"0.00"</f>
        <v>0.00</v>
      </c>
      <c r="I364" t="str">
        <f>"99"</f>
        <v>99</v>
      </c>
      <c r="J364" t="str">
        <f>"申购配号(仙乐健康)"</f>
        <v>申购配号(仙乐健康)</v>
      </c>
      <c r="K364" t="str">
        <f>"0.00"</f>
        <v>0.00</v>
      </c>
      <c r="L364" t="str">
        <f>"0.00"</f>
        <v>0.00</v>
      </c>
      <c r="M364" t="str">
        <f>"0.00"</f>
        <v>0.00</v>
      </c>
      <c r="N364" t="str">
        <f t="shared" si="116"/>
        <v>0.00</v>
      </c>
      <c r="O364" t="str">
        <f>"300791"</f>
        <v>300791</v>
      </c>
      <c r="P364" t="str">
        <f>"0153613480"</f>
        <v>0153613480</v>
      </c>
    </row>
    <row r="365" spans="1:16" x14ac:dyDescent="0.25">
      <c r="A365" t="str">
        <f t="shared" si="112"/>
        <v>人民币</v>
      </c>
      <c r="B365" t="str">
        <f>"三安光电"</f>
        <v>三安光电</v>
      </c>
      <c r="C365" t="str">
        <f>"20190916"</f>
        <v>20190916</v>
      </c>
      <c r="D365" t="str">
        <f>"13.530"</f>
        <v>13.530</v>
      </c>
      <c r="E365" t="str">
        <f>"2000.00"</f>
        <v>2000.00</v>
      </c>
      <c r="F365" t="str">
        <f>"-27087.60"</f>
        <v>-27087.60</v>
      </c>
      <c r="G365" t="str">
        <f>"79071.39"</f>
        <v>79071.39</v>
      </c>
      <c r="H365" t="str">
        <f>"2000.00"</f>
        <v>2000.00</v>
      </c>
      <c r="I365" t="str">
        <f>"116"</f>
        <v>116</v>
      </c>
      <c r="J365" t="str">
        <f>"证券买入(三安光电)"</f>
        <v>证券买入(三安光电)</v>
      </c>
      <c r="K365" t="str">
        <f>"27.06"</f>
        <v>27.06</v>
      </c>
      <c r="L365" t="str">
        <f>"0.00"</f>
        <v>0.00</v>
      </c>
      <c r="M365" t="str">
        <f>"0.54"</f>
        <v>0.54</v>
      </c>
      <c r="N365" t="str">
        <f t="shared" si="116"/>
        <v>0.00</v>
      </c>
      <c r="O365" t="str">
        <f>"600703"</f>
        <v>600703</v>
      </c>
      <c r="P365" t="str">
        <f>"A400948245"</f>
        <v>A400948245</v>
      </c>
    </row>
    <row r="366" spans="1:16" x14ac:dyDescent="0.25">
      <c r="A366" t="str">
        <f t="shared" si="112"/>
        <v>人民币</v>
      </c>
      <c r="B366" t="str">
        <f>"梅安森"</f>
        <v>梅安森</v>
      </c>
      <c r="C366" t="str">
        <f>"20190916"</f>
        <v>20190916</v>
      </c>
      <c r="D366" t="str">
        <f>"11.110"</f>
        <v>11.110</v>
      </c>
      <c r="E366" t="str">
        <f>"-3000.00"</f>
        <v>-3000.00</v>
      </c>
      <c r="F366" t="str">
        <f>"33263.34"</f>
        <v>33263.34</v>
      </c>
      <c r="G366" t="str">
        <f>"112334.73"</f>
        <v>112334.73</v>
      </c>
      <c r="H366" t="str">
        <f>"3000.00"</f>
        <v>3000.00</v>
      </c>
      <c r="I366" t="str">
        <f>"129"</f>
        <v>129</v>
      </c>
      <c r="J366" t="str">
        <f>"证券卖出(梅安森)"</f>
        <v>证券卖出(梅安森)</v>
      </c>
      <c r="K366" t="str">
        <f>"33.33"</f>
        <v>33.33</v>
      </c>
      <c r="L366" t="str">
        <f>"33.33"</f>
        <v>33.33</v>
      </c>
      <c r="M366" t="str">
        <f>"0.00"</f>
        <v>0.00</v>
      </c>
      <c r="N366" t="str">
        <f t="shared" si="116"/>
        <v>0.00</v>
      </c>
      <c r="O366" t="str">
        <f>"300275"</f>
        <v>300275</v>
      </c>
      <c r="P366" t="str">
        <f>"0153613480"</f>
        <v>0153613480</v>
      </c>
    </row>
    <row r="367" spans="1:16" x14ac:dyDescent="0.25">
      <c r="A367" t="str">
        <f t="shared" si="112"/>
        <v>人民币</v>
      </c>
      <c r="B367" t="str">
        <f>"梅安森"</f>
        <v>梅安森</v>
      </c>
      <c r="C367" t="str">
        <f>"20190916"</f>
        <v>20190916</v>
      </c>
      <c r="D367" t="str">
        <f>"10.910"</f>
        <v>10.910</v>
      </c>
      <c r="E367" t="str">
        <f>"-3000.00"</f>
        <v>-3000.00</v>
      </c>
      <c r="F367" t="str">
        <f>"32664.54"</f>
        <v>32664.54</v>
      </c>
      <c r="G367" t="str">
        <f>"144999.27"</f>
        <v>144999.27</v>
      </c>
      <c r="H367" t="str">
        <f>"0.00"</f>
        <v>0.00</v>
      </c>
      <c r="I367" t="str">
        <f>"141"</f>
        <v>141</v>
      </c>
      <c r="J367" t="str">
        <f>"证券卖出(梅安森)"</f>
        <v>证券卖出(梅安森)</v>
      </c>
      <c r="K367" t="str">
        <f>"32.73"</f>
        <v>32.73</v>
      </c>
      <c r="L367" t="str">
        <f>"32.73"</f>
        <v>32.73</v>
      </c>
      <c r="M367" t="str">
        <f>"0.00"</f>
        <v>0.00</v>
      </c>
      <c r="N367" t="str">
        <f t="shared" si="116"/>
        <v>0.00</v>
      </c>
      <c r="O367" t="str">
        <f>"300275"</f>
        <v>300275</v>
      </c>
      <c r="P367" t="str">
        <f>"0153613480"</f>
        <v>0153613480</v>
      </c>
    </row>
    <row r="368" spans="1:16" x14ac:dyDescent="0.25">
      <c r="A368" t="str">
        <f t="shared" si="112"/>
        <v>人民币</v>
      </c>
      <c r="B368" t="str">
        <f>"顺灏股份"</f>
        <v>顺灏股份</v>
      </c>
      <c r="C368" t="str">
        <f>"20190916"</f>
        <v>20190916</v>
      </c>
      <c r="D368" t="str">
        <f>"8.240"</f>
        <v>8.240</v>
      </c>
      <c r="E368" t="str">
        <f>"2000.00"</f>
        <v>2000.00</v>
      </c>
      <c r="F368" t="str">
        <f>"-16496.48"</f>
        <v>-16496.48</v>
      </c>
      <c r="G368" t="str">
        <f>"128502.79"</f>
        <v>128502.79</v>
      </c>
      <c r="H368" t="str">
        <f>"5000.00"</f>
        <v>5000.00</v>
      </c>
      <c r="I368" t="str">
        <f>"112"</f>
        <v>112</v>
      </c>
      <c r="J368" t="str">
        <f>"证券买入(顺灏股份)"</f>
        <v>证券买入(顺灏股份)</v>
      </c>
      <c r="K368" t="str">
        <f>"16.48"</f>
        <v>16.48</v>
      </c>
      <c r="L368" t="str">
        <f>"0.00"</f>
        <v>0.00</v>
      </c>
      <c r="M368" t="str">
        <f>"0.00"</f>
        <v>0.00</v>
      </c>
      <c r="N368" t="str">
        <f t="shared" si="116"/>
        <v>0.00</v>
      </c>
      <c r="O368" t="str">
        <f>"002565"</f>
        <v>002565</v>
      </c>
      <c r="P368" t="str">
        <f>"0153613480"</f>
        <v>0153613480</v>
      </c>
    </row>
    <row r="369" spans="1:16" x14ac:dyDescent="0.25">
      <c r="A369" t="str">
        <f t="shared" si="112"/>
        <v>人民币</v>
      </c>
      <c r="B369" t="str">
        <f>"三安光电"</f>
        <v>三安光电</v>
      </c>
      <c r="C369" t="str">
        <f t="shared" ref="C369:C376" si="122">"20190917"</f>
        <v>20190917</v>
      </c>
      <c r="D369" t="str">
        <f>"14.280"</f>
        <v>14.280</v>
      </c>
      <c r="E369" t="str">
        <f>"-2000.00"</f>
        <v>-2000.00</v>
      </c>
      <c r="F369" t="str">
        <f>"28502.30"</f>
        <v>28502.30</v>
      </c>
      <c r="G369" t="str">
        <f>"157005.09"</f>
        <v>157005.09</v>
      </c>
      <c r="H369" t="str">
        <f>"0.00"</f>
        <v>0.00</v>
      </c>
      <c r="I369" t="str">
        <f>"151"</f>
        <v>151</v>
      </c>
      <c r="J369" t="str">
        <f>"证券卖出(三安光电)"</f>
        <v>证券卖出(三安光电)</v>
      </c>
      <c r="K369" t="str">
        <f>"28.56"</f>
        <v>28.56</v>
      </c>
      <c r="L369" t="str">
        <f>"28.57"</f>
        <v>28.57</v>
      </c>
      <c r="M369" t="str">
        <f>"0.57"</f>
        <v>0.57</v>
      </c>
      <c r="N369" t="str">
        <f t="shared" si="116"/>
        <v>0.00</v>
      </c>
      <c r="O369" t="str">
        <f>"600703"</f>
        <v>600703</v>
      </c>
      <c r="P369" t="str">
        <f>"A400948245"</f>
        <v>A400948245</v>
      </c>
    </row>
    <row r="370" spans="1:16" x14ac:dyDescent="0.25">
      <c r="A370" t="str">
        <f t="shared" si="112"/>
        <v>人民币</v>
      </c>
      <c r="B370" t="str">
        <f>"德宏股份"</f>
        <v>德宏股份</v>
      </c>
      <c r="C370" t="str">
        <f t="shared" si="122"/>
        <v>20190917</v>
      </c>
      <c r="D370" t="str">
        <f>"14.600"</f>
        <v>14.600</v>
      </c>
      <c r="E370" t="str">
        <f>"1000.00"</f>
        <v>1000.00</v>
      </c>
      <c r="F370" t="str">
        <f>"-14614.89"</f>
        <v>-14614.89</v>
      </c>
      <c r="G370" t="str">
        <f>"142390.20"</f>
        <v>142390.20</v>
      </c>
      <c r="H370" t="str">
        <f>"1000.00"</f>
        <v>1000.00</v>
      </c>
      <c r="I370" t="str">
        <f>"155"</f>
        <v>155</v>
      </c>
      <c r="J370" t="str">
        <f>"证券买入(德宏股份)"</f>
        <v>证券买入(德宏股份)</v>
      </c>
      <c r="K370" t="str">
        <f>"14.60"</f>
        <v>14.60</v>
      </c>
      <c r="L370" t="str">
        <f t="shared" ref="L370:L377" si="123">"0.00"</f>
        <v>0.00</v>
      </c>
      <c r="M370" t="str">
        <f>"0.29"</f>
        <v>0.29</v>
      </c>
      <c r="N370" t="str">
        <f t="shared" si="116"/>
        <v>0.00</v>
      </c>
      <c r="O370" t="str">
        <f>"603701"</f>
        <v>603701</v>
      </c>
      <c r="P370" t="str">
        <f>"A400948245"</f>
        <v>A400948245</v>
      </c>
    </row>
    <row r="371" spans="1:16" x14ac:dyDescent="0.25">
      <c r="A371" t="str">
        <f t="shared" si="112"/>
        <v>人民币</v>
      </c>
      <c r="B371" t="str">
        <f>"德宏股份"</f>
        <v>德宏股份</v>
      </c>
      <c r="C371" t="str">
        <f t="shared" si="122"/>
        <v>20190917</v>
      </c>
      <c r="D371" t="str">
        <f>"14.570"</f>
        <v>14.570</v>
      </c>
      <c r="E371" t="str">
        <f>"1000.00"</f>
        <v>1000.00</v>
      </c>
      <c r="F371" t="str">
        <f>"-14584.86"</f>
        <v>-14584.86</v>
      </c>
      <c r="G371" t="str">
        <f>"127805.34"</f>
        <v>127805.34</v>
      </c>
      <c r="H371" t="str">
        <f>"2000.00"</f>
        <v>2000.00</v>
      </c>
      <c r="I371" t="str">
        <f>"163"</f>
        <v>163</v>
      </c>
      <c r="J371" t="str">
        <f>"证券买入(德宏股份)"</f>
        <v>证券买入(德宏股份)</v>
      </c>
      <c r="K371" t="str">
        <f>"14.57"</f>
        <v>14.57</v>
      </c>
      <c r="L371" t="str">
        <f t="shared" si="123"/>
        <v>0.00</v>
      </c>
      <c r="M371" t="str">
        <f>"0.29"</f>
        <v>0.29</v>
      </c>
      <c r="N371" t="str">
        <f t="shared" si="116"/>
        <v>0.00</v>
      </c>
      <c r="O371" t="str">
        <f>"603701"</f>
        <v>603701</v>
      </c>
      <c r="P371" t="str">
        <f>"A400948245"</f>
        <v>A400948245</v>
      </c>
    </row>
    <row r="372" spans="1:16" x14ac:dyDescent="0.25">
      <c r="A372" t="str">
        <f t="shared" si="112"/>
        <v>人民币</v>
      </c>
      <c r="B372" t="str">
        <f>"德宏股份"</f>
        <v>德宏股份</v>
      </c>
      <c r="C372" t="str">
        <f t="shared" si="122"/>
        <v>20190917</v>
      </c>
      <c r="D372" t="str">
        <f>"14.290"</f>
        <v>14.290</v>
      </c>
      <c r="E372" t="str">
        <f>"1000.00"</f>
        <v>1000.00</v>
      </c>
      <c r="F372" t="str">
        <f>"-14304.58"</f>
        <v>-14304.58</v>
      </c>
      <c r="G372" t="str">
        <f>"113500.76"</f>
        <v>113500.76</v>
      </c>
      <c r="H372" t="str">
        <f>"3000.00"</f>
        <v>3000.00</v>
      </c>
      <c r="I372" t="str">
        <f>"170"</f>
        <v>170</v>
      </c>
      <c r="J372" t="str">
        <f>"证券买入(德宏股份)"</f>
        <v>证券买入(德宏股份)</v>
      </c>
      <c r="K372" t="str">
        <f>"14.29"</f>
        <v>14.29</v>
      </c>
      <c r="L372" t="str">
        <f t="shared" si="123"/>
        <v>0.00</v>
      </c>
      <c r="M372" t="str">
        <f>"0.29"</f>
        <v>0.29</v>
      </c>
      <c r="N372" t="str">
        <f t="shared" si="116"/>
        <v>0.00</v>
      </c>
      <c r="O372" t="str">
        <f>"603701"</f>
        <v>603701</v>
      </c>
      <c r="P372" t="str">
        <f>"A400948245"</f>
        <v>A400948245</v>
      </c>
    </row>
    <row r="373" spans="1:16" x14ac:dyDescent="0.25">
      <c r="A373" t="str">
        <f t="shared" si="112"/>
        <v>人民币</v>
      </c>
      <c r="B373" t="str">
        <f>"中海达"</f>
        <v>中海达</v>
      </c>
      <c r="C373" t="str">
        <f t="shared" si="122"/>
        <v>20190917</v>
      </c>
      <c r="D373" t="str">
        <f>"10.930"</f>
        <v>10.930</v>
      </c>
      <c r="E373" t="str">
        <f>"800.00"</f>
        <v>800.00</v>
      </c>
      <c r="F373" t="str">
        <f>"-8752.74"</f>
        <v>-8752.74</v>
      </c>
      <c r="G373" t="str">
        <f>"104748.02"</f>
        <v>104748.02</v>
      </c>
      <c r="H373" t="str">
        <f>"800.00"</f>
        <v>800.00</v>
      </c>
      <c r="I373" t="str">
        <f>"148"</f>
        <v>148</v>
      </c>
      <c r="J373" t="str">
        <f>"证券买入(中海达)"</f>
        <v>证券买入(中海达)</v>
      </c>
      <c r="K373" t="str">
        <f>"8.74"</f>
        <v>8.74</v>
      </c>
      <c r="L373" t="str">
        <f t="shared" si="123"/>
        <v>0.00</v>
      </c>
      <c r="M373" t="str">
        <f>"0.00"</f>
        <v>0.00</v>
      </c>
      <c r="N373" t="str">
        <f t="shared" si="116"/>
        <v>0.00</v>
      </c>
      <c r="O373" t="str">
        <f>"300177"</f>
        <v>300177</v>
      </c>
      <c r="P373" t="str">
        <f>"0153613480"</f>
        <v>0153613480</v>
      </c>
    </row>
    <row r="374" spans="1:16" x14ac:dyDescent="0.25">
      <c r="A374" t="str">
        <f t="shared" si="112"/>
        <v>人民币</v>
      </c>
      <c r="B374" t="str">
        <f>"中海达"</f>
        <v>中海达</v>
      </c>
      <c r="C374" t="str">
        <f t="shared" si="122"/>
        <v>20190917</v>
      </c>
      <c r="D374" t="str">
        <f>"10.800"</f>
        <v>10.800</v>
      </c>
      <c r="E374" t="str">
        <f>"1200.00"</f>
        <v>1200.00</v>
      </c>
      <c r="F374" t="str">
        <f>"-12972.96"</f>
        <v>-12972.96</v>
      </c>
      <c r="G374" t="str">
        <f>"91775.06"</f>
        <v>91775.06</v>
      </c>
      <c r="H374" t="str">
        <f>"2000.00"</f>
        <v>2000.00</v>
      </c>
      <c r="I374" t="str">
        <f>"159"</f>
        <v>159</v>
      </c>
      <c r="J374" t="str">
        <f>"证券买入(中海达)"</f>
        <v>证券买入(中海达)</v>
      </c>
      <c r="K374" t="str">
        <f>"12.96"</f>
        <v>12.96</v>
      </c>
      <c r="L374" t="str">
        <f t="shared" si="123"/>
        <v>0.00</v>
      </c>
      <c r="M374" t="str">
        <f>"0.00"</f>
        <v>0.00</v>
      </c>
      <c r="N374" t="str">
        <f t="shared" si="116"/>
        <v>0.00</v>
      </c>
      <c r="O374" t="str">
        <f>"300177"</f>
        <v>300177</v>
      </c>
      <c r="P374" t="str">
        <f>"0153613480"</f>
        <v>0153613480</v>
      </c>
    </row>
    <row r="375" spans="1:16" x14ac:dyDescent="0.25">
      <c r="A375" t="str">
        <f t="shared" si="112"/>
        <v>人民币</v>
      </c>
      <c r="B375" t="str">
        <f>"中海达"</f>
        <v>中海达</v>
      </c>
      <c r="C375" t="str">
        <f t="shared" si="122"/>
        <v>20190917</v>
      </c>
      <c r="D375" t="str">
        <f>"10.650"</f>
        <v>10.650</v>
      </c>
      <c r="E375" t="str">
        <f>"1000.00"</f>
        <v>1000.00</v>
      </c>
      <c r="F375" t="str">
        <f>"-10660.65"</f>
        <v>-10660.65</v>
      </c>
      <c r="G375" t="str">
        <f>"81114.41"</f>
        <v>81114.41</v>
      </c>
      <c r="H375" t="str">
        <f>"3000.00"</f>
        <v>3000.00</v>
      </c>
      <c r="I375" t="str">
        <f>"167"</f>
        <v>167</v>
      </c>
      <c r="J375" t="str">
        <f>"证券买入(中海达)"</f>
        <v>证券买入(中海达)</v>
      </c>
      <c r="K375" t="str">
        <f>"10.65"</f>
        <v>10.65</v>
      </c>
      <c r="L375" t="str">
        <f t="shared" si="123"/>
        <v>0.00</v>
      </c>
      <c r="M375" t="str">
        <f>"0.00"</f>
        <v>0.00</v>
      </c>
      <c r="N375" t="str">
        <f t="shared" si="116"/>
        <v>0.00</v>
      </c>
      <c r="O375" t="str">
        <f>"300177"</f>
        <v>300177</v>
      </c>
      <c r="P375" t="str">
        <f>"0153613480"</f>
        <v>0153613480</v>
      </c>
    </row>
    <row r="376" spans="1:16" x14ac:dyDescent="0.25">
      <c r="A376" t="str">
        <f t="shared" si="112"/>
        <v>人民币</v>
      </c>
      <c r="B376" t="str">
        <f>"顺灏股份"</f>
        <v>顺灏股份</v>
      </c>
      <c r="C376" t="str">
        <f t="shared" si="122"/>
        <v>20190917</v>
      </c>
      <c r="D376" t="str">
        <f>"7.950"</f>
        <v>7.950</v>
      </c>
      <c r="E376" t="str">
        <f>"2000.00"</f>
        <v>2000.00</v>
      </c>
      <c r="F376" t="str">
        <f>"-15915.90"</f>
        <v>-15915.90</v>
      </c>
      <c r="G376" t="str">
        <f>"65198.51"</f>
        <v>65198.51</v>
      </c>
      <c r="H376" t="str">
        <f>"7000.00"</f>
        <v>7000.00</v>
      </c>
      <c r="I376" t="str">
        <f>"174"</f>
        <v>174</v>
      </c>
      <c r="J376" t="str">
        <f>"证券买入(顺灏股份)"</f>
        <v>证券买入(顺灏股份)</v>
      </c>
      <c r="K376" t="str">
        <f>"15.90"</f>
        <v>15.90</v>
      </c>
      <c r="L376" t="str">
        <f t="shared" si="123"/>
        <v>0.00</v>
      </c>
      <c r="M376" t="str">
        <f>"0.00"</f>
        <v>0.00</v>
      </c>
      <c r="N376" t="str">
        <f t="shared" si="116"/>
        <v>0.00</v>
      </c>
      <c r="O376" t="str">
        <f>"002565"</f>
        <v>002565</v>
      </c>
      <c r="P376" t="str">
        <f>"0153613480"</f>
        <v>0153613480</v>
      </c>
    </row>
    <row r="377" spans="1:16" x14ac:dyDescent="0.25">
      <c r="A377" t="str">
        <f t="shared" si="112"/>
        <v>人民币</v>
      </c>
      <c r="B377" t="str">
        <f>"德宏股份"</f>
        <v>德宏股份</v>
      </c>
      <c r="C377" t="str">
        <f t="shared" ref="C377:C382" si="124">"20190918"</f>
        <v>20190918</v>
      </c>
      <c r="D377" t="str">
        <f>"14.050"</f>
        <v>14.050</v>
      </c>
      <c r="E377" t="str">
        <f>"1500.00"</f>
        <v>1500.00</v>
      </c>
      <c r="F377" t="str">
        <f>"-21081.74"</f>
        <v>-21081.74</v>
      </c>
      <c r="G377" t="str">
        <f>"44116.77"</f>
        <v>44116.77</v>
      </c>
      <c r="H377" t="str">
        <f>"4500.00"</f>
        <v>4500.00</v>
      </c>
      <c r="I377" t="str">
        <f>"185"</f>
        <v>185</v>
      </c>
      <c r="J377" t="str">
        <f>"证券买入(德宏股份)"</f>
        <v>证券买入(德宏股份)</v>
      </c>
      <c r="K377" t="str">
        <f>"6.32"</f>
        <v>6.32</v>
      </c>
      <c r="L377" t="str">
        <f t="shared" si="123"/>
        <v>0.00</v>
      </c>
      <c r="M377" t="str">
        <f>"0.42"</f>
        <v>0.42</v>
      </c>
      <c r="N377" t="str">
        <f t="shared" si="116"/>
        <v>0.00</v>
      </c>
      <c r="O377" t="str">
        <f>"603701"</f>
        <v>603701</v>
      </c>
      <c r="P377" t="str">
        <f>"A400948245"</f>
        <v>A400948245</v>
      </c>
    </row>
    <row r="378" spans="1:16" x14ac:dyDescent="0.25">
      <c r="A378" t="str">
        <f t="shared" si="112"/>
        <v>人民币</v>
      </c>
      <c r="B378" t="str">
        <f>"德宏股份"</f>
        <v>德宏股份</v>
      </c>
      <c r="C378" t="str">
        <f t="shared" si="124"/>
        <v>20190918</v>
      </c>
      <c r="D378" t="str">
        <f>"14.528"</f>
        <v>14.528</v>
      </c>
      <c r="E378" t="str">
        <f>"-1500.00"</f>
        <v>-1500.00</v>
      </c>
      <c r="F378" t="str">
        <f>"21763.23"</f>
        <v>21763.23</v>
      </c>
      <c r="G378" t="str">
        <f>"65880.00"</f>
        <v>65880.00</v>
      </c>
      <c r="H378" t="str">
        <f>"3000.00"</f>
        <v>3000.00</v>
      </c>
      <c r="I378" t="str">
        <f>"206"</f>
        <v>206</v>
      </c>
      <c r="J378" t="str">
        <f>"证券卖出(德宏股份)"</f>
        <v>证券卖出(德宏股份)</v>
      </c>
      <c r="K378" t="str">
        <f>"6.54"</f>
        <v>6.54</v>
      </c>
      <c r="L378" t="str">
        <f>"21.79"</f>
        <v>21.79</v>
      </c>
      <c r="M378" t="str">
        <f>"0.44"</f>
        <v>0.44</v>
      </c>
      <c r="N378" t="str">
        <f t="shared" si="116"/>
        <v>0.00</v>
      </c>
      <c r="O378" t="str">
        <f>"603701"</f>
        <v>603701</v>
      </c>
      <c r="P378" t="str">
        <f>"A400948245"</f>
        <v>A400948245</v>
      </c>
    </row>
    <row r="379" spans="1:16" x14ac:dyDescent="0.25">
      <c r="A379" t="str">
        <f t="shared" si="112"/>
        <v>人民币</v>
      </c>
      <c r="B379" t="str">
        <f>"顺灏股份"</f>
        <v>顺灏股份</v>
      </c>
      <c r="C379" t="str">
        <f t="shared" si="124"/>
        <v>20190918</v>
      </c>
      <c r="D379" t="str">
        <f>"8.000"</f>
        <v>8.000</v>
      </c>
      <c r="E379" t="str">
        <f>"-2000.00"</f>
        <v>-2000.00</v>
      </c>
      <c r="F379" t="str">
        <f>"15979.00"</f>
        <v>15979.00</v>
      </c>
      <c r="G379" t="str">
        <f>"81859.00"</f>
        <v>81859.00</v>
      </c>
      <c r="H379" t="str">
        <f>"5000.00"</f>
        <v>5000.00</v>
      </c>
      <c r="I379" t="str">
        <f>"203"</f>
        <v>203</v>
      </c>
      <c r="J379" t="str">
        <f>"证券卖出(顺灏股份)"</f>
        <v>证券卖出(顺灏股份)</v>
      </c>
      <c r="K379" t="str">
        <f>"5.00"</f>
        <v>5.00</v>
      </c>
      <c r="L379" t="str">
        <f>"16.00"</f>
        <v>16.00</v>
      </c>
      <c r="M379" t="str">
        <f>"0.00"</f>
        <v>0.00</v>
      </c>
      <c r="N379" t="str">
        <f t="shared" si="116"/>
        <v>0.00</v>
      </c>
      <c r="O379" t="str">
        <f>"002565"</f>
        <v>002565</v>
      </c>
      <c r="P379" t="str">
        <f>"0153613480"</f>
        <v>0153613480</v>
      </c>
    </row>
    <row r="380" spans="1:16" x14ac:dyDescent="0.25">
      <c r="A380" t="str">
        <f t="shared" si="112"/>
        <v>人民币</v>
      </c>
      <c r="B380" t="str">
        <f>"中海达"</f>
        <v>中海达</v>
      </c>
      <c r="C380" t="str">
        <f t="shared" si="124"/>
        <v>20190918</v>
      </c>
      <c r="D380" t="str">
        <f>"10.120"</f>
        <v>10.120</v>
      </c>
      <c r="E380" t="str">
        <f>"1000.00"</f>
        <v>1000.00</v>
      </c>
      <c r="F380" t="str">
        <f>"-10125.00"</f>
        <v>-10125.00</v>
      </c>
      <c r="G380" t="str">
        <f>"71734.00"</f>
        <v>71734.00</v>
      </c>
      <c r="H380" t="str">
        <f>"4000.00"</f>
        <v>4000.00</v>
      </c>
      <c r="I380" t="str">
        <f>"193"</f>
        <v>193</v>
      </c>
      <c r="J380" t="str">
        <f>"证券买入(中海达)"</f>
        <v>证券买入(中海达)</v>
      </c>
      <c r="K380" t="str">
        <f>"5.00"</f>
        <v>5.00</v>
      </c>
      <c r="L380" t="str">
        <f>"0.00"</f>
        <v>0.00</v>
      </c>
      <c r="M380" t="str">
        <f>"0.00"</f>
        <v>0.00</v>
      </c>
      <c r="N380" t="str">
        <f t="shared" si="116"/>
        <v>0.00</v>
      </c>
      <c r="O380" t="str">
        <f>"300177"</f>
        <v>300177</v>
      </c>
      <c r="P380" t="str">
        <f>"0153613480"</f>
        <v>0153613480</v>
      </c>
    </row>
    <row r="381" spans="1:16" x14ac:dyDescent="0.25">
      <c r="A381" t="str">
        <f t="shared" si="112"/>
        <v>人民币</v>
      </c>
      <c r="B381" t="str">
        <f>"中海达"</f>
        <v>中海达</v>
      </c>
      <c r="C381" t="str">
        <f t="shared" si="124"/>
        <v>20190918</v>
      </c>
      <c r="D381" t="str">
        <f>"10.000"</f>
        <v>10.000</v>
      </c>
      <c r="E381" t="str">
        <f>"1000.00"</f>
        <v>1000.00</v>
      </c>
      <c r="F381" t="str">
        <f>"-10005.00"</f>
        <v>-10005.00</v>
      </c>
      <c r="G381" t="str">
        <f>"61729.00"</f>
        <v>61729.00</v>
      </c>
      <c r="H381" t="str">
        <f>"5000.00"</f>
        <v>5000.00</v>
      </c>
      <c r="I381" t="str">
        <f>"199"</f>
        <v>199</v>
      </c>
      <c r="J381" t="str">
        <f>"证券买入(中海达)"</f>
        <v>证券买入(中海达)</v>
      </c>
      <c r="K381" t="str">
        <f>"5.00"</f>
        <v>5.00</v>
      </c>
      <c r="L381" t="str">
        <f>"0.00"</f>
        <v>0.00</v>
      </c>
      <c r="M381" t="str">
        <f>"0.00"</f>
        <v>0.00</v>
      </c>
      <c r="N381" t="str">
        <f t="shared" si="116"/>
        <v>0.00</v>
      </c>
      <c r="O381" t="str">
        <f>"300177"</f>
        <v>300177</v>
      </c>
      <c r="P381" t="str">
        <f>"0153613480"</f>
        <v>0153613480</v>
      </c>
    </row>
    <row r="382" spans="1:16" x14ac:dyDescent="0.25">
      <c r="A382" t="str">
        <f t="shared" si="112"/>
        <v>人民币</v>
      </c>
      <c r="B382" t="str">
        <f>"壹网壹创"</f>
        <v>壹网壹创</v>
      </c>
      <c r="C382" t="str">
        <f t="shared" si="124"/>
        <v>20190918</v>
      </c>
      <c r="D382" t="str">
        <f>"0.000"</f>
        <v>0.000</v>
      </c>
      <c r="E382" t="str">
        <f>"17.00"</f>
        <v>17.00</v>
      </c>
      <c r="F382" t="str">
        <f>"0.00"</f>
        <v>0.00</v>
      </c>
      <c r="G382" t="str">
        <f>"61729.00"</f>
        <v>61729.00</v>
      </c>
      <c r="H382" t="str">
        <f>"0.00"</f>
        <v>0.00</v>
      </c>
      <c r="I382" t="str">
        <f>"197"</f>
        <v>197</v>
      </c>
      <c r="J382" t="str">
        <f>"申购配号(壹网壹创)"</f>
        <v>申购配号(壹网壹创)</v>
      </c>
      <c r="K382" t="str">
        <f>"0.00"</f>
        <v>0.00</v>
      </c>
      <c r="L382" t="str">
        <f>"0.00"</f>
        <v>0.00</v>
      </c>
      <c r="M382" t="str">
        <f>"0.00"</f>
        <v>0.00</v>
      </c>
      <c r="N382" t="str">
        <f t="shared" si="116"/>
        <v>0.00</v>
      </c>
      <c r="O382" t="str">
        <f>"300792"</f>
        <v>300792</v>
      </c>
      <c r="P382" t="str">
        <f>"0153613480"</f>
        <v>0153613480</v>
      </c>
    </row>
    <row r="383" spans="1:16" x14ac:dyDescent="0.25">
      <c r="A383" t="str">
        <f t="shared" si="112"/>
        <v>人民币</v>
      </c>
      <c r="B383" t="str">
        <f>"德宏股份"</f>
        <v>德宏股份</v>
      </c>
      <c r="C383" t="str">
        <f>"20190919"</f>
        <v>20190919</v>
      </c>
      <c r="D383" t="str">
        <f>"15.130"</f>
        <v>15.130</v>
      </c>
      <c r="E383" t="str">
        <f>"-3000.00"</f>
        <v>-3000.00</v>
      </c>
      <c r="F383" t="str">
        <f>"45330.08"</f>
        <v>45330.08</v>
      </c>
      <c r="G383" t="str">
        <f>"107059.08"</f>
        <v>107059.08</v>
      </c>
      <c r="H383" t="str">
        <f>"0.00"</f>
        <v>0.00</v>
      </c>
      <c r="I383" t="str">
        <f>"218"</f>
        <v>218</v>
      </c>
      <c r="J383" t="str">
        <f>"证券卖出(德宏股份)"</f>
        <v>证券卖出(德宏股份)</v>
      </c>
      <c r="K383" t="str">
        <f>"13.62"</f>
        <v>13.62</v>
      </c>
      <c r="L383" t="str">
        <f>"45.39"</f>
        <v>45.39</v>
      </c>
      <c r="M383" t="str">
        <f>"0.91"</f>
        <v>0.91</v>
      </c>
      <c r="N383" t="str">
        <f t="shared" si="116"/>
        <v>0.00</v>
      </c>
      <c r="O383" t="str">
        <f>"603701"</f>
        <v>603701</v>
      </c>
      <c r="P383" t="str">
        <f>"A400948245"</f>
        <v>A400948245</v>
      </c>
    </row>
    <row r="384" spans="1:16" x14ac:dyDescent="0.25">
      <c r="A384" t="str">
        <f t="shared" ref="A384:A427" si="125">"人民币"</f>
        <v>人民币</v>
      </c>
      <c r="B384" t="str">
        <f>"赛腾股份"</f>
        <v>赛腾股份</v>
      </c>
      <c r="C384" t="str">
        <f>"20190919"</f>
        <v>20190919</v>
      </c>
      <c r="D384" t="str">
        <f>"25.300"</f>
        <v>25.300</v>
      </c>
      <c r="E384" t="str">
        <f>"800.00"</f>
        <v>800.00</v>
      </c>
      <c r="F384" t="str">
        <f>"-20246.47"</f>
        <v>-20246.47</v>
      </c>
      <c r="G384" t="str">
        <f>"86812.61"</f>
        <v>86812.61</v>
      </c>
      <c r="H384" t="str">
        <f>"800.00"</f>
        <v>800.00</v>
      </c>
      <c r="I384" t="str">
        <f>"224"</f>
        <v>224</v>
      </c>
      <c r="J384" t="str">
        <f>"证券买入(赛腾股份)"</f>
        <v>证券买入(赛腾股份)</v>
      </c>
      <c r="K384" t="str">
        <f>"6.07"</f>
        <v>6.07</v>
      </c>
      <c r="L384" t="str">
        <f>"0.00"</f>
        <v>0.00</v>
      </c>
      <c r="M384" t="str">
        <f>"0.40"</f>
        <v>0.40</v>
      </c>
      <c r="N384" t="str">
        <f t="shared" si="116"/>
        <v>0.00</v>
      </c>
      <c r="O384" t="str">
        <f>"603283"</f>
        <v>603283</v>
      </c>
      <c r="P384" t="str">
        <f>"A400948245"</f>
        <v>A400948245</v>
      </c>
    </row>
    <row r="385" spans="1:16" x14ac:dyDescent="0.25">
      <c r="A385" t="str">
        <f t="shared" si="125"/>
        <v>人民币</v>
      </c>
      <c r="B385" t="str">
        <f>"赛腾股份"</f>
        <v>赛腾股份</v>
      </c>
      <c r="C385" t="str">
        <f>"20190919"</f>
        <v>20190919</v>
      </c>
      <c r="D385" t="str">
        <f>"25.080"</f>
        <v>25.080</v>
      </c>
      <c r="E385" t="str">
        <f>"400.00"</f>
        <v>400.00</v>
      </c>
      <c r="F385" t="str">
        <f>"-10037.20"</f>
        <v>-10037.20</v>
      </c>
      <c r="G385" t="str">
        <f>"76775.41"</f>
        <v>76775.41</v>
      </c>
      <c r="H385" t="str">
        <f>"1200.00"</f>
        <v>1200.00</v>
      </c>
      <c r="I385" t="str">
        <f>"231"</f>
        <v>231</v>
      </c>
      <c r="J385" t="str">
        <f>"证券买入(赛腾股份)"</f>
        <v>证券买入(赛腾股份)</v>
      </c>
      <c r="K385" t="str">
        <f>"5.00"</f>
        <v>5.00</v>
      </c>
      <c r="L385" t="str">
        <f>"0.00"</f>
        <v>0.00</v>
      </c>
      <c r="M385" t="str">
        <f>"0.20"</f>
        <v>0.20</v>
      </c>
      <c r="N385" t="str">
        <f t="shared" si="116"/>
        <v>0.00</v>
      </c>
      <c r="O385" t="str">
        <f>"603283"</f>
        <v>603283</v>
      </c>
      <c r="P385" t="str">
        <f>"A400948245"</f>
        <v>A400948245</v>
      </c>
    </row>
    <row r="386" spans="1:16" x14ac:dyDescent="0.25">
      <c r="A386" t="str">
        <f t="shared" si="125"/>
        <v>人民币</v>
      </c>
      <c r="B386" t="str">
        <f>"中海达"</f>
        <v>中海达</v>
      </c>
      <c r="C386" t="str">
        <f>"20190919"</f>
        <v>20190919</v>
      </c>
      <c r="D386" t="str">
        <f>"9.870"</f>
        <v>9.870</v>
      </c>
      <c r="E386" t="str">
        <f>"2000.00"</f>
        <v>2000.00</v>
      </c>
      <c r="F386" t="str">
        <f>"-19745.92"</f>
        <v>-19745.92</v>
      </c>
      <c r="G386" t="str">
        <f>"57029.49"</f>
        <v>57029.49</v>
      </c>
      <c r="H386" t="str">
        <f>"7000.00"</f>
        <v>7000.00</v>
      </c>
      <c r="I386" t="str">
        <f>"215"</f>
        <v>215</v>
      </c>
      <c r="J386" t="str">
        <f>"证券买入(中海达)"</f>
        <v>证券买入(中海达)</v>
      </c>
      <c r="K386" t="str">
        <f>"5.92"</f>
        <v>5.92</v>
      </c>
      <c r="L386" t="str">
        <f>"0.00"</f>
        <v>0.00</v>
      </c>
      <c r="M386" t="str">
        <f>"0.00"</f>
        <v>0.00</v>
      </c>
      <c r="N386" t="str">
        <f t="shared" si="116"/>
        <v>0.00</v>
      </c>
      <c r="O386" t="str">
        <f>"300177"</f>
        <v>300177</v>
      </c>
      <c r="P386" t="str">
        <f>"0153613480"</f>
        <v>0153613480</v>
      </c>
    </row>
    <row r="387" spans="1:16" x14ac:dyDescent="0.25">
      <c r="A387" t="str">
        <f t="shared" si="125"/>
        <v>人民币</v>
      </c>
      <c r="B387" t="str">
        <f>"顺灏股份"</f>
        <v>顺灏股份</v>
      </c>
      <c r="C387" t="str">
        <f>"20190919"</f>
        <v>20190919</v>
      </c>
      <c r="D387" t="str">
        <f>"7.780"</f>
        <v>7.780</v>
      </c>
      <c r="E387" t="str">
        <f>"2500.00"</f>
        <v>2500.00</v>
      </c>
      <c r="F387" t="str">
        <f>"-19455.84"</f>
        <v>-19455.84</v>
      </c>
      <c r="G387" t="str">
        <f>"37573.65"</f>
        <v>37573.65</v>
      </c>
      <c r="H387" t="str">
        <f>"7500.00"</f>
        <v>7500.00</v>
      </c>
      <c r="I387" t="str">
        <f>"227"</f>
        <v>227</v>
      </c>
      <c r="J387" t="str">
        <f>"证券买入(顺灏股份)"</f>
        <v>证券买入(顺灏股份)</v>
      </c>
      <c r="K387" t="str">
        <f>"5.84"</f>
        <v>5.84</v>
      </c>
      <c r="L387" t="str">
        <f>"0.00"</f>
        <v>0.00</v>
      </c>
      <c r="M387" t="str">
        <f>"0.00"</f>
        <v>0.00</v>
      </c>
      <c r="N387" t="str">
        <f t="shared" si="116"/>
        <v>0.00</v>
      </c>
      <c r="O387" t="str">
        <f>"002565"</f>
        <v>002565</v>
      </c>
      <c r="P387" t="str">
        <f>"0153613480"</f>
        <v>0153613480</v>
      </c>
    </row>
    <row r="388" spans="1:16" x14ac:dyDescent="0.25">
      <c r="A388" t="str">
        <f t="shared" si="125"/>
        <v>人民币</v>
      </c>
      <c r="B388" t="str">
        <f>"赛腾股份"</f>
        <v>赛腾股份</v>
      </c>
      <c r="C388" t="str">
        <f>"20190923"</f>
        <v>20190923</v>
      </c>
      <c r="D388" t="str">
        <f>"24.350"</f>
        <v>24.350</v>
      </c>
      <c r="E388" t="str">
        <f>"300.00"</f>
        <v>300.00</v>
      </c>
      <c r="F388" t="str">
        <f>"-7310.15"</f>
        <v>-7310.15</v>
      </c>
      <c r="G388" t="str">
        <f>"30282.98"</f>
        <v>30282.98</v>
      </c>
      <c r="H388" t="str">
        <f>"1500.00"</f>
        <v>1500.00</v>
      </c>
      <c r="I388" t="str">
        <f>"240"</f>
        <v>240</v>
      </c>
      <c r="J388" t="str">
        <f>"证券买入(赛腾股份)"</f>
        <v>证券买入(赛腾股份)</v>
      </c>
      <c r="K388" t="str">
        <f>"5.00"</f>
        <v>5.00</v>
      </c>
      <c r="L388" t="str">
        <f>"0.00"</f>
        <v>0.00</v>
      </c>
      <c r="M388" t="str">
        <f>"0.15"</f>
        <v>0.15</v>
      </c>
      <c r="N388" t="str">
        <f t="shared" ref="N388:N393" si="126">"0.00"</f>
        <v>0.00</v>
      </c>
      <c r="O388" t="str">
        <f>"603283"</f>
        <v>603283</v>
      </c>
      <c r="P388" t="str">
        <f>"A400948245"</f>
        <v>A400948245</v>
      </c>
    </row>
    <row r="389" spans="1:16" x14ac:dyDescent="0.25">
      <c r="A389" t="str">
        <f t="shared" si="125"/>
        <v>人民币</v>
      </c>
      <c r="B389" t="str">
        <f>"中海达"</f>
        <v>中海达</v>
      </c>
      <c r="C389" t="str">
        <f>"20190923"</f>
        <v>20190923</v>
      </c>
      <c r="D389" t="str">
        <f>"10.230"</f>
        <v>10.230</v>
      </c>
      <c r="E389" t="str">
        <f>"-2000.00"</f>
        <v>-2000.00</v>
      </c>
      <c r="F389" t="str">
        <f>"20433.40"</f>
        <v>20433.40</v>
      </c>
      <c r="G389" t="str">
        <f>"50716.38"</f>
        <v>50716.38</v>
      </c>
      <c r="H389" t="str">
        <f>"5000.00"</f>
        <v>5000.00</v>
      </c>
      <c r="I389" t="str">
        <f>"250"</f>
        <v>250</v>
      </c>
      <c r="J389" t="str">
        <f>"证券卖出(中海达)"</f>
        <v>证券卖出(中海达)</v>
      </c>
      <c r="K389" t="str">
        <f>"6.14"</f>
        <v>6.14</v>
      </c>
      <c r="L389" t="str">
        <f>"20.46"</f>
        <v>20.46</v>
      </c>
      <c r="M389" t="str">
        <f>"0.00"</f>
        <v>0.00</v>
      </c>
      <c r="N389" t="str">
        <f t="shared" si="126"/>
        <v>0.00</v>
      </c>
      <c r="O389" t="str">
        <f>"300177"</f>
        <v>300177</v>
      </c>
      <c r="P389" t="str">
        <f>"0153613480"</f>
        <v>0153613480</v>
      </c>
    </row>
    <row r="390" spans="1:16" x14ac:dyDescent="0.25">
      <c r="A390" t="str">
        <f t="shared" si="125"/>
        <v>人民币</v>
      </c>
      <c r="B390" t="str">
        <f>"中海达"</f>
        <v>中海达</v>
      </c>
      <c r="C390" t="str">
        <f>"20190923"</f>
        <v>20190923</v>
      </c>
      <c r="D390" t="str">
        <f>"10.090"</f>
        <v>10.090</v>
      </c>
      <c r="E390" t="str">
        <f>"2000.00"</f>
        <v>2000.00</v>
      </c>
      <c r="F390" t="str">
        <f>"-20186.06"</f>
        <v>-20186.06</v>
      </c>
      <c r="G390" t="str">
        <f>"30530.32"</f>
        <v>30530.32</v>
      </c>
      <c r="H390" t="str">
        <f>"7000.00"</f>
        <v>7000.00</v>
      </c>
      <c r="I390" t="str">
        <f>"253"</f>
        <v>253</v>
      </c>
      <c r="J390" t="str">
        <f>"证券买入(中海达)"</f>
        <v>证券买入(中海达)</v>
      </c>
      <c r="K390" t="str">
        <f>"6.06"</f>
        <v>6.06</v>
      </c>
      <c r="L390" t="str">
        <f>"0.00"</f>
        <v>0.00</v>
      </c>
      <c r="M390" t="str">
        <f>"0.00"</f>
        <v>0.00</v>
      </c>
      <c r="N390" t="str">
        <f t="shared" si="126"/>
        <v>0.00</v>
      </c>
      <c r="O390" t="str">
        <f>"300177"</f>
        <v>300177</v>
      </c>
      <c r="P390" t="str">
        <f>"0153613480"</f>
        <v>0153613480</v>
      </c>
    </row>
    <row r="391" spans="1:16" x14ac:dyDescent="0.25">
      <c r="A391" t="str">
        <f t="shared" si="125"/>
        <v>人民币</v>
      </c>
      <c r="B391" t="str">
        <f>"中通国脉"</f>
        <v>中通国脉</v>
      </c>
      <c r="C391" t="str">
        <f>"20190924"</f>
        <v>20190924</v>
      </c>
      <c r="D391" t="str">
        <f>"22.180"</f>
        <v>22.180</v>
      </c>
      <c r="E391" t="str">
        <f>"-400.00"</f>
        <v>-400.00</v>
      </c>
      <c r="F391" t="str">
        <f>"8857.95"</f>
        <v>8857.95</v>
      </c>
      <c r="G391" t="str">
        <f>"39388.27"</f>
        <v>39388.27</v>
      </c>
      <c r="H391" t="str">
        <f>"3300.00"</f>
        <v>3300.00</v>
      </c>
      <c r="I391" t="str">
        <f>"261"</f>
        <v>261</v>
      </c>
      <c r="J391" t="str">
        <f>"证券卖出(中通国脉)"</f>
        <v>证券卖出(中通国脉)</v>
      </c>
      <c r="K391" t="str">
        <f>"5.00"</f>
        <v>5.00</v>
      </c>
      <c r="L391" t="str">
        <f>"8.87"</f>
        <v>8.87</v>
      </c>
      <c r="M391" t="str">
        <f>"0.18"</f>
        <v>0.18</v>
      </c>
      <c r="N391" t="str">
        <f t="shared" si="126"/>
        <v>0.00</v>
      </c>
      <c r="O391" t="str">
        <f>"603559"</f>
        <v>603559</v>
      </c>
      <c r="P391" t="str">
        <f t="shared" ref="P391:P395" si="127">"A400948245"</f>
        <v>A400948245</v>
      </c>
    </row>
    <row r="392" spans="1:16" x14ac:dyDescent="0.25">
      <c r="A392" t="str">
        <f t="shared" si="125"/>
        <v>人民币</v>
      </c>
      <c r="B392" t="str">
        <f>"赛腾股份"</f>
        <v>赛腾股份</v>
      </c>
      <c r="C392" t="str">
        <f>"20190924"</f>
        <v>20190924</v>
      </c>
      <c r="D392" t="str">
        <f>"25.060"</f>
        <v>25.060</v>
      </c>
      <c r="E392" t="str">
        <f>"-300.00"</f>
        <v>-300.00</v>
      </c>
      <c r="F392" t="str">
        <f>"7505.33"</f>
        <v>7505.33</v>
      </c>
      <c r="G392" t="str">
        <f>"46893.60"</f>
        <v>46893.60</v>
      </c>
      <c r="H392" t="str">
        <f>"1200.00"</f>
        <v>1200.00</v>
      </c>
      <c r="I392" t="str">
        <f>"264"</f>
        <v>264</v>
      </c>
      <c r="J392" t="str">
        <f>"证券卖出(赛腾股份)"</f>
        <v>证券卖出(赛腾股份)</v>
      </c>
      <c r="K392" t="str">
        <f>"5.00"</f>
        <v>5.00</v>
      </c>
      <c r="L392" t="str">
        <f>"7.52"</f>
        <v>7.52</v>
      </c>
      <c r="M392" t="str">
        <f>"0.15"</f>
        <v>0.15</v>
      </c>
      <c r="N392" t="str">
        <f t="shared" si="126"/>
        <v>0.00</v>
      </c>
      <c r="O392" t="str">
        <f>"603283"</f>
        <v>603283</v>
      </c>
      <c r="P392" t="str">
        <f t="shared" si="127"/>
        <v>A400948245</v>
      </c>
    </row>
    <row r="393" spans="1:16" x14ac:dyDescent="0.25">
      <c r="A393" t="str">
        <f t="shared" si="125"/>
        <v>人民币</v>
      </c>
      <c r="B393" t="str">
        <f>"科博配号"</f>
        <v>科博配号</v>
      </c>
      <c r="C393" t="str">
        <f t="shared" ref="C393:C396" si="128">"20190925"</f>
        <v>20190925</v>
      </c>
      <c r="D393" t="str">
        <f>"0.000"</f>
        <v>0.000</v>
      </c>
      <c r="E393" t="str">
        <f>"10.00"</f>
        <v>10.00</v>
      </c>
      <c r="F393" t="str">
        <f>"0.00"</f>
        <v>0.00</v>
      </c>
      <c r="G393" t="str">
        <f>"46892.72"</f>
        <v>46892.72</v>
      </c>
      <c r="H393" t="str">
        <f>"0.00"</f>
        <v>0.00</v>
      </c>
      <c r="I393" t="str">
        <f>"272"</f>
        <v>272</v>
      </c>
      <c r="J393" t="str">
        <f>"申购配号(科博配号)"</f>
        <v>申购配号(科博配号)</v>
      </c>
      <c r="K393" t="str">
        <f>"0.00"</f>
        <v>0.00</v>
      </c>
      <c r="L393" t="str">
        <f>"0.00"</f>
        <v>0.00</v>
      </c>
      <c r="M393" t="str">
        <f>"0.00"</f>
        <v>0.00</v>
      </c>
      <c r="N393" t="str">
        <f t="shared" si="126"/>
        <v>0.00</v>
      </c>
      <c r="O393" t="str">
        <f>"736786"</f>
        <v>736786</v>
      </c>
      <c r="P393" t="str">
        <f t="shared" si="127"/>
        <v>A400948245</v>
      </c>
    </row>
    <row r="394" spans="1:16" x14ac:dyDescent="0.25">
      <c r="A394" t="str">
        <f t="shared" si="125"/>
        <v>人民币</v>
      </c>
      <c r="B394" t="str">
        <f>"威派格"</f>
        <v>威派格</v>
      </c>
      <c r="C394" t="str">
        <f t="shared" si="128"/>
        <v>20190925</v>
      </c>
      <c r="D394" t="str">
        <f>"19.000"</f>
        <v>19.000</v>
      </c>
      <c r="E394" t="str">
        <f>"1000.00"</f>
        <v>1000.00</v>
      </c>
      <c r="F394" t="str">
        <f>"-19006.08"</f>
        <v>-19006.08</v>
      </c>
      <c r="G394" t="str">
        <f>"27886.64"</f>
        <v>27886.64</v>
      </c>
      <c r="H394" t="str">
        <f>"1000.00"</f>
        <v>1000.00</v>
      </c>
      <c r="I394" t="str">
        <f>"274"</f>
        <v>274</v>
      </c>
      <c r="J394" t="str">
        <f>"证券买入(威派格)"</f>
        <v>证券买入(威派格)</v>
      </c>
      <c r="K394" t="str">
        <f>"5.70"</f>
        <v>5.70</v>
      </c>
      <c r="L394" t="str">
        <f>"0.00"</f>
        <v>0.00</v>
      </c>
      <c r="M394" t="str">
        <f>"0.38"</f>
        <v>0.38</v>
      </c>
      <c r="N394" t="str">
        <f t="shared" ref="N394:N403" si="129">"0.00"</f>
        <v>0.00</v>
      </c>
      <c r="O394" t="str">
        <f>"603956"</f>
        <v>603956</v>
      </c>
      <c r="P394" t="str">
        <f t="shared" si="127"/>
        <v>A400948245</v>
      </c>
    </row>
    <row r="395" spans="1:16" x14ac:dyDescent="0.25">
      <c r="A395" t="str">
        <f t="shared" si="125"/>
        <v>人民币</v>
      </c>
      <c r="B395" t="str">
        <f>"中通国脉"</f>
        <v>中通国脉</v>
      </c>
      <c r="C395" t="str">
        <f t="shared" si="128"/>
        <v>20190925</v>
      </c>
      <c r="D395" t="str">
        <f>"21.220"</f>
        <v>21.220</v>
      </c>
      <c r="E395" t="str">
        <f>"300.00"</f>
        <v>300.00</v>
      </c>
      <c r="F395" t="str">
        <f>"-6371.13"</f>
        <v>-6371.13</v>
      </c>
      <c r="G395" t="str">
        <f>"21515.51"</f>
        <v>21515.51</v>
      </c>
      <c r="H395" t="str">
        <f>"3600.00"</f>
        <v>3600.00</v>
      </c>
      <c r="I395" t="str">
        <f>"278"</f>
        <v>278</v>
      </c>
      <c r="J395" t="str">
        <f>"证券买入(中通国脉)"</f>
        <v>证券买入(中通国脉)</v>
      </c>
      <c r="K395" t="str">
        <f t="shared" ref="K395:K401" si="130">"5.00"</f>
        <v>5.00</v>
      </c>
      <c r="L395" t="str">
        <f>"0.00"</f>
        <v>0.00</v>
      </c>
      <c r="M395" t="str">
        <f>"0.13"</f>
        <v>0.13</v>
      </c>
      <c r="N395" t="str">
        <f t="shared" si="129"/>
        <v>0.00</v>
      </c>
      <c r="O395" t="str">
        <f>"603559"</f>
        <v>603559</v>
      </c>
      <c r="P395" t="str">
        <f t="shared" si="127"/>
        <v>A400948245</v>
      </c>
    </row>
    <row r="396" spans="1:16" x14ac:dyDescent="0.25">
      <c r="A396" t="str">
        <f t="shared" si="125"/>
        <v>人民币</v>
      </c>
      <c r="B396" t="str">
        <f>"顺灏股份"</f>
        <v>顺灏股份</v>
      </c>
      <c r="C396" t="str">
        <f t="shared" si="128"/>
        <v>20190925</v>
      </c>
      <c r="D396" t="str">
        <f>"7.110"</f>
        <v>7.110</v>
      </c>
      <c r="E396" t="str">
        <f>"1500.00"</f>
        <v>1500.00</v>
      </c>
      <c r="F396" t="str">
        <f>"-10670.00"</f>
        <v>-10670.00</v>
      </c>
      <c r="G396" t="str">
        <f>"10845.51"</f>
        <v>10845.51</v>
      </c>
      <c r="H396" t="str">
        <f>"9000.00"</f>
        <v>9000.00</v>
      </c>
      <c r="I396" t="str">
        <f>"281"</f>
        <v>281</v>
      </c>
      <c r="J396" t="str">
        <f>"证券买入(顺灏股份)"</f>
        <v>证券买入(顺灏股份)</v>
      </c>
      <c r="K396" t="str">
        <f t="shared" si="130"/>
        <v>5.00</v>
      </c>
      <c r="L396" t="str">
        <f>"0.00"</f>
        <v>0.00</v>
      </c>
      <c r="M396" t="str">
        <f>"0.00"</f>
        <v>0.00</v>
      </c>
      <c r="N396" t="str">
        <f t="shared" si="129"/>
        <v>0.00</v>
      </c>
      <c r="O396" t="str">
        <f>"002565"</f>
        <v>002565</v>
      </c>
      <c r="P396" t="str">
        <f>"0153613480"</f>
        <v>0153613480</v>
      </c>
    </row>
    <row r="397" spans="1:16" x14ac:dyDescent="0.25">
      <c r="A397" t="str">
        <f t="shared" si="125"/>
        <v>人民币</v>
      </c>
      <c r="B397" t="str">
        <f>"威派格"</f>
        <v>威派格</v>
      </c>
      <c r="C397" t="str">
        <f t="shared" ref="C397:C402" si="131">"20190926"</f>
        <v>20190926</v>
      </c>
      <c r="D397" t="str">
        <f>"21.860"</f>
        <v>21.860</v>
      </c>
      <c r="E397" t="str">
        <f>"-500.00"</f>
        <v>-500.00</v>
      </c>
      <c r="F397" t="str">
        <f>"10913.85"</f>
        <v>10913.85</v>
      </c>
      <c r="G397" t="str">
        <f>"21759.36"</f>
        <v>21759.36</v>
      </c>
      <c r="H397" t="str">
        <f>"500.00"</f>
        <v>500.00</v>
      </c>
      <c r="I397" t="str">
        <f>"291"</f>
        <v>291</v>
      </c>
      <c r="J397" t="str">
        <f>"证券卖出(威派格)"</f>
        <v>证券卖出(威派格)</v>
      </c>
      <c r="K397" t="str">
        <f t="shared" si="130"/>
        <v>5.00</v>
      </c>
      <c r="L397" t="str">
        <f>"10.93"</f>
        <v>10.93</v>
      </c>
      <c r="M397" t="str">
        <f>"0.22"</f>
        <v>0.22</v>
      </c>
      <c r="N397" t="str">
        <f t="shared" si="129"/>
        <v>0.00</v>
      </c>
      <c r="O397" t="str">
        <f>"603956"</f>
        <v>603956</v>
      </c>
      <c r="P397" t="str">
        <f t="shared" ref="P397:P403" si="132">"A400948245"</f>
        <v>A400948245</v>
      </c>
    </row>
    <row r="398" spans="1:16" x14ac:dyDescent="0.25">
      <c r="A398" t="str">
        <f t="shared" si="125"/>
        <v>人民币</v>
      </c>
      <c r="B398" t="str">
        <f>"威派格"</f>
        <v>威派格</v>
      </c>
      <c r="C398" t="str">
        <f t="shared" si="131"/>
        <v>20190926</v>
      </c>
      <c r="D398" t="str">
        <f>"21.800"</f>
        <v>21.800</v>
      </c>
      <c r="E398" t="str">
        <f>"-500.00"</f>
        <v>-500.00</v>
      </c>
      <c r="F398" t="str">
        <f>"10883.88"</f>
        <v>10883.88</v>
      </c>
      <c r="G398" t="str">
        <f>"32643.24"</f>
        <v>32643.24</v>
      </c>
      <c r="H398" t="str">
        <f>"0.00"</f>
        <v>0.00</v>
      </c>
      <c r="I398" t="str">
        <f>"295"</f>
        <v>295</v>
      </c>
      <c r="J398" t="str">
        <f>"证券卖出(威派格)"</f>
        <v>证券卖出(威派格)</v>
      </c>
      <c r="K398" t="str">
        <f t="shared" si="130"/>
        <v>5.00</v>
      </c>
      <c r="L398" t="str">
        <f>"10.90"</f>
        <v>10.90</v>
      </c>
      <c r="M398" t="str">
        <f>"0.22"</f>
        <v>0.22</v>
      </c>
      <c r="N398" t="str">
        <f t="shared" si="129"/>
        <v>0.00</v>
      </c>
      <c r="O398" t="str">
        <f>"603956"</f>
        <v>603956</v>
      </c>
      <c r="P398" t="str">
        <f t="shared" si="132"/>
        <v>A400948245</v>
      </c>
    </row>
    <row r="399" spans="1:16" x14ac:dyDescent="0.25">
      <c r="A399" t="str">
        <f t="shared" si="125"/>
        <v>人民币</v>
      </c>
      <c r="B399" t="str">
        <f>"赛腾股份"</f>
        <v>赛腾股份</v>
      </c>
      <c r="C399" t="str">
        <f t="shared" si="131"/>
        <v>20190926</v>
      </c>
      <c r="D399" t="str">
        <f>"23.980"</f>
        <v>23.980</v>
      </c>
      <c r="E399" t="str">
        <f>"400.00"</f>
        <v>400.00</v>
      </c>
      <c r="F399" t="str">
        <f>"-9597.19"</f>
        <v>-9597.19</v>
      </c>
      <c r="G399" t="str">
        <f>"23046.05"</f>
        <v>23046.05</v>
      </c>
      <c r="H399" t="str">
        <f>"1600.00"</f>
        <v>1600.00</v>
      </c>
      <c r="I399" t="str">
        <f>"298"</f>
        <v>298</v>
      </c>
      <c r="J399" t="str">
        <f>"证券买入(赛腾股份)"</f>
        <v>证券买入(赛腾股份)</v>
      </c>
      <c r="K399" t="str">
        <f t="shared" si="130"/>
        <v>5.00</v>
      </c>
      <c r="L399" t="str">
        <f>"0.00"</f>
        <v>0.00</v>
      </c>
      <c r="M399" t="str">
        <f>"0.19"</f>
        <v>0.19</v>
      </c>
      <c r="N399" t="str">
        <f t="shared" si="129"/>
        <v>0.00</v>
      </c>
      <c r="O399" t="str">
        <f>"603283"</f>
        <v>603283</v>
      </c>
      <c r="P399" t="str">
        <f t="shared" si="132"/>
        <v>A400948245</v>
      </c>
    </row>
    <row r="400" spans="1:16" x14ac:dyDescent="0.25">
      <c r="A400" t="str">
        <f t="shared" si="125"/>
        <v>人民币</v>
      </c>
      <c r="B400" t="str">
        <f>"赛腾股份"</f>
        <v>赛腾股份</v>
      </c>
      <c r="C400" t="str">
        <f t="shared" si="131"/>
        <v>20190926</v>
      </c>
      <c r="D400" t="str">
        <f>"23.100"</f>
        <v>23.100</v>
      </c>
      <c r="E400" t="str">
        <f>"500.00"</f>
        <v>500.00</v>
      </c>
      <c r="F400" t="str">
        <f>"-11555.23"</f>
        <v>-11555.23</v>
      </c>
      <c r="G400" t="str">
        <f>"11490.82"</f>
        <v>11490.82</v>
      </c>
      <c r="H400" t="str">
        <f>"2100.00"</f>
        <v>2100.00</v>
      </c>
      <c r="I400" t="str">
        <f>"301"</f>
        <v>301</v>
      </c>
      <c r="J400" t="str">
        <f>"证券买入(赛腾股份)"</f>
        <v>证券买入(赛腾股份)</v>
      </c>
      <c r="K400" t="str">
        <f t="shared" si="130"/>
        <v>5.00</v>
      </c>
      <c r="L400" t="str">
        <f>"0.00"</f>
        <v>0.00</v>
      </c>
      <c r="M400" t="str">
        <f>"0.23"</f>
        <v>0.23</v>
      </c>
      <c r="N400" t="str">
        <f t="shared" si="129"/>
        <v>0.00</v>
      </c>
      <c r="O400" t="str">
        <f>"603283"</f>
        <v>603283</v>
      </c>
      <c r="P400" t="str">
        <f t="shared" si="132"/>
        <v>A400948245</v>
      </c>
    </row>
    <row r="401" spans="1:16" x14ac:dyDescent="0.25">
      <c r="A401" t="str">
        <f t="shared" si="125"/>
        <v>人民币</v>
      </c>
      <c r="B401" t="str">
        <f>"中通国脉"</f>
        <v>中通国脉</v>
      </c>
      <c r="C401" t="str">
        <f t="shared" si="131"/>
        <v>20190926</v>
      </c>
      <c r="D401" t="str">
        <f>"20.180"</f>
        <v>20.180</v>
      </c>
      <c r="E401" t="str">
        <f>"500.00"</f>
        <v>500.00</v>
      </c>
      <c r="F401" t="str">
        <f>"-10095.20"</f>
        <v>-10095.20</v>
      </c>
      <c r="G401" t="str">
        <f>"1395.62"</f>
        <v>1395.62</v>
      </c>
      <c r="H401" t="str">
        <f>"4100.00"</f>
        <v>4100.00</v>
      </c>
      <c r="I401" t="str">
        <f>"304"</f>
        <v>304</v>
      </c>
      <c r="J401" t="str">
        <f>"证券买入(中通国脉)"</f>
        <v>证券买入(中通国脉)</v>
      </c>
      <c r="K401" t="str">
        <f t="shared" si="130"/>
        <v>5.00</v>
      </c>
      <c r="L401" t="str">
        <f>"0.00"</f>
        <v>0.00</v>
      </c>
      <c r="M401" t="str">
        <f>"0.20"</f>
        <v>0.20</v>
      </c>
      <c r="N401" t="str">
        <f t="shared" si="129"/>
        <v>0.00</v>
      </c>
      <c r="O401" t="str">
        <f>"603559"</f>
        <v>603559</v>
      </c>
      <c r="P401" t="str">
        <f t="shared" si="132"/>
        <v>A400948245</v>
      </c>
    </row>
    <row r="402" spans="1:16" x14ac:dyDescent="0.25">
      <c r="A402" t="str">
        <f t="shared" si="125"/>
        <v>人民币</v>
      </c>
      <c r="B402" t="str">
        <f>"赛腾股份"</f>
        <v>赛腾股份</v>
      </c>
      <c r="C402" t="str">
        <f t="shared" si="131"/>
        <v>20190926</v>
      </c>
      <c r="D402" t="str">
        <f>"25.890"</f>
        <v>25.890</v>
      </c>
      <c r="E402" t="str">
        <f>"-1200.00"</f>
        <v>-1200.00</v>
      </c>
      <c r="F402" t="str">
        <f>"31026.99"</f>
        <v>31026.99</v>
      </c>
      <c r="G402" t="str">
        <f>"32422.61"</f>
        <v>32422.61</v>
      </c>
      <c r="H402" t="str">
        <f>"900.00"</f>
        <v>900.00</v>
      </c>
      <c r="I402" t="str">
        <f>"311"</f>
        <v>311</v>
      </c>
      <c r="J402" t="str">
        <f>"证券卖出(赛腾股份)"</f>
        <v>证券卖出(赛腾股份)</v>
      </c>
      <c r="K402" t="str">
        <f>"9.32"</f>
        <v>9.32</v>
      </c>
      <c r="L402" t="str">
        <f>"31.07"</f>
        <v>31.07</v>
      </c>
      <c r="M402" t="str">
        <f>"0.62"</f>
        <v>0.62</v>
      </c>
      <c r="N402" t="str">
        <f t="shared" si="129"/>
        <v>0.00</v>
      </c>
      <c r="O402" t="str">
        <f>"603283"</f>
        <v>603283</v>
      </c>
      <c r="P402" t="str">
        <f t="shared" si="132"/>
        <v>A400948245</v>
      </c>
    </row>
    <row r="403" spans="1:16" x14ac:dyDescent="0.25">
      <c r="A403" t="str">
        <f t="shared" si="125"/>
        <v>人民币</v>
      </c>
      <c r="B403" t="str">
        <f>"赛腾股份"</f>
        <v>赛腾股份</v>
      </c>
      <c r="C403" t="str">
        <f>"20190927"</f>
        <v>20190927</v>
      </c>
      <c r="D403" t="str">
        <f>"29.360"</f>
        <v>29.360</v>
      </c>
      <c r="E403" t="str">
        <f>"-900.00"</f>
        <v>-900.00</v>
      </c>
      <c r="F403" t="str">
        <f>"26389.12"</f>
        <v>26389.12</v>
      </c>
      <c r="G403" t="str">
        <f>"58811.73"</f>
        <v>58811.73</v>
      </c>
      <c r="H403" t="str">
        <f>"0.00"</f>
        <v>0.00</v>
      </c>
      <c r="I403" t="str">
        <f>"320"</f>
        <v>320</v>
      </c>
      <c r="J403" t="str">
        <f>"证券卖出(赛腾股份)"</f>
        <v>证券卖出(赛腾股份)</v>
      </c>
      <c r="K403" t="str">
        <f>"7.93"</f>
        <v>7.93</v>
      </c>
      <c r="L403" t="str">
        <f>"26.42"</f>
        <v>26.42</v>
      </c>
      <c r="M403" t="str">
        <f>"0.53"</f>
        <v>0.53</v>
      </c>
      <c r="N403" t="str">
        <f t="shared" si="129"/>
        <v>0.00</v>
      </c>
      <c r="O403" t="str">
        <f>"603283"</f>
        <v>603283</v>
      </c>
      <c r="P403" t="str">
        <f t="shared" si="132"/>
        <v>A400948245</v>
      </c>
    </row>
    <row r="404" spans="1:16" x14ac:dyDescent="0.25">
      <c r="A404" t="str">
        <f t="shared" si="125"/>
        <v>人民币</v>
      </c>
      <c r="B404" t="str">
        <f>""</f>
        <v/>
      </c>
      <c r="C404" t="str">
        <f>"20190930"</f>
        <v>20190930</v>
      </c>
      <c r="D404" t="str">
        <f>"---"</f>
        <v>---</v>
      </c>
      <c r="E404" t="str">
        <f>"---"</f>
        <v>---</v>
      </c>
      <c r="F404" t="str">
        <f>"-30000.00"</f>
        <v>-30000.00</v>
      </c>
      <c r="G404" t="str">
        <f>"28811.73"</f>
        <v>28811.73</v>
      </c>
      <c r="H404" t="str">
        <f>"---"</f>
        <v>---</v>
      </c>
      <c r="I404" t="str">
        <f>"---"</f>
        <v>---</v>
      </c>
      <c r="J404" t="str">
        <f>"银行转取"</f>
        <v>银行转取</v>
      </c>
      <c r="K404" t="str">
        <f t="shared" ref="K404:P404" si="133">"---"</f>
        <v>---</v>
      </c>
      <c r="L404" t="str">
        <f t="shared" si="133"/>
        <v>---</v>
      </c>
      <c r="M404" t="str">
        <f t="shared" si="133"/>
        <v>---</v>
      </c>
      <c r="N404" t="str">
        <f t="shared" si="133"/>
        <v>---</v>
      </c>
      <c r="O404" t="str">
        <f t="shared" si="133"/>
        <v>---</v>
      </c>
      <c r="P404" t="str">
        <f t="shared" si="133"/>
        <v>---</v>
      </c>
    </row>
    <row r="405" spans="1:16" x14ac:dyDescent="0.25">
      <c r="A405" t="str">
        <f t="shared" si="125"/>
        <v>人民币</v>
      </c>
      <c r="B405" t="str">
        <f>"中通国脉"</f>
        <v>中通国脉</v>
      </c>
      <c r="C405" t="str">
        <f>"20190930"</f>
        <v>20190930</v>
      </c>
      <c r="D405" t="str">
        <f>"20.150"</f>
        <v>20.150</v>
      </c>
      <c r="E405" t="str">
        <f>"500.00"</f>
        <v>500.00</v>
      </c>
      <c r="F405" t="str">
        <f>"-10080.20"</f>
        <v>-10080.20</v>
      </c>
      <c r="G405" t="str">
        <f>"18731.53"</f>
        <v>18731.53</v>
      </c>
      <c r="H405" t="str">
        <f>"4600.00"</f>
        <v>4600.00</v>
      </c>
      <c r="I405" t="str">
        <f>"328"</f>
        <v>328</v>
      </c>
      <c r="J405" t="str">
        <f>"证券买入(中通国脉)"</f>
        <v>证券买入(中通国脉)</v>
      </c>
      <c r="K405" t="str">
        <f>"5.00"</f>
        <v>5.00</v>
      </c>
      <c r="L405" t="str">
        <f>"0.00"</f>
        <v>0.00</v>
      </c>
      <c r="M405" t="str">
        <f>"0.20"</f>
        <v>0.20</v>
      </c>
      <c r="N405" t="str">
        <f>"0.00"</f>
        <v>0.00</v>
      </c>
      <c r="O405" t="str">
        <f>"603559"</f>
        <v>603559</v>
      </c>
      <c r="P405" t="str">
        <f>"A400948245"</f>
        <v>A400948245</v>
      </c>
    </row>
    <row r="406" spans="1:16" x14ac:dyDescent="0.25">
      <c r="A406" t="str">
        <f t="shared" si="125"/>
        <v>人民币</v>
      </c>
      <c r="B406" t="str">
        <f>"中通国脉"</f>
        <v>中通国脉</v>
      </c>
      <c r="C406" t="str">
        <f>"20191008"</f>
        <v>20191008</v>
      </c>
      <c r="D406" t="str">
        <f>"20.210"</f>
        <v>20.210</v>
      </c>
      <c r="E406" t="str">
        <f>"-1000.00"</f>
        <v>-1000.00</v>
      </c>
      <c r="F406" t="str">
        <f>"20183.32"</f>
        <v>20183.32</v>
      </c>
      <c r="G406" t="str">
        <f>"38914.85"</f>
        <v>38914.85</v>
      </c>
      <c r="H406" t="str">
        <f>"3600.00"</f>
        <v>3600.00</v>
      </c>
      <c r="I406" t="str">
        <f>"332"</f>
        <v>332</v>
      </c>
      <c r="J406" t="str">
        <f>"证券卖出(中通国脉)"</f>
        <v>证券卖出(中通国脉)</v>
      </c>
      <c r="K406" t="str">
        <f>"6.07"</f>
        <v>6.07</v>
      </c>
      <c r="L406" t="str">
        <f>"20.21"</f>
        <v>20.21</v>
      </c>
      <c r="M406" t="str">
        <f>"0.40"</f>
        <v>0.40</v>
      </c>
      <c r="N406" t="str">
        <f>"0.00"</f>
        <v>0.00</v>
      </c>
      <c r="O406" t="str">
        <f>"603559"</f>
        <v>603559</v>
      </c>
      <c r="P406" t="str">
        <f>"A400948245"</f>
        <v>A400948245</v>
      </c>
    </row>
    <row r="407" spans="1:16" x14ac:dyDescent="0.25">
      <c r="A407" t="str">
        <f t="shared" si="125"/>
        <v>人民币</v>
      </c>
      <c r="B407" t="str">
        <f>"顺灏股份"</f>
        <v>顺灏股份</v>
      </c>
      <c r="C407" t="str">
        <f>"20191008"</f>
        <v>20191008</v>
      </c>
      <c r="D407" t="str">
        <f>"7.000"</f>
        <v>7.000</v>
      </c>
      <c r="E407" t="str">
        <f>"3000.00"</f>
        <v>3000.00</v>
      </c>
      <c r="F407" t="str">
        <f>"-21006.30"</f>
        <v>-21006.30</v>
      </c>
      <c r="G407" t="str">
        <f>"17908.55"</f>
        <v>17908.55</v>
      </c>
      <c r="H407" t="str">
        <f>"12000.00"</f>
        <v>12000.00</v>
      </c>
      <c r="I407" t="str">
        <f>"337"</f>
        <v>337</v>
      </c>
      <c r="J407" t="str">
        <f>"证券买入(顺灏股份)"</f>
        <v>证券买入(顺灏股份)</v>
      </c>
      <c r="K407" t="str">
        <f>"6.30"</f>
        <v>6.30</v>
      </c>
      <c r="L407" t="str">
        <f t="shared" ref="L407:N411" si="134">"0.00"</f>
        <v>0.00</v>
      </c>
      <c r="M407" t="str">
        <f t="shared" si="134"/>
        <v>0.00</v>
      </c>
      <c r="N407" t="str">
        <f>"0.00"</f>
        <v>0.00</v>
      </c>
      <c r="O407" t="str">
        <f>"002565"</f>
        <v>002565</v>
      </c>
      <c r="P407" t="str">
        <f>"0153613480"</f>
        <v>0153613480</v>
      </c>
    </row>
    <row r="408" spans="1:16" x14ac:dyDescent="0.25">
      <c r="A408" t="str">
        <f t="shared" si="125"/>
        <v>人民币</v>
      </c>
      <c r="B408" t="str">
        <f>"佳禾智能"</f>
        <v>佳禾智能</v>
      </c>
      <c r="C408" t="str">
        <f>"20191008"</f>
        <v>20191008</v>
      </c>
      <c r="D408" t="str">
        <f>"0.000"</f>
        <v>0.000</v>
      </c>
      <c r="E408" t="str">
        <f>"20.00"</f>
        <v>20.00</v>
      </c>
      <c r="F408" t="str">
        <f>"0.00"</f>
        <v>0.00</v>
      </c>
      <c r="G408" t="str">
        <f>"17908.55"</f>
        <v>17908.55</v>
      </c>
      <c r="H408" t="str">
        <f>"0.00"</f>
        <v>0.00</v>
      </c>
      <c r="I408" t="str">
        <f>"335"</f>
        <v>335</v>
      </c>
      <c r="J408" t="str">
        <f>"申购配号(佳禾智能)"</f>
        <v>申购配号(佳禾智能)</v>
      </c>
      <c r="K408" t="str">
        <f>"0.00"</f>
        <v>0.00</v>
      </c>
      <c r="L408" t="str">
        <f t="shared" si="134"/>
        <v>0.00</v>
      </c>
      <c r="M408" t="str">
        <f t="shared" si="134"/>
        <v>0.00</v>
      </c>
      <c r="N408" t="str">
        <f>"0.00"</f>
        <v>0.00</v>
      </c>
      <c r="O408" t="str">
        <f>"300793"</f>
        <v>300793</v>
      </c>
      <c r="P408" t="str">
        <f>"0153613480"</f>
        <v>0153613480</v>
      </c>
    </row>
    <row r="409" spans="1:16" x14ac:dyDescent="0.25">
      <c r="A409" t="str">
        <f t="shared" si="125"/>
        <v>人民币</v>
      </c>
      <c r="B409" t="str">
        <f>"交建配号"</f>
        <v>交建配号</v>
      </c>
      <c r="C409" t="str">
        <f>"20191009"</f>
        <v>20191009</v>
      </c>
      <c r="D409" t="str">
        <f>"0.000"</f>
        <v>0.000</v>
      </c>
      <c r="E409" t="str">
        <f>"9.00"</f>
        <v>9.00</v>
      </c>
      <c r="F409" t="str">
        <f>"0.00"</f>
        <v>0.00</v>
      </c>
      <c r="G409" t="str">
        <f>"17906.57"</f>
        <v>17906.57</v>
      </c>
      <c r="H409" t="str">
        <f>"0.00"</f>
        <v>0.00</v>
      </c>
      <c r="I409" t="str">
        <f>"348"</f>
        <v>348</v>
      </c>
      <c r="J409" t="str">
        <f>"申购配号(交建配号)"</f>
        <v>申购配号(交建配号)</v>
      </c>
      <c r="K409" t="str">
        <f>"0.00"</f>
        <v>0.00</v>
      </c>
      <c r="L409" t="str">
        <f t="shared" si="134"/>
        <v>0.00</v>
      </c>
      <c r="M409" t="str">
        <f t="shared" si="134"/>
        <v>0.00</v>
      </c>
      <c r="N409" t="str">
        <f>"0.00"</f>
        <v>0.00</v>
      </c>
      <c r="O409" t="str">
        <f>"736815"</f>
        <v>736815</v>
      </c>
      <c r="P409" t="str">
        <f>"A400948245"</f>
        <v>A400948245</v>
      </c>
    </row>
    <row r="410" spans="1:16" x14ac:dyDescent="0.25">
      <c r="A410" t="str">
        <f t="shared" si="125"/>
        <v>人民币</v>
      </c>
      <c r="B410" t="str">
        <f>"中海达"</f>
        <v>中海达</v>
      </c>
      <c r="C410" t="str">
        <f>"20191010"</f>
        <v>20191010</v>
      </c>
      <c r="D410" t="str">
        <f>"8.910"</f>
        <v>8.910</v>
      </c>
      <c r="E410" t="str">
        <f>"2000.00"</f>
        <v>2000.00</v>
      </c>
      <c r="F410" t="str">
        <f>"-17825.35"</f>
        <v>-17825.35</v>
      </c>
      <c r="G410" t="str">
        <f>"81.22"</f>
        <v>81.22</v>
      </c>
      <c r="H410" t="str">
        <f>"9000.00"</f>
        <v>9000.00</v>
      </c>
      <c r="I410" t="str">
        <f>"353"</f>
        <v>353</v>
      </c>
      <c r="J410" t="str">
        <f>"证券买入(中海达)"</f>
        <v>证券买入(中海达)</v>
      </c>
      <c r="K410" t="str">
        <f>"5.35"</f>
        <v>5.35</v>
      </c>
      <c r="L410" t="str">
        <f t="shared" si="134"/>
        <v>0.00</v>
      </c>
      <c r="M410" t="str">
        <f t="shared" si="134"/>
        <v>0.00</v>
      </c>
      <c r="N410" t="str">
        <f t="shared" si="134"/>
        <v>0.00</v>
      </c>
      <c r="O410" t="str">
        <f>"300177"</f>
        <v>300177</v>
      </c>
      <c r="P410" t="str">
        <f>"0153613480"</f>
        <v>0153613480</v>
      </c>
    </row>
    <row r="411" spans="1:16" x14ac:dyDescent="0.25">
      <c r="A411" t="str">
        <f t="shared" si="125"/>
        <v>人民币</v>
      </c>
      <c r="B411" t="str">
        <f>"米奥兰特"</f>
        <v>米奥兰特</v>
      </c>
      <c r="C411" t="str">
        <f>"20191010"</f>
        <v>20191010</v>
      </c>
      <c r="D411" t="str">
        <f>"0.000"</f>
        <v>0.000</v>
      </c>
      <c r="E411" t="str">
        <f>"20.00"</f>
        <v>20.00</v>
      </c>
      <c r="F411" t="str">
        <f>"0.00"</f>
        <v>0.00</v>
      </c>
      <c r="G411" t="str">
        <f>"81.22"</f>
        <v>81.22</v>
      </c>
      <c r="H411" t="str">
        <f>"0.00"</f>
        <v>0.00</v>
      </c>
      <c r="I411" t="str">
        <f>"351"</f>
        <v>351</v>
      </c>
      <c r="J411" t="str">
        <f>"申购配号(米奥兰特)"</f>
        <v>申购配号(米奥兰特)</v>
      </c>
      <c r="K411" t="str">
        <f>"0.00"</f>
        <v>0.00</v>
      </c>
      <c r="L411" t="str">
        <f t="shared" si="134"/>
        <v>0.00</v>
      </c>
      <c r="M411" t="str">
        <f t="shared" si="134"/>
        <v>0.00</v>
      </c>
      <c r="N411" t="str">
        <f t="shared" si="134"/>
        <v>0.00</v>
      </c>
      <c r="O411" t="str">
        <f>"300795"</f>
        <v>300795</v>
      </c>
      <c r="P411" t="str">
        <f>"0153613480"</f>
        <v>0153613480</v>
      </c>
    </row>
    <row r="412" spans="1:16" x14ac:dyDescent="0.25">
      <c r="A412" t="str">
        <f t="shared" si="125"/>
        <v>人民币</v>
      </c>
      <c r="B412" t="str">
        <f>""</f>
        <v/>
      </c>
      <c r="C412" t="str">
        <f>"20191014"</f>
        <v>20191014</v>
      </c>
      <c r="D412" t="str">
        <f>"---"</f>
        <v>---</v>
      </c>
      <c r="E412" t="str">
        <f>"---"</f>
        <v>---</v>
      </c>
      <c r="F412" t="str">
        <f>"40000.00"</f>
        <v>40000.00</v>
      </c>
      <c r="G412" t="str">
        <f>"40081.22"</f>
        <v>40081.22</v>
      </c>
      <c r="H412" t="str">
        <f>"---"</f>
        <v>---</v>
      </c>
      <c r="I412" t="str">
        <f>"---"</f>
        <v>---</v>
      </c>
      <c r="J412" t="str">
        <f>"银行转存"</f>
        <v>银行转存</v>
      </c>
      <c r="K412" t="str">
        <f t="shared" ref="K412:P412" si="135">"---"</f>
        <v>---</v>
      </c>
      <c r="L412" t="str">
        <f t="shared" si="135"/>
        <v>---</v>
      </c>
      <c r="M412" t="str">
        <f t="shared" si="135"/>
        <v>---</v>
      </c>
      <c r="N412" t="str">
        <f t="shared" si="135"/>
        <v>---</v>
      </c>
      <c r="O412" t="str">
        <f t="shared" si="135"/>
        <v>---</v>
      </c>
      <c r="P412" t="str">
        <f t="shared" si="135"/>
        <v>---</v>
      </c>
    </row>
    <row r="413" spans="1:16" x14ac:dyDescent="0.25">
      <c r="A413" t="str">
        <f t="shared" si="125"/>
        <v>人民币</v>
      </c>
      <c r="B413" t="str">
        <f>"华菱精工"</f>
        <v>华菱精工</v>
      </c>
      <c r="C413" t="str">
        <f>"20191014"</f>
        <v>20191014</v>
      </c>
      <c r="D413" t="str">
        <f>"12.984"</f>
        <v>12.984</v>
      </c>
      <c r="E413" t="str">
        <f>"2000.00"</f>
        <v>2000.00</v>
      </c>
      <c r="F413" t="str">
        <f>"-25975.31"</f>
        <v>-25975.31</v>
      </c>
      <c r="G413" t="str">
        <f>"14105.91"</f>
        <v>14105.91</v>
      </c>
      <c r="H413" t="str">
        <f>"2000.00"</f>
        <v>2000.00</v>
      </c>
      <c r="I413" t="str">
        <f>"361"</f>
        <v>361</v>
      </c>
      <c r="J413" t="str">
        <f>"证券买入(华菱精工)"</f>
        <v>证券买入(华菱精工)</v>
      </c>
      <c r="K413" t="str">
        <f>"7.79"</f>
        <v>7.79</v>
      </c>
      <c r="L413" t="str">
        <f>"0.00"</f>
        <v>0.00</v>
      </c>
      <c r="M413" t="str">
        <f>"0.52"</f>
        <v>0.52</v>
      </c>
      <c r="N413" t="str">
        <f>"0.00"</f>
        <v>0.00</v>
      </c>
      <c r="O413" t="str">
        <f>"603356"</f>
        <v>603356</v>
      </c>
      <c r="P413" t="str">
        <f>"A400948245"</f>
        <v>A400948245</v>
      </c>
    </row>
    <row r="414" spans="1:16" x14ac:dyDescent="0.25">
      <c r="A414" t="str">
        <f t="shared" si="125"/>
        <v>人民币</v>
      </c>
      <c r="B414" t="str">
        <f>"渝农配号"</f>
        <v>渝农配号</v>
      </c>
      <c r="C414" t="str">
        <f>"20191014"</f>
        <v>20191014</v>
      </c>
      <c r="D414" t="str">
        <f>"0.000"</f>
        <v>0.000</v>
      </c>
      <c r="E414" t="str">
        <f>"9.00"</f>
        <v>9.00</v>
      </c>
      <c r="F414" t="str">
        <f>"0.00"</f>
        <v>0.00</v>
      </c>
      <c r="G414" t="str">
        <f>"14105.91"</f>
        <v>14105.91</v>
      </c>
      <c r="H414" t="str">
        <f>"0.00"</f>
        <v>0.00</v>
      </c>
      <c r="I414" t="str">
        <f>"368"</f>
        <v>368</v>
      </c>
      <c r="J414" t="str">
        <f>"申购配号(渝农配号)"</f>
        <v>申购配号(渝农配号)</v>
      </c>
      <c r="K414" t="str">
        <f>"0.00"</f>
        <v>0.00</v>
      </c>
      <c r="L414" t="str">
        <f>"0.00"</f>
        <v>0.00</v>
      </c>
      <c r="M414" t="str">
        <f>"0.00"</f>
        <v>0.00</v>
      </c>
      <c r="N414" t="str">
        <f>"0.00"</f>
        <v>0.00</v>
      </c>
      <c r="O414" t="str">
        <f>"791077"</f>
        <v>791077</v>
      </c>
      <c r="P414" t="str">
        <f>"A400948245"</f>
        <v>A400948245</v>
      </c>
    </row>
    <row r="415" spans="1:16" x14ac:dyDescent="0.25">
      <c r="A415" t="str">
        <f t="shared" si="125"/>
        <v>人民币</v>
      </c>
      <c r="B415" t="str">
        <f>"中海达"</f>
        <v>中海达</v>
      </c>
      <c r="C415" t="str">
        <f>"20191014"</f>
        <v>20191014</v>
      </c>
      <c r="D415" t="str">
        <f>"9.090"</f>
        <v>9.090</v>
      </c>
      <c r="E415" t="str">
        <f>"1500.00"</f>
        <v>1500.00</v>
      </c>
      <c r="F415" t="str">
        <f>"-13640.00"</f>
        <v>-13640.00</v>
      </c>
      <c r="G415" t="str">
        <f>"465.91"</f>
        <v>465.91</v>
      </c>
      <c r="H415" t="str">
        <f>"10500.00"</f>
        <v>10500.00</v>
      </c>
      <c r="I415" t="str">
        <f>"365"</f>
        <v>365</v>
      </c>
      <c r="J415" t="str">
        <f>"证券买入(中海达)"</f>
        <v>证券买入(中海达)</v>
      </c>
      <c r="K415" t="str">
        <f>"5.00"</f>
        <v>5.00</v>
      </c>
      <c r="L415" t="str">
        <f>"0.00"</f>
        <v>0.00</v>
      </c>
      <c r="M415" t="str">
        <f>"0.00"</f>
        <v>0.00</v>
      </c>
      <c r="N415" t="str">
        <f>"0.00"</f>
        <v>0.00</v>
      </c>
      <c r="O415" t="str">
        <f>"300177"</f>
        <v>300177</v>
      </c>
      <c r="P415" t="str">
        <f>"0153613480"</f>
        <v>0153613480</v>
      </c>
    </row>
    <row r="416" spans="1:16" x14ac:dyDescent="0.25">
      <c r="A416" t="str">
        <f t="shared" si="125"/>
        <v>人民币</v>
      </c>
      <c r="B416" t="str">
        <f>"中海达"</f>
        <v>中海达</v>
      </c>
      <c r="C416" t="str">
        <f>"20191014"</f>
        <v>20191014</v>
      </c>
      <c r="D416" t="str">
        <f>"9.080"</f>
        <v>9.080</v>
      </c>
      <c r="E416" t="str">
        <f>"-2000.00"</f>
        <v>-2000.00</v>
      </c>
      <c r="F416" t="str">
        <f>"18136.39"</f>
        <v>18136.39</v>
      </c>
      <c r="G416" t="str">
        <f>"18602.30"</f>
        <v>18602.30</v>
      </c>
      <c r="H416" t="str">
        <f>"8500.00"</f>
        <v>8500.00</v>
      </c>
      <c r="I416" t="str">
        <f>"370"</f>
        <v>370</v>
      </c>
      <c r="J416" t="str">
        <f>"证券卖出(中海达)"</f>
        <v>证券卖出(中海达)</v>
      </c>
      <c r="K416" t="str">
        <f>"5.45"</f>
        <v>5.45</v>
      </c>
      <c r="L416" t="str">
        <f>"18.16"</f>
        <v>18.16</v>
      </c>
      <c r="M416" t="str">
        <f>"0.00"</f>
        <v>0.00</v>
      </c>
      <c r="N416" t="str">
        <f>"0.00"</f>
        <v>0.00</v>
      </c>
      <c r="O416" t="str">
        <f>"300177"</f>
        <v>300177</v>
      </c>
      <c r="P416" t="str">
        <f>"0153613480"</f>
        <v>0153613480</v>
      </c>
    </row>
    <row r="417" spans="1:16" x14ac:dyDescent="0.25">
      <c r="A417" t="str">
        <f t="shared" si="125"/>
        <v>人民币</v>
      </c>
      <c r="B417" t="str">
        <f>"中通国脉"</f>
        <v>中通国脉</v>
      </c>
      <c r="C417" t="str">
        <f>"20191015"</f>
        <v>20191015</v>
      </c>
      <c r="D417" t="str">
        <f>"20.420"</f>
        <v>20.420</v>
      </c>
      <c r="E417" t="str">
        <f>"500.00"</f>
        <v>500.00</v>
      </c>
      <c r="F417" t="str">
        <f>"-10215.20"</f>
        <v>-10215.20</v>
      </c>
      <c r="G417" t="str">
        <f>"8387.10"</f>
        <v>8387.10</v>
      </c>
      <c r="H417" t="str">
        <f>"4100.00"</f>
        <v>4100.00</v>
      </c>
      <c r="I417" t="str">
        <f>"377"</f>
        <v>377</v>
      </c>
      <c r="J417" t="str">
        <f>"证券买入(中通国脉)"</f>
        <v>证券买入(中通国脉)</v>
      </c>
      <c r="K417" t="str">
        <f>"5.00"</f>
        <v>5.00</v>
      </c>
      <c r="L417" t="str">
        <f>"0.00"</f>
        <v>0.00</v>
      </c>
      <c r="M417" t="str">
        <f>"0.20"</f>
        <v>0.20</v>
      </c>
      <c r="N417" t="str">
        <f>"0.00"</f>
        <v>0.00</v>
      </c>
      <c r="O417" t="str">
        <f>"603559"</f>
        <v>603559</v>
      </c>
      <c r="P417" t="str">
        <f>"A400948245"</f>
        <v>A400948245</v>
      </c>
    </row>
    <row r="418" spans="1:16" x14ac:dyDescent="0.25">
      <c r="A418" t="str">
        <f t="shared" si="125"/>
        <v>人民币</v>
      </c>
      <c r="B418" t="str">
        <f>""</f>
        <v/>
      </c>
      <c r="C418" t="str">
        <f t="shared" ref="C418:C423" si="136">"20191016"</f>
        <v>20191016</v>
      </c>
      <c r="D418" t="str">
        <f>"---"</f>
        <v>---</v>
      </c>
      <c r="E418" t="str">
        <f>"---"</f>
        <v>---</v>
      </c>
      <c r="F418" t="str">
        <f>"20000.00"</f>
        <v>20000.00</v>
      </c>
      <c r="G418" t="str">
        <f>"28387.10"</f>
        <v>28387.10</v>
      </c>
      <c r="H418" t="str">
        <f>"---"</f>
        <v>---</v>
      </c>
      <c r="I418" t="str">
        <f>"---"</f>
        <v>---</v>
      </c>
      <c r="J418" t="str">
        <f>"银行转存"</f>
        <v>银行转存</v>
      </c>
      <c r="K418" t="str">
        <f t="shared" ref="K418:P418" si="137">"---"</f>
        <v>---</v>
      </c>
      <c r="L418" t="str">
        <f t="shared" si="137"/>
        <v>---</v>
      </c>
      <c r="M418" t="str">
        <f t="shared" si="137"/>
        <v>---</v>
      </c>
      <c r="N418" t="str">
        <f t="shared" si="137"/>
        <v>---</v>
      </c>
      <c r="O418" t="str">
        <f t="shared" si="137"/>
        <v>---</v>
      </c>
      <c r="P418" t="str">
        <f t="shared" si="137"/>
        <v>---</v>
      </c>
    </row>
    <row r="419" spans="1:16" x14ac:dyDescent="0.25">
      <c r="A419" t="str">
        <f t="shared" si="125"/>
        <v>人民币</v>
      </c>
      <c r="B419" t="str">
        <f>"中通国脉"</f>
        <v>中通国脉</v>
      </c>
      <c r="C419" t="str">
        <f t="shared" si="136"/>
        <v>20191016</v>
      </c>
      <c r="D419" t="str">
        <f>"20.240"</f>
        <v>20.240</v>
      </c>
      <c r="E419" t="str">
        <f>"-500.00"</f>
        <v>-500.00</v>
      </c>
      <c r="F419" t="str">
        <f>"10104.69"</f>
        <v>10104.69</v>
      </c>
      <c r="G419" t="str">
        <f>"38491.79"</f>
        <v>38491.79</v>
      </c>
      <c r="H419" t="str">
        <f>"3600.00"</f>
        <v>3600.00</v>
      </c>
      <c r="I419" t="str">
        <f>"389"</f>
        <v>389</v>
      </c>
      <c r="J419" t="str">
        <f>"证券卖出(中通国脉)"</f>
        <v>证券卖出(中通国脉)</v>
      </c>
      <c r="K419" t="str">
        <f>"5.00"</f>
        <v>5.00</v>
      </c>
      <c r="L419" t="str">
        <f>"10.11"</f>
        <v>10.11</v>
      </c>
      <c r="M419" t="str">
        <f>"0.20"</f>
        <v>0.20</v>
      </c>
      <c r="N419" t="str">
        <f>"0.00"</f>
        <v>0.00</v>
      </c>
      <c r="O419" t="str">
        <f>"603559"</f>
        <v>603559</v>
      </c>
      <c r="P419" t="str">
        <f>"A400948245"</f>
        <v>A400948245</v>
      </c>
    </row>
    <row r="420" spans="1:16" x14ac:dyDescent="0.25">
      <c r="A420" t="str">
        <f t="shared" si="125"/>
        <v>人民币</v>
      </c>
      <c r="B420" t="str">
        <f>"华菱精工"</f>
        <v>华菱精工</v>
      </c>
      <c r="C420" t="str">
        <f t="shared" si="136"/>
        <v>20191016</v>
      </c>
      <c r="D420" t="str">
        <f>"12.910"</f>
        <v>12.910</v>
      </c>
      <c r="E420" t="str">
        <f>"2000.00"</f>
        <v>2000.00</v>
      </c>
      <c r="F420" t="str">
        <f>"-25828.27"</f>
        <v>-25828.27</v>
      </c>
      <c r="G420" t="str">
        <f>"12663.52"</f>
        <v>12663.52</v>
      </c>
      <c r="H420" t="str">
        <f>"4000.00"</f>
        <v>4000.00</v>
      </c>
      <c r="I420" t="str">
        <f>"394"</f>
        <v>394</v>
      </c>
      <c r="J420" t="str">
        <f>"证券买入(华菱精工)"</f>
        <v>证券买入(华菱精工)</v>
      </c>
      <c r="K420" t="str">
        <f>"7.75"</f>
        <v>7.75</v>
      </c>
      <c r="L420" t="str">
        <f>"0.00"</f>
        <v>0.00</v>
      </c>
      <c r="M420" t="str">
        <f>"0.52"</f>
        <v>0.52</v>
      </c>
      <c r="N420" t="str">
        <f>"0.00"</f>
        <v>0.00</v>
      </c>
      <c r="O420" t="str">
        <f>"603356"</f>
        <v>603356</v>
      </c>
      <c r="P420" t="str">
        <f>"A400948245"</f>
        <v>A400948245</v>
      </c>
    </row>
    <row r="421" spans="1:16" x14ac:dyDescent="0.25">
      <c r="A421" t="str">
        <f t="shared" si="125"/>
        <v>人民币</v>
      </c>
      <c r="B421" t="str">
        <f>"顺灏股份"</f>
        <v>顺灏股份</v>
      </c>
      <c r="C421" t="str">
        <f t="shared" si="136"/>
        <v>20191016</v>
      </c>
      <c r="D421" t="str">
        <f>"7.730"</f>
        <v>7.730</v>
      </c>
      <c r="E421" t="str">
        <f>"1500.00"</f>
        <v>1500.00</v>
      </c>
      <c r="F421" t="str">
        <f>"-11600.00"</f>
        <v>-11600.00</v>
      </c>
      <c r="G421" t="str">
        <f>"1063.52"</f>
        <v>1063.52</v>
      </c>
      <c r="H421" t="str">
        <f>"13500.00"</f>
        <v>13500.00</v>
      </c>
      <c r="I421" t="str">
        <f>"386"</f>
        <v>386</v>
      </c>
      <c r="J421" t="str">
        <f>"证券买入(顺灏股份)"</f>
        <v>证券买入(顺灏股份)</v>
      </c>
      <c r="K421" t="str">
        <f>"5.00"</f>
        <v>5.00</v>
      </c>
      <c r="L421" t="str">
        <f>"0.00"</f>
        <v>0.00</v>
      </c>
      <c r="M421" t="str">
        <f>"0.00"</f>
        <v>0.00</v>
      </c>
      <c r="N421" t="str">
        <f>"0.00"</f>
        <v>0.00</v>
      </c>
      <c r="O421" t="str">
        <f>"002565"</f>
        <v>002565</v>
      </c>
      <c r="P421" t="str">
        <f>"0153613480"</f>
        <v>0153613480</v>
      </c>
    </row>
    <row r="422" spans="1:16" x14ac:dyDescent="0.25">
      <c r="A422" t="str">
        <f t="shared" si="125"/>
        <v>人民币</v>
      </c>
      <c r="B422" t="str">
        <f>"豪尔赛"</f>
        <v>豪尔赛</v>
      </c>
      <c r="C422" t="str">
        <f t="shared" si="136"/>
        <v>20191016</v>
      </c>
      <c r="D422" t="str">
        <f>"0.000"</f>
        <v>0.000</v>
      </c>
      <c r="E422" t="str">
        <f>"23.00"</f>
        <v>23.00</v>
      </c>
      <c r="F422" t="str">
        <f>"0.00"</f>
        <v>0.00</v>
      </c>
      <c r="G422" t="str">
        <f>"1063.52"</f>
        <v>1063.52</v>
      </c>
      <c r="H422" t="str">
        <f>"0.00"</f>
        <v>0.00</v>
      </c>
      <c r="I422" t="str">
        <f>"384"</f>
        <v>384</v>
      </c>
      <c r="J422" t="str">
        <f>"申购配号(豪尔赛)"</f>
        <v>申购配号(豪尔赛)</v>
      </c>
      <c r="K422" t="str">
        <f>"0.00"</f>
        <v>0.00</v>
      </c>
      <c r="L422" t="str">
        <f>"0.00"</f>
        <v>0.00</v>
      </c>
      <c r="M422" t="str">
        <f>"0.00"</f>
        <v>0.00</v>
      </c>
      <c r="N422" t="str">
        <f>"0.00"</f>
        <v>0.00</v>
      </c>
      <c r="O422" t="str">
        <f>"002963"</f>
        <v>002963</v>
      </c>
      <c r="P422" t="str">
        <f>"0153613480"</f>
        <v>0153613480</v>
      </c>
    </row>
    <row r="423" spans="1:16" x14ac:dyDescent="0.25">
      <c r="A423" t="str">
        <f t="shared" si="125"/>
        <v>人民币</v>
      </c>
      <c r="B423" t="str">
        <f>"祥鑫科技"</f>
        <v>祥鑫科技</v>
      </c>
      <c r="C423" t="str">
        <f t="shared" si="136"/>
        <v>20191016</v>
      </c>
      <c r="D423" t="str">
        <f>"0.000"</f>
        <v>0.000</v>
      </c>
      <c r="E423" t="str">
        <f>"23.00"</f>
        <v>23.00</v>
      </c>
      <c r="F423" t="str">
        <f>"0.00"</f>
        <v>0.00</v>
      </c>
      <c r="G423" t="str">
        <f>"1063.52"</f>
        <v>1063.52</v>
      </c>
      <c r="H423" t="str">
        <f>"0.00"</f>
        <v>0.00</v>
      </c>
      <c r="I423" t="str">
        <f>"382"</f>
        <v>382</v>
      </c>
      <c r="J423" t="str">
        <f>"申购配号(祥鑫科技)"</f>
        <v>申购配号(祥鑫科技)</v>
      </c>
      <c r="K423" t="str">
        <f>"0.00"</f>
        <v>0.00</v>
      </c>
      <c r="L423" t="str">
        <f>"0.00"</f>
        <v>0.00</v>
      </c>
      <c r="M423" t="str">
        <f>"0.00"</f>
        <v>0.00</v>
      </c>
      <c r="N423" t="str">
        <f>"0.00"</f>
        <v>0.00</v>
      </c>
      <c r="O423" t="str">
        <f>"002965"</f>
        <v>002965</v>
      </c>
      <c r="P423" t="str">
        <f>"0153613480"</f>
        <v>0153613480</v>
      </c>
    </row>
    <row r="424" spans="1:16" x14ac:dyDescent="0.25">
      <c r="A424" t="str">
        <f t="shared" si="125"/>
        <v>人民币</v>
      </c>
      <c r="B424" t="str">
        <f>""</f>
        <v/>
      </c>
      <c r="C424" t="str">
        <f>"20191017"</f>
        <v>20191017</v>
      </c>
      <c r="D424" t="str">
        <f>"---"</f>
        <v>---</v>
      </c>
      <c r="E424" t="str">
        <f>"---"</f>
        <v>---</v>
      </c>
      <c r="F424" t="str">
        <f>"20000.00"</f>
        <v>20000.00</v>
      </c>
      <c r="G424" t="str">
        <f>"21063.52"</f>
        <v>21063.52</v>
      </c>
      <c r="H424" t="str">
        <f>"---"</f>
        <v>---</v>
      </c>
      <c r="I424" t="str">
        <f>"---"</f>
        <v>---</v>
      </c>
      <c r="J424" t="str">
        <f>"银行转存"</f>
        <v>银行转存</v>
      </c>
      <c r="K424" t="str">
        <f t="shared" ref="K424:P424" si="138">"---"</f>
        <v>---</v>
      </c>
      <c r="L424" t="str">
        <f t="shared" si="138"/>
        <v>---</v>
      </c>
      <c r="M424" t="str">
        <f t="shared" si="138"/>
        <v>---</v>
      </c>
      <c r="N424" t="str">
        <f t="shared" si="138"/>
        <v>---</v>
      </c>
      <c r="O424" t="str">
        <f t="shared" si="138"/>
        <v>---</v>
      </c>
      <c r="P424" t="str">
        <f t="shared" si="138"/>
        <v>---</v>
      </c>
    </row>
    <row r="425" spans="1:16" x14ac:dyDescent="0.25">
      <c r="A425" t="str">
        <f t="shared" si="125"/>
        <v>人民币</v>
      </c>
      <c r="B425" t="str">
        <f>"麒盛配号"</f>
        <v>麒盛配号</v>
      </c>
      <c r="C425" t="str">
        <f>"20191017"</f>
        <v>20191017</v>
      </c>
      <c r="D425" t="str">
        <f>"0.000"</f>
        <v>0.000</v>
      </c>
      <c r="E425" t="str">
        <f>"9.00"</f>
        <v>9.00</v>
      </c>
      <c r="F425" t="str">
        <f>"0.00"</f>
        <v>0.00</v>
      </c>
      <c r="G425" t="str">
        <f>"21063.52"</f>
        <v>21063.52</v>
      </c>
      <c r="H425" t="str">
        <f>"0.00"</f>
        <v>0.00</v>
      </c>
      <c r="I425" t="str">
        <f>"410"</f>
        <v>410</v>
      </c>
      <c r="J425" t="str">
        <f>"申购配号(麒盛配号)"</f>
        <v>申购配号(麒盛配号)</v>
      </c>
      <c r="K425" t="str">
        <f>"0.00"</f>
        <v>0.00</v>
      </c>
      <c r="L425" t="str">
        <f>"0.00"</f>
        <v>0.00</v>
      </c>
      <c r="M425" t="str">
        <f>"0.00"</f>
        <v>0.00</v>
      </c>
      <c r="N425" t="str">
        <f>"0.00"</f>
        <v>0.00</v>
      </c>
      <c r="O425" t="str">
        <f>"736610"</f>
        <v>736610</v>
      </c>
      <c r="P425" t="str">
        <f>"A400948245"</f>
        <v>A400948245</v>
      </c>
    </row>
    <row r="426" spans="1:16" x14ac:dyDescent="0.25">
      <c r="A426" t="str">
        <f t="shared" si="125"/>
        <v>人民币</v>
      </c>
      <c r="B426" t="str">
        <f>"顺灏股份"</f>
        <v>顺灏股份</v>
      </c>
      <c r="C426" t="str">
        <f>"20191017"</f>
        <v>20191017</v>
      </c>
      <c r="D426" t="str">
        <f>"7.420"</f>
        <v>7.420</v>
      </c>
      <c r="E426" t="str">
        <f>"1500.00"</f>
        <v>1500.00</v>
      </c>
      <c r="F426" t="str">
        <f>"-11135.00"</f>
        <v>-11135.00</v>
      </c>
      <c r="G426" t="str">
        <f>"9928.52"</f>
        <v>9928.52</v>
      </c>
      <c r="H426" t="str">
        <f>"15000.00"</f>
        <v>15000.00</v>
      </c>
      <c r="I426" t="str">
        <f>"413"</f>
        <v>413</v>
      </c>
      <c r="J426" t="str">
        <f>"证券买入(顺灏股份)"</f>
        <v>证券买入(顺灏股份)</v>
      </c>
      <c r="K426" t="str">
        <f>"5.00"</f>
        <v>5.00</v>
      </c>
      <c r="L426" t="str">
        <f t="shared" ref="L426:N427" si="139">"0.00"</f>
        <v>0.00</v>
      </c>
      <c r="M426" t="str">
        <f t="shared" si="139"/>
        <v>0.00</v>
      </c>
      <c r="N426" t="str">
        <f t="shared" si="139"/>
        <v>0.00</v>
      </c>
      <c r="O426" t="str">
        <f>"002565"</f>
        <v>002565</v>
      </c>
      <c r="P426" t="str">
        <f>"0153613480"</f>
        <v>0153613480</v>
      </c>
    </row>
    <row r="427" spans="1:16" x14ac:dyDescent="0.25">
      <c r="A427" t="str">
        <f t="shared" si="125"/>
        <v>人民币</v>
      </c>
      <c r="B427" t="str">
        <f>"左江科技"</f>
        <v>左江科技</v>
      </c>
      <c r="C427" t="str">
        <f>"20191017"</f>
        <v>20191017</v>
      </c>
      <c r="D427" t="str">
        <f>"0.000"</f>
        <v>0.000</v>
      </c>
      <c r="E427" t="str">
        <f>"24.00"</f>
        <v>24.00</v>
      </c>
      <c r="F427" t="str">
        <f>"0.00"</f>
        <v>0.00</v>
      </c>
      <c r="G427" t="str">
        <f>"9928.52"</f>
        <v>9928.52</v>
      </c>
      <c r="H427" t="str">
        <f>"0.00"</f>
        <v>0.00</v>
      </c>
      <c r="I427" t="str">
        <f>"408"</f>
        <v>408</v>
      </c>
      <c r="J427" t="str">
        <f>"申购配号(左江科技)"</f>
        <v>申购配号(左江科技)</v>
      </c>
      <c r="K427" t="str">
        <f>"0.00"</f>
        <v>0.00</v>
      </c>
      <c r="L427" t="str">
        <f t="shared" si="139"/>
        <v>0.00</v>
      </c>
      <c r="M427" t="str">
        <f t="shared" si="139"/>
        <v>0.00</v>
      </c>
      <c r="N427" t="str">
        <f t="shared" si="139"/>
        <v>0.00</v>
      </c>
      <c r="O427" t="str">
        <f>"300799"</f>
        <v>300799</v>
      </c>
      <c r="P427" t="str">
        <f>"0153613480"</f>
        <v>0153613480</v>
      </c>
    </row>
  </sheetData>
  <autoFilter ref="A1:P268"/>
  <phoneticPr fontId="18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year2017</vt:lpstr>
      <vt:lpstr>year2018</vt:lpstr>
      <vt:lpstr>year2019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Wang, Renzhong</cp:lastModifiedBy>
  <dcterms:created xsi:type="dcterms:W3CDTF">2019-02-26T11:53:08Z</dcterms:created>
  <dcterms:modified xsi:type="dcterms:W3CDTF">2019-10-21T14:17:39Z</dcterms:modified>
</cp:coreProperties>
</file>