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3" r:id="rId3"/>
  </sheets>
  <definedNames>
    <definedName name="_xlnm._FilterDatabase" localSheetId="0" hidden="1">year2017!$A$1:$P$1</definedName>
    <definedName name="_xlnm._FilterDatabase" localSheetId="1" hidden="1">year2018!$A$1:$P$342</definedName>
    <definedName name="_xlnm._FilterDatabase" localSheetId="2" hidden="1">year2019!$A$1:$P$268</definedName>
  </definedNames>
  <calcPr calcId="171027"/>
</workbook>
</file>

<file path=xl/calcChain.xml><?xml version="1.0" encoding="utf-8"?>
<calcChain xmlns="http://schemas.openxmlformats.org/spreadsheetml/2006/main">
  <c r="P341" i="3" l="1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254" i="3" l="1"/>
  <c r="J254" i="3"/>
  <c r="J244" i="3" s="1"/>
  <c r="J268" i="3"/>
  <c r="P268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P254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A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P244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P196" i="3" l="1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P97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298" i="2" l="1"/>
  <c r="B301" i="2" l="1"/>
  <c r="P59" i="3" l="1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P45" i="3" l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<sst xmlns="http://schemas.openxmlformats.org/spreadsheetml/2006/main" count="52" uniqueCount="19">
  <si>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</si>
  <si>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</si>
  <si>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</si>
  <si>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</si>
  <si>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</si>
  <si>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</si>
  <si>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</si>
  <si>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</si>
  <si>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</si>
  <si>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</si>
  <si>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</si>
  <si>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</si>
  <si>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</si>
  <si>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</si>
  <si>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</si>
  <si>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</si>
  <si>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</si>
  <si>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</si>
  <si>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证券买入((青农商行)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</si>
</sst>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298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2"/>
  <sheetViews>
    <sheetView workbookViewId="0">
      <selection activeCell="B298" sqref="B298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idden="1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hidden="1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hidden="1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hidden="1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hidden="1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hidden="1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hidden="1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hidden="1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hidden="1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hidden="1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hidden="1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hidden="1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hidden="1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hidden="1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hidden="1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hidden="1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hidden="1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hidden="1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hidden="1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hidden="1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hidden="1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hidden="1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hidden="1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hidden="1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hidden="1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hidden="1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hidden="1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hidden="1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hidden="1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hidden="1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hidden="1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hidden="1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hidden="1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hidden="1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hidden="1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hidden="1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hidden="1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hidden="1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hidden="1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hidden="1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hidden="1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hidden="1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hidden="1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hidden="1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hidden="1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hidden="1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hidden="1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hidden="1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hidden="1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hidden="1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hidden="1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hidden="1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hidden="1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hidden="1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hidden="1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hidden="1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hidden="1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hidden="1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hidden="1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hidden="1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hidden="1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hidden="1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hidden="1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hidden="1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hidden="1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hidden="1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hidden="1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hidden="1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hidden="1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hidden="1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hidden="1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hidden="1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hidden="1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hidden="1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hidden="1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hidden="1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hidden="1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hidden="1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hidden="1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hidden="1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hidden="1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hidden="1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hidden="1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hidden="1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hidden="1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hidden="1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hidden="1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hidden="1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hidden="1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hidden="1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hidden="1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hidden="1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hidden="1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hidden="1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hidden="1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hidden="1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hidden="1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hidden="1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hidden="1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hidden="1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hidden="1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hidden="1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hidden="1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hidden="1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hidden="1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hidden="1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hidden="1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hidden="1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hidden="1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hidden="1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hidden="1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hidden="1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hidden="1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hidden="1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hidden="1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hidden="1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hidden="1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hidden="1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hidden="1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hidden="1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hidden="1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hidden="1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hidden="1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hidden="1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hidden="1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hidden="1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hidden="1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hidden="1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hidden="1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hidden="1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hidden="1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hidden="1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hidden="1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hidden="1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hidden="1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hidden="1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hidden="1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hidden="1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hidden="1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hidden="1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hidden="1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hidden="1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hidden="1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hidden="1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hidden="1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hidden="1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hidden="1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hidden="1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hidden="1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hidden="1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hidden="1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hidden="1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hidden="1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hidden="1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hidden="1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hidden="1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hidden="1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hidden="1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hidden="1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hidden="1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hidden="1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hidden="1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hidden="1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hidden="1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hidden="1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hidden="1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hidden="1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hidden="1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hidden="1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hidden="1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hidden="1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hidden="1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hidden="1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hidden="1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hidden="1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hidden="1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hidden="1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hidden="1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hidden="1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hidden="1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hidden="1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hidden="1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hidden="1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hidden="1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hidden="1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hidden="1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hidden="1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hidden="1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hidden="1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hidden="1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hidden="1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hidden="1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hidden="1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hidden="1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hidden="1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hidden="1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hidden="1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hidden="1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hidden="1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hidden="1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hidden="1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hidden="1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hidden="1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hidden="1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hidden="1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hidden="1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hidden="1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hidden="1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hidden="1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hidden="1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hidden="1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hidden="1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hidden="1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hidden="1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hidden="1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hidden="1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hidden="1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hidden="1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hidden="1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hidden="1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hidden="1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hidden="1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hidden="1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hidden="1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hidden="1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hidden="1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hidden="1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hidden="1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hidden="1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hidden="1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hidden="1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hidden="1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hidden="1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hidden="1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hidden="1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hidden="1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hidden="1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hidden="1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hidden="1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hidden="1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hidden="1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hidden="1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hidden="1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hidden="1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hidden="1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hidden="1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hidden="1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hidden="1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hidden="1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hidden="1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hidden="1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hidden="1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hidden="1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hidden="1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hidden="1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hidden="1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hidden="1" x14ac:dyDescent="0.25">
      <c r="A258" t="str">
        <f t="shared" ref="A258:A321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hidden="1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hidden="1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hidden="1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hidden="1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hidden="1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hidden="1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hidden="1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hidden="1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hidden="1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hidden="1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hidden="1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hidden="1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hidden="1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hidden="1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hidden="1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hidden="1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hidden="1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hidden="1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hidden="1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hidden="1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hidden="1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hidden="1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hidden="1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hidden="1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hidden="1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hidden="1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hidden="1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hidden="1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hidden="1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hidden="1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8" si="101">"0.00"</f>
        <v>0.00</v>
      </c>
      <c r="O288" t="str">
        <f>"603559"</f>
        <v>603559</v>
      </c>
      <c r="P288" t="str">
        <f>"A400948245"</f>
        <v>A400948245</v>
      </c>
    </row>
    <row r="289" spans="1:16" hidden="1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hidden="1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hidden="1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hidden="1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8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hidden="1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hidden="1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hidden="1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hidden="1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"人保配号"</f>
        <v>人保配号</v>
      </c>
      <c r="C297" t="str">
        <f>"20181106"</f>
        <v>20181106</v>
      </c>
      <c r="D297" t="str">
        <f>"0.000"</f>
        <v>0.000</v>
      </c>
      <c r="E297" t="str">
        <f>"3.00"</f>
        <v>3.00</v>
      </c>
      <c r="F297" t="str">
        <f>"0.00"</f>
        <v>0.00</v>
      </c>
      <c r="G297" t="str">
        <f>"358.16"</f>
        <v>358.16</v>
      </c>
      <c r="H297" t="str">
        <f>"0.00"</f>
        <v>0.00</v>
      </c>
      <c r="I297" t="str">
        <f>"84"</f>
        <v>84</v>
      </c>
      <c r="J297" t="str">
        <f>"申购配号(人保配号)"</f>
        <v>申购配号(人保配号)</v>
      </c>
      <c r="K297" t="str">
        <f>"0.00"</f>
        <v>0.00</v>
      </c>
      <c r="L297" t="str">
        <f>"0.00"</f>
        <v>0.00</v>
      </c>
      <c r="M297" t="str">
        <f t="shared" si="102"/>
        <v>0.00</v>
      </c>
      <c r="N297" t="str">
        <f t="shared" si="101"/>
        <v>0.00</v>
      </c>
      <c r="O297" t="str">
        <f>"791319"</f>
        <v>791319</v>
      </c>
      <c r="P297" t="str">
        <f>"A400948245"</f>
        <v>A400948245</v>
      </c>
    </row>
    <row r="298" spans="1:16" x14ac:dyDescent="0.25">
      <c r="A298" t="str">
        <f t="shared" si="92"/>
        <v>人民币</v>
      </c>
      <c r="B298" t="str">
        <f>"中国人保"</f>
        <v>中国人保</v>
      </c>
      <c r="C298" t="str">
        <f>"20181107"</f>
        <v>20181107</v>
      </c>
      <c r="D298" t="str">
        <f>"3.340"</f>
        <v>3.340</v>
      </c>
      <c r="E298" t="str">
        <f>"1000.00"</f>
        <v>1000.00</v>
      </c>
      <c r="F298" t="str">
        <f>"0.00"</f>
        <v>0.00</v>
      </c>
      <c r="G298" t="str">
        <f>"358.16"</f>
        <v>358.16</v>
      </c>
      <c r="H298" t="str">
        <f>"1000.00"</f>
        <v>1000.00</v>
      </c>
      <c r="I298" t="str">
        <f>" "</f>
        <v xml:space="preserve"> </v>
      </c>
      <c r="J298" t="str">
        <f>"配售中签(人保申购)"</f>
        <v>配售中签(人保申购)</v>
      </c>
      <c r="K298" t="str">
        <f>"0.00"</f>
        <v>0.00</v>
      </c>
      <c r="L298" t="str">
        <f>"0.00"</f>
        <v>0.00</v>
      </c>
      <c r="M298" t="str">
        <f t="shared" si="102"/>
        <v>0.00</v>
      </c>
      <c r="N298" t="str">
        <f t="shared" si="101"/>
        <v>0.00</v>
      </c>
      <c r="O298" t="str">
        <f>"780319"</f>
        <v>780319</v>
      </c>
      <c r="P298" t="str">
        <f>"A400948245"</f>
        <v>A400948245</v>
      </c>
    </row>
    <row r="299" spans="1:16" hidden="1" x14ac:dyDescent="0.25">
      <c r="A299" t="str">
        <f t="shared" si="92"/>
        <v>人民币</v>
      </c>
      <c r="B299" t="str">
        <f>" "</f>
        <v xml:space="preserve"> </v>
      </c>
      <c r="C299" t="str">
        <f>"20181108"</f>
        <v>20181108</v>
      </c>
      <c r="D299" t="str">
        <f>"---"</f>
        <v>---</v>
      </c>
      <c r="E299" t="str">
        <f>"---"</f>
        <v>---</v>
      </c>
      <c r="F299" t="str">
        <f>"4000.00"</f>
        <v>4000.00</v>
      </c>
      <c r="G299" t="str">
        <f>"4358.16"</f>
        <v>4358.16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3">"---"</f>
        <v>---</v>
      </c>
      <c r="L299" t="str">
        <f t="shared" si="103"/>
        <v>---</v>
      </c>
      <c r="M299" t="str">
        <f t="shared" si="103"/>
        <v>---</v>
      </c>
      <c r="N299" t="str">
        <f t="shared" si="103"/>
        <v>---</v>
      </c>
      <c r="O299" t="str">
        <f t="shared" si="103"/>
        <v>---</v>
      </c>
      <c r="P299" t="str">
        <f t="shared" si="103"/>
        <v>---</v>
      </c>
    </row>
    <row r="300" spans="1:16" x14ac:dyDescent="0.25">
      <c r="A300" t="str">
        <f t="shared" si="92"/>
        <v>人民币</v>
      </c>
      <c r="B300" t="s">
        <v>17</v>
      </c>
      <c r="C300" t="str">
        <f>"20181108"</f>
        <v>20181108</v>
      </c>
      <c r="D300" t="str">
        <f>"0.000"</f>
        <v>0.000</v>
      </c>
      <c r="E300" t="str">
        <f>"0.00"</f>
        <v>0.00</v>
      </c>
      <c r="F300" t="str">
        <f>"-3340.00"</f>
        <v>-3340.00</v>
      </c>
      <c r="G300" t="str">
        <f>"1018.16"</f>
        <v>1018.16</v>
      </c>
      <c r="H300" t="str">
        <f>"1000.00"</f>
        <v>1000.00</v>
      </c>
      <c r="I300" t="str">
        <f>"---"</f>
        <v>---</v>
      </c>
      <c r="J300" t="str">
        <f>"申购中签缴款(人保申购)"</f>
        <v>申购中签缴款(人保申购)</v>
      </c>
      <c r="K300" t="str">
        <f>"---"</f>
        <v>---</v>
      </c>
      <c r="L300" t="str">
        <f>"---"</f>
        <v>---</v>
      </c>
      <c r="M300" t="str">
        <f>"---"</f>
        <v>---</v>
      </c>
      <c r="N300" t="str">
        <f>"---"</f>
        <v>---</v>
      </c>
      <c r="O300" t="str">
        <f>"780319"</f>
        <v>780319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"中国人保"</f>
        <v>中国人保</v>
      </c>
      <c r="C301" t="str">
        <f>"20181109"</f>
        <v>20181109</v>
      </c>
      <c r="D301" t="str">
        <f>"3.340"</f>
        <v>3.340</v>
      </c>
      <c r="E301" t="str">
        <f>"1000.00"</f>
        <v>1000.00</v>
      </c>
      <c r="F301" t="str">
        <f>"0.00"</f>
        <v>0.00</v>
      </c>
      <c r="G301" t="str">
        <f>"1018.16"</f>
        <v>1018.16</v>
      </c>
      <c r="H301" t="str">
        <f>"1000.00"</f>
        <v>1000.00</v>
      </c>
      <c r="I301" t="str">
        <f>" "</f>
        <v xml:space="preserve"> </v>
      </c>
      <c r="J301" t="str">
        <f>"配售认购(人保申购)"</f>
        <v>配售认购(人保申购)</v>
      </c>
      <c r="K301" t="str">
        <f t="shared" ref="K301:N311" si="104">"0.00"</f>
        <v>0.00</v>
      </c>
      <c r="L301" t="str">
        <f t="shared" si="104"/>
        <v>0.00</v>
      </c>
      <c r="M301" t="str">
        <f t="shared" si="104"/>
        <v>0.00</v>
      </c>
      <c r="N301" t="str">
        <f t="shared" si="104"/>
        <v>0.00</v>
      </c>
      <c r="O301" t="str">
        <f>"780319"</f>
        <v>780319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">
        <v>17</v>
      </c>
      <c r="C302" t="str">
        <f>"20181115"</f>
        <v>20181115</v>
      </c>
      <c r="D302" t="str">
        <f>"0.000"</f>
        <v>0.000</v>
      </c>
      <c r="E302" t="str">
        <f>"1000.00"</f>
        <v>1000.00</v>
      </c>
      <c r="F302" t="str">
        <f>"0.00"</f>
        <v>0.00</v>
      </c>
      <c r="G302" t="str">
        <f>"1018.16"</f>
        <v>1018.16</v>
      </c>
      <c r="H302" t="str">
        <f>"1000.00"</f>
        <v>1000.00</v>
      </c>
      <c r="I302" t="str">
        <f>" "</f>
        <v xml:space="preserve"> </v>
      </c>
      <c r="J302" t="str">
        <f>"新股入帐(601319)"</f>
        <v>新股入帐(601319)</v>
      </c>
      <c r="K302" t="str">
        <f t="shared" si="104"/>
        <v>0.00</v>
      </c>
      <c r="L302" t="str">
        <f t="shared" si="104"/>
        <v>0.00</v>
      </c>
      <c r="M302" t="str">
        <f t="shared" si="104"/>
        <v>0.00</v>
      </c>
      <c r="N302" t="str">
        <f t="shared" si="104"/>
        <v>0.00</v>
      </c>
      <c r="O302" t="str">
        <f>"601319"</f>
        <v>601319</v>
      </c>
      <c r="P302" t="str">
        <f>"A400948245"</f>
        <v>A400948245</v>
      </c>
    </row>
    <row r="303" spans="1:16" hidden="1" x14ac:dyDescent="0.25">
      <c r="A303" t="str">
        <f t="shared" si="92"/>
        <v>人民币</v>
      </c>
      <c r="B303" t="str">
        <f>"新疆交建"</f>
        <v>新疆交建</v>
      </c>
      <c r="C303" t="str">
        <f>"20181115"</f>
        <v>20181115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"1018.16"</f>
        <v>1018.16</v>
      </c>
      <c r="H303" t="str">
        <f>"0.00"</f>
        <v>0.00</v>
      </c>
      <c r="I303" t="str">
        <f>"94"</f>
        <v>94</v>
      </c>
      <c r="J303" t="str">
        <f>"申购配号(新疆交建)"</f>
        <v>申购配号(新疆交建)</v>
      </c>
      <c r="K303" t="str">
        <f t="shared" si="104"/>
        <v>0.00</v>
      </c>
      <c r="L303" t="str">
        <f t="shared" si="104"/>
        <v>0.00</v>
      </c>
      <c r="M303" t="str">
        <f t="shared" si="104"/>
        <v>0.00</v>
      </c>
      <c r="N303" t="str">
        <f t="shared" si="104"/>
        <v>0.00</v>
      </c>
      <c r="O303" t="str">
        <f>"002941"</f>
        <v>002941</v>
      </c>
      <c r="P303" t="str">
        <f>"0153613480"</f>
        <v>0153613480</v>
      </c>
    </row>
    <row r="304" spans="1:16" hidden="1" x14ac:dyDescent="0.25">
      <c r="A304" t="str">
        <f t="shared" si="92"/>
        <v>人民币</v>
      </c>
      <c r="B304" t="str">
        <f>"海容配号"</f>
        <v>海容配号</v>
      </c>
      <c r="C304" t="str">
        <f>"20181119"</f>
        <v>20181119</v>
      </c>
      <c r="D304" t="str">
        <f>"0.000"</f>
        <v>0.000</v>
      </c>
      <c r="E304" t="str">
        <f>"4.00"</f>
        <v>4.00</v>
      </c>
      <c r="F304" t="str">
        <f>"0.00"</f>
        <v>0.00</v>
      </c>
      <c r="G304" t="str">
        <f>"1018.16"</f>
        <v>1018.16</v>
      </c>
      <c r="H304" t="str">
        <f>"0.00"</f>
        <v>0.00</v>
      </c>
      <c r="I304" t="str">
        <f>"98"</f>
        <v>98</v>
      </c>
      <c r="J304" t="str">
        <f>"申购配号(海容配号)"</f>
        <v>申购配号(海容配号)</v>
      </c>
      <c r="K304" t="str">
        <f t="shared" si="104"/>
        <v>0.00</v>
      </c>
      <c r="L304" t="str">
        <f t="shared" si="104"/>
        <v>0.00</v>
      </c>
      <c r="M304" t="str">
        <f t="shared" si="104"/>
        <v>0.00</v>
      </c>
      <c r="N304" t="str">
        <f t="shared" si="104"/>
        <v>0.00</v>
      </c>
      <c r="O304" t="str">
        <f>"736187"</f>
        <v>736187</v>
      </c>
      <c r="P304" t="str">
        <f>"A400948245"</f>
        <v>A400948245</v>
      </c>
    </row>
    <row r="305" spans="1:16" hidden="1" x14ac:dyDescent="0.25">
      <c r="A305" t="str">
        <f t="shared" si="92"/>
        <v>人民币</v>
      </c>
      <c r="B305" t="str">
        <f>"七一二"</f>
        <v>七一二</v>
      </c>
      <c r="C305" t="str">
        <f>"20181120"</f>
        <v>20181120</v>
      </c>
      <c r="D305" t="str">
        <f>"18.910"</f>
        <v>18.910</v>
      </c>
      <c r="E305" t="str">
        <f>"300.00"</f>
        <v>300.00</v>
      </c>
      <c r="F305" t="str">
        <f>"-5678.11"</f>
        <v>-5678.11</v>
      </c>
      <c r="G305" t="str">
        <f>"-4659.95"</f>
        <v>-4659.95</v>
      </c>
      <c r="H305" t="str">
        <f>"1800.00"</f>
        <v>1800.00</v>
      </c>
      <c r="I305" t="str">
        <f>"106"</f>
        <v>106</v>
      </c>
      <c r="J305" t="str">
        <f>"证券买入(七一二)"</f>
        <v>证券买入(七一二)</v>
      </c>
      <c r="K305" t="str">
        <f>"5.00"</f>
        <v>5.00</v>
      </c>
      <c r="L305" t="str">
        <f>"0.00"</f>
        <v>0.00</v>
      </c>
      <c r="M305" t="str">
        <f>"0.11"</f>
        <v>0.11</v>
      </c>
      <c r="N305" t="str">
        <f t="shared" si="104"/>
        <v>0.00</v>
      </c>
      <c r="O305" t="str">
        <f>"603712"</f>
        <v>603712</v>
      </c>
      <c r="P305" t="str">
        <f>"A400948245"</f>
        <v>A400948245</v>
      </c>
    </row>
    <row r="306" spans="1:16" hidden="1" x14ac:dyDescent="0.25">
      <c r="A306" t="str">
        <f t="shared" si="92"/>
        <v>人民币</v>
      </c>
      <c r="B306" t="str">
        <f>"江龙船艇"</f>
        <v>江龙船艇</v>
      </c>
      <c r="C306" t="str">
        <f>"20181120"</f>
        <v>20181120</v>
      </c>
      <c r="D306" t="str">
        <f>"12.430"</f>
        <v>12.430</v>
      </c>
      <c r="E306" t="str">
        <f>"-900.00"</f>
        <v>-900.00</v>
      </c>
      <c r="F306" t="str">
        <f>"11170.82"</f>
        <v>11170.82</v>
      </c>
      <c r="G306" t="str">
        <f>"6510.87"</f>
        <v>6510.87</v>
      </c>
      <c r="H306" t="str">
        <f>"3500.00"</f>
        <v>3500.00</v>
      </c>
      <c r="I306" t="str">
        <f>"103"</f>
        <v>103</v>
      </c>
      <c r="J306" t="str">
        <f>"证券卖出(江龙船艇)"</f>
        <v>证券卖出(江龙船艇)</v>
      </c>
      <c r="K306" t="str">
        <f>"5.00"</f>
        <v>5.00</v>
      </c>
      <c r="L306" t="str">
        <f>"11.18"</f>
        <v>11.18</v>
      </c>
      <c r="M306" t="str">
        <f>"0.00"</f>
        <v>0.00</v>
      </c>
      <c r="N306" t="str">
        <f t="shared" si="104"/>
        <v>0.00</v>
      </c>
      <c r="O306" t="str">
        <f>"300589"</f>
        <v>300589</v>
      </c>
      <c r="P306" t="str">
        <f>"0153613480"</f>
        <v>0153613480</v>
      </c>
    </row>
    <row r="307" spans="1:16" hidden="1" x14ac:dyDescent="0.25">
      <c r="A307" t="str">
        <f t="shared" si="92"/>
        <v>人民币</v>
      </c>
      <c r="B307" t="str">
        <f>"宇晶股份"</f>
        <v>宇晶股份</v>
      </c>
      <c r="C307" t="str">
        <f>"20181120"</f>
        <v>20181120</v>
      </c>
      <c r="D307" t="str">
        <f>"0.000"</f>
        <v>0.000</v>
      </c>
      <c r="E307" t="str">
        <f>"10.00"</f>
        <v>10.00</v>
      </c>
      <c r="F307" t="str">
        <f>"0.00"</f>
        <v>0.00</v>
      </c>
      <c r="G307" t="str">
        <f>"6510.87"</f>
        <v>6510.87</v>
      </c>
      <c r="H307" t="str">
        <f>"0.00"</f>
        <v>0.00</v>
      </c>
      <c r="I307" t="str">
        <f>"101"</f>
        <v>101</v>
      </c>
      <c r="J307" t="str">
        <f>"申购配号(宇晶股份)"</f>
        <v>申购配号(宇晶股份)</v>
      </c>
      <c r="K307" t="str">
        <f>"0.00"</f>
        <v>0.00</v>
      </c>
      <c r="L307" t="str">
        <f>"0.00"</f>
        <v>0.00</v>
      </c>
      <c r="M307" t="str">
        <f>"0.00"</f>
        <v>0.00</v>
      </c>
      <c r="N307" t="str">
        <f t="shared" si="104"/>
        <v>0.00</v>
      </c>
      <c r="O307" t="str">
        <f>"002943"</f>
        <v>002943</v>
      </c>
      <c r="P307" t="str">
        <f>"0153613480"</f>
        <v>0153613480</v>
      </c>
    </row>
    <row r="308" spans="1:16" hidden="1" x14ac:dyDescent="0.25">
      <c r="A308" t="str">
        <f t="shared" si="92"/>
        <v>人民币</v>
      </c>
      <c r="B308" t="str">
        <f>"七一二"</f>
        <v>七一二</v>
      </c>
      <c r="C308" t="str">
        <f>"20181121"</f>
        <v>20181121</v>
      </c>
      <c r="D308" t="str">
        <f>"17.850"</f>
        <v>17.850</v>
      </c>
      <c r="E308" t="str">
        <f>"300.00"</f>
        <v>300.00</v>
      </c>
      <c r="F308" t="str">
        <f>"-5360.11"</f>
        <v>-5360.11</v>
      </c>
      <c r="G308" t="str">
        <f>"1150.76"</f>
        <v>1150.76</v>
      </c>
      <c r="H308" t="str">
        <f>"2100.00"</f>
        <v>2100.00</v>
      </c>
      <c r="I308" t="str">
        <f>"3"</f>
        <v>3</v>
      </c>
      <c r="J308" t="str">
        <f>"证券买入(七一二)"</f>
        <v>证券买入(七一二)</v>
      </c>
      <c r="K308" t="str">
        <f>"5.00"</f>
        <v>5.00</v>
      </c>
      <c r="L308" t="str">
        <f>"0.00"</f>
        <v>0.00</v>
      </c>
      <c r="M308" t="str">
        <f>"0.11"</f>
        <v>0.11</v>
      </c>
      <c r="N308" t="str">
        <f t="shared" si="104"/>
        <v>0.00</v>
      </c>
      <c r="O308" t="str">
        <f>"603712"</f>
        <v>603712</v>
      </c>
      <c r="P308" t="str">
        <f>"A400948245"</f>
        <v>A400948245</v>
      </c>
    </row>
    <row r="309" spans="1:16" hidden="1" x14ac:dyDescent="0.25">
      <c r="A309" t="str">
        <f t="shared" si="92"/>
        <v>人民币</v>
      </c>
      <c r="B309" t="str">
        <f>"隆利科技"</f>
        <v>隆利科技</v>
      </c>
      <c r="C309" t="str">
        <f>"20181121"</f>
        <v>20181121</v>
      </c>
      <c r="D309" t="str">
        <f>"0.000"</f>
        <v>0.000</v>
      </c>
      <c r="E309" t="str">
        <f>"10.00"</f>
        <v>10.00</v>
      </c>
      <c r="F309" t="str">
        <f>"0.00"</f>
        <v>0.00</v>
      </c>
      <c r="G309" t="str">
        <f>"1150.76"</f>
        <v>1150.76</v>
      </c>
      <c r="H309" t="str">
        <f>"0.00"</f>
        <v>0.00</v>
      </c>
      <c r="I309" t="str">
        <f>"1"</f>
        <v>1</v>
      </c>
      <c r="J309" t="str">
        <f>"申购配号(隆利科技)"</f>
        <v>申购配号(隆利科技)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4"/>
        <v>0.00</v>
      </c>
      <c r="O309" t="str">
        <f>"300752"</f>
        <v>300752</v>
      </c>
      <c r="P309" t="str">
        <f>"0153613480"</f>
        <v>0153613480</v>
      </c>
    </row>
    <row r="310" spans="1:16" hidden="1" x14ac:dyDescent="0.25">
      <c r="A310" t="str">
        <f t="shared" si="92"/>
        <v>人民币</v>
      </c>
      <c r="B310" t="str">
        <f>"新农股份"</f>
        <v>新农股份</v>
      </c>
      <c r="C310" t="str">
        <f>"20181122"</f>
        <v>20181122</v>
      </c>
      <c r="D310" t="str">
        <f>"0.000"</f>
        <v>0.000</v>
      </c>
      <c r="E310" t="str">
        <f>"10.00"</f>
        <v>10.00</v>
      </c>
      <c r="F310" t="str">
        <f>"0.00"</f>
        <v>0.00</v>
      </c>
      <c r="G310" t="str">
        <f>"1150.76"</f>
        <v>1150.76</v>
      </c>
      <c r="H310" t="str">
        <f>"0.00"</f>
        <v>0.00</v>
      </c>
      <c r="I310" t="str">
        <f>"8"</f>
        <v>8</v>
      </c>
      <c r="J310" t="str">
        <f>"申购配号(新农股份)"</f>
        <v>申购配号(新农股份)</v>
      </c>
      <c r="K310" t="str">
        <f>"0.00"</f>
        <v>0.00</v>
      </c>
      <c r="L310" t="str">
        <f>"0.00"</f>
        <v>0.00</v>
      </c>
      <c r="M310" t="str">
        <f>"0.00"</f>
        <v>0.00</v>
      </c>
      <c r="N310" t="str">
        <f t="shared" si="104"/>
        <v>0.00</v>
      </c>
      <c r="O310" t="str">
        <f>"002942"</f>
        <v>002942</v>
      </c>
      <c r="P310" t="str">
        <f>"0153613480"</f>
        <v>0153613480</v>
      </c>
    </row>
    <row r="311" spans="1:16" x14ac:dyDescent="0.25">
      <c r="A311" t="str">
        <f t="shared" si="92"/>
        <v>人民币</v>
      </c>
      <c r="B311" t="str">
        <f>"中国人保"</f>
        <v>中国人保</v>
      </c>
      <c r="C311" t="str">
        <f>"20181123"</f>
        <v>20181123</v>
      </c>
      <c r="D311" t="str">
        <f>"7.650"</f>
        <v>7.650</v>
      </c>
      <c r="E311" t="str">
        <f>"-1000.00"</f>
        <v>-1000.00</v>
      </c>
      <c r="F311" t="str">
        <f>"7637.20"</f>
        <v>7637.20</v>
      </c>
      <c r="G311" t="str">
        <f>"8787.96"</f>
        <v>8787.96</v>
      </c>
      <c r="H311" t="str">
        <f>"0.00"</f>
        <v>0.00</v>
      </c>
      <c r="I311" t="str">
        <f>"11"</f>
        <v>11</v>
      </c>
      <c r="J311" t="str">
        <f>"证券卖出(中国人保)"</f>
        <v>证券卖出(中国人保)</v>
      </c>
      <c r="K311" t="str">
        <f>"5.00"</f>
        <v>5.00</v>
      </c>
      <c r="L311" t="str">
        <f>"7.65"</f>
        <v>7.65</v>
      </c>
      <c r="M311" t="str">
        <f>"0.15"</f>
        <v>0.15</v>
      </c>
      <c r="N311" t="str">
        <f t="shared" si="104"/>
        <v>0.00</v>
      </c>
      <c r="O311" t="str">
        <f>"601319"</f>
        <v>601319</v>
      </c>
      <c r="P311" t="str">
        <f>"A400948245"</f>
        <v>A400948245</v>
      </c>
    </row>
    <row r="312" spans="1:16" hidden="1" x14ac:dyDescent="0.25">
      <c r="A312" t="str">
        <f t="shared" si="92"/>
        <v>人民币</v>
      </c>
      <c r="B312" t="str">
        <f>" "</f>
        <v xml:space="preserve"> </v>
      </c>
      <c r="C312" t="str">
        <f>"20181126"</f>
        <v>20181126</v>
      </c>
      <c r="D312" t="str">
        <f>"---"</f>
        <v>---</v>
      </c>
      <c r="E312" t="str">
        <f>"---"</f>
        <v>---</v>
      </c>
      <c r="F312" t="str">
        <f>"-8000.00"</f>
        <v>-8000.00</v>
      </c>
      <c r="G312" t="str">
        <f>"787.96"</f>
        <v>787.96</v>
      </c>
      <c r="H312" t="str">
        <f>"---"</f>
        <v>---</v>
      </c>
      <c r="I312" t="str">
        <f>"---"</f>
        <v>---</v>
      </c>
      <c r="J312" t="str">
        <f>"银行转取"</f>
        <v>银行转取</v>
      </c>
      <c r="K312" t="str">
        <f t="shared" ref="K312:P313" si="105">"---"</f>
        <v>---</v>
      </c>
      <c r="L312" t="str">
        <f t="shared" si="105"/>
        <v>---</v>
      </c>
      <c r="M312" t="str">
        <f t="shared" si="105"/>
        <v>---</v>
      </c>
      <c r="N312" t="str">
        <f t="shared" si="105"/>
        <v>---</v>
      </c>
      <c r="O312" t="str">
        <f t="shared" si="105"/>
        <v>---</v>
      </c>
      <c r="P312" t="str">
        <f t="shared" si="105"/>
        <v>---</v>
      </c>
    </row>
    <row r="313" spans="1:16" hidden="1" x14ac:dyDescent="0.25">
      <c r="A313" t="str">
        <f t="shared" si="92"/>
        <v>人民币</v>
      </c>
      <c r="B313" t="str">
        <f>" "</f>
        <v xml:space="preserve"> </v>
      </c>
      <c r="C313" t="str">
        <f>"20181126"</f>
        <v>20181126</v>
      </c>
      <c r="D313" t="str">
        <f>"---"</f>
        <v>---</v>
      </c>
      <c r="E313" t="str">
        <f>"---"</f>
        <v>---</v>
      </c>
      <c r="F313" t="str">
        <f>"3000.00"</f>
        <v>3000.00</v>
      </c>
      <c r="G313" t="str">
        <f>"3787.96"</f>
        <v>3787.96</v>
      </c>
      <c r="H313" t="str">
        <f>"---"</f>
        <v>---</v>
      </c>
      <c r="I313" t="str">
        <f>"---"</f>
        <v>---</v>
      </c>
      <c r="J313" t="str">
        <f>"银行转存"</f>
        <v>银行转存</v>
      </c>
      <c r="K313" t="str">
        <f t="shared" si="105"/>
        <v>---</v>
      </c>
      <c r="L313" t="str">
        <f t="shared" si="105"/>
        <v>---</v>
      </c>
      <c r="M313" t="str">
        <f t="shared" si="105"/>
        <v>---</v>
      </c>
      <c r="N313" t="str">
        <f t="shared" si="105"/>
        <v>---</v>
      </c>
      <c r="O313" t="str">
        <f t="shared" si="105"/>
        <v>---</v>
      </c>
      <c r="P313" t="str">
        <f t="shared" si="105"/>
        <v>---</v>
      </c>
    </row>
    <row r="314" spans="1:16" hidden="1" x14ac:dyDescent="0.25">
      <c r="A314" t="str">
        <f t="shared" si="92"/>
        <v>人民币</v>
      </c>
      <c r="B314" t="str">
        <f>"七一二"</f>
        <v>七一二</v>
      </c>
      <c r="C314" t="str">
        <f>"20181127"</f>
        <v>20181127</v>
      </c>
      <c r="D314" t="str">
        <f>"16.700"</f>
        <v>16.700</v>
      </c>
      <c r="E314" t="str">
        <f>"200.00"</f>
        <v>200.00</v>
      </c>
      <c r="F314" t="str">
        <f>"-3345.06"</f>
        <v>-3345.06</v>
      </c>
      <c r="G314" t="str">
        <f>"442.90"</f>
        <v>442.90</v>
      </c>
      <c r="H314" t="str">
        <f>"2300.00"</f>
        <v>2300.00</v>
      </c>
      <c r="I314" t="str">
        <f>"17"</f>
        <v>17</v>
      </c>
      <c r="J314" t="str">
        <f>"证券买入(七一二)"</f>
        <v>证券买入(七一二)</v>
      </c>
      <c r="K314" t="str">
        <f>"5.00"</f>
        <v>5.00</v>
      </c>
      <c r="L314" t="str">
        <f>"0.00"</f>
        <v>0.00</v>
      </c>
      <c r="M314" t="str">
        <f>"0.06"</f>
        <v>0.06</v>
      </c>
      <c r="N314" t="str">
        <f>"0.00"</f>
        <v>0.00</v>
      </c>
      <c r="O314" t="str">
        <f>"603712"</f>
        <v>603712</v>
      </c>
      <c r="P314" t="str">
        <f>"A400948245"</f>
        <v>A400948245</v>
      </c>
    </row>
    <row r="315" spans="1:16" hidden="1" x14ac:dyDescent="0.25">
      <c r="A315" t="str">
        <f t="shared" si="92"/>
        <v>人民币</v>
      </c>
      <c r="B315" t="str">
        <f>" "</f>
        <v xml:space="preserve"> </v>
      </c>
      <c r="C315" t="str">
        <f>"20181128"</f>
        <v>20181128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"10442.90"</f>
        <v>10442.90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5" si="106">"---"</f>
        <v>---</v>
      </c>
      <c r="L315" t="str">
        <f t="shared" si="106"/>
        <v>---</v>
      </c>
      <c r="M315" t="str">
        <f t="shared" si="106"/>
        <v>---</v>
      </c>
      <c r="N315" t="str">
        <f t="shared" si="106"/>
        <v>---</v>
      </c>
      <c r="O315" t="str">
        <f t="shared" si="106"/>
        <v>---</v>
      </c>
      <c r="P315" t="str">
        <f t="shared" si="106"/>
        <v>---</v>
      </c>
    </row>
    <row r="316" spans="1:16" hidden="1" x14ac:dyDescent="0.25">
      <c r="A316" t="str">
        <f t="shared" si="92"/>
        <v>人民币</v>
      </c>
      <c r="B316" t="str">
        <f>"江龙船艇"</f>
        <v>江龙船艇</v>
      </c>
      <c r="C316" t="str">
        <f>"20181128"</f>
        <v>20181128</v>
      </c>
      <c r="D316" t="str">
        <f>"11.200"</f>
        <v>11.200</v>
      </c>
      <c r="E316" t="str">
        <f>"500.00"</f>
        <v>500.00</v>
      </c>
      <c r="F316" t="str">
        <f>"-5605.00"</f>
        <v>-5605.00</v>
      </c>
      <c r="G316" t="str">
        <f>"4837.90"</f>
        <v>4837.90</v>
      </c>
      <c r="H316" t="str">
        <f>"4000.00"</f>
        <v>4000.00</v>
      </c>
      <c r="I316" t="str">
        <f>"24"</f>
        <v>24</v>
      </c>
      <c r="J316" t="str">
        <f>"证券买入(江龙船艇)"</f>
        <v>证券买入(江龙船艇)</v>
      </c>
      <c r="K316" t="str">
        <f t="shared" ref="K316:K321" si="107">"5.00"</f>
        <v>5.00</v>
      </c>
      <c r="L316" t="str">
        <f>"0.00"</f>
        <v>0.00</v>
      </c>
      <c r="M316" t="str">
        <f>"0.00"</f>
        <v>0.00</v>
      </c>
      <c r="N316" t="str">
        <f>"0.00"</f>
        <v>0.00</v>
      </c>
      <c r="O316" t="str">
        <f>"300589"</f>
        <v>300589</v>
      </c>
      <c r="P316" t="str">
        <f>"0153613480"</f>
        <v>0153613480</v>
      </c>
    </row>
    <row r="317" spans="1:16" hidden="1" x14ac:dyDescent="0.25">
      <c r="A317" t="str">
        <f t="shared" si="92"/>
        <v>人民币</v>
      </c>
      <c r="B317" t="str">
        <f>"江龙船艇"</f>
        <v>江龙船艇</v>
      </c>
      <c r="C317" t="str">
        <f>"20181128"</f>
        <v>20181128</v>
      </c>
      <c r="D317" t="str">
        <f>"11.410"</f>
        <v>11.410</v>
      </c>
      <c r="E317" t="str">
        <f>"-500.00"</f>
        <v>-500.00</v>
      </c>
      <c r="F317" t="str">
        <f>"5694.29"</f>
        <v>5694.29</v>
      </c>
      <c r="G317" t="str">
        <f>"10532.19"</f>
        <v>10532.19</v>
      </c>
      <c r="H317" t="str">
        <f>"3500.00"</f>
        <v>3500.00</v>
      </c>
      <c r="I317" t="str">
        <f>"27"</f>
        <v>27</v>
      </c>
      <c r="J317" t="str">
        <f>"证券卖出(江龙船艇)"</f>
        <v>证券卖出(江龙船艇)</v>
      </c>
      <c r="K317" t="str">
        <f t="shared" si="107"/>
        <v>5.00</v>
      </c>
      <c r="L317" t="str">
        <f>"5.71"</f>
        <v>5.71</v>
      </c>
      <c r="M317" t="str">
        <f t="shared" ref="M317:N319" si="108">"0.00"</f>
        <v>0.00</v>
      </c>
      <c r="N317" t="str">
        <f t="shared" si="108"/>
        <v>0.00</v>
      </c>
      <c r="O317" t="str">
        <f>"300589"</f>
        <v>300589</v>
      </c>
      <c r="P317" t="str">
        <f>"0153613480"</f>
        <v>0153613480</v>
      </c>
    </row>
    <row r="318" spans="1:16" hidden="1" x14ac:dyDescent="0.25">
      <c r="A318" t="str">
        <f t="shared" si="92"/>
        <v>人民币</v>
      </c>
      <c r="B318" t="str">
        <f>"江龙船艇"</f>
        <v>江龙船艇</v>
      </c>
      <c r="C318" t="str">
        <f>"20181128"</f>
        <v>20181128</v>
      </c>
      <c r="D318" t="str">
        <f>"11.400"</f>
        <v>11.400</v>
      </c>
      <c r="E318" t="str">
        <f>"500.00"</f>
        <v>500.00</v>
      </c>
      <c r="F318" t="str">
        <f>"-5705.00"</f>
        <v>-5705.00</v>
      </c>
      <c r="G318" t="str">
        <f>"4827.19"</f>
        <v>4827.19</v>
      </c>
      <c r="H318" t="str">
        <f>"4000.00"</f>
        <v>4000.00</v>
      </c>
      <c r="I318" t="str">
        <f>"30"</f>
        <v>30</v>
      </c>
      <c r="J318" t="str">
        <f>"证券买入(江龙船艇)"</f>
        <v>证券买入(江龙船艇)</v>
      </c>
      <c r="K318" t="str">
        <f t="shared" si="107"/>
        <v>5.00</v>
      </c>
      <c r="L318" t="str">
        <f>"0.00"</f>
        <v>0.00</v>
      </c>
      <c r="M318" t="str">
        <f t="shared" si="108"/>
        <v>0.00</v>
      </c>
      <c r="N318" t="str">
        <f t="shared" si="108"/>
        <v>0.00</v>
      </c>
      <c r="O318" t="str">
        <f>"300589"</f>
        <v>300589</v>
      </c>
      <c r="P318" t="str">
        <f>"0153613480"</f>
        <v>0153613480</v>
      </c>
    </row>
    <row r="319" spans="1:16" hidden="1" x14ac:dyDescent="0.25">
      <c r="A319" t="str">
        <f t="shared" si="92"/>
        <v>人民币</v>
      </c>
      <c r="B319" t="str">
        <f>"江龙船艇"</f>
        <v>江龙船艇</v>
      </c>
      <c r="C319" t="str">
        <f>"20181129"</f>
        <v>20181129</v>
      </c>
      <c r="D319" t="str">
        <f>"11.380"</f>
        <v>11.380</v>
      </c>
      <c r="E319" t="str">
        <f>"400.00"</f>
        <v>400.00</v>
      </c>
      <c r="F319" t="str">
        <f>"-4557.00"</f>
        <v>-4557.00</v>
      </c>
      <c r="G319" t="str">
        <f>"270.19"</f>
        <v>270.19</v>
      </c>
      <c r="H319" t="str">
        <f>"4400.00"</f>
        <v>4400.00</v>
      </c>
      <c r="I319" t="str">
        <f>"42"</f>
        <v>42</v>
      </c>
      <c r="J319" t="str">
        <f>"证券买入(江龙船艇)"</f>
        <v>证券买入(江龙船艇)</v>
      </c>
      <c r="K319" t="str">
        <f t="shared" si="107"/>
        <v>5.00</v>
      </c>
      <c r="L319" t="str">
        <f>"0.00"</f>
        <v>0.00</v>
      </c>
      <c r="M319" t="str">
        <f t="shared" si="108"/>
        <v>0.00</v>
      </c>
      <c r="N319" t="str">
        <f t="shared" si="108"/>
        <v>0.00</v>
      </c>
      <c r="O319" t="str">
        <f>"300589"</f>
        <v>300589</v>
      </c>
      <c r="P319" t="str">
        <f>"0153613480"</f>
        <v>0153613480</v>
      </c>
    </row>
    <row r="320" spans="1:16" hidden="1" x14ac:dyDescent="0.25">
      <c r="A320" t="str">
        <f t="shared" si="92"/>
        <v>人民币</v>
      </c>
      <c r="B320" t="str">
        <f>"七一二"</f>
        <v>七一二</v>
      </c>
      <c r="C320" t="str">
        <f>"20181204"</f>
        <v>20181204</v>
      </c>
      <c r="D320" t="str">
        <f>"17.070"</f>
        <v>17.070</v>
      </c>
      <c r="E320" t="str">
        <f>"-200.00"</f>
        <v>-200.00</v>
      </c>
      <c r="F320" t="str">
        <f>"3405.52"</f>
        <v>3405.52</v>
      </c>
      <c r="G320" t="str">
        <f>"3675.71"</f>
        <v>3675.71</v>
      </c>
      <c r="H320" t="str">
        <f>"2100.00"</f>
        <v>2100.00</v>
      </c>
      <c r="I320" t="str">
        <f>"56"</f>
        <v>56</v>
      </c>
      <c r="J320" t="str">
        <f>"证券卖出(七一二)"</f>
        <v>证券卖出(七一二)</v>
      </c>
      <c r="K320" t="str">
        <f t="shared" si="107"/>
        <v>5.00</v>
      </c>
      <c r="L320" t="str">
        <f>"3.41"</f>
        <v>3.41</v>
      </c>
      <c r="M320" t="str">
        <f>"0.07"</f>
        <v>0.07</v>
      </c>
      <c r="N320" t="str">
        <f>"0.00"</f>
        <v>0.00</v>
      </c>
      <c r="O320" t="str">
        <f>"603712"</f>
        <v>603712</v>
      </c>
      <c r="P320" t="str">
        <f>"A400948245"</f>
        <v>A400948245</v>
      </c>
    </row>
    <row r="321" spans="1:16" hidden="1" x14ac:dyDescent="0.25">
      <c r="A321" t="str">
        <f t="shared" si="92"/>
        <v>人民币</v>
      </c>
      <c r="B321" t="str">
        <f>"江龙船艇"</f>
        <v>江龙船艇</v>
      </c>
      <c r="C321" t="str">
        <f>"20181204"</f>
        <v>20181204</v>
      </c>
      <c r="D321" t="str">
        <f>"11.530"</f>
        <v>11.530</v>
      </c>
      <c r="E321" t="str">
        <f>"-900.00"</f>
        <v>-900.00</v>
      </c>
      <c r="F321" t="str">
        <f>"10361.62"</f>
        <v>10361.62</v>
      </c>
      <c r="G321" t="str">
        <f>"14037.33"</f>
        <v>14037.33</v>
      </c>
      <c r="H321" t="str">
        <f>"3500.00"</f>
        <v>3500.00</v>
      </c>
      <c r="I321" t="str">
        <f>"59"</f>
        <v>59</v>
      </c>
      <c r="J321" t="str">
        <f>"证券卖出(江龙船艇)"</f>
        <v>证券卖出(江龙船艇)</v>
      </c>
      <c r="K321" t="str">
        <f t="shared" si="107"/>
        <v>5.00</v>
      </c>
      <c r="L321" t="str">
        <f>"10.38"</f>
        <v>10.38</v>
      </c>
      <c r="M321" t="str">
        <f>"0.00"</f>
        <v>0.00</v>
      </c>
      <c r="N321" t="str">
        <f>"0.00"</f>
        <v>0.00</v>
      </c>
      <c r="O321" t="str">
        <f>"300589"</f>
        <v>300589</v>
      </c>
      <c r="P321" t="str">
        <f>"0153613480"</f>
        <v>0153613480</v>
      </c>
    </row>
    <row r="322" spans="1:16" hidden="1" x14ac:dyDescent="0.25">
      <c r="A322" t="str">
        <f t="shared" ref="A322:A342" si="109">"人民币"</f>
        <v>人民币</v>
      </c>
      <c r="B322" t="str">
        <f>"爱朋医疗"</f>
        <v>爱朋医疗</v>
      </c>
      <c r="C322" t="str">
        <f>"20181204"</f>
        <v>20181204</v>
      </c>
      <c r="D322" t="str">
        <f>"0.000"</f>
        <v>0.000</v>
      </c>
      <c r="E322" t="str">
        <f>"9.00"</f>
        <v>9.00</v>
      </c>
      <c r="F322" t="str">
        <f>"0.00"</f>
        <v>0.00</v>
      </c>
      <c r="G322" t="str">
        <f>"14037.33"</f>
        <v>14037.33</v>
      </c>
      <c r="H322" t="str">
        <f>"0.00"</f>
        <v>0.00</v>
      </c>
      <c r="I322" t="str">
        <f>"54"</f>
        <v>54</v>
      </c>
      <c r="J322" t="str">
        <f>"申购配号(爱朋医疗)"</f>
        <v>申购配号(爱朋医疗)</v>
      </c>
      <c r="K322" t="str">
        <f>"0.00"</f>
        <v>0.00</v>
      </c>
      <c r="L322" t="str">
        <f>"0.00"</f>
        <v>0.00</v>
      </c>
      <c r="M322" t="str">
        <f>"0.00"</f>
        <v>0.00</v>
      </c>
      <c r="N322" t="str">
        <f>"0.00"</f>
        <v>0.00</v>
      </c>
      <c r="O322" t="str">
        <f>"300753"</f>
        <v>300753</v>
      </c>
      <c r="P322" t="str">
        <f>"0153613480"</f>
        <v>0153613480</v>
      </c>
    </row>
    <row r="323" spans="1:16" hidden="1" x14ac:dyDescent="0.25">
      <c r="A323" t="str">
        <f t="shared" si="109"/>
        <v>人民币</v>
      </c>
      <c r="B323" t="str">
        <f>"九典制药"</f>
        <v>九典制药</v>
      </c>
      <c r="C323" t="str">
        <f>"20181205"</f>
        <v>20181205</v>
      </c>
      <c r="D323" t="str">
        <f>"13.742"</f>
        <v>13.742</v>
      </c>
      <c r="E323" t="str">
        <f>"500.00"</f>
        <v>500.00</v>
      </c>
      <c r="F323" t="str">
        <f>"-6876.00"</f>
        <v>-6876.00</v>
      </c>
      <c r="G323" t="str">
        <f>"7161.33"</f>
        <v>7161.33</v>
      </c>
      <c r="H323" t="str">
        <f>"500.00"</f>
        <v>500.00</v>
      </c>
      <c r="I323" t="str">
        <f>"65"</f>
        <v>65</v>
      </c>
      <c r="J323" t="str">
        <f>"证券买入(九典制药)"</f>
        <v>证券买入(九典制药)</v>
      </c>
      <c r="K323" t="str">
        <f>"5.00"</f>
        <v>5.00</v>
      </c>
      <c r="L323" t="str">
        <f>"0.00"</f>
        <v>0.00</v>
      </c>
      <c r="M323" t="str">
        <f>"0.00"</f>
        <v>0.00</v>
      </c>
      <c r="N323" t="str">
        <f>"0.00"</f>
        <v>0.00</v>
      </c>
      <c r="O323" t="str">
        <f>"300705"</f>
        <v>300705</v>
      </c>
      <c r="P323" t="str">
        <f>"0153613480"</f>
        <v>0153613480</v>
      </c>
    </row>
    <row r="324" spans="1:16" hidden="1" x14ac:dyDescent="0.25">
      <c r="A324" t="str">
        <f t="shared" si="109"/>
        <v>人民币</v>
      </c>
      <c r="B324" t="str">
        <f>"九典制药"</f>
        <v>九典制药</v>
      </c>
      <c r="C324" t="str">
        <f>"20181205"</f>
        <v>20181205</v>
      </c>
      <c r="D324" t="str">
        <f>"13.640"</f>
        <v>13.640</v>
      </c>
      <c r="E324" t="str">
        <f>"500.00"</f>
        <v>500.00</v>
      </c>
      <c r="F324" t="str">
        <f>"-6825.00"</f>
        <v>-6825.00</v>
      </c>
      <c r="G324" t="str">
        <f>"336.33"</f>
        <v>336.33</v>
      </c>
      <c r="H324" t="str">
        <f>"1000.00"</f>
        <v>1000.00</v>
      </c>
      <c r="I324" t="str">
        <f>"69"</f>
        <v>69</v>
      </c>
      <c r="J324" t="str">
        <f>"证券买入(九典制药)"</f>
        <v>证券买入(九典制药)</v>
      </c>
      <c r="K324" t="str">
        <f>"5.00"</f>
        <v>5.00</v>
      </c>
      <c r="L324" t="str">
        <f>"0.00"</f>
        <v>0.00</v>
      </c>
      <c r="M324" t="str">
        <f>"0.00"</f>
        <v>0.00</v>
      </c>
      <c r="N324" t="str">
        <f>"0.00"</f>
        <v>0.00</v>
      </c>
      <c r="O324" t="str">
        <f>"300705"</f>
        <v>300705</v>
      </c>
      <c r="P324" t="str">
        <f>"0153613480"</f>
        <v>0153613480</v>
      </c>
    </row>
    <row r="325" spans="1:16" hidden="1" x14ac:dyDescent="0.25">
      <c r="A325" t="str">
        <f t="shared" si="109"/>
        <v>人民币</v>
      </c>
      <c r="B325" t="str">
        <f>" "</f>
        <v xml:space="preserve"> </v>
      </c>
      <c r="C325" t="str">
        <f>"20181211"</f>
        <v>20181211</v>
      </c>
      <c r="D325" t="str">
        <f>"---"</f>
        <v>---</v>
      </c>
      <c r="E325" t="str">
        <f>"---"</f>
        <v>---</v>
      </c>
      <c r="F325" t="str">
        <f>"5000.00"</f>
        <v>5000.00</v>
      </c>
      <c r="G325" t="str">
        <f>"5336.33"</f>
        <v>5336.33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10">"---"</f>
        <v>---</v>
      </c>
      <c r="L325" t="str">
        <f t="shared" si="110"/>
        <v>---</v>
      </c>
      <c r="M325" t="str">
        <f t="shared" si="110"/>
        <v>---</v>
      </c>
      <c r="N325" t="str">
        <f t="shared" si="110"/>
        <v>---</v>
      </c>
      <c r="O325" t="str">
        <f t="shared" si="110"/>
        <v>---</v>
      </c>
      <c r="P325" t="str">
        <f t="shared" si="110"/>
        <v>---</v>
      </c>
    </row>
    <row r="326" spans="1:16" hidden="1" x14ac:dyDescent="0.25">
      <c r="A326" t="str">
        <f t="shared" si="109"/>
        <v>人民币</v>
      </c>
      <c r="B326" t="str">
        <f>"九典制药"</f>
        <v>九典制药</v>
      </c>
      <c r="C326" t="str">
        <f>"20181211"</f>
        <v>20181211</v>
      </c>
      <c r="D326" t="str">
        <f>"12.540"</f>
        <v>12.540</v>
      </c>
      <c r="E326" t="str">
        <f>"400.00"</f>
        <v>400.00</v>
      </c>
      <c r="F326" t="str">
        <f>"-5021.00"</f>
        <v>-5021.00</v>
      </c>
      <c r="G326" t="str">
        <f>"315.33"</f>
        <v>315.33</v>
      </c>
      <c r="H326" t="str">
        <f>"1400.00"</f>
        <v>1400.00</v>
      </c>
      <c r="I326" t="str">
        <f>"76"</f>
        <v>76</v>
      </c>
      <c r="J326" t="str">
        <f>"证券买入(九典制药)"</f>
        <v>证券买入(九典制药)</v>
      </c>
      <c r="K326" t="str">
        <f>"5.00"</f>
        <v>5.00</v>
      </c>
      <c r="L326" t="str">
        <f t="shared" ref="L326:N327" si="111">"0.00"</f>
        <v>0.00</v>
      </c>
      <c r="M326" t="str">
        <f t="shared" si="111"/>
        <v>0.00</v>
      </c>
      <c r="N326" t="str">
        <f t="shared" si="111"/>
        <v>0.00</v>
      </c>
      <c r="O326" t="str">
        <f>"300705"</f>
        <v>300705</v>
      </c>
      <c r="P326" t="str">
        <f>"0153613480"</f>
        <v>0153613480</v>
      </c>
    </row>
    <row r="327" spans="1:16" hidden="1" x14ac:dyDescent="0.25">
      <c r="A327" t="str">
        <f t="shared" si="109"/>
        <v>人民币</v>
      </c>
      <c r="B327" t="str">
        <f>"利通配号"</f>
        <v>利通配号</v>
      </c>
      <c r="C327" t="str">
        <f>"20181212"</f>
        <v>20181212</v>
      </c>
      <c r="D327" t="str">
        <f>"0.000"</f>
        <v>0.000</v>
      </c>
      <c r="E327" t="str">
        <f>"4.00"</f>
        <v>4.00</v>
      </c>
      <c r="F327" t="str">
        <f>"0.00"</f>
        <v>0.00</v>
      </c>
      <c r="G327" t="str">
        <f>"315.33"</f>
        <v>315.33</v>
      </c>
      <c r="H327" t="str">
        <f>"0.00"</f>
        <v>0.00</v>
      </c>
      <c r="I327" t="str">
        <f>"81"</f>
        <v>81</v>
      </c>
      <c r="J327" t="str">
        <f>"申购配号(利通配号)"</f>
        <v>申购配号(利通配号)</v>
      </c>
      <c r="K327" t="str">
        <f>"0.00"</f>
        <v>0.00</v>
      </c>
      <c r="L327" t="str">
        <f t="shared" si="111"/>
        <v>0.00</v>
      </c>
      <c r="M327" t="str">
        <f t="shared" si="111"/>
        <v>0.00</v>
      </c>
      <c r="N327" t="str">
        <f t="shared" si="111"/>
        <v>0.00</v>
      </c>
      <c r="O327" t="str">
        <f>"736629"</f>
        <v>736629</v>
      </c>
      <c r="P327" t="str">
        <f>"A400948245"</f>
        <v>A400948245</v>
      </c>
    </row>
    <row r="328" spans="1:16" hidden="1" x14ac:dyDescent="0.25">
      <c r="A328" t="str">
        <f t="shared" si="109"/>
        <v>人民币</v>
      </c>
      <c r="B328" t="str">
        <f>" "</f>
        <v xml:space="preserve"> </v>
      </c>
      <c r="C328" t="str">
        <f>"20181218"</f>
        <v>20181218</v>
      </c>
      <c r="D328" t="str">
        <f>"---"</f>
        <v>---</v>
      </c>
      <c r="E328" t="str">
        <f>"---"</f>
        <v>---</v>
      </c>
      <c r="F328" t="str">
        <f>"10000.00"</f>
        <v>10000.00</v>
      </c>
      <c r="G328" t="str">
        <f>"10315.33"</f>
        <v>10315.33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12">"---"</f>
        <v>---</v>
      </c>
      <c r="L328" t="str">
        <f t="shared" si="112"/>
        <v>---</v>
      </c>
      <c r="M328" t="str">
        <f t="shared" si="112"/>
        <v>---</v>
      </c>
      <c r="N328" t="str">
        <f t="shared" si="112"/>
        <v>---</v>
      </c>
      <c r="O328" t="str">
        <f t="shared" si="112"/>
        <v>---</v>
      </c>
      <c r="P328" t="str">
        <f t="shared" si="112"/>
        <v>---</v>
      </c>
    </row>
    <row r="329" spans="1:16" hidden="1" x14ac:dyDescent="0.25">
      <c r="A329" t="str">
        <f t="shared" si="109"/>
        <v>人民币</v>
      </c>
      <c r="B329" t="str">
        <f>"紫银配号"</f>
        <v>紫银配号</v>
      </c>
      <c r="C329" t="str">
        <f>"20181218"</f>
        <v>20181218</v>
      </c>
      <c r="D329" t="str">
        <f>"0.000"</f>
        <v>0.000</v>
      </c>
      <c r="E329" t="str">
        <f>"5.00"</f>
        <v>5.00</v>
      </c>
      <c r="F329" t="str">
        <f>"0.00"</f>
        <v>0.00</v>
      </c>
      <c r="G329" t="str">
        <f>"10315.33"</f>
        <v>10315.33</v>
      </c>
      <c r="H329" t="str">
        <f>"0.00"</f>
        <v>0.00</v>
      </c>
      <c r="I329" t="str">
        <f>"85"</f>
        <v>85</v>
      </c>
      <c r="J329" t="str">
        <f>"申购配号(紫银配号)"</f>
        <v>申购配号(紫银配号)</v>
      </c>
      <c r="K329" t="str">
        <f>"0.00"</f>
        <v>0.00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"791860"</f>
        <v>791860</v>
      </c>
      <c r="P329" t="str">
        <f>"A400948245"</f>
        <v>A400948245</v>
      </c>
    </row>
    <row r="330" spans="1:16" hidden="1" x14ac:dyDescent="0.25">
      <c r="A330" t="str">
        <f t="shared" si="109"/>
        <v>人民币</v>
      </c>
      <c r="B330" t="str">
        <f>"七一二"</f>
        <v>七一二</v>
      </c>
      <c r="C330" t="str">
        <f>"20181218"</f>
        <v>20181218</v>
      </c>
      <c r="D330" t="str">
        <f>"16.530"</f>
        <v>16.530</v>
      </c>
      <c r="E330" t="str">
        <f>"400.00"</f>
        <v>400.00</v>
      </c>
      <c r="F330" t="str">
        <f>"-6617.13"</f>
        <v>-6617.13</v>
      </c>
      <c r="G330" t="str">
        <f>"3698.20"</f>
        <v>3698.20</v>
      </c>
      <c r="H330" t="str">
        <f>"2500.00"</f>
        <v>2500.00</v>
      </c>
      <c r="I330" t="str">
        <f>"87"</f>
        <v>87</v>
      </c>
      <c r="J330" t="str">
        <f>"证券买入(七一二)"</f>
        <v>证券买入(七一二)</v>
      </c>
      <c r="K330" t="str">
        <f>"5.00"</f>
        <v>5.00</v>
      </c>
      <c r="L330" t="str">
        <f>"0.00"</f>
        <v>0.00</v>
      </c>
      <c r="M330" t="str">
        <f>"0.13"</f>
        <v>0.13</v>
      </c>
      <c r="N330" t="str">
        <f>"0.00"</f>
        <v>0.00</v>
      </c>
      <c r="O330" t="str">
        <f>"603712"</f>
        <v>603712</v>
      </c>
      <c r="P330" t="str">
        <f>"A400948245"</f>
        <v>A400948245</v>
      </c>
    </row>
    <row r="331" spans="1:16" hidden="1" x14ac:dyDescent="0.25">
      <c r="A331" t="str">
        <f t="shared" si="109"/>
        <v>人民币</v>
      </c>
      <c r="B331" t="str">
        <f>"上机配号"</f>
        <v>上机配号</v>
      </c>
      <c r="C331" t="str">
        <f>"20181219"</f>
        <v>20181219</v>
      </c>
      <c r="D331" t="str">
        <f>"0.000"</f>
        <v>0.000</v>
      </c>
      <c r="E331" t="str">
        <f>"5.00"</f>
        <v>5.00</v>
      </c>
      <c r="F331" t="str">
        <f>"0.00"</f>
        <v>0.00</v>
      </c>
      <c r="G331" t="str">
        <f>"3698.20"</f>
        <v>3698.20</v>
      </c>
      <c r="H331" t="str">
        <f>"0.00"</f>
        <v>0.00</v>
      </c>
      <c r="I331" t="str">
        <f>"92"</f>
        <v>92</v>
      </c>
      <c r="J331" t="str">
        <f>"申购配号(上机配号)"</f>
        <v>申购配号(上机配号)</v>
      </c>
      <c r="K331" t="str">
        <f>"0.00"</f>
        <v>0.00</v>
      </c>
      <c r="L331" t="str">
        <f>"0.00"</f>
        <v>0.00</v>
      </c>
      <c r="M331" t="str">
        <f>"0.00"</f>
        <v>0.00</v>
      </c>
      <c r="N331" t="str">
        <f>"0.00"</f>
        <v>0.00</v>
      </c>
      <c r="O331" t="str">
        <f>"736185"</f>
        <v>736185</v>
      </c>
      <c r="P331" t="str">
        <f>"A400948245"</f>
        <v>A400948245</v>
      </c>
    </row>
    <row r="332" spans="1:16" hidden="1" x14ac:dyDescent="0.25">
      <c r="A332" t="str">
        <f t="shared" si="109"/>
        <v>人民币</v>
      </c>
      <c r="B332" t="str">
        <f>"七一二"</f>
        <v>七一二</v>
      </c>
      <c r="C332" t="str">
        <f>"20181219"</f>
        <v>20181219</v>
      </c>
      <c r="D332" t="str">
        <f>"17.120"</f>
        <v>17.120</v>
      </c>
      <c r="E332" t="str">
        <f>"-400.00"</f>
        <v>-400.00</v>
      </c>
      <c r="F332" t="str">
        <f>"6836.01"</f>
        <v>6836.01</v>
      </c>
      <c r="G332" t="str">
        <f>"10534.21"</f>
        <v>10534.21</v>
      </c>
      <c r="H332" t="str">
        <f>"2100.00"</f>
        <v>2100.00</v>
      </c>
      <c r="I332" t="str">
        <f>"96"</f>
        <v>96</v>
      </c>
      <c r="J332" t="str">
        <f>"证券卖出(七一二)"</f>
        <v>证券卖出(七一二)</v>
      </c>
      <c r="K332" t="str">
        <f>"5.00"</f>
        <v>5.00</v>
      </c>
      <c r="L332" t="str">
        <f>"6.85"</f>
        <v>6.85</v>
      </c>
      <c r="M332" t="str">
        <f>"0.14"</f>
        <v>0.14</v>
      </c>
      <c r="N332" t="str">
        <f>"0.00"</f>
        <v>0.00</v>
      </c>
      <c r="O332" t="str">
        <f>"603712"</f>
        <v>603712</v>
      </c>
      <c r="P332" t="str">
        <f>"A400948245"</f>
        <v>A400948245</v>
      </c>
    </row>
    <row r="333" spans="1:16" hidden="1" x14ac:dyDescent="0.25">
      <c r="A333" t="str">
        <f t="shared" si="109"/>
        <v>人民币</v>
      </c>
      <c r="B333" t="str">
        <f>"江龙船艇"</f>
        <v>江龙船艇</v>
      </c>
      <c r="C333" t="str">
        <f>"20181219"</f>
        <v>20181219</v>
      </c>
      <c r="D333" t="str">
        <f>"11.990"</f>
        <v>11.990</v>
      </c>
      <c r="E333" t="str">
        <f>"500.00"</f>
        <v>500.00</v>
      </c>
      <c r="F333" t="str">
        <f>"-6000.00"</f>
        <v>-6000.00</v>
      </c>
      <c r="G333" t="str">
        <f>"4534.21"</f>
        <v>4534.21</v>
      </c>
      <c r="H333" t="str">
        <f>"4000.00"</f>
        <v>4000.00</v>
      </c>
      <c r="I333" t="str">
        <f>"99"</f>
        <v>99</v>
      </c>
      <c r="J333" t="str">
        <f>"证券买入(江龙船艇)"</f>
        <v>证券买入(江龙船艇)</v>
      </c>
      <c r="K333" t="str">
        <f>"5.00"</f>
        <v>5.00</v>
      </c>
      <c r="L333" t="str">
        <f>"0.00"</f>
        <v>0.00</v>
      </c>
      <c r="M333" t="str">
        <f>"0.00"</f>
        <v>0.00</v>
      </c>
      <c r="N333" t="str">
        <f>"0.00"</f>
        <v>0.00</v>
      </c>
      <c r="O333" t="str">
        <f>"300589"</f>
        <v>300589</v>
      </c>
      <c r="P333" t="str">
        <f>"0153613480"</f>
        <v>0153613480</v>
      </c>
    </row>
    <row r="334" spans="1:16" hidden="1" x14ac:dyDescent="0.25">
      <c r="A334" t="str">
        <f t="shared" si="109"/>
        <v>人民币</v>
      </c>
      <c r="B334" t="str">
        <f>"中山金马"</f>
        <v>中山金马</v>
      </c>
      <c r="C334" t="str">
        <f>"20181219"</f>
        <v>20181219</v>
      </c>
      <c r="D334" t="str">
        <f>"0.000"</f>
        <v>0.000</v>
      </c>
      <c r="E334" t="str">
        <f>"9.00"</f>
        <v>9.00</v>
      </c>
      <c r="F334" t="str">
        <f>"0.00"</f>
        <v>0.00</v>
      </c>
      <c r="G334" t="str">
        <f>"4534.21"</f>
        <v>4534.21</v>
      </c>
      <c r="H334" t="str">
        <f>"0.00"</f>
        <v>0.00</v>
      </c>
      <c r="I334" t="str">
        <f>"94"</f>
        <v>94</v>
      </c>
      <c r="J334" t="str">
        <f>"申购配号(中山金马)"</f>
        <v>申购配号(中山金马)</v>
      </c>
      <c r="K334" t="str">
        <f>"0.00"</f>
        <v>0.00</v>
      </c>
      <c r="L334" t="str">
        <f>"0.00"</f>
        <v>0.00</v>
      </c>
      <c r="M334" t="str">
        <f>"0.00"</f>
        <v>0.00</v>
      </c>
      <c r="N334" t="str">
        <f>"0.00"</f>
        <v>0.00</v>
      </c>
      <c r="O334" t="str">
        <f>"300756"</f>
        <v>300756</v>
      </c>
      <c r="P334" t="str">
        <f>"0153613480"</f>
        <v>0153613480</v>
      </c>
    </row>
    <row r="335" spans="1:16" hidden="1" x14ac:dyDescent="0.25">
      <c r="A335" t="str">
        <f t="shared" si="109"/>
        <v>人民币</v>
      </c>
      <c r="B335" t="str">
        <f>" "</f>
        <v xml:space="preserve"> </v>
      </c>
      <c r="C335" t="str">
        <f>"20181220"</f>
        <v>20181220</v>
      </c>
      <c r="D335" t="str">
        <f>"---"</f>
        <v>---</v>
      </c>
      <c r="E335" t="str">
        <f>"---"</f>
        <v>---</v>
      </c>
      <c r="F335" t="str">
        <f>"1.58"</f>
        <v>1.58</v>
      </c>
      <c r="G335" t="str">
        <f>"4535.79"</f>
        <v>4535.79</v>
      </c>
      <c r="H335" t="str">
        <f>"---"</f>
        <v>---</v>
      </c>
      <c r="I335" t="str">
        <f>"---"</f>
        <v>---</v>
      </c>
      <c r="J335" t="str">
        <f>"批量利息归本"</f>
        <v>批量利息归本</v>
      </c>
      <c r="K335" t="str">
        <f t="shared" ref="K335:P335" si="113">"---"</f>
        <v>---</v>
      </c>
      <c r="L335" t="str">
        <f t="shared" si="113"/>
        <v>---</v>
      </c>
      <c r="M335" t="str">
        <f t="shared" si="113"/>
        <v>---</v>
      </c>
      <c r="N335" t="str">
        <f t="shared" si="113"/>
        <v>---</v>
      </c>
      <c r="O335" t="str">
        <f t="shared" si="113"/>
        <v>---</v>
      </c>
      <c r="P335" t="str">
        <f t="shared" si="113"/>
        <v>---</v>
      </c>
    </row>
    <row r="336" spans="1:16" hidden="1" x14ac:dyDescent="0.25">
      <c r="A336" t="str">
        <f t="shared" si="109"/>
        <v>人民币</v>
      </c>
      <c r="B336" t="str">
        <f>"江龙船艇"</f>
        <v>江龙船艇</v>
      </c>
      <c r="C336" t="str">
        <f>"20181220"</f>
        <v>20181220</v>
      </c>
      <c r="D336" t="str">
        <f>"11.340"</f>
        <v>11.340</v>
      </c>
      <c r="E336" t="str">
        <f>"300.00"</f>
        <v>300.00</v>
      </c>
      <c r="F336" t="str">
        <f>"-3407.00"</f>
        <v>-3407.00</v>
      </c>
      <c r="G336" t="str">
        <f>"1128.79"</f>
        <v>1128.79</v>
      </c>
      <c r="H336" t="str">
        <f>"4300.00"</f>
        <v>4300.00</v>
      </c>
      <c r="I336" t="str">
        <f>"112"</f>
        <v>112</v>
      </c>
      <c r="J336" t="str">
        <f>"证券买入(江龙船艇)"</f>
        <v>证券买入(江龙船艇)</v>
      </c>
      <c r="K336" t="str">
        <f>"5.00"</f>
        <v>5.00</v>
      </c>
      <c r="L336" t="str">
        <f>"0.00"</f>
        <v>0.00</v>
      </c>
      <c r="M336" t="str">
        <f>"0.00"</f>
        <v>0.00</v>
      </c>
      <c r="N336" t="str">
        <f>"0.00"</f>
        <v>0.00</v>
      </c>
      <c r="O336" t="str">
        <f>"300589"</f>
        <v>300589</v>
      </c>
      <c r="P336" t="str">
        <f>"0153613480"</f>
        <v>0153613480</v>
      </c>
    </row>
    <row r="337" spans="1:16" hidden="1" x14ac:dyDescent="0.25">
      <c r="A337" t="str">
        <f t="shared" si="109"/>
        <v>人民币</v>
      </c>
      <c r="B337" t="str">
        <f>"七一二"</f>
        <v>七一二</v>
      </c>
      <c r="C337" t="str">
        <f>"20181225"</f>
        <v>20181225</v>
      </c>
      <c r="D337" t="str">
        <f>"19.170"</f>
        <v>19.170</v>
      </c>
      <c r="E337" t="str">
        <f>"-300.00"</f>
        <v>-300.00</v>
      </c>
      <c r="F337" t="str">
        <f>"5739.38"</f>
        <v>5739.38</v>
      </c>
      <c r="G337" t="str">
        <f>"6868.17"</f>
        <v>6868.17</v>
      </c>
      <c r="H337" t="str">
        <f>"1800.00"</f>
        <v>1800.00</v>
      </c>
      <c r="I337" t="str">
        <f>"120"</f>
        <v>120</v>
      </c>
      <c r="J337" t="str">
        <f>"证券卖出(七一二)"</f>
        <v>证券卖出(七一二)</v>
      </c>
      <c r="K337" t="str">
        <f>"5.75"</f>
        <v>5.75</v>
      </c>
      <c r="L337" t="str">
        <f>"5.75"</f>
        <v>5.75</v>
      </c>
      <c r="M337" t="str">
        <f>"0.12"</f>
        <v>0.12</v>
      </c>
      <c r="N337" t="str">
        <f>"0.00"</f>
        <v>0.00</v>
      </c>
      <c r="O337" t="str">
        <f>"603712"</f>
        <v>603712</v>
      </c>
      <c r="P337" t="str">
        <f>"A400948245"</f>
        <v>A400948245</v>
      </c>
    </row>
    <row r="338" spans="1:16" hidden="1" x14ac:dyDescent="0.25">
      <c r="A338" t="str">
        <f t="shared" si="109"/>
        <v>人民币</v>
      </c>
      <c r="B338" t="str">
        <f>" "</f>
        <v xml:space="preserve"> </v>
      </c>
      <c r="C338" t="str">
        <f>"20181226"</f>
        <v>20181226</v>
      </c>
      <c r="D338" t="str">
        <f>"---"</f>
        <v>---</v>
      </c>
      <c r="E338" t="str">
        <f>"---"</f>
        <v>---</v>
      </c>
      <c r="F338" t="str">
        <f>"5000.00"</f>
        <v>5000.00</v>
      </c>
      <c r="G338" t="str">
        <f>"11868.17"</f>
        <v>11868.17</v>
      </c>
      <c r="H338" t="str">
        <f>"---"</f>
        <v>---</v>
      </c>
      <c r="I338" t="str">
        <f>"---"</f>
        <v>---</v>
      </c>
      <c r="J338" t="str">
        <f>"银行转存"</f>
        <v>银行转存</v>
      </c>
      <c r="K338" t="str">
        <f t="shared" ref="K338:P338" si="114">"---"</f>
        <v>---</v>
      </c>
      <c r="L338" t="str">
        <f t="shared" si="114"/>
        <v>---</v>
      </c>
      <c r="M338" t="str">
        <f t="shared" si="114"/>
        <v>---</v>
      </c>
      <c r="N338" t="str">
        <f t="shared" si="114"/>
        <v>---</v>
      </c>
      <c r="O338" t="str">
        <f t="shared" si="114"/>
        <v>---</v>
      </c>
      <c r="P338" t="str">
        <f t="shared" si="114"/>
        <v>---</v>
      </c>
    </row>
    <row r="339" spans="1:16" hidden="1" x14ac:dyDescent="0.25">
      <c r="A339" t="str">
        <f t="shared" si="109"/>
        <v>人民币</v>
      </c>
      <c r="B339" t="str">
        <f>"七一二"</f>
        <v>七一二</v>
      </c>
      <c r="C339" t="str">
        <f>"20181226"</f>
        <v>20181226</v>
      </c>
      <c r="D339" t="str">
        <f>"18.540"</f>
        <v>18.540</v>
      </c>
      <c r="E339" t="str">
        <f>"300.00"</f>
        <v>300.00</v>
      </c>
      <c r="F339" t="str">
        <f>"-5567.67"</f>
        <v>-5567.67</v>
      </c>
      <c r="G339" t="str">
        <f>"6300.50"</f>
        <v>6300.50</v>
      </c>
      <c r="H339" t="str">
        <f>"2100.00"</f>
        <v>2100.00</v>
      </c>
      <c r="I339" t="str">
        <f>"126"</f>
        <v>126</v>
      </c>
      <c r="J339" t="str">
        <f>"证券买入(七一二)"</f>
        <v>证券买入(七一二)</v>
      </c>
      <c r="K339" t="str">
        <f>"5.56"</f>
        <v>5.56</v>
      </c>
      <c r="L339" t="str">
        <f>"0.00"</f>
        <v>0.00</v>
      </c>
      <c r="M339" t="str">
        <f>"0.11"</f>
        <v>0.11</v>
      </c>
      <c r="N339" t="str">
        <f>"0.00"</f>
        <v>0.00</v>
      </c>
      <c r="O339" t="str">
        <f>"603712"</f>
        <v>603712</v>
      </c>
      <c r="P339" t="str">
        <f>"A400948245"</f>
        <v>A400948245</v>
      </c>
    </row>
    <row r="340" spans="1:16" hidden="1" x14ac:dyDescent="0.25">
      <c r="A340" t="str">
        <f t="shared" si="109"/>
        <v>人民币</v>
      </c>
      <c r="B340" t="str">
        <f>"七一二"</f>
        <v>七一二</v>
      </c>
      <c r="C340" t="str">
        <f>"20181226"</f>
        <v>20181226</v>
      </c>
      <c r="D340" t="str">
        <f>"18.160"</f>
        <v>18.160</v>
      </c>
      <c r="E340" t="str">
        <f>"300.00"</f>
        <v>300.00</v>
      </c>
      <c r="F340" t="str">
        <f>"-5453.56"</f>
        <v>-5453.56</v>
      </c>
      <c r="G340" t="str">
        <f>"846.94"</f>
        <v>846.94</v>
      </c>
      <c r="H340" t="str">
        <f>"2400.00"</f>
        <v>2400.00</v>
      </c>
      <c r="I340" t="str">
        <f>"131"</f>
        <v>131</v>
      </c>
      <c r="J340" t="str">
        <f>"证券买入(七一二)"</f>
        <v>证券买入(七一二)</v>
      </c>
      <c r="K340" t="str">
        <f>"5.45"</f>
        <v>5.45</v>
      </c>
      <c r="L340" t="str">
        <f>"0.00"</f>
        <v>0.00</v>
      </c>
      <c r="M340" t="str">
        <f>"0.11"</f>
        <v>0.11</v>
      </c>
      <c r="N340" t="str">
        <f>"0.00"</f>
        <v>0.00</v>
      </c>
      <c r="O340" t="str">
        <f>"603712"</f>
        <v>603712</v>
      </c>
      <c r="P340" t="str">
        <f>"A400948245"</f>
        <v>A400948245</v>
      </c>
    </row>
    <row r="341" spans="1:16" hidden="1" x14ac:dyDescent="0.25">
      <c r="A341" t="str">
        <f t="shared" si="109"/>
        <v>人民币</v>
      </c>
      <c r="B341" t="str">
        <f>"罗博特科"</f>
        <v>罗博特科</v>
      </c>
      <c r="C341" t="str">
        <f>"20181226"</f>
        <v>20181226</v>
      </c>
      <c r="D341" t="str">
        <f>"0.000"</f>
        <v>0.000</v>
      </c>
      <c r="E341" t="str">
        <f>"10.00"</f>
        <v>10.00</v>
      </c>
      <c r="F341" t="str">
        <f>"0.00"</f>
        <v>0.00</v>
      </c>
      <c r="G341" t="str">
        <f>"846.94"</f>
        <v>846.94</v>
      </c>
      <c r="H341" t="str">
        <f>"0.00"</f>
        <v>0.00</v>
      </c>
      <c r="I341" t="str">
        <f>"124"</f>
        <v>124</v>
      </c>
      <c r="J341" t="str">
        <f>"申购配号(罗博特科)"</f>
        <v>申购配号(罗博特科)</v>
      </c>
      <c r="K341" t="str">
        <f>"0.00"</f>
        <v>0.00</v>
      </c>
      <c r="L341" t="str">
        <f>"0.00"</f>
        <v>0.00</v>
      </c>
      <c r="M341" t="str">
        <f>"0.00"</f>
        <v>0.00</v>
      </c>
      <c r="N341" t="str">
        <f>"0.00"</f>
        <v>0.00</v>
      </c>
      <c r="O341" t="str">
        <f>"300757"</f>
        <v>300757</v>
      </c>
      <c r="P341" t="str">
        <f>"0153613480"</f>
        <v>0153613480</v>
      </c>
    </row>
    <row r="342" spans="1:16" hidden="1" x14ac:dyDescent="0.25">
      <c r="A342" t="str">
        <f t="shared" si="109"/>
        <v>人民币</v>
      </c>
      <c r="B342" t="str">
        <f>"华培配号"</f>
        <v>华培配号</v>
      </c>
      <c r="C342" t="str">
        <f>"20181227"</f>
        <v>20181227</v>
      </c>
      <c r="D342" t="str">
        <f>"0.000"</f>
        <v>0.000</v>
      </c>
      <c r="E342" t="str">
        <f>"4.00"</f>
        <v>4.00</v>
      </c>
      <c r="F342" t="str">
        <f>"0.00"</f>
        <v>0.00</v>
      </c>
      <c r="G342" t="str">
        <f>"846.94"</f>
        <v>846.94</v>
      </c>
      <c r="H342" t="str">
        <f>"0.00"</f>
        <v>0.00</v>
      </c>
      <c r="I342" t="str">
        <f>"137"</f>
        <v>137</v>
      </c>
      <c r="J342" t="str">
        <f>"申购配号(华培配号)"</f>
        <v>申购配号(华培配号)</v>
      </c>
      <c r="K342" t="str">
        <f>"0.00"</f>
        <v>0.00</v>
      </c>
      <c r="L342" t="str">
        <f>"0.00"</f>
        <v>0.00</v>
      </c>
      <c r="M342" t="str">
        <f>"0.00"</f>
        <v>0.00</v>
      </c>
      <c r="N342" t="str">
        <f>"0.00"</f>
        <v>0.00</v>
      </c>
      <c r="O342" t="str">
        <f>"736121"</f>
        <v>736121</v>
      </c>
      <c r="P342" t="str">
        <f>"A400948245"</f>
        <v>A400948245</v>
      </c>
    </row>
  </sheetData>
  <autoFilter ref="A1:P342">
    <filterColumn colId="1">
      <filters>
        <filter val="人保配号"/>
        <filter val="人保申购"/>
        <filter val="中国人保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topLeftCell="A312" workbookViewId="0">
      <selection activeCell="A269" sqref="A269:XFD341"/>
    </sheetView>
  </sheetViews>
  <sheetFormatPr defaultRowHeight="13.8" x14ac:dyDescent="0.25"/>
  <cols>
    <col min="2" max="2" width="19.21875" customWidth="1"/>
    <col min="10" max="10" width="35.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"蔚蓝配号"</f>
        <v>蔚蓝配号</v>
      </c>
      <c r="C2" t="str">
        <f>"20190103"</f>
        <v>20190103</v>
      </c>
      <c r="D2" t="str">
        <f>"0.000"</f>
        <v>0.000</v>
      </c>
      <c r="E2" t="str">
        <f>"5.00"</f>
        <v>5.00</v>
      </c>
      <c r="F2" t="str">
        <f>"0.00"</f>
        <v>0.00</v>
      </c>
      <c r="G2" t="str">
        <f>"846.94"</f>
        <v>846.94</v>
      </c>
      <c r="H2" t="str">
        <f>"0.00"</f>
        <v>0.00</v>
      </c>
      <c r="I2" t="str">
        <f>"140"</f>
        <v>140</v>
      </c>
      <c r="J2" t="str">
        <f>"申购配号(蔚蓝配号)"</f>
        <v>申购配号(蔚蓝配号)</v>
      </c>
      <c r="K2" t="str">
        <f>"0.00"</f>
        <v>0.00</v>
      </c>
      <c r="L2" t="str">
        <f>"0.00"</f>
        <v>0.00</v>
      </c>
      <c r="M2" t="str">
        <f>"0.00"</f>
        <v>0.00</v>
      </c>
      <c r="N2" t="str">
        <f>"0.00"</f>
        <v>0.00</v>
      </c>
      <c r="O2" t="str">
        <f>"736739"</f>
        <v>736739</v>
      </c>
      <c r="P2" t="str">
        <f>"A400948245"</f>
        <v>A400948245</v>
      </c>
    </row>
    <row r="3" spans="1:16" x14ac:dyDescent="0.25">
      <c r="A3" t="str">
        <f t="shared" si="0"/>
        <v>人民币</v>
      </c>
      <c r="B3" t="str">
        <f>"七一二"</f>
        <v>七一二</v>
      </c>
      <c r="C3" t="str">
        <f>"20190103"</f>
        <v>20190103</v>
      </c>
      <c r="D3" t="str">
        <f>"19.053"</f>
        <v>19.053</v>
      </c>
      <c r="E3" t="str">
        <f>"-600.00"</f>
        <v>-600.00</v>
      </c>
      <c r="F3" t="str">
        <f>"11408.91"</f>
        <v>11408.91</v>
      </c>
      <c r="G3" t="str">
        <f>"12255.85"</f>
        <v>12255.85</v>
      </c>
      <c r="H3" t="str">
        <f>"1800.00"</f>
        <v>1800.00</v>
      </c>
      <c r="I3" t="str">
        <f>"145"</f>
        <v>145</v>
      </c>
      <c r="J3" t="str">
        <f>"证券卖出(七一二)"</f>
        <v>证券卖出(七一二)</v>
      </c>
      <c r="K3" t="str">
        <f>"11.43"</f>
        <v>11.43</v>
      </c>
      <c r="L3" t="str">
        <f>"11.43"</f>
        <v>11.43</v>
      </c>
      <c r="M3" t="str">
        <f>"0.23"</f>
        <v>0.23</v>
      </c>
      <c r="N3" t="str">
        <f>"0.00"</f>
        <v>0.00</v>
      </c>
      <c r="O3" t="str">
        <f>"603712"</f>
        <v>603712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"江龙船艇"</f>
        <v>江龙船艇</v>
      </c>
      <c r="C5" t="str">
        <f>"20190103"</f>
        <v>20190103</v>
      </c>
      <c r="D5" t="str">
        <f>"12.389"</f>
        <v>12.389</v>
      </c>
      <c r="E5" t="str">
        <f>"-800.00"</f>
        <v>-800.00</v>
      </c>
      <c r="F5" t="str">
        <f>"9891.18"</f>
        <v>9891.18</v>
      </c>
      <c r="G5" t="str">
        <f>"17579.94"</f>
        <v>17579.94</v>
      </c>
      <c r="H5" t="str">
        <f>"3500.00"</f>
        <v>3500.00</v>
      </c>
      <c r="I5" t="str">
        <f>"142"</f>
        <v>142</v>
      </c>
      <c r="J5" t="str">
        <f>"证券卖出(江龙船艇)"</f>
        <v>证券卖出(江龙船艇)</v>
      </c>
      <c r="K5" t="str">
        <f>"9.91"</f>
        <v>9.91</v>
      </c>
      <c r="L5" t="str">
        <f>"9.91"</f>
        <v>9.91</v>
      </c>
      <c r="M5" t="str">
        <f>"0.00"</f>
        <v>0.00</v>
      </c>
      <c r="N5" t="str">
        <f>"0.00"</f>
        <v>0.00</v>
      </c>
      <c r="O5" t="str">
        <f>"300589"</f>
        <v>300589</v>
      </c>
      <c r="P5" t="str">
        <f>"0153613480"</f>
        <v>0153613480</v>
      </c>
    </row>
    <row r="6" spans="1:16" x14ac:dyDescent="0.25">
      <c r="A6" t="str">
        <f t="shared" si="0"/>
        <v>人民币</v>
      </c>
      <c r="B6" t="str">
        <f>" "</f>
        <v xml:space="preserve"> </v>
      </c>
      <c r="C6" t="str">
        <f t="shared" ref="C6:C14" si="1">"20190104"</f>
        <v>20190104</v>
      </c>
      <c r="D6" t="str">
        <f t="shared" ref="D6:E8" si="2">"---"</f>
        <v>---</v>
      </c>
      <c r="E6" t="str">
        <f t="shared" si="2"/>
        <v>---</v>
      </c>
      <c r="F6" t="str">
        <f>"-15000.00"</f>
        <v>-15000.00</v>
      </c>
      <c r="G6" t="str">
        <f>"2579.94"</f>
        <v>2579.94</v>
      </c>
      <c r="H6" t="str">
        <f t="shared" ref="H6:I8" si="3">"---"</f>
        <v>---</v>
      </c>
      <c r="I6" t="str">
        <f t="shared" si="3"/>
        <v>---</v>
      </c>
      <c r="J6" t="str">
        <f>"银行转取"</f>
        <v>银行转取</v>
      </c>
      <c r="K6" t="str">
        <f t="shared" ref="K6:P8" si="4">"---"</f>
        <v>---</v>
      </c>
      <c r="L6" t="str">
        <f t="shared" si="4"/>
        <v>---</v>
      </c>
      <c r="M6" t="str">
        <f t="shared" si="4"/>
        <v>---</v>
      </c>
      <c r="N6" t="str">
        <f t="shared" si="4"/>
        <v>---</v>
      </c>
      <c r="O6" t="str">
        <f t="shared" si="4"/>
        <v>---</v>
      </c>
      <c r="P6" t="str">
        <f t="shared" si="4"/>
        <v>---</v>
      </c>
    </row>
    <row r="7" spans="1:16" x14ac:dyDescent="0.25">
      <c r="A7" t="str">
        <f t="shared" si="0"/>
        <v>人民币</v>
      </c>
      <c r="B7" t="str">
        <f>" "</f>
        <v xml:space="preserve"> </v>
      </c>
      <c r="C7" t="str">
        <f t="shared" si="1"/>
        <v>20190104</v>
      </c>
      <c r="D7" t="str">
        <f t="shared" si="2"/>
        <v>---</v>
      </c>
      <c r="E7" t="str">
        <f t="shared" si="2"/>
        <v>---</v>
      </c>
      <c r="F7" t="str">
        <f>"10000.00"</f>
        <v>10000.00</v>
      </c>
      <c r="G7" t="str">
        <f>"12579.94"</f>
        <v>12579.94</v>
      </c>
      <c r="H7" t="str">
        <f t="shared" si="3"/>
        <v>---</v>
      </c>
      <c r="I7" t="str">
        <f t="shared" si="3"/>
        <v>---</v>
      </c>
      <c r="J7" t="str">
        <f>"银行转存"</f>
        <v>银行转存</v>
      </c>
      <c r="K7" t="str">
        <f t="shared" si="4"/>
        <v>---</v>
      </c>
      <c r="L7" t="str">
        <f t="shared" si="4"/>
        <v>---</v>
      </c>
      <c r="M7" t="str">
        <f t="shared" si="4"/>
        <v>---</v>
      </c>
      <c r="N7" t="str">
        <f t="shared" si="4"/>
        <v>---</v>
      </c>
      <c r="O7" t="str">
        <f t="shared" si="4"/>
        <v>---</v>
      </c>
      <c r="P7" t="str">
        <f t="shared" si="4"/>
        <v>---</v>
      </c>
    </row>
    <row r="8" spans="1:16" x14ac:dyDescent="0.25">
      <c r="A8" t="str">
        <f t="shared" si="0"/>
        <v>人民币</v>
      </c>
      <c r="B8" t="str">
        <f>" "</f>
        <v xml:space="preserve"> </v>
      </c>
      <c r="C8" t="str">
        <f t="shared" si="1"/>
        <v>20190104</v>
      </c>
      <c r="D8" t="str">
        <f t="shared" si="2"/>
        <v>---</v>
      </c>
      <c r="E8" t="str">
        <f t="shared" si="2"/>
        <v>---</v>
      </c>
      <c r="F8" t="str">
        <f>"-10000.00"</f>
        <v>-10000.00</v>
      </c>
      <c r="G8" t="str">
        <f>"2579.94"</f>
        <v>2579.94</v>
      </c>
      <c r="H8" t="str">
        <f t="shared" si="3"/>
        <v>---</v>
      </c>
      <c r="I8" t="str">
        <f t="shared" si="3"/>
        <v>---</v>
      </c>
      <c r="J8" t="str">
        <f>"银行转取"</f>
        <v>银行转取</v>
      </c>
      <c r="K8" t="str">
        <f t="shared" si="4"/>
        <v>---</v>
      </c>
      <c r="L8" t="str">
        <f t="shared" si="4"/>
        <v>---</v>
      </c>
      <c r="M8" t="str">
        <f t="shared" si="4"/>
        <v>---</v>
      </c>
      <c r="N8" t="str">
        <f t="shared" si="4"/>
        <v>---</v>
      </c>
      <c r="O8" t="str">
        <f t="shared" si="4"/>
        <v>---</v>
      </c>
      <c r="P8" t="str">
        <f t="shared" si="4"/>
        <v>---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1"/>
        <v>20190104</v>
      </c>
      <c r="D9" t="str">
        <f>"18.070"</f>
        <v>18.070</v>
      </c>
      <c r="E9" t="str">
        <f>"300.00"</f>
        <v>300.00</v>
      </c>
      <c r="F9" t="str">
        <f>"-5426.53"</f>
        <v>-5426.53</v>
      </c>
      <c r="G9" t="str">
        <f>"-2846.59"</f>
        <v>-2846.59</v>
      </c>
      <c r="H9" t="str">
        <f>"2100.00"</f>
        <v>2100.00</v>
      </c>
      <c r="I9" t="str">
        <f>"3"</f>
        <v>3</v>
      </c>
      <c r="J9" t="str">
        <f>"证券买入(七一二)"</f>
        <v>证券买入(七一二)</v>
      </c>
      <c r="K9" t="str">
        <f>"5.42"</f>
        <v>5.42</v>
      </c>
      <c r="L9" t="str">
        <f>"0.00"</f>
        <v>0.00</v>
      </c>
      <c r="M9" t="str">
        <f>"0.11"</f>
        <v>0.11</v>
      </c>
      <c r="N9" t="str">
        <f t="shared" ref="N9:N14" si="5">"0.00"</f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1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5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1"/>
        <v>20190104</v>
      </c>
      <c r="D11" t="str">
        <f>"18.710"</f>
        <v>18.710</v>
      </c>
      <c r="E11" t="str">
        <f>"-300.00"</f>
        <v>-300.00</v>
      </c>
      <c r="F11" t="str">
        <f>"5601.67"</f>
        <v>5601.67</v>
      </c>
      <c r="G11" t="str">
        <f>"2755.08"</f>
        <v>2755.08</v>
      </c>
      <c r="H11" t="str">
        <f>"1800.00"</f>
        <v>1800.00</v>
      </c>
      <c r="I11" t="str">
        <f>"14"</f>
        <v>14</v>
      </c>
      <c r="J11" t="str">
        <f>"证券卖出(七一二)"</f>
        <v>证券卖出(七一二)</v>
      </c>
      <c r="K11" t="str">
        <f>"5.61"</f>
        <v>5.61</v>
      </c>
      <c r="L11" t="str">
        <f>"5.61"</f>
        <v>5.61</v>
      </c>
      <c r="M11" t="str">
        <f>"0.11"</f>
        <v>0.11</v>
      </c>
      <c r="N11" t="str">
        <f t="shared" si="5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"江龙船艇"</f>
        <v>江龙船艇</v>
      </c>
      <c r="C12" t="str">
        <f t="shared" si="1"/>
        <v>20190104</v>
      </c>
      <c r="D12" t="str">
        <f>"11.670"</f>
        <v>11.670</v>
      </c>
      <c r="E12" t="str">
        <f>"500.00"</f>
        <v>500.00</v>
      </c>
      <c r="F12" t="str">
        <f>"-5840.84"</f>
        <v>-5840.84</v>
      </c>
      <c r="G12" t="str">
        <f>"-3085.76"</f>
        <v>-3085.76</v>
      </c>
      <c r="H12" t="str">
        <f>"4000.00"</f>
        <v>4000.00</v>
      </c>
      <c r="I12" t="str">
        <f>"11"</f>
        <v>11</v>
      </c>
      <c r="J12" t="str">
        <f>"证券买入(江龙船艇)"</f>
        <v>证券买入(江龙船艇)</v>
      </c>
      <c r="K12" t="str">
        <f>"5.84"</f>
        <v>5.84</v>
      </c>
      <c r="L12" t="str">
        <f>"0.00"</f>
        <v>0.00</v>
      </c>
      <c r="M12" t="str">
        <f>"0.00"</f>
        <v>0.00</v>
      </c>
      <c r="N12" t="str">
        <f t="shared" si="5"/>
        <v>0.00</v>
      </c>
      <c r="O12" t="str">
        <f>"300589"</f>
        <v>300589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"江龙船艇"</f>
        <v>江龙船艇</v>
      </c>
      <c r="C13" t="str">
        <f t="shared" si="1"/>
        <v>20190104</v>
      </c>
      <c r="D13" t="str">
        <f>"12.130"</f>
        <v>12.130</v>
      </c>
      <c r="E13" t="str">
        <f>"-500.00"</f>
        <v>-500.00</v>
      </c>
      <c r="F13" t="str">
        <f>"6052.86"</f>
        <v>6052.86</v>
      </c>
      <c r="G13" t="str">
        <f>"2967.10"</f>
        <v>2967.10</v>
      </c>
      <c r="H13" t="str">
        <f>"3500.00"</f>
        <v>3500.00</v>
      </c>
      <c r="I13" t="str">
        <f>"17"</f>
        <v>17</v>
      </c>
      <c r="J13" t="str">
        <f>"证券卖出(江龙船艇)"</f>
        <v>证券卖出(江龙船艇)</v>
      </c>
      <c r="K13" t="str">
        <f>"6.07"</f>
        <v>6.07</v>
      </c>
      <c r="L13" t="str">
        <f>"6.07"</f>
        <v>6.07</v>
      </c>
      <c r="M13" t="str">
        <f>"0.00"</f>
        <v>0.00</v>
      </c>
      <c r="N13" t="str">
        <f t="shared" si="5"/>
        <v>0.00</v>
      </c>
      <c r="O13" t="str">
        <f>"300589"</f>
        <v>300589</v>
      </c>
      <c r="P13" t="str">
        <f>"0153613480"</f>
        <v>0153613480</v>
      </c>
    </row>
    <row r="14" spans="1:16" x14ac:dyDescent="0.25">
      <c r="A14" t="str">
        <f t="shared" si="0"/>
        <v>人民币</v>
      </c>
      <c r="B14" t="str">
        <f>"青岛银行"</f>
        <v>青岛银行</v>
      </c>
      <c r="C14" t="str">
        <f t="shared" si="1"/>
        <v>20190104</v>
      </c>
      <c r="D14" t="str">
        <f>"0.000"</f>
        <v>0.000</v>
      </c>
      <c r="E14" t="str">
        <f>"11.00"</f>
        <v>11.00</v>
      </c>
      <c r="F14" t="str">
        <f>"0.00"</f>
        <v>0.00</v>
      </c>
      <c r="G14" t="str">
        <f>"2967.10"</f>
        <v>2967.10</v>
      </c>
      <c r="H14" t="str">
        <f>"0.00"</f>
        <v>0.00</v>
      </c>
      <c r="I14" t="str">
        <f>"7"</f>
        <v>7</v>
      </c>
      <c r="J14" t="str">
        <f>"申购配号(青岛银行)"</f>
        <v>申购配号(青岛银行)</v>
      </c>
      <c r="K14" t="str">
        <f>"0.00"</f>
        <v>0.00</v>
      </c>
      <c r="L14" t="str">
        <f>"0.00"</f>
        <v>0.00</v>
      </c>
      <c r="M14" t="str">
        <f>"0.00"</f>
        <v>0.00</v>
      </c>
      <c r="N14" t="str">
        <f t="shared" si="5"/>
        <v>0.00</v>
      </c>
      <c r="O14" t="str">
        <f>"002948"</f>
        <v>002948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 "</f>
        <v xml:space="preserve"> </v>
      </c>
      <c r="C15" t="str">
        <f>"20190107"</f>
        <v>20190107</v>
      </c>
      <c r="D15" t="str">
        <f>"---"</f>
        <v>---</v>
      </c>
      <c r="E15" t="str">
        <f>"---"</f>
        <v>---</v>
      </c>
      <c r="F15" t="str">
        <f>"10000.00"</f>
        <v>10000.00</v>
      </c>
      <c r="G15" t="str">
        <f>"12967.10"</f>
        <v>12967.10</v>
      </c>
      <c r="H15" t="str">
        <f>"---"</f>
        <v>---</v>
      </c>
      <c r="I15" t="str">
        <f>"---"</f>
        <v>---</v>
      </c>
      <c r="J15" t="str">
        <f>"银行转存"</f>
        <v>银行转存</v>
      </c>
      <c r="K15" t="str">
        <f t="shared" ref="K15:P15" si="6">"---"</f>
        <v>---</v>
      </c>
      <c r="L15" t="str">
        <f t="shared" si="6"/>
        <v>---</v>
      </c>
      <c r="M15" t="str">
        <f t="shared" si="6"/>
        <v>---</v>
      </c>
      <c r="N15" t="str">
        <f t="shared" si="6"/>
        <v>---</v>
      </c>
      <c r="O15" t="str">
        <f t="shared" si="6"/>
        <v>---</v>
      </c>
      <c r="P15" t="str">
        <f t="shared" si="6"/>
        <v>---</v>
      </c>
    </row>
    <row r="16" spans="1:16" x14ac:dyDescent="0.25">
      <c r="A16" t="str">
        <f t="shared" si="0"/>
        <v>人民币</v>
      </c>
      <c r="B16" t="str">
        <f>"中通国脉"</f>
        <v>中通国脉</v>
      </c>
      <c r="C16" t="str">
        <f>"20190107"</f>
        <v>20190107</v>
      </c>
      <c r="D16" t="str">
        <f>"23.570"</f>
        <v>23.570</v>
      </c>
      <c r="E16" t="str">
        <f>"-200.00"</f>
        <v>-200.00</v>
      </c>
      <c r="F16" t="str">
        <f>"4704.20"</f>
        <v>4704.20</v>
      </c>
      <c r="G16" t="str">
        <f>"17671.30"</f>
        <v>17671.30</v>
      </c>
      <c r="H16" t="str">
        <f>"600.00"</f>
        <v>600.00</v>
      </c>
      <c r="I16" t="str">
        <f>"34"</f>
        <v>34</v>
      </c>
      <c r="J16" t="str">
        <f>"证券卖出(中通国脉)"</f>
        <v>证券卖出(中通国脉)</v>
      </c>
      <c r="K16" t="str">
        <f>"5.00"</f>
        <v>5.00</v>
      </c>
      <c r="L16" t="str">
        <f>"4.71"</f>
        <v>4.71</v>
      </c>
      <c r="M16" t="str">
        <f>"0.09"</f>
        <v>0.09</v>
      </c>
      <c r="N16" t="str">
        <f t="shared" ref="N16:N28" si="7">"0.00"</f>
        <v>0.00</v>
      </c>
      <c r="O16" t="str">
        <f>"603559"</f>
        <v>603559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 t="shared" si="7"/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"江龙船艇"</f>
        <v>江龙船艇</v>
      </c>
      <c r="C18" t="str">
        <f>"20190107"</f>
        <v>20190107</v>
      </c>
      <c r="D18" t="str">
        <f>"12.020"</f>
        <v>12.020</v>
      </c>
      <c r="E18" t="str">
        <f>"500.00"</f>
        <v>500.00</v>
      </c>
      <c r="F18" t="str">
        <f>"-6016.01"</f>
        <v>-6016.01</v>
      </c>
      <c r="G18" t="str">
        <f>"7844.21"</f>
        <v>7844.21</v>
      </c>
      <c r="H18" t="str">
        <f>"4000.00"</f>
        <v>4000.00</v>
      </c>
      <c r="I18" t="str">
        <f>"31"</f>
        <v>31</v>
      </c>
      <c r="J18" t="str">
        <f>"证券买入(江龙船艇)"</f>
        <v>证券买入(江龙船艇)</v>
      </c>
      <c r="K18" t="str">
        <f>"6.01"</f>
        <v>6.01</v>
      </c>
      <c r="L18" t="str">
        <f>"0.00"</f>
        <v>0.00</v>
      </c>
      <c r="M18" t="str">
        <f t="shared" ref="M18:M28" si="8">"0.00"</f>
        <v>0.00</v>
      </c>
      <c r="N18" t="str">
        <f t="shared" si="7"/>
        <v>0.00</v>
      </c>
      <c r="O18" t="str">
        <f>"300589"</f>
        <v>300589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"江龙船艇"</f>
        <v>江龙船艇</v>
      </c>
      <c r="C19" t="str">
        <f>"20190107"</f>
        <v>20190107</v>
      </c>
      <c r="D19" t="str">
        <f>"12.660"</f>
        <v>12.660</v>
      </c>
      <c r="E19" t="str">
        <f>"-500.00"</f>
        <v>-500.00</v>
      </c>
      <c r="F19" t="str">
        <f>"6317.34"</f>
        <v>6317.34</v>
      </c>
      <c r="G19" t="str">
        <f>"14161.55"</f>
        <v>14161.55</v>
      </c>
      <c r="H19" t="str">
        <f>"3500.00"</f>
        <v>3500.00</v>
      </c>
      <c r="I19" t="str">
        <f>"42"</f>
        <v>42</v>
      </c>
      <c r="J19" t="str">
        <f>"证券卖出(江龙船艇)"</f>
        <v>证券卖出(江龙船艇)</v>
      </c>
      <c r="K19" t="str">
        <f>"6.33"</f>
        <v>6.33</v>
      </c>
      <c r="L19" t="str">
        <f>"6.33"</f>
        <v>6.33</v>
      </c>
      <c r="M19" t="str">
        <f t="shared" si="8"/>
        <v>0.00</v>
      </c>
      <c r="N19" t="str">
        <f t="shared" si="7"/>
        <v>0.00</v>
      </c>
      <c r="O19" t="str">
        <f>"300589"</f>
        <v>300589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"江龙船艇"</f>
        <v>江龙船艇</v>
      </c>
      <c r="C20" t="str">
        <f>"20190108"</f>
        <v>20190108</v>
      </c>
      <c r="D20" t="str">
        <f>"12.150"</f>
        <v>12.150</v>
      </c>
      <c r="E20" t="str">
        <f>"500.00"</f>
        <v>500.00</v>
      </c>
      <c r="F20" t="str">
        <f>"-6081.08"</f>
        <v>-6081.08</v>
      </c>
      <c r="G20" t="str">
        <f>"8080.47"</f>
        <v>8080.47</v>
      </c>
      <c r="H20" t="str">
        <f>"4000.00"</f>
        <v>4000.00</v>
      </c>
      <c r="I20" t="str">
        <f>"56"</f>
        <v>56</v>
      </c>
      <c r="J20" t="str">
        <f>"证券买入(江龙船艇)"</f>
        <v>证券买入(江龙船艇)</v>
      </c>
      <c r="K20" t="str">
        <f>"6.08"</f>
        <v>6.08</v>
      </c>
      <c r="L20" t="str">
        <f t="shared" ref="L20:L28" si="9">"0.00"</f>
        <v>0.00</v>
      </c>
      <c r="M20" t="str">
        <f t="shared" si="8"/>
        <v>0.00</v>
      </c>
      <c r="N20" t="str">
        <f t="shared" si="7"/>
        <v>0.00</v>
      </c>
      <c r="O20" t="str">
        <f>"300589"</f>
        <v>300589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 t="shared" ref="G21:G28" si="10"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si="9"/>
        <v>0.00</v>
      </c>
      <c r="M21" t="str">
        <f t="shared" si="8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"华林证券"</f>
        <v>华林证券</v>
      </c>
      <c r="C22" t="str">
        <f>"20190108"</f>
        <v>20190108</v>
      </c>
      <c r="D22" t="str">
        <f t="shared" ref="D22:D28" si="11">"0.000"</f>
        <v>0.000</v>
      </c>
      <c r="E22" t="str">
        <f>"11.00"</f>
        <v>11.00</v>
      </c>
      <c r="F22" t="str">
        <f t="shared" ref="F22:F28" si="12">"0.00"</f>
        <v>0.00</v>
      </c>
      <c r="G22" t="str">
        <f t="shared" si="10"/>
        <v>873.27</v>
      </c>
      <c r="H22" t="str">
        <f t="shared" ref="H22:H28" si="13">"0.00"</f>
        <v>0.00</v>
      </c>
      <c r="I22" t="str">
        <f>"54"</f>
        <v>54</v>
      </c>
      <c r="J22" t="str">
        <f>"申购配号(华林证券)"</f>
        <v>申购配号(华林证券)</v>
      </c>
      <c r="K22" t="str">
        <f t="shared" ref="K22:K28" si="14">"0.00"</f>
        <v>0.00</v>
      </c>
      <c r="L22" t="str">
        <f t="shared" si="9"/>
        <v>0.00</v>
      </c>
      <c r="M22" t="str">
        <f t="shared" si="8"/>
        <v>0.00</v>
      </c>
      <c r="N22" t="str">
        <f t="shared" si="7"/>
        <v>0.00</v>
      </c>
      <c r="O22" t="str">
        <f>"002945"</f>
        <v>002945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si="11"/>
        <v>0.000</v>
      </c>
      <c r="E23" t="str">
        <f>"5.00"</f>
        <v>5.00</v>
      </c>
      <c r="F23" t="str">
        <f t="shared" si="12"/>
        <v>0.00</v>
      </c>
      <c r="G23" t="str">
        <f t="shared" si="10"/>
        <v>873.27</v>
      </c>
      <c r="H23" t="str">
        <f t="shared" si="13"/>
        <v>0.00</v>
      </c>
      <c r="I23" t="str">
        <f>"65"</f>
        <v>65</v>
      </c>
      <c r="J23" t="str">
        <f>"申购配号(宁表配号)"</f>
        <v>申购配号(宁表配号)</v>
      </c>
      <c r="K23" t="str">
        <f t="shared" si="14"/>
        <v>0.00</v>
      </c>
      <c r="L23" t="str">
        <f t="shared" si="9"/>
        <v>0.00</v>
      </c>
      <c r="M23" t="str">
        <f t="shared" si="8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11"/>
        <v>0.000</v>
      </c>
      <c r="E24" t="str">
        <f>"5.00"</f>
        <v>5.00</v>
      </c>
      <c r="F24" t="str">
        <f t="shared" si="12"/>
        <v>0.00</v>
      </c>
      <c r="G24" t="str">
        <f t="shared" si="10"/>
        <v>873.27</v>
      </c>
      <c r="H24" t="str">
        <f t="shared" si="13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4"/>
        <v>0.00</v>
      </c>
      <c r="L24" t="str">
        <f t="shared" si="9"/>
        <v>0.00</v>
      </c>
      <c r="M24" t="str">
        <f t="shared" si="8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11"/>
        <v>0.000</v>
      </c>
      <c r="E25" t="str">
        <f>"12.00"</f>
        <v>12.00</v>
      </c>
      <c r="F25" t="str">
        <f t="shared" si="12"/>
        <v>0.00</v>
      </c>
      <c r="G25" t="str">
        <f t="shared" si="10"/>
        <v>873.27</v>
      </c>
      <c r="H25" t="str">
        <f t="shared" si="13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4"/>
        <v>0.00</v>
      </c>
      <c r="L25" t="str">
        <f t="shared" si="9"/>
        <v>0.00</v>
      </c>
      <c r="M25" t="str">
        <f t="shared" si="8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"威尔配号"</f>
        <v>威尔配号</v>
      </c>
      <c r="C26" t="str">
        <f>"20190116"</f>
        <v>20190116</v>
      </c>
      <c r="D26" t="str">
        <f t="shared" si="11"/>
        <v>0.000</v>
      </c>
      <c r="E26" t="str">
        <f>"5.00"</f>
        <v>5.00</v>
      </c>
      <c r="F26" t="str">
        <f t="shared" si="12"/>
        <v>0.00</v>
      </c>
      <c r="G26" t="str">
        <f t="shared" si="10"/>
        <v>873.27</v>
      </c>
      <c r="H26" t="str">
        <f t="shared" si="13"/>
        <v>0.00</v>
      </c>
      <c r="I26" t="str">
        <f>"76"</f>
        <v>76</v>
      </c>
      <c r="J26" t="str">
        <f>"申购配号(威尔配号)"</f>
        <v>申购配号(威尔配号)</v>
      </c>
      <c r="K26" t="str">
        <f t="shared" si="14"/>
        <v>0.00</v>
      </c>
      <c r="L26" t="str">
        <f t="shared" si="9"/>
        <v>0.00</v>
      </c>
      <c r="M26" t="str">
        <f t="shared" si="8"/>
        <v>0.00</v>
      </c>
      <c r="N26" t="str">
        <f t="shared" si="7"/>
        <v>0.00</v>
      </c>
      <c r="O26" t="str">
        <f>"736351"</f>
        <v>736351</v>
      </c>
      <c r="P26" t="str">
        <f>"A400948245"</f>
        <v>A400948245</v>
      </c>
    </row>
    <row r="27" spans="1:16" x14ac:dyDescent="0.25">
      <c r="A27" t="str">
        <f t="shared" si="0"/>
        <v>人民币</v>
      </c>
      <c r="B27" t="str">
        <f>"新乳业"</f>
        <v>新乳业</v>
      </c>
      <c r="C27" t="str">
        <f>"20190116"</f>
        <v>20190116</v>
      </c>
      <c r="D27" t="str">
        <f t="shared" si="11"/>
        <v>0.000</v>
      </c>
      <c r="E27" t="str">
        <f>"12.00"</f>
        <v>12.00</v>
      </c>
      <c r="F27" t="str">
        <f t="shared" si="12"/>
        <v>0.00</v>
      </c>
      <c r="G27" t="str">
        <f t="shared" si="10"/>
        <v>873.27</v>
      </c>
      <c r="H27" t="str">
        <f t="shared" si="13"/>
        <v>0.00</v>
      </c>
      <c r="I27" t="str">
        <f>"74"</f>
        <v>74</v>
      </c>
      <c r="J27" t="str">
        <f>"申购配号(新乳业)"</f>
        <v>申购配号(新乳业)</v>
      </c>
      <c r="K27" t="str">
        <f t="shared" si="14"/>
        <v>0.00</v>
      </c>
      <c r="L27" t="str">
        <f t="shared" si="9"/>
        <v>0.00</v>
      </c>
      <c r="M27" t="str">
        <f t="shared" si="8"/>
        <v>0.00</v>
      </c>
      <c r="N27" t="str">
        <f t="shared" si="7"/>
        <v>0.00</v>
      </c>
      <c r="O27" t="str">
        <f>"002946"</f>
        <v>002946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11"/>
        <v>0.000</v>
      </c>
      <c r="E28" t="str">
        <f>"13.00"</f>
        <v>13.00</v>
      </c>
      <c r="F28" t="str">
        <f t="shared" si="12"/>
        <v>0.00</v>
      </c>
      <c r="G28" t="str">
        <f t="shared" si="10"/>
        <v>873.27</v>
      </c>
      <c r="H28" t="str">
        <f t="shared" si="13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4"/>
        <v>0.00</v>
      </c>
      <c r="L28" t="str">
        <f t="shared" si="9"/>
        <v>0.00</v>
      </c>
      <c r="M28" t="str">
        <f t="shared" si="8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 "</f>
        <v xml:space="preserve"> </v>
      </c>
      <c r="C29" t="str">
        <f>"20190122"</f>
        <v>20190122</v>
      </c>
      <c r="D29" t="str">
        <f>"---"</f>
        <v>---</v>
      </c>
      <c r="E29" t="str">
        <f>"---"</f>
        <v>---</v>
      </c>
      <c r="F29" t="str">
        <f>"10000.00"</f>
        <v>10000.00</v>
      </c>
      <c r="G29" t="str">
        <f>"10873.27"</f>
        <v>10873.27</v>
      </c>
      <c r="H29" t="str">
        <f>"---"</f>
        <v>---</v>
      </c>
      <c r="I29" t="str">
        <f>"---"</f>
        <v>---</v>
      </c>
      <c r="J29" t="str">
        <f>"银行转存"</f>
        <v>银行转存</v>
      </c>
      <c r="K29" t="str">
        <f t="shared" ref="K29:P29" si="15">"---"</f>
        <v>---</v>
      </c>
      <c r="L29" t="str">
        <f t="shared" si="15"/>
        <v>---</v>
      </c>
      <c r="M29" t="str">
        <f t="shared" si="15"/>
        <v>---</v>
      </c>
      <c r="N29" t="str">
        <f t="shared" si="15"/>
        <v>---</v>
      </c>
      <c r="O29" t="str">
        <f t="shared" si="15"/>
        <v>---</v>
      </c>
      <c r="P29" t="str">
        <f t="shared" si="15"/>
        <v>---</v>
      </c>
    </row>
    <row r="30" spans="1:16" x14ac:dyDescent="0.25">
      <c r="A30" t="str">
        <f t="shared" si="0"/>
        <v>人民币</v>
      </c>
      <c r="B30" t="str">
        <f>"江龙船艇"</f>
        <v>江龙船艇</v>
      </c>
      <c r="C30" t="str">
        <f>"20190122"</f>
        <v>20190122</v>
      </c>
      <c r="D30" t="str">
        <f>"11.750"</f>
        <v>11.750</v>
      </c>
      <c r="E30" t="str">
        <f>"400.00"</f>
        <v>400.00</v>
      </c>
      <c r="F30" t="str">
        <f>"-4705.00"</f>
        <v>-4705.00</v>
      </c>
      <c r="G30" t="str">
        <f>"6168.27"</f>
        <v>6168.27</v>
      </c>
      <c r="H30" t="str">
        <f>"5000.00"</f>
        <v>5000.00</v>
      </c>
      <c r="I30" t="str">
        <f>"84"</f>
        <v>84</v>
      </c>
      <c r="J30" t="str">
        <f>"证券买入(江龙船艇)"</f>
        <v>证券买入(江龙船艇)</v>
      </c>
      <c r="K30" t="str">
        <f>"5.00"</f>
        <v>5.00</v>
      </c>
      <c r="L30" t="str">
        <f t="shared" ref="L30:N42" si="16">"0.00"</f>
        <v>0.00</v>
      </c>
      <c r="M30" t="str">
        <f t="shared" si="16"/>
        <v>0.00</v>
      </c>
      <c r="N30" t="str">
        <f t="shared" si="16"/>
        <v>0.00</v>
      </c>
      <c r="O30" t="str">
        <f>"300589"</f>
        <v>300589</v>
      </c>
      <c r="P30" t="str">
        <f>"0153613480"</f>
        <v>0153613480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 t="shared" si="16"/>
        <v>0.00</v>
      </c>
      <c r="M31" t="str">
        <f t="shared" si="16"/>
        <v>0.00</v>
      </c>
      <c r="N31" t="str">
        <f t="shared" si="16"/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7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si="16"/>
        <v>0.00</v>
      </c>
      <c r="M32" t="str">
        <f>"0.09"</f>
        <v>0.09</v>
      </c>
      <c r="N32" t="str">
        <f t="shared" si="16"/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8">"0.000"</f>
        <v>0.000</v>
      </c>
      <c r="E33" t="str">
        <f>"5.00"</f>
        <v>5.00</v>
      </c>
      <c r="F33" t="str">
        <f t="shared" ref="F33:F38" si="19">"0.00"</f>
        <v>0.00</v>
      </c>
      <c r="G33" t="str">
        <f t="shared" si="17"/>
        <v>1603.18</v>
      </c>
      <c r="H33" t="str">
        <f t="shared" ref="H33:H38" si="20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1">"0.00"</f>
        <v>0.00</v>
      </c>
      <c r="L33" t="str">
        <f t="shared" si="16"/>
        <v>0.00</v>
      </c>
      <c r="M33" t="str">
        <f t="shared" si="16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8"/>
        <v>0.000</v>
      </c>
      <c r="E34" t="str">
        <f>"14.00"</f>
        <v>14.00</v>
      </c>
      <c r="F34" t="str">
        <f t="shared" si="19"/>
        <v>0.00</v>
      </c>
      <c r="G34" t="str">
        <f t="shared" si="17"/>
        <v>1603.18</v>
      </c>
      <c r="H34" t="str">
        <f t="shared" si="20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1"/>
        <v>0.00</v>
      </c>
      <c r="L34" t="str">
        <f t="shared" si="16"/>
        <v>0.00</v>
      </c>
      <c r="M34" t="str">
        <f t="shared" si="16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8"/>
        <v>0.000</v>
      </c>
      <c r="E35" t="str">
        <f>"5.00"</f>
        <v>5.00</v>
      </c>
      <c r="F35" t="str">
        <f t="shared" si="19"/>
        <v>0.00</v>
      </c>
      <c r="G35" t="str">
        <f t="shared" si="17"/>
        <v>1603.18</v>
      </c>
      <c r="H35" t="str">
        <f t="shared" si="20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1"/>
        <v>0.00</v>
      </c>
      <c r="L35" t="str">
        <f t="shared" si="16"/>
        <v>0.00</v>
      </c>
      <c r="M35" t="str">
        <f t="shared" si="16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"华阳国际"</f>
        <v>华阳国际</v>
      </c>
      <c r="C36" t="str">
        <f>"20190213"</f>
        <v>20190213</v>
      </c>
      <c r="D36" t="str">
        <f t="shared" si="18"/>
        <v>0.000</v>
      </c>
      <c r="E36" t="str">
        <f>"14.00"</f>
        <v>14.00</v>
      </c>
      <c r="F36" t="str">
        <f t="shared" si="19"/>
        <v>0.00</v>
      </c>
      <c r="G36" t="str">
        <f t="shared" si="17"/>
        <v>1603.18</v>
      </c>
      <c r="H36" t="str">
        <f t="shared" si="20"/>
        <v>0.00</v>
      </c>
      <c r="I36" t="str">
        <f>"1"</f>
        <v>1</v>
      </c>
      <c r="J36" t="str">
        <f>"申购配号(华阳国际)"</f>
        <v>申购配号(华阳国际)</v>
      </c>
      <c r="K36" t="str">
        <f t="shared" si="21"/>
        <v>0.00</v>
      </c>
      <c r="L36" t="str">
        <f t="shared" si="16"/>
        <v>0.00</v>
      </c>
      <c r="M36" t="str">
        <f t="shared" si="16"/>
        <v>0.00</v>
      </c>
      <c r="N36" t="str">
        <f t="shared" si="16"/>
        <v>0.00</v>
      </c>
      <c r="O36" t="str">
        <f>"002949"</f>
        <v>002949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"七彩化学"</f>
        <v>七彩化学</v>
      </c>
      <c r="C37" t="str">
        <f>"20190213"</f>
        <v>20190213</v>
      </c>
      <c r="D37" t="str">
        <f t="shared" si="18"/>
        <v>0.000</v>
      </c>
      <c r="E37" t="str">
        <f>"14.00"</f>
        <v>14.00</v>
      </c>
      <c r="F37" t="str">
        <f t="shared" si="19"/>
        <v>0.00</v>
      </c>
      <c r="G37" t="str">
        <f t="shared" si="17"/>
        <v>1603.18</v>
      </c>
      <c r="H37" t="str">
        <f t="shared" si="20"/>
        <v>0.00</v>
      </c>
      <c r="I37" t="str">
        <f>"3"</f>
        <v>3</v>
      </c>
      <c r="J37" t="str">
        <f>"申购配号(七彩化学)"</f>
        <v>申购配号(七彩化学)</v>
      </c>
      <c r="K37" t="str">
        <f t="shared" si="21"/>
        <v>0.00</v>
      </c>
      <c r="L37" t="str">
        <f t="shared" si="16"/>
        <v>0.00</v>
      </c>
      <c r="M37" t="str">
        <f t="shared" si="16"/>
        <v>0.00</v>
      </c>
      <c r="N37" t="str">
        <f t="shared" si="16"/>
        <v>0.00</v>
      </c>
      <c r="O37" t="str">
        <f>"300758"</f>
        <v>300758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8"/>
        <v>0.000</v>
      </c>
      <c r="E38" t="str">
        <f>"0.00"</f>
        <v>0.00</v>
      </c>
      <c r="F38" t="str">
        <f t="shared" si="19"/>
        <v>0.00</v>
      </c>
      <c r="G38" t="str">
        <f t="shared" si="17"/>
        <v>1603.18</v>
      </c>
      <c r="H38" t="str">
        <f t="shared" si="20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1"/>
        <v>0.00</v>
      </c>
      <c r="L38" t="str">
        <f t="shared" si="16"/>
        <v>0.00</v>
      </c>
      <c r="M38" t="str">
        <f t="shared" si="16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6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"12.730"</f>
        <v>12.730</v>
      </c>
      <c r="E40" t="str">
        <f>"400.00"</f>
        <v>400.00</v>
      </c>
      <c r="F40" t="str">
        <f>"-5097.09"</f>
        <v>-5097.09</v>
      </c>
      <c r="G40" t="str">
        <f>"9170.71"</f>
        <v>9170.71</v>
      </c>
      <c r="H40" t="str">
        <f>"1800.00"</f>
        <v>1800.00</v>
      </c>
      <c r="I40" t="str">
        <f>"16"</f>
        <v>16</v>
      </c>
      <c r="J40" t="str">
        <f>"证券买入(九典制药)"</f>
        <v>证券买入(九典制药)</v>
      </c>
      <c r="K40" t="str">
        <f>"5.09"</f>
        <v>5.09</v>
      </c>
      <c r="L40" t="str">
        <f>"0.00"</f>
        <v>0.00</v>
      </c>
      <c r="M40" t="str">
        <f t="shared" si="16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"12.560"</f>
        <v>12.560</v>
      </c>
      <c r="E41" t="str">
        <f>"200.00"</f>
        <v>200.00</v>
      </c>
      <c r="F41" t="str">
        <f>"-2517.00"</f>
        <v>-2517.00</v>
      </c>
      <c r="G41" t="str">
        <f>"6653.71"</f>
        <v>6653.71</v>
      </c>
      <c r="H41" t="str">
        <f>"2000.00"</f>
        <v>2000.00</v>
      </c>
      <c r="I41" t="str">
        <f>"22"</f>
        <v>22</v>
      </c>
      <c r="J41" t="str">
        <f>"证券买入(九典制药)"</f>
        <v>证券买入(九典制药)</v>
      </c>
      <c r="K41" t="str">
        <f>"5.00"</f>
        <v>5.00</v>
      </c>
      <c r="L41" t="str">
        <f>"0.00"</f>
        <v>0.00</v>
      </c>
      <c r="M41" t="str">
        <f t="shared" si="16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 "</f>
        <v xml:space="preserve"> </v>
      </c>
      <c r="C43" t="str">
        <f>"20190225"</f>
        <v>20190225</v>
      </c>
      <c r="D43" t="str">
        <f>"---"</f>
        <v>---</v>
      </c>
      <c r="E43" t="str">
        <f>"---"</f>
        <v>---</v>
      </c>
      <c r="F43" t="str">
        <f>"-10000.00"</f>
        <v>-10000.00</v>
      </c>
      <c r="G43" t="str">
        <f>"1297.97"</f>
        <v>1297.97</v>
      </c>
      <c r="H43" t="str">
        <f>"---"</f>
        <v>---</v>
      </c>
      <c r="I43" t="str">
        <f>"---"</f>
        <v>---</v>
      </c>
      <c r="J43" t="str">
        <f>"银行转取"</f>
        <v>银行转取</v>
      </c>
      <c r="K43" t="str">
        <f t="shared" ref="K43:P43" si="22">"---"</f>
        <v>---</v>
      </c>
      <c r="L43" t="str">
        <f t="shared" si="22"/>
        <v>---</v>
      </c>
      <c r="M43" t="str">
        <f t="shared" si="22"/>
        <v>---</v>
      </c>
      <c r="N43" t="str">
        <f t="shared" si="22"/>
        <v>---</v>
      </c>
      <c r="O43" t="str">
        <f t="shared" si="22"/>
        <v>---</v>
      </c>
      <c r="P43" t="str">
        <f t="shared" si="22"/>
        <v>---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>"0.00"</f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"九典制药"</f>
        <v>九典制药</v>
      </c>
      <c r="C45" t="str">
        <f>"20190225"</f>
        <v>20190225</v>
      </c>
      <c r="D45" t="str">
        <f>"13.890"</f>
        <v>13.890</v>
      </c>
      <c r="E45" t="str">
        <f>"-1000.00"</f>
        <v>-1000.00</v>
      </c>
      <c r="F45" t="str">
        <f>"13862.22"</f>
        <v>13862.22</v>
      </c>
      <c r="G45" t="str">
        <f>"29012.43"</f>
        <v>29012.43</v>
      </c>
      <c r="H45" t="str">
        <f>"0.00"</f>
        <v>0.00</v>
      </c>
      <c r="I45" t="str">
        <f>"42"</f>
        <v>42</v>
      </c>
      <c r="J45" t="str">
        <f>"证券卖出(九典制药)"</f>
        <v>证券卖出(九典制药)</v>
      </c>
      <c r="K45" t="str">
        <f>"13.89"</f>
        <v>13.89</v>
      </c>
      <c r="L45" t="str">
        <f>"13.89"</f>
        <v>13.89</v>
      </c>
      <c r="M45" t="str">
        <f>"0.00"</f>
        <v>0.00</v>
      </c>
      <c r="N45" t="str">
        <f>"0.00"</f>
        <v>0.00</v>
      </c>
      <c r="O45" t="str">
        <f>"300705"</f>
        <v>300705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""</f>
        <v/>
      </c>
      <c r="C47" t="str">
        <f>"20190227"</f>
        <v>20190227</v>
      </c>
      <c r="D47" t="str">
        <f>"---"</f>
        <v>---</v>
      </c>
      <c r="E47" t="str">
        <f>"---"</f>
        <v>---</v>
      </c>
      <c r="F47" t="str">
        <f>"-15000.00"</f>
        <v>-15000.00</v>
      </c>
      <c r="G47" t="str">
        <f>"4470.71"</f>
        <v>4470.71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7" si="23">"---"</f>
        <v>---</v>
      </c>
      <c r="L47" t="str">
        <f t="shared" si="23"/>
        <v>---</v>
      </c>
      <c r="M47" t="str">
        <f t="shared" si="23"/>
        <v>---</v>
      </c>
      <c r="N47" t="str">
        <f t="shared" si="23"/>
        <v>---</v>
      </c>
      <c r="O47" t="str">
        <f t="shared" si="23"/>
        <v>---</v>
      </c>
      <c r="P47" t="str">
        <f t="shared" si="23"/>
        <v>---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"奥美医疗"</f>
        <v>奥美医疗</v>
      </c>
      <c r="C49" t="str">
        <f>"20190227"</f>
        <v>20190227</v>
      </c>
      <c r="D49" t="str">
        <f>"0.000"</f>
        <v>0.000</v>
      </c>
      <c r="E49" t="str">
        <f>"14.00"</f>
        <v>14.00</v>
      </c>
      <c r="F49" t="str">
        <f>"0.00"</f>
        <v>0.00</v>
      </c>
      <c r="G49" t="str">
        <f>"31736.07"</f>
        <v>31736.07</v>
      </c>
      <c r="H49" t="str">
        <f>"0.00"</f>
        <v>0.00</v>
      </c>
      <c r="I49" t="str">
        <f>"52"</f>
        <v>52</v>
      </c>
      <c r="J49" t="str">
        <f>"申购配号(奥美医疗)"</f>
        <v>申购配号(奥美医疗)</v>
      </c>
      <c r="K49" t="str">
        <f>"0.00"</f>
        <v>0.00</v>
      </c>
      <c r="L49" t="str">
        <f>"0.00"</f>
        <v>0.00</v>
      </c>
      <c r="M49" t="str">
        <f>"0.00"</f>
        <v>0.00</v>
      </c>
      <c r="N49" t="str">
        <f>"0.00"</f>
        <v>0.00</v>
      </c>
      <c r="O49" t="str">
        <f>"002950"</f>
        <v>002950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ref="K50:P50" si="24">"---"</f>
        <v>---</v>
      </c>
      <c r="L50" t="str">
        <f t="shared" si="24"/>
        <v>---</v>
      </c>
      <c r="M50" t="str">
        <f t="shared" si="24"/>
        <v>---</v>
      </c>
      <c r="N50" t="str">
        <f t="shared" si="24"/>
        <v>---</v>
      </c>
      <c r="O50" t="str">
        <f t="shared" si="24"/>
        <v>---</v>
      </c>
      <c r="P50" t="str">
        <f t="shared" si="24"/>
        <v>---</v>
      </c>
    </row>
    <row r="51" spans="1:16" x14ac:dyDescent="0.25">
      <c r="A51" t="str">
        <f t="shared" si="0"/>
        <v>人民币</v>
      </c>
      <c r="B51" t="str">
        <f>"高能环境"</f>
        <v>高能环境</v>
      </c>
      <c r="C51" t="str">
        <f>"20190301"</f>
        <v>20190301</v>
      </c>
      <c r="D51" t="str">
        <f>"9.580"</f>
        <v>9.580</v>
      </c>
      <c r="E51" t="str">
        <f>"1000.00"</f>
        <v>1000.00</v>
      </c>
      <c r="F51" t="str">
        <f>"-9589.77"</f>
        <v>-9589.77</v>
      </c>
      <c r="G51" t="str">
        <f>"12146.30"</f>
        <v>12146.30</v>
      </c>
      <c r="H51" t="str">
        <f>"1000.00"</f>
        <v>1000.00</v>
      </c>
      <c r="I51" t="str">
        <f>"67"</f>
        <v>67</v>
      </c>
      <c r="J51" t="str">
        <f>"证券买入(高能环境)"</f>
        <v>证券买入(高能环境)</v>
      </c>
      <c r="K51" t="str">
        <f>"9.58"</f>
        <v>9.58</v>
      </c>
      <c r="L51" t="str">
        <f>"0.00"</f>
        <v>0.00</v>
      </c>
      <c r="M51" t="str">
        <f>"0.19"</f>
        <v>0.19</v>
      </c>
      <c r="N51" t="str">
        <f>"0.00"</f>
        <v>0.00</v>
      </c>
      <c r="O51" t="str">
        <f>"603588"</f>
        <v>603588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>"0.00"</f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"七一二"</f>
        <v>七一二</v>
      </c>
      <c r="C53" t="str">
        <f>"20190301"</f>
        <v>20190301</v>
      </c>
      <c r="D53" t="str">
        <f>"18.430"</f>
        <v>18.430</v>
      </c>
      <c r="E53" t="str">
        <f>"-600.00"</f>
        <v>-600.00</v>
      </c>
      <c r="F53" t="str">
        <f>"11035.66"</f>
        <v>11035.66</v>
      </c>
      <c r="G53" t="str">
        <f>"12352.92"</f>
        <v>12352.92</v>
      </c>
      <c r="H53" t="str">
        <f>"2000.00"</f>
        <v>2000.00</v>
      </c>
      <c r="I53" t="str">
        <f>"73"</f>
        <v>73</v>
      </c>
      <c r="J53" t="str">
        <f>"证券卖出(七一二)"</f>
        <v>证券卖出(七一二)</v>
      </c>
      <c r="K53" t="str">
        <f>"11.06"</f>
        <v>11.06</v>
      </c>
      <c r="L53" t="str">
        <f>"11.06"</f>
        <v>11.06</v>
      </c>
      <c r="M53" t="str">
        <f>"0.22"</f>
        <v>0.22</v>
      </c>
      <c r="N53" t="str">
        <f>"0.00"</f>
        <v>0.00</v>
      </c>
      <c r="O53" t="str">
        <f>"603712"</f>
        <v>603712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""</f>
        <v/>
      </c>
      <c r="C54" t="str">
        <f t="shared" ref="C54:C59" si="25">"20190304"</f>
        <v>20190304</v>
      </c>
      <c r="D54" t="str">
        <f>"---"</f>
        <v>---</v>
      </c>
      <c r="E54" t="str">
        <f>"---"</f>
        <v>---</v>
      </c>
      <c r="F54" t="str">
        <f>"-10000.00"</f>
        <v>-10000.00</v>
      </c>
      <c r="G54" t="str">
        <f>"2352.92"</f>
        <v>2352.92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6">"---"</f>
        <v>---</v>
      </c>
      <c r="L54" t="str">
        <f t="shared" si="26"/>
        <v>---</v>
      </c>
      <c r="M54" t="str">
        <f t="shared" si="26"/>
        <v>---</v>
      </c>
      <c r="N54" t="str">
        <f t="shared" si="26"/>
        <v>---</v>
      </c>
      <c r="O54" t="str">
        <f t="shared" si="26"/>
        <v>---</v>
      </c>
      <c r="P54" t="str">
        <f t="shared" si="26"/>
        <v>---</v>
      </c>
    </row>
    <row r="55" spans="1:16" x14ac:dyDescent="0.25">
      <c r="A55" t="str">
        <f t="shared" si="0"/>
        <v>人民币</v>
      </c>
      <c r="B55" t="str">
        <f>"高能环境"</f>
        <v>高能环境</v>
      </c>
      <c r="C55" t="str">
        <f t="shared" si="25"/>
        <v>20190304</v>
      </c>
      <c r="D55" t="str">
        <f>"10.080"</f>
        <v>10.080</v>
      </c>
      <c r="E55" t="str">
        <f>"-1000.00"</f>
        <v>-1000.00</v>
      </c>
      <c r="F55" t="str">
        <f>"10059.64"</f>
        <v>10059.64</v>
      </c>
      <c r="G55" t="str">
        <f>"12412.56"</f>
        <v>12412.56</v>
      </c>
      <c r="H55" t="str">
        <f>"0.00"</f>
        <v>0.00</v>
      </c>
      <c r="I55" t="str">
        <f>"84"</f>
        <v>84</v>
      </c>
      <c r="J55" t="str">
        <f>"证券卖出(高能环境)"</f>
        <v>证券卖出(高能环境)</v>
      </c>
      <c r="K55" t="str">
        <f>"10.08"</f>
        <v>10.08</v>
      </c>
      <c r="L55" t="str">
        <f>"10.08"</f>
        <v>10.08</v>
      </c>
      <c r="M55" t="str">
        <f>"0.20"</f>
        <v>0.20</v>
      </c>
      <c r="N55" t="str">
        <f>"0.00"</f>
        <v>0.00</v>
      </c>
      <c r="O55" t="str">
        <f>"603588"</f>
        <v>603588</v>
      </c>
      <c r="P55" t="str">
        <f>"A400948245"</f>
        <v>A400948245</v>
      </c>
    </row>
    <row r="56" spans="1:16" x14ac:dyDescent="0.25">
      <c r="A56" t="str">
        <f t="shared" si="0"/>
        <v>人民币</v>
      </c>
      <c r="B56" t="str">
        <f>"中通国脉"</f>
        <v>中通国脉</v>
      </c>
      <c r="C56" t="str">
        <f t="shared" si="25"/>
        <v>20190304</v>
      </c>
      <c r="D56" t="str">
        <f>"24.500"</f>
        <v>24.500</v>
      </c>
      <c r="E56" t="str">
        <f>"-400.00"</f>
        <v>-400.00</v>
      </c>
      <c r="F56" t="str">
        <f>"9780.20"</f>
        <v>9780.20</v>
      </c>
      <c r="G56" t="str">
        <f>"22192.76"</f>
        <v>22192.76</v>
      </c>
      <c r="H56" t="str">
        <f>"600.00"</f>
        <v>600.00</v>
      </c>
      <c r="I56" t="str">
        <f>"98"</f>
        <v>98</v>
      </c>
      <c r="J56" t="str">
        <f>"证券卖出(中通国脉)"</f>
        <v>证券卖出(中通国脉)</v>
      </c>
      <c r="K56" t="str">
        <f>"9.80"</f>
        <v>9.80</v>
      </c>
      <c r="L56" t="str">
        <f>"9.80"</f>
        <v>9.80</v>
      </c>
      <c r="M56" t="str">
        <f>"0.20"</f>
        <v>0.20</v>
      </c>
      <c r="N56" t="str">
        <f>"0.00"</f>
        <v>0.00</v>
      </c>
      <c r="O56" t="str">
        <f>"603559"</f>
        <v>603559</v>
      </c>
      <c r="P56" t="str">
        <f>"A400948245"</f>
        <v>A400948245</v>
      </c>
    </row>
    <row r="57" spans="1:16" x14ac:dyDescent="0.25">
      <c r="A57" t="str">
        <f t="shared" si="0"/>
        <v>人民币</v>
      </c>
      <c r="B57" t="str">
        <f>"江龙船艇"</f>
        <v>江龙船艇</v>
      </c>
      <c r="C57" t="str">
        <f t="shared" si="25"/>
        <v>20190304</v>
      </c>
      <c r="D57" t="str">
        <f>"13.550"</f>
        <v>13.550</v>
      </c>
      <c r="E57" t="str">
        <f>"-1000.00"</f>
        <v>-1000.00</v>
      </c>
      <c r="F57" t="str">
        <f>"13522.90"</f>
        <v>13522.90</v>
      </c>
      <c r="G57" t="str">
        <f>"35715.66"</f>
        <v>35715.66</v>
      </c>
      <c r="H57" t="str">
        <f>"1000.00"</f>
        <v>1000.00</v>
      </c>
      <c r="I57" t="str">
        <f>"79"</f>
        <v>79</v>
      </c>
      <c r="J57" t="str">
        <f>"证券卖出(江龙船艇)"</f>
        <v>证券卖出(江龙船艇)</v>
      </c>
      <c r="K57" t="str">
        <f>"13.55"</f>
        <v>13.55</v>
      </c>
      <c r="L57" t="str">
        <f>"13.55"</f>
        <v>13.55</v>
      </c>
      <c r="M57" t="str">
        <f>"0.00"</f>
        <v>0.00</v>
      </c>
      <c r="N57" t="str">
        <f>"0.00"</f>
        <v>0.00</v>
      </c>
      <c r="O57" t="str">
        <f>"300589"</f>
        <v>300589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"江龙船艇"</f>
        <v>江龙船艇</v>
      </c>
      <c r="C58" t="str">
        <f t="shared" si="25"/>
        <v>20190304</v>
      </c>
      <c r="D58" t="str">
        <f>"13.700"</f>
        <v>13.700</v>
      </c>
      <c r="E58" t="str">
        <f>"-500.00"</f>
        <v>-500.00</v>
      </c>
      <c r="F58" t="str">
        <f>"6836.30"</f>
        <v>6836.30</v>
      </c>
      <c r="G58" t="str">
        <f>"42551.96"</f>
        <v>42551.96</v>
      </c>
      <c r="H58" t="str">
        <f>"500.00"</f>
        <v>500.00</v>
      </c>
      <c r="I58" t="str">
        <f>"91"</f>
        <v>91</v>
      </c>
      <c r="J58" t="str">
        <f>"证券卖出(江龙船艇)"</f>
        <v>证券卖出(江龙船艇)</v>
      </c>
      <c r="K58" t="str">
        <f>"6.85"</f>
        <v>6.85</v>
      </c>
      <c r="L58" t="str">
        <f>"6.85"</f>
        <v>6.85</v>
      </c>
      <c r="M58" t="str">
        <f>"0.00"</f>
        <v>0.00</v>
      </c>
      <c r="N58" t="str">
        <f>"0.00"</f>
        <v>0.00</v>
      </c>
      <c r="O58" t="str">
        <f>"300589"</f>
        <v>300589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"江龙船艇"</f>
        <v>江龙船艇</v>
      </c>
      <c r="C59" t="str">
        <f t="shared" si="25"/>
        <v>20190304</v>
      </c>
      <c r="D59" t="str">
        <f>"13.670"</f>
        <v>13.670</v>
      </c>
      <c r="E59" t="str">
        <f>"-500.00"</f>
        <v>-500.00</v>
      </c>
      <c r="F59" t="str">
        <f>"6821.32"</f>
        <v>6821.32</v>
      </c>
      <c r="G59" t="str">
        <f>"49373.28"</f>
        <v>49373.28</v>
      </c>
      <c r="H59" t="str">
        <f>"0.00"</f>
        <v>0.00</v>
      </c>
      <c r="I59" t="str">
        <f>"94"</f>
        <v>94</v>
      </c>
      <c r="J59" t="str">
        <f>"证券卖出(江龙船艇)"</f>
        <v>证券卖出(江龙船艇)</v>
      </c>
      <c r="K59" t="str">
        <f>"6.84"</f>
        <v>6.84</v>
      </c>
      <c r="L59" t="str">
        <f>"6.84"</f>
        <v>6.84</v>
      </c>
      <c r="M59" t="str">
        <f>"0.00"</f>
        <v>0.00</v>
      </c>
      <c r="N59" t="str">
        <f>"0.00"</f>
        <v>0.00</v>
      </c>
      <c r="O59" t="str">
        <f>"300589"</f>
        <v>300589</v>
      </c>
      <c r="P59" t="str">
        <f>"0153613480"</f>
        <v>0153613480</v>
      </c>
    </row>
    <row r="60" spans="1:16" x14ac:dyDescent="0.25">
      <c r="A60" t="str">
        <f t="shared" si="0"/>
        <v>人民币</v>
      </c>
      <c r="B60" t="str">
        <f>"中通国脉"</f>
        <v>中通国脉</v>
      </c>
      <c r="C60" t="str">
        <f>"20190305"</f>
        <v>20190305</v>
      </c>
      <c r="D60" t="str">
        <f>"24.210"</f>
        <v>24.210</v>
      </c>
      <c r="E60" t="str">
        <f>"500.00"</f>
        <v>500.00</v>
      </c>
      <c r="F60" t="str">
        <f>"-12117.35"</f>
        <v>-12117.35</v>
      </c>
      <c r="G60" t="str">
        <f>"37255.93"</f>
        <v>37255.93</v>
      </c>
      <c r="H60" t="str">
        <f>"1100.00"</f>
        <v>1100.00</v>
      </c>
      <c r="I60" t="str">
        <f>"108"</f>
        <v>108</v>
      </c>
      <c r="J60" t="str">
        <f>"证券买入(中通国脉)"</f>
        <v>证券买入(中通国脉)</v>
      </c>
      <c r="K60" t="str">
        <f>"12.11"</f>
        <v>12.11</v>
      </c>
      <c r="L60" t="str">
        <f>"0.00"</f>
        <v>0.00</v>
      </c>
      <c r="M60" t="str">
        <f>"0.24"</f>
        <v>0.24</v>
      </c>
      <c r="N60" t="str">
        <f t="shared" ref="N60:N66" si="27">"0.00"</f>
        <v>0.00</v>
      </c>
      <c r="O60" t="str">
        <f>"603559"</f>
        <v>603559</v>
      </c>
      <c r="P60" t="str">
        <f>"A400948245"</f>
        <v>A400948245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si="27"/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"上海瀚讯"</f>
        <v>上海瀚讯</v>
      </c>
      <c r="C62" t="str">
        <f>"20190305"</f>
        <v>20190305</v>
      </c>
      <c r="D62" t="str">
        <f>"0.000"</f>
        <v>0.000</v>
      </c>
      <c r="E62" t="str">
        <f>"12.00"</f>
        <v>12.00</v>
      </c>
      <c r="F62" t="str">
        <f>"0.00"</f>
        <v>0.00</v>
      </c>
      <c r="G62" t="str">
        <f>"27181.67"</f>
        <v>27181.67</v>
      </c>
      <c r="H62" t="str">
        <f>"0.00"</f>
        <v>0.00</v>
      </c>
      <c r="I62" t="str">
        <f>"106"</f>
        <v>106</v>
      </c>
      <c r="J62" t="str">
        <f>"申购配号(上海瀚讯)"</f>
        <v>申购配号(上海瀚讯)</v>
      </c>
      <c r="K62" t="str">
        <f>"0.00"</f>
        <v>0.00</v>
      </c>
      <c r="L62" t="str">
        <f>"0.00"</f>
        <v>0.00</v>
      </c>
      <c r="M62" t="str">
        <f>"0.00"</f>
        <v>0.00</v>
      </c>
      <c r="N62" t="str">
        <f t="shared" si="27"/>
        <v>0.00</v>
      </c>
      <c r="O62" t="str">
        <f>"300762"</f>
        <v>300762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"中通国脉"</f>
        <v>中通国脉</v>
      </c>
      <c r="C63" t="str">
        <f>"20190306"</f>
        <v>20190306</v>
      </c>
      <c r="D63" t="str">
        <f>"25.150"</f>
        <v>25.150</v>
      </c>
      <c r="E63" t="str">
        <f>"-500.00"</f>
        <v>-500.00</v>
      </c>
      <c r="F63" t="str">
        <f>"12549.59"</f>
        <v>12549.59</v>
      </c>
      <c r="G63" t="str">
        <f>"39731.26"</f>
        <v>39731.26</v>
      </c>
      <c r="H63" t="str">
        <f>"1000.00"</f>
        <v>1000.00</v>
      </c>
      <c r="I63" t="str">
        <f>"134"</f>
        <v>134</v>
      </c>
      <c r="J63" t="str">
        <f>"证券卖出(中通国脉)"</f>
        <v>证券卖出(中通国脉)</v>
      </c>
      <c r="K63" t="str">
        <f>"12.58"</f>
        <v>12.58</v>
      </c>
      <c r="L63" t="str">
        <f>"12.58"</f>
        <v>12.58</v>
      </c>
      <c r="M63" t="str">
        <f>"0.25"</f>
        <v>0.25</v>
      </c>
      <c r="N63" t="str">
        <f t="shared" si="27"/>
        <v>0.00</v>
      </c>
      <c r="O63" t="str">
        <f>"603559"</f>
        <v>603559</v>
      </c>
      <c r="P63" t="str">
        <f>"A400948245"</f>
        <v>A400948245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"25.946"</f>
        <v>25.946</v>
      </c>
      <c r="E64" t="str">
        <f>"500.00"</f>
        <v>500.00</v>
      </c>
      <c r="F64" t="str">
        <f>"-12985.97"</f>
        <v>-12985.97</v>
      </c>
      <c r="G64" t="str">
        <f>"26745.29"</f>
        <v>26745.29</v>
      </c>
      <c r="H64" t="str">
        <f>"500.00"</f>
        <v>500.00</v>
      </c>
      <c r="I64" t="str">
        <f>"128"</f>
        <v>128</v>
      </c>
      <c r="J64" t="str">
        <f>"证券买入(信立泰)"</f>
        <v>证券买入(信立泰)</v>
      </c>
      <c r="K64" t="str">
        <f>"12.97"</f>
        <v>12.97</v>
      </c>
      <c r="L64" t="str">
        <f t="shared" ref="L64:M66" si="28">"0.00"</f>
        <v>0.00</v>
      </c>
      <c r="M64" t="str">
        <f t="shared" si="28"/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"25.760"</f>
        <v>25.760</v>
      </c>
      <c r="E65" t="str">
        <f>"300.00"</f>
        <v>300.00</v>
      </c>
      <c r="F65" t="str">
        <f>"-7735.73"</f>
        <v>-7735.73</v>
      </c>
      <c r="G65" t="str">
        <f>"19009.56"</f>
        <v>19009.56</v>
      </c>
      <c r="H65" t="str">
        <f>"800.00"</f>
        <v>800.00</v>
      </c>
      <c r="I65" t="str">
        <f>"137"</f>
        <v>137</v>
      </c>
      <c r="J65" t="str">
        <f>"证券买入(信立泰)"</f>
        <v>证券买入(信立泰)</v>
      </c>
      <c r="K65" t="str">
        <f>"7.73"</f>
        <v>7.73</v>
      </c>
      <c r="L65" t="str">
        <f t="shared" si="28"/>
        <v>0.00</v>
      </c>
      <c r="M65" t="str">
        <f t="shared" si="28"/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"金时科技"</f>
        <v>金时科技</v>
      </c>
      <c r="C66" t="str">
        <f>"20190306"</f>
        <v>20190306</v>
      </c>
      <c r="D66" t="str">
        <f>"0.000"</f>
        <v>0.000</v>
      </c>
      <c r="E66" t="str">
        <f>"12.00"</f>
        <v>12.00</v>
      </c>
      <c r="F66" t="str">
        <f>"0.00"</f>
        <v>0.00</v>
      </c>
      <c r="G66" t="str">
        <f>"19009.56"</f>
        <v>19009.56</v>
      </c>
      <c r="H66" t="str">
        <f>"0.00"</f>
        <v>0.00</v>
      </c>
      <c r="I66" t="str">
        <f>"123"</f>
        <v>123</v>
      </c>
      <c r="J66" t="str">
        <f>"申购配号(金时科技)"</f>
        <v>申购配号(金时科技)</v>
      </c>
      <c r="K66" t="str">
        <f>"0.00"</f>
        <v>0.00</v>
      </c>
      <c r="L66" t="str">
        <f t="shared" si="28"/>
        <v>0.00</v>
      </c>
      <c r="M66" t="str">
        <f t="shared" si="28"/>
        <v>0.00</v>
      </c>
      <c r="N66" t="str">
        <f t="shared" si="27"/>
        <v>0.00</v>
      </c>
      <c r="O66" t="str">
        <f>"002951"</f>
        <v>002951</v>
      </c>
      <c r="P66" t="str">
        <f>"0153613480"</f>
        <v>0153613480</v>
      </c>
    </row>
    <row r="67" spans="1:16" x14ac:dyDescent="0.25">
      <c r="A67" t="str">
        <f t="shared" si="29"/>
        <v>人民币</v>
      </c>
      <c r="B67" t="str">
        <f>""</f>
        <v/>
      </c>
      <c r="C67" t="str">
        <f t="shared" ref="C67:C72" si="30">"20190307"</f>
        <v>20190307</v>
      </c>
      <c r="D67" t="str">
        <f>"---"</f>
        <v>---</v>
      </c>
      <c r="E67" t="str">
        <f>"---"</f>
        <v>---</v>
      </c>
      <c r="F67" t="str">
        <f>"10000.00"</f>
        <v>10000.00</v>
      </c>
      <c r="G67" t="str">
        <f>"29009.56"</f>
        <v>29009.56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1">"---"</f>
        <v>---</v>
      </c>
      <c r="L67" t="str">
        <f t="shared" si="31"/>
        <v>---</v>
      </c>
      <c r="M67" t="str">
        <f t="shared" si="31"/>
        <v>---</v>
      </c>
      <c r="N67" t="str">
        <f t="shared" si="31"/>
        <v>---</v>
      </c>
      <c r="O67" t="str">
        <f t="shared" si="31"/>
        <v>---</v>
      </c>
      <c r="P67" t="str">
        <f t="shared" si="31"/>
        <v>---</v>
      </c>
    </row>
    <row r="68" spans="1:16" x14ac:dyDescent="0.25">
      <c r="A68" t="str">
        <f t="shared" si="29"/>
        <v>人民币</v>
      </c>
      <c r="B68" t="str">
        <f>"中通国脉"</f>
        <v>中通国脉</v>
      </c>
      <c r="C68" t="str">
        <f t="shared" si="30"/>
        <v>20190307</v>
      </c>
      <c r="D68" t="str">
        <f>"24.960"</f>
        <v>24.960</v>
      </c>
      <c r="E68" t="str">
        <f>"500.00"</f>
        <v>500.00</v>
      </c>
      <c r="F68" t="str">
        <f>"-12492.73"</f>
        <v>-12492.73</v>
      </c>
      <c r="G68" t="str">
        <f>"16516.83"</f>
        <v>16516.83</v>
      </c>
      <c r="H68" t="str">
        <f>"1500.00"</f>
        <v>1500.00</v>
      </c>
      <c r="I68" t="str">
        <f>"144"</f>
        <v>144</v>
      </c>
      <c r="J68" t="str">
        <f>"证券买入(中通国脉)"</f>
        <v>证券买入(中通国脉)</v>
      </c>
      <c r="K68" t="str">
        <f>"12.48"</f>
        <v>12.48</v>
      </c>
      <c r="L68" t="str">
        <f>"0.00"</f>
        <v>0.00</v>
      </c>
      <c r="M68" t="str">
        <f>"0.25"</f>
        <v>0.25</v>
      </c>
      <c r="N68" t="str">
        <f>"0.00"</f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"七一二"</f>
        <v>七一二</v>
      </c>
      <c r="C69" t="str">
        <f t="shared" si="30"/>
        <v>20190307</v>
      </c>
      <c r="D69" t="str">
        <f>"19.690"</f>
        <v>19.690</v>
      </c>
      <c r="E69" t="str">
        <f>"200.00"</f>
        <v>200.00</v>
      </c>
      <c r="F69" t="str">
        <f>"-3943.08"</f>
        <v>-3943.08</v>
      </c>
      <c r="G69" t="str">
        <f>"12573.75"</f>
        <v>12573.75</v>
      </c>
      <c r="H69" t="str">
        <f>"2200.00"</f>
        <v>2200.00</v>
      </c>
      <c r="I69" t="str">
        <f>"156"</f>
        <v>156</v>
      </c>
      <c r="J69" t="str">
        <f>"证券买入(七一二)"</f>
        <v>证券买入(七一二)</v>
      </c>
      <c r="K69" t="str">
        <f>"5.00"</f>
        <v>5.00</v>
      </c>
      <c r="L69" t="str">
        <f>"0.00"</f>
        <v>0.00</v>
      </c>
      <c r="M69" t="str">
        <f>"0.08"</f>
        <v>0.08</v>
      </c>
      <c r="N69" t="str">
        <f>"0.00"</f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"七一二"</f>
        <v>七一二</v>
      </c>
      <c r="C70" t="str">
        <f t="shared" si="30"/>
        <v>20190307</v>
      </c>
      <c r="D70" t="str">
        <f>"20.490"</f>
        <v>20.490</v>
      </c>
      <c r="E70" t="str">
        <f>"-500.00"</f>
        <v>-500.00</v>
      </c>
      <c r="F70" t="str">
        <f>"10224.30"</f>
        <v>10224.30</v>
      </c>
      <c r="G70" t="str">
        <f>"22798.05"</f>
        <v>22798.05</v>
      </c>
      <c r="H70" t="str">
        <f>"1700.00"</f>
        <v>1700.00</v>
      </c>
      <c r="I70" t="str">
        <f>"160"</f>
        <v>160</v>
      </c>
      <c r="J70" t="str">
        <f>"证券卖出(七一二)"</f>
        <v>证券卖出(七一二)</v>
      </c>
      <c r="K70" t="str">
        <f>"10.25"</f>
        <v>10.25</v>
      </c>
      <c r="L70" t="str">
        <f>"10.25"</f>
        <v>10.25</v>
      </c>
      <c r="M70" t="str">
        <f>"0.20"</f>
        <v>0.20</v>
      </c>
      <c r="N70" t="str">
        <f>"0.00"</f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"中通国脉"</f>
        <v>中通国脉</v>
      </c>
      <c r="C71" t="str">
        <f t="shared" si="30"/>
        <v>20190307</v>
      </c>
      <c r="D71" t="str">
        <f>"26.040"</f>
        <v>26.040</v>
      </c>
      <c r="E71" t="str">
        <f>"-900.00"</f>
        <v>-900.00</v>
      </c>
      <c r="F71" t="str">
        <f>"23388.65"</f>
        <v>23388.65</v>
      </c>
      <c r="G71" t="str">
        <f>"46186.70"</f>
        <v>46186.70</v>
      </c>
      <c r="H71" t="str">
        <f>"600.00"</f>
        <v>600.00</v>
      </c>
      <c r="I71" t="str">
        <f>"167"</f>
        <v>167</v>
      </c>
      <c r="J71" t="str">
        <f>"证券卖出(中通国脉)"</f>
        <v>证券卖出(中通国脉)</v>
      </c>
      <c r="K71" t="str">
        <f>"23.44"</f>
        <v>23.44</v>
      </c>
      <c r="L71" t="str">
        <f>"23.44"</f>
        <v>23.44</v>
      </c>
      <c r="M71" t="str">
        <f>"0.47"</f>
        <v>0.47</v>
      </c>
      <c r="N71" t="str">
        <f>"0.00"</f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9"/>
        <v>人民币</v>
      </c>
      <c r="B72" t="str">
        <f>"信立泰"</f>
        <v>信立泰</v>
      </c>
      <c r="C72" t="str">
        <f t="shared" si="30"/>
        <v>20190307</v>
      </c>
      <c r="D72" t="str">
        <f>"25.540"</f>
        <v>25.540</v>
      </c>
      <c r="E72" t="str">
        <f>"200.00"</f>
        <v>200.00</v>
      </c>
      <c r="F72" t="str">
        <f>"-5113.11"</f>
        <v>-5113.11</v>
      </c>
      <c r="G72" t="str">
        <f>"41073.59"</f>
        <v>41073.59</v>
      </c>
      <c r="H72" t="str">
        <f>"1000.00"</f>
        <v>1000.00</v>
      </c>
      <c r="I72" t="str">
        <f>"147"</f>
        <v>147</v>
      </c>
      <c r="J72" t="str">
        <f>"证券买入(信立泰)"</f>
        <v>证券买入(信立泰)</v>
      </c>
      <c r="K72" t="str">
        <f>"5.11"</f>
        <v>5.11</v>
      </c>
      <c r="L72" t="str">
        <f>"0.00"</f>
        <v>0.00</v>
      </c>
      <c r="M72" t="str">
        <f>"0.00"</f>
        <v>0.00</v>
      </c>
      <c r="N72" t="str">
        <f>"0.00"</f>
        <v>0.00</v>
      </c>
      <c r="O72" t="str">
        <f>"002294"</f>
        <v>002294</v>
      </c>
      <c r="P72" t="str">
        <f>"0153613480"</f>
        <v>0153613480</v>
      </c>
    </row>
    <row r="73" spans="1:16" x14ac:dyDescent="0.25">
      <c r="A73" t="str">
        <f t="shared" si="29"/>
        <v>人民币</v>
      </c>
      <c r="B73" t="str">
        <f>""</f>
        <v/>
      </c>
      <c r="C73" t="str">
        <f t="shared" ref="C73:C78" si="32">"20190308"</f>
        <v>20190308</v>
      </c>
      <c r="D73" t="str">
        <f>"---"</f>
        <v>---</v>
      </c>
      <c r="E73" t="str">
        <f>"---"</f>
        <v>---</v>
      </c>
      <c r="F73" t="str">
        <f>"-10000.00"</f>
        <v>-10000.00</v>
      </c>
      <c r="G73" t="str">
        <f>"31073.59"</f>
        <v>31073.59</v>
      </c>
      <c r="H73" t="str">
        <f>"---"</f>
        <v>---</v>
      </c>
      <c r="I73" t="str">
        <f>"---"</f>
        <v>---</v>
      </c>
      <c r="J73" t="str">
        <f>"银行转取"</f>
        <v>银行转取</v>
      </c>
      <c r="K73" t="str">
        <f t="shared" ref="K73:P73" si="33">"---"</f>
        <v>---</v>
      </c>
      <c r="L73" t="str">
        <f t="shared" si="33"/>
        <v>---</v>
      </c>
      <c r="M73" t="str">
        <f t="shared" si="33"/>
        <v>---</v>
      </c>
      <c r="N73" t="str">
        <f t="shared" si="33"/>
        <v>---</v>
      </c>
      <c r="O73" t="str">
        <f t="shared" si="33"/>
        <v>---</v>
      </c>
      <c r="P73" t="str">
        <f t="shared" si="33"/>
        <v>---</v>
      </c>
    </row>
    <row r="74" spans="1:16" x14ac:dyDescent="0.25">
      <c r="A74" t="str">
        <f t="shared" si="29"/>
        <v>人民币</v>
      </c>
      <c r="B74" t="str">
        <f>"白银有色"</f>
        <v>白银有色</v>
      </c>
      <c r="C74" t="str">
        <f t="shared" si="32"/>
        <v>20190308</v>
      </c>
      <c r="D74" t="str">
        <f>"5.140"</f>
        <v>5.140</v>
      </c>
      <c r="E74" t="str">
        <f>"500.00"</f>
        <v>500.00</v>
      </c>
      <c r="F74" t="str">
        <f>"-2575.05"</f>
        <v>-2575.05</v>
      </c>
      <c r="G74" t="str">
        <f>"28498.54"</f>
        <v>28498.54</v>
      </c>
      <c r="H74" t="str">
        <f>"500.00"</f>
        <v>500.00</v>
      </c>
      <c r="I74" t="str">
        <f>"175"</f>
        <v>175</v>
      </c>
      <c r="J74" t="str">
        <f>"证券买入(白银有色)"</f>
        <v>证券买入(白银有色)</v>
      </c>
      <c r="K74" t="str">
        <f>"5.00"</f>
        <v>5.00</v>
      </c>
      <c r="L74" t="str">
        <f t="shared" ref="L74:L81" si="34">"0.00"</f>
        <v>0.00</v>
      </c>
      <c r="M74" t="str">
        <f>"0.05"</f>
        <v>0.05</v>
      </c>
      <c r="N74" t="str">
        <f t="shared" ref="N74:N84" si="35"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9"/>
        <v>人民币</v>
      </c>
      <c r="B75" t="str">
        <f>"七一二"</f>
        <v>七一二</v>
      </c>
      <c r="C75" t="str">
        <f t="shared" si="32"/>
        <v>20190308</v>
      </c>
      <c r="D75" t="str">
        <f>"19.250"</f>
        <v>19.250</v>
      </c>
      <c r="E75" t="str">
        <f>"300.00"</f>
        <v>300.00</v>
      </c>
      <c r="F75" t="str">
        <f>"-5780.90"</f>
        <v>-5780.90</v>
      </c>
      <c r="G75" t="str">
        <f>"22717.64"</f>
        <v>22717.64</v>
      </c>
      <c r="H75" t="str">
        <f>"2000.00"</f>
        <v>2000.00</v>
      </c>
      <c r="I75" t="str">
        <f>"185"</f>
        <v>185</v>
      </c>
      <c r="J75" t="str">
        <f>"证券买入(七一二)"</f>
        <v>证券买入(七一二)</v>
      </c>
      <c r="K75" t="str">
        <f>"5.78"</f>
        <v>5.78</v>
      </c>
      <c r="L75" t="str">
        <f t="shared" si="34"/>
        <v>0.00</v>
      </c>
      <c r="M75" t="str">
        <f>"0.12"</f>
        <v>0.12</v>
      </c>
      <c r="N75" t="str">
        <f t="shared" si="35"/>
        <v>0.00</v>
      </c>
      <c r="O75" t="str">
        <f>"603712"</f>
        <v>603712</v>
      </c>
      <c r="P75" t="str">
        <f>"A400948245"</f>
        <v>A400948245</v>
      </c>
    </row>
    <row r="76" spans="1:16" x14ac:dyDescent="0.25">
      <c r="A76" t="str">
        <f t="shared" si="29"/>
        <v>人民币</v>
      </c>
      <c r="B76" t="str">
        <f>"中通国脉"</f>
        <v>中通国脉</v>
      </c>
      <c r="C76" t="str">
        <f t="shared" si="32"/>
        <v>20190308</v>
      </c>
      <c r="D76" t="str">
        <f>"26.070"</f>
        <v>26.070</v>
      </c>
      <c r="E76" t="str">
        <f>"400.00"</f>
        <v>400.00</v>
      </c>
      <c r="F76" t="str">
        <f>"-10438.64"</f>
        <v>-10438.64</v>
      </c>
      <c r="G76" t="str">
        <f>"12279.00"</f>
        <v>12279.00</v>
      </c>
      <c r="H76" t="str">
        <f>"1000.00"</f>
        <v>1000.00</v>
      </c>
      <c r="I76" t="str">
        <f>"188"</f>
        <v>188</v>
      </c>
      <c r="J76" t="str">
        <f>"证券买入(中通国脉)"</f>
        <v>证券买入(中通国脉)</v>
      </c>
      <c r="K76" t="str">
        <f>"10.43"</f>
        <v>10.43</v>
      </c>
      <c r="L76" t="str">
        <f t="shared" si="34"/>
        <v>0.00</v>
      </c>
      <c r="M76" t="str">
        <f>"0.21"</f>
        <v>0.21</v>
      </c>
      <c r="N76" t="str">
        <f t="shared" si="35"/>
        <v>0.00</v>
      </c>
      <c r="O76" t="str">
        <f>"603559"</f>
        <v>603559</v>
      </c>
      <c r="P76" t="str">
        <f>"A400948245"</f>
        <v>A400948245</v>
      </c>
    </row>
    <row r="77" spans="1:16" x14ac:dyDescent="0.25">
      <c r="A77" t="str">
        <f t="shared" si="29"/>
        <v>人民币</v>
      </c>
      <c r="B77" t="str">
        <f>"白银有色"</f>
        <v>白银有色</v>
      </c>
      <c r="C77" t="str">
        <f t="shared" si="32"/>
        <v>20190308</v>
      </c>
      <c r="D77" t="str">
        <f>"5.530"</f>
        <v>5.530</v>
      </c>
      <c r="E77" t="str">
        <f>"500.00"</f>
        <v>500.00</v>
      </c>
      <c r="F77" t="str">
        <f>"-2770.06"</f>
        <v>-2770.06</v>
      </c>
      <c r="G77" t="str">
        <f>"9508.94"</f>
        <v>9508.94</v>
      </c>
      <c r="H77" t="str">
        <f>"1000.00"</f>
        <v>1000.00</v>
      </c>
      <c r="I77" t="str">
        <f>"191"</f>
        <v>191</v>
      </c>
      <c r="J77" t="str">
        <f>"证券买入(白银有色)"</f>
        <v>证券买入(白银有色)</v>
      </c>
      <c r="K77" t="str">
        <f>"5.00"</f>
        <v>5.00</v>
      </c>
      <c r="L77" t="str">
        <f t="shared" si="34"/>
        <v>0.00</v>
      </c>
      <c r="M77" t="str">
        <f>"0.06"</f>
        <v>0.06</v>
      </c>
      <c r="N77" t="str">
        <f t="shared" si="35"/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9"/>
        <v>人民币</v>
      </c>
      <c r="B78" t="str">
        <f>"锦浪科技"</f>
        <v>锦浪科技</v>
      </c>
      <c r="C78" t="str">
        <f t="shared" si="32"/>
        <v>20190308</v>
      </c>
      <c r="D78" t="str">
        <f>"0.000"</f>
        <v>0.000</v>
      </c>
      <c r="E78" t="str">
        <f>"11.00"</f>
        <v>11.00</v>
      </c>
      <c r="F78" t="str">
        <f>"0.00"</f>
        <v>0.00</v>
      </c>
      <c r="G78" t="str">
        <f>"9508.94"</f>
        <v>9508.94</v>
      </c>
      <c r="H78" t="str">
        <f>"0.00"</f>
        <v>0.00</v>
      </c>
      <c r="I78" t="str">
        <f>"194"</f>
        <v>194</v>
      </c>
      <c r="J78" t="str">
        <f>"申购配号(锦浪科技)"</f>
        <v>申购配号(锦浪科技)</v>
      </c>
      <c r="K78" t="str">
        <f>"0.00"</f>
        <v>0.00</v>
      </c>
      <c r="L78" t="str">
        <f t="shared" si="34"/>
        <v>0.00</v>
      </c>
      <c r="M78" t="str">
        <f>"0.00"</f>
        <v>0.00</v>
      </c>
      <c r="N78" t="str">
        <f t="shared" si="35"/>
        <v>0.00</v>
      </c>
      <c r="O78" t="str">
        <f>"300763"</f>
        <v>300763</v>
      </c>
      <c r="P78" t="str">
        <f>"0153613480"</f>
        <v>0153613480</v>
      </c>
    </row>
    <row r="79" spans="1:16" x14ac:dyDescent="0.25">
      <c r="A79" t="str">
        <f t="shared" si="29"/>
        <v>人民币</v>
      </c>
      <c r="B79" t="str">
        <f>"白银有色"</f>
        <v>白银有色</v>
      </c>
      <c r="C79" t="str">
        <f>"20190311"</f>
        <v>20190311</v>
      </c>
      <c r="D79" t="str">
        <f>"5.200"</f>
        <v>5.200</v>
      </c>
      <c r="E79" t="str">
        <f>"600.00"</f>
        <v>600.00</v>
      </c>
      <c r="F79" t="str">
        <f>"-3125.06"</f>
        <v>-3125.06</v>
      </c>
      <c r="G79" t="str">
        <f>"6383.88"</f>
        <v>6383.88</v>
      </c>
      <c r="H79" t="str">
        <f>"1600.00"</f>
        <v>1600.00</v>
      </c>
      <c r="I79" t="str">
        <f>"202"</f>
        <v>202</v>
      </c>
      <c r="J79" t="str">
        <f>"证券买入(白银有色)"</f>
        <v>证券买入(白银有色)</v>
      </c>
      <c r="K79" t="str">
        <f>"5.00"</f>
        <v>5.00</v>
      </c>
      <c r="L79" t="str">
        <f t="shared" si="34"/>
        <v>0.00</v>
      </c>
      <c r="M79" t="str">
        <f>"0.06"</f>
        <v>0.06</v>
      </c>
      <c r="N79" t="str">
        <f t="shared" si="35"/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9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 t="shared" si="34"/>
        <v>0.00</v>
      </c>
      <c r="M80" t="str">
        <f>"0.04"</f>
        <v>0.04</v>
      </c>
      <c r="N80" t="str">
        <f t="shared" si="35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"白银有色"</f>
        <v>白银有色</v>
      </c>
      <c r="C81" t="str">
        <f>"20190311"</f>
        <v>20190311</v>
      </c>
      <c r="D81" t="str">
        <f>"5.140"</f>
        <v>5.140</v>
      </c>
      <c r="E81" t="str">
        <f>"800.00"</f>
        <v>800.00</v>
      </c>
      <c r="F81" t="str">
        <f>"-4117.08"</f>
        <v>-4117.08</v>
      </c>
      <c r="G81" t="str">
        <f>"217.76"</f>
        <v>217.76</v>
      </c>
      <c r="H81" t="str">
        <f>"2800.00"</f>
        <v>2800.00</v>
      </c>
      <c r="I81" t="str">
        <f>"209"</f>
        <v>209</v>
      </c>
      <c r="J81" t="str">
        <f>"证券买入(白银有色)"</f>
        <v>证券买入(白银有色)</v>
      </c>
      <c r="K81" t="str">
        <f>"5.00"</f>
        <v>5.00</v>
      </c>
      <c r="L81" t="str">
        <f t="shared" si="34"/>
        <v>0.00</v>
      </c>
      <c r="M81" t="str">
        <f>"0.08"</f>
        <v>0.08</v>
      </c>
      <c r="N81" t="str">
        <f t="shared" si="35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"中通国脉"</f>
        <v>中通国脉</v>
      </c>
      <c r="C82" t="str">
        <f>"20190312"</f>
        <v>20190312</v>
      </c>
      <c r="D82" t="str">
        <f>"26.510"</f>
        <v>26.510</v>
      </c>
      <c r="E82" t="str">
        <f>"-400.00"</f>
        <v>-400.00</v>
      </c>
      <c r="F82" t="str">
        <f>"10582.59"</f>
        <v>10582.59</v>
      </c>
      <c r="G82" t="str">
        <f>"10800.35"</f>
        <v>10800.35</v>
      </c>
      <c r="H82" t="str">
        <f>"600.00"</f>
        <v>600.00</v>
      </c>
      <c r="I82" t="str">
        <f>"217"</f>
        <v>217</v>
      </c>
      <c r="J82" t="str">
        <f>"证券卖出(中通国脉)"</f>
        <v>证券卖出(中通国脉)</v>
      </c>
      <c r="K82" t="str">
        <f>"10.60"</f>
        <v>10.60</v>
      </c>
      <c r="L82" t="str">
        <f>"10.60"</f>
        <v>10.60</v>
      </c>
      <c r="M82" t="str">
        <f>"0.21"</f>
        <v>0.21</v>
      </c>
      <c r="N82" t="str">
        <f t="shared" si="35"/>
        <v>0.00</v>
      </c>
      <c r="O82" t="str">
        <f>"603559"</f>
        <v>603559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5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9"/>
        <v>人民币</v>
      </c>
      <c r="B84" t="str">
        <f>"每日互动"</f>
        <v>每日互动</v>
      </c>
      <c r="C84" t="str">
        <f>"20190312"</f>
        <v>20190312</v>
      </c>
      <c r="D84" t="str">
        <f>"0.000"</f>
        <v>0.000</v>
      </c>
      <c r="E84" t="str">
        <f>"10.00"</f>
        <v>10.00</v>
      </c>
      <c r="F84" t="str">
        <f>"0.00"</f>
        <v>0.00</v>
      </c>
      <c r="G84" t="str">
        <f>"13.35"</f>
        <v>13.35</v>
      </c>
      <c r="H84" t="str">
        <f>"0.00"</f>
        <v>0.00</v>
      </c>
      <c r="I84" t="str">
        <f>"215"</f>
        <v>215</v>
      </c>
      <c r="J84" t="str">
        <f>"申购配号(每日互动)"</f>
        <v>申购配号(每日互动)</v>
      </c>
      <c r="K84" t="str">
        <f>"0.00"</f>
        <v>0.00</v>
      </c>
      <c r="L84" t="str">
        <f>"0.00"</f>
        <v>0.00</v>
      </c>
      <c r="M84" t="str">
        <f>"0.00"</f>
        <v>0.00</v>
      </c>
      <c r="N84" t="str">
        <f t="shared" si="35"/>
        <v>0.00</v>
      </c>
      <c r="O84" t="str">
        <f>"300766"</f>
        <v>300766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""</f>
        <v/>
      </c>
      <c r="C85" t="str">
        <f t="shared" ref="C85:C91" si="36">"20190313"</f>
        <v>20190313</v>
      </c>
      <c r="D85" t="str">
        <f>"---"</f>
        <v>---</v>
      </c>
      <c r="E85" t="str">
        <f>"---"</f>
        <v>---</v>
      </c>
      <c r="F85" t="str">
        <f>"10000.00"</f>
        <v>10000.00</v>
      </c>
      <c r="G85" t="str">
        <f>"10013.35"</f>
        <v>10013.35</v>
      </c>
      <c r="H85" t="str">
        <f>"---"</f>
        <v>---</v>
      </c>
      <c r="I85" t="str">
        <f>"---"</f>
        <v>---</v>
      </c>
      <c r="J85" t="str">
        <f>"银行转存"</f>
        <v>银行转存</v>
      </c>
      <c r="K85" t="str">
        <f t="shared" ref="K85:P85" si="37">"---"</f>
        <v>---</v>
      </c>
      <c r="L85" t="str">
        <f t="shared" si="37"/>
        <v>---</v>
      </c>
      <c r="M85" t="str">
        <f t="shared" si="37"/>
        <v>---</v>
      </c>
      <c r="N85" t="str">
        <f t="shared" si="37"/>
        <v>---</v>
      </c>
      <c r="O85" t="str">
        <f t="shared" si="37"/>
        <v>---</v>
      </c>
      <c r="P85" t="str">
        <f t="shared" si="37"/>
        <v>---</v>
      </c>
    </row>
    <row r="86" spans="1:16" x14ac:dyDescent="0.25">
      <c r="A86" t="str">
        <f t="shared" si="29"/>
        <v>人民币</v>
      </c>
      <c r="B86" t="str">
        <f>"白银有色"</f>
        <v>白银有色</v>
      </c>
      <c r="C86" t="str">
        <f t="shared" si="36"/>
        <v>20190313</v>
      </c>
      <c r="D86" t="str">
        <f>"5.220"</f>
        <v>5.220</v>
      </c>
      <c r="E86" t="str">
        <f>"-2800.00"</f>
        <v>-2800.00</v>
      </c>
      <c r="F86" t="str">
        <f>"14586.47"</f>
        <v>14586.47</v>
      </c>
      <c r="G86" t="str">
        <f>"24599.82"</f>
        <v>24599.82</v>
      </c>
      <c r="H86" t="str">
        <f>"0.00"</f>
        <v>0.00</v>
      </c>
      <c r="I86" t="str">
        <f>"240"</f>
        <v>240</v>
      </c>
      <c r="J86" t="str">
        <f>"证券卖出(白银有色)"</f>
        <v>证券卖出(白银有色)</v>
      </c>
      <c r="K86" t="str">
        <f>"14.62"</f>
        <v>14.62</v>
      </c>
      <c r="L86" t="str">
        <f>"14.62"</f>
        <v>14.62</v>
      </c>
      <c r="M86" t="str">
        <f>"0.29"</f>
        <v>0.29</v>
      </c>
      <c r="N86" t="str">
        <f t="shared" ref="N86:N91" si="38">"0.00"</f>
        <v>0.00</v>
      </c>
      <c r="O86" t="str">
        <f>"601212"</f>
        <v>601212</v>
      </c>
      <c r="P86" t="str">
        <f>"A400948245"</f>
        <v>A400948245</v>
      </c>
    </row>
    <row r="87" spans="1:16" x14ac:dyDescent="0.25">
      <c r="A87" t="str">
        <f t="shared" si="29"/>
        <v>人民币</v>
      </c>
      <c r="B87" t="str">
        <f>"中通国脉"</f>
        <v>中通国脉</v>
      </c>
      <c r="C87" t="str">
        <f t="shared" si="36"/>
        <v>20190313</v>
      </c>
      <c r="D87" t="str">
        <f>"26.490"</f>
        <v>26.490</v>
      </c>
      <c r="E87" t="str">
        <f>"300.00"</f>
        <v>300.00</v>
      </c>
      <c r="F87" t="str">
        <f>"-7955.11"</f>
        <v>-7955.11</v>
      </c>
      <c r="G87" t="str">
        <f>"16644.71"</f>
        <v>16644.71</v>
      </c>
      <c r="H87" t="str">
        <f>"1300.00"</f>
        <v>1300.00</v>
      </c>
      <c r="I87" t="str">
        <f>"246"</f>
        <v>246</v>
      </c>
      <c r="J87" t="str">
        <f>"证券买入(中通国脉)"</f>
        <v>证券买入(中通国脉)</v>
      </c>
      <c r="K87" t="str">
        <f>"7.95"</f>
        <v>7.95</v>
      </c>
      <c r="L87" t="str">
        <f t="shared" ref="L87:L91" si="39">"0.00"</f>
        <v>0.00</v>
      </c>
      <c r="M87" t="str">
        <f>"0.16"</f>
        <v>0.16</v>
      </c>
      <c r="N87" t="str">
        <f t="shared" si="38"/>
        <v>0.00</v>
      </c>
      <c r="O87" t="str">
        <f>"603559"</f>
        <v>603559</v>
      </c>
      <c r="P87" t="str">
        <f>"A400948245"</f>
        <v>A400948245</v>
      </c>
    </row>
    <row r="88" spans="1:16" x14ac:dyDescent="0.25">
      <c r="A88" t="str">
        <f t="shared" si="29"/>
        <v>人民币</v>
      </c>
      <c r="B88" t="str">
        <f>"蓝思科技"</f>
        <v>蓝思科技</v>
      </c>
      <c r="C88" t="str">
        <f t="shared" si="36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9"/>
        <v>0.00</v>
      </c>
      <c r="M88" t="str">
        <f>"0.00"</f>
        <v>0.00</v>
      </c>
      <c r="N88" t="str">
        <f t="shared" si="38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"蓝思科技"</f>
        <v>蓝思科技</v>
      </c>
      <c r="C89" t="str">
        <f t="shared" si="36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"7324.71"</f>
        <v>7324.71</v>
      </c>
      <c r="H89" t="str">
        <f>"1000.00"</f>
        <v>1000.00</v>
      </c>
      <c r="I89" t="str">
        <f>"233"</f>
        <v>233</v>
      </c>
      <c r="J89" t="str">
        <f>"证券买入(蓝思科技)"</f>
        <v>证券买入(蓝思科技)</v>
      </c>
      <c r="K89" t="str">
        <f>"5.00"</f>
        <v>5.00</v>
      </c>
      <c r="L89" t="str">
        <f t="shared" si="39"/>
        <v>0.00</v>
      </c>
      <c r="M89" t="str">
        <f>"0.00"</f>
        <v>0.00</v>
      </c>
      <c r="N89" t="str">
        <f t="shared" si="38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"蓝思科技"</f>
        <v>蓝思科技</v>
      </c>
      <c r="C90" t="str">
        <f t="shared" si="36"/>
        <v>20190313</v>
      </c>
      <c r="D90" t="str">
        <f>"8.990"</f>
        <v>8.990</v>
      </c>
      <c r="E90" t="str">
        <f>"800.00"</f>
        <v>800.00</v>
      </c>
      <c r="F90" t="str">
        <f>"-7199.19"</f>
        <v>-7199.19</v>
      </c>
      <c r="G90" t="str">
        <f>"125.52"</f>
        <v>125.52</v>
      </c>
      <c r="H90" t="str">
        <f>"1800.00"</f>
        <v>1800.00</v>
      </c>
      <c r="I90" t="str">
        <f>"249"</f>
        <v>249</v>
      </c>
      <c r="J90" t="str">
        <f>"证券买入(蓝思科技)"</f>
        <v>证券买入(蓝思科技)</v>
      </c>
      <c r="K90" t="str">
        <f>"7.19"</f>
        <v>7.19</v>
      </c>
      <c r="L90" t="str">
        <f t="shared" si="39"/>
        <v>0.00</v>
      </c>
      <c r="M90" t="str">
        <f>"0.00"</f>
        <v>0.00</v>
      </c>
      <c r="N90" t="str">
        <f t="shared" si="38"/>
        <v>0.00</v>
      </c>
      <c r="O90" t="str">
        <f>"300433"</f>
        <v>300433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"新诺威"</f>
        <v>新诺威</v>
      </c>
      <c r="C91" t="str">
        <f t="shared" si="36"/>
        <v>20190313</v>
      </c>
      <c r="D91" t="str">
        <f>"0.000"</f>
        <v>0.000</v>
      </c>
      <c r="E91" t="str">
        <f>"10.00"</f>
        <v>10.00</v>
      </c>
      <c r="F91" t="str">
        <f>"0.00"</f>
        <v>0.00</v>
      </c>
      <c r="G91" t="str">
        <f>"125.52"</f>
        <v>125.52</v>
      </c>
      <c r="H91" t="str">
        <f>"0.00"</f>
        <v>0.00</v>
      </c>
      <c r="I91" t="str">
        <f>"238"</f>
        <v>238</v>
      </c>
      <c r="J91" t="str">
        <f>"申购配号(新诺威)"</f>
        <v>申购配号(新诺威)</v>
      </c>
      <c r="K91" t="str">
        <f>"0.00"</f>
        <v>0.00</v>
      </c>
      <c r="L91" t="str">
        <f t="shared" si="39"/>
        <v>0.00</v>
      </c>
      <c r="M91" t="str">
        <f>"0.00"</f>
        <v>0.00</v>
      </c>
      <c r="N91" t="str">
        <f t="shared" si="38"/>
        <v>0.00</v>
      </c>
      <c r="O91" t="str">
        <f>"300765"</f>
        <v>300765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""</f>
        <v/>
      </c>
      <c r="C92" t="str">
        <f t="shared" ref="C92:C96" si="40">"20190314"</f>
        <v>20190314</v>
      </c>
      <c r="D92" t="str">
        <f>"---"</f>
        <v>---</v>
      </c>
      <c r="E92" t="str">
        <f>"---"</f>
        <v>---</v>
      </c>
      <c r="F92" t="str">
        <f>"20000.00"</f>
        <v>20000.00</v>
      </c>
      <c r="G92" t="str">
        <f>"20125.52"</f>
        <v>20125.52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41">"---"</f>
        <v>---</v>
      </c>
      <c r="L92" t="str">
        <f t="shared" si="41"/>
        <v>---</v>
      </c>
      <c r="M92" t="str">
        <f t="shared" si="41"/>
        <v>---</v>
      </c>
      <c r="N92" t="str">
        <f t="shared" si="41"/>
        <v>---</v>
      </c>
      <c r="O92" t="str">
        <f t="shared" si="41"/>
        <v>---</v>
      </c>
      <c r="P92" t="str">
        <f t="shared" si="41"/>
        <v>---</v>
      </c>
    </row>
    <row r="93" spans="1:16" x14ac:dyDescent="0.25">
      <c r="A93" t="str">
        <f t="shared" si="29"/>
        <v>人民币</v>
      </c>
      <c r="B93" t="str">
        <f>"中通国脉"</f>
        <v>中通国脉</v>
      </c>
      <c r="C93" t="str">
        <f t="shared" si="40"/>
        <v>20190314</v>
      </c>
      <c r="D93" t="str">
        <f>"25.810"</f>
        <v>25.810</v>
      </c>
      <c r="E93" t="str">
        <f>"300.00"</f>
        <v>300.00</v>
      </c>
      <c r="F93" t="str">
        <f>"-7750.89"</f>
        <v>-7750.89</v>
      </c>
      <c r="G93" t="str">
        <f>"12374.63"</f>
        <v>12374.63</v>
      </c>
      <c r="H93" t="str">
        <f>"1600.00"</f>
        <v>1600.00</v>
      </c>
      <c r="I93" t="str">
        <f>"260"</f>
        <v>260</v>
      </c>
      <c r="J93" t="str">
        <f>"证券买入(中通国脉)"</f>
        <v>证券买入(中通国脉)</v>
      </c>
      <c r="K93" t="str">
        <f>"7.74"</f>
        <v>7.74</v>
      </c>
      <c r="L93" t="str">
        <f>"0.00"</f>
        <v>0.00</v>
      </c>
      <c r="M93" t="str">
        <f>"0.15"</f>
        <v>0.15</v>
      </c>
      <c r="N93" t="str">
        <f>"0.00"</f>
        <v>0.00</v>
      </c>
      <c r="O93" t="str">
        <f>"603559"</f>
        <v>603559</v>
      </c>
      <c r="P93" t="str">
        <f>"A400948245"</f>
        <v>A400948245</v>
      </c>
    </row>
    <row r="94" spans="1:16" x14ac:dyDescent="0.25">
      <c r="A94" t="str">
        <f t="shared" si="29"/>
        <v>人民币</v>
      </c>
      <c r="B94" t="str">
        <f>"永冠配号"</f>
        <v>永冠配号</v>
      </c>
      <c r="C94" t="str">
        <f t="shared" si="40"/>
        <v>20190314</v>
      </c>
      <c r="D94" t="str">
        <f>"0.000"</f>
        <v>0.000</v>
      </c>
      <c r="E94" t="str">
        <f>"6.00"</f>
        <v>6.00</v>
      </c>
      <c r="F94" t="str">
        <f>"0.00"</f>
        <v>0.00</v>
      </c>
      <c r="G94" t="str">
        <f>"12374.63"</f>
        <v>12374.63</v>
      </c>
      <c r="H94" t="str">
        <f>"0.00"</f>
        <v>0.00</v>
      </c>
      <c r="I94" t="str">
        <f>"264"</f>
        <v>264</v>
      </c>
      <c r="J94" t="str">
        <f>"申购配号(永冠配号)"</f>
        <v>申购配号(永冠配号)</v>
      </c>
      <c r="K94" t="str">
        <f>"0.00"</f>
        <v>0.00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"736681"</f>
        <v>736681</v>
      </c>
      <c r="P94" t="str">
        <f>"A400948245"</f>
        <v>A400948245</v>
      </c>
    </row>
    <row r="95" spans="1:16" x14ac:dyDescent="0.25">
      <c r="A95" t="str">
        <f t="shared" si="29"/>
        <v>人民币</v>
      </c>
      <c r="B95" t="str">
        <f>"中通国脉"</f>
        <v>中通国脉</v>
      </c>
      <c r="C95" t="str">
        <f t="shared" si="40"/>
        <v>20190314</v>
      </c>
      <c r="D95" t="str">
        <f>"25.550"</f>
        <v>25.550</v>
      </c>
      <c r="E95" t="str">
        <f>"400.00"</f>
        <v>400.00</v>
      </c>
      <c r="F95" t="str">
        <f>"-10230.42"</f>
        <v>-10230.42</v>
      </c>
      <c r="G95" t="str">
        <f>"2144.21"</f>
        <v>2144.21</v>
      </c>
      <c r="H95" t="str">
        <f>"2000.00"</f>
        <v>2000.00</v>
      </c>
      <c r="I95" t="str">
        <f>"268"</f>
        <v>268</v>
      </c>
      <c r="J95" t="str">
        <f>"证券买入(中通国脉)"</f>
        <v>证券买入(中通国脉)</v>
      </c>
      <c r="K95" t="str">
        <f>"10.22"</f>
        <v>10.22</v>
      </c>
      <c r="L95" t="str">
        <f>"0.00"</f>
        <v>0.00</v>
      </c>
      <c r="M95" t="str">
        <f>"0.20"</f>
        <v>0.20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9"/>
        <v>人民币</v>
      </c>
      <c r="B96" t="str">
        <f>"震安科技"</f>
        <v>震安科技</v>
      </c>
      <c r="C96" t="str">
        <f t="shared" si="40"/>
        <v>20190314</v>
      </c>
      <c r="D96" t="str">
        <f>"0.000"</f>
        <v>0.000</v>
      </c>
      <c r="E96" t="str">
        <f>"9.00"</f>
        <v>9.00</v>
      </c>
      <c r="F96" t="str">
        <f>"0.00"</f>
        <v>0.00</v>
      </c>
      <c r="G96" t="str">
        <f>"2144.21"</f>
        <v>2144.21</v>
      </c>
      <c r="H96" t="str">
        <f>"0.00"</f>
        <v>0.00</v>
      </c>
      <c r="I96" t="str">
        <f>"266"</f>
        <v>266</v>
      </c>
      <c r="J96" t="str">
        <f>"申购配号(震安科技)"</f>
        <v>申购配号(震安科技)</v>
      </c>
      <c r="K96" t="str">
        <f>"0.00"</f>
        <v>0.00</v>
      </c>
      <c r="L96" t="str">
        <f>"0.00"</f>
        <v>0.00</v>
      </c>
      <c r="M96" t="str">
        <f>"0.00"</f>
        <v>0.00</v>
      </c>
      <c r="N96" t="str">
        <f>"0.00"</f>
        <v>0.00</v>
      </c>
      <c r="O96" t="str">
        <f>"300767"</f>
        <v>300767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"青农商行"</f>
        <v>青农商行</v>
      </c>
      <c r="C97" t="str">
        <f>"20190315"</f>
        <v>20190315</v>
      </c>
      <c r="D97" t="str">
        <f>"0.000"</f>
        <v>0.000</v>
      </c>
      <c r="E97" t="str">
        <f>"0.00"</f>
        <v>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">
        <v>18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2">"0.00"</f>
        <v>0.00</v>
      </c>
      <c r="L98" t="str">
        <f t="shared" si="42"/>
        <v>0.00</v>
      </c>
      <c r="M98" t="str">
        <f t="shared" si="42"/>
        <v>0.00</v>
      </c>
      <c r="N98" t="str">
        <f t="shared" si="42"/>
        <v>0.00</v>
      </c>
      <c r="O98" t="str">
        <f>"002952"</f>
        <v>002952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""</f>
        <v/>
      </c>
      <c r="C99" t="str">
        <f>"20190319"</f>
        <v>20190319</v>
      </c>
      <c r="D99" t="str">
        <f>"---"</f>
        <v>---</v>
      </c>
      <c r="E99" t="str">
        <f>"---"</f>
        <v>---</v>
      </c>
      <c r="F99" t="str">
        <f>"10000.00"</f>
        <v>10000.00</v>
      </c>
      <c r="G99" t="str">
        <f>"10164.21"</f>
        <v>10164.21</v>
      </c>
      <c r="H99" t="str">
        <f>"---"</f>
        <v>---</v>
      </c>
      <c r="I99" t="str">
        <f>"---"</f>
        <v>---</v>
      </c>
      <c r="J99" t="str">
        <f>"银行转存"</f>
        <v>银行转存</v>
      </c>
      <c r="K99" t="str">
        <f t="shared" ref="K99:P99" si="43">"---"</f>
        <v>---</v>
      </c>
      <c r="L99" t="str">
        <f t="shared" si="43"/>
        <v>---</v>
      </c>
      <c r="M99" t="str">
        <f t="shared" si="43"/>
        <v>---</v>
      </c>
      <c r="N99" t="str">
        <f t="shared" si="43"/>
        <v>---</v>
      </c>
      <c r="O99" t="str">
        <f t="shared" si="43"/>
        <v>---</v>
      </c>
      <c r="P99" t="str">
        <f t="shared" si="43"/>
        <v>---</v>
      </c>
    </row>
    <row r="100" spans="1:16" x14ac:dyDescent="0.25">
      <c r="A100" t="str">
        <f t="shared" si="29"/>
        <v>人民币</v>
      </c>
      <c r="B100" t="str">
        <f>"信立泰"</f>
        <v>信立泰</v>
      </c>
      <c r="C100" t="str">
        <f>"20190319"</f>
        <v>20190319</v>
      </c>
      <c r="D100" t="str">
        <f>"25.640"</f>
        <v>25.640</v>
      </c>
      <c r="E100" t="str">
        <f>"-1000.00"</f>
        <v>-1000.00</v>
      </c>
      <c r="F100" t="str">
        <f>"25588.72"</f>
        <v>25588.72</v>
      </c>
      <c r="G100" t="str">
        <f>"35752.93"</f>
        <v>35752.93</v>
      </c>
      <c r="H100" t="str">
        <f>"0.00"</f>
        <v>0.00</v>
      </c>
      <c r="I100" t="str">
        <f>"289"</f>
        <v>289</v>
      </c>
      <c r="J100" t="str">
        <f>"证券卖出(信立泰)"</f>
        <v>证券卖出(信立泰)</v>
      </c>
      <c r="K100" t="str">
        <f>"25.64"</f>
        <v>25.64</v>
      </c>
      <c r="L100" t="str">
        <f>"25.64"</f>
        <v>25.64</v>
      </c>
      <c r="M100" t="str">
        <f t="shared" ref="M100:N102" si="44">"0.00"</f>
        <v>0.00</v>
      </c>
      <c r="N100" t="str">
        <f t="shared" si="44"/>
        <v>0.00</v>
      </c>
      <c r="O100" t="str">
        <f>"002294"</f>
        <v>002294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"长城证券"</f>
        <v>长城证券</v>
      </c>
      <c r="C101" t="str">
        <f>"20190319"</f>
        <v>20190319</v>
      </c>
      <c r="D101" t="str">
        <f>"14.820"</f>
        <v>14.820</v>
      </c>
      <c r="E101" t="str">
        <f>"600.00"</f>
        <v>600.00</v>
      </c>
      <c r="F101" t="str">
        <f>"-8900.89"</f>
        <v>-8900.89</v>
      </c>
      <c r="G101" t="str">
        <f>"26852.04"</f>
        <v>26852.04</v>
      </c>
      <c r="H101" t="str">
        <f>"600.00"</f>
        <v>600.00</v>
      </c>
      <c r="I101" t="str">
        <f>"283"</f>
        <v>283</v>
      </c>
      <c r="J101" t="str">
        <f>"证券买入(长城证券)"</f>
        <v>证券买入(长城证券)</v>
      </c>
      <c r="K101" t="str">
        <f>"8.89"</f>
        <v>8.89</v>
      </c>
      <c r="L101" t="str">
        <f>"0.00"</f>
        <v>0.00</v>
      </c>
      <c r="M101" t="str">
        <f t="shared" si="44"/>
        <v>0.00</v>
      </c>
      <c r="N101" t="str">
        <f t="shared" si="44"/>
        <v>0.00</v>
      </c>
      <c r="O101" t="str">
        <f>"002939"</f>
        <v>002939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"长城证券"</f>
        <v>长城证券</v>
      </c>
      <c r="C102" t="str">
        <f>"20190319"</f>
        <v>20190319</v>
      </c>
      <c r="D102" t="str">
        <f>"14.690"</f>
        <v>14.690</v>
      </c>
      <c r="E102" t="str">
        <f>"400.00"</f>
        <v>400.00</v>
      </c>
      <c r="F102" t="str">
        <f>"-5881.88"</f>
        <v>-5881.88</v>
      </c>
      <c r="G102" t="str">
        <f>"20970.16"</f>
        <v>20970.16</v>
      </c>
      <c r="H102" t="str">
        <f>"1000.00"</f>
        <v>1000.00</v>
      </c>
      <c r="I102" t="str">
        <f>"293"</f>
        <v>293</v>
      </c>
      <c r="J102" t="str">
        <f>"证券买入(长城证券)"</f>
        <v>证券买入(长城证券)</v>
      </c>
      <c r="K102" t="str">
        <f>"5.88"</f>
        <v>5.88</v>
      </c>
      <c r="L102" t="str">
        <f>"0.00"</f>
        <v>0.00</v>
      </c>
      <c r="M102" t="str">
        <f t="shared" si="44"/>
        <v>0.00</v>
      </c>
      <c r="N102" t="str">
        <f t="shared" si="44"/>
        <v>0.00</v>
      </c>
      <c r="O102" t="str">
        <f>"002939"</f>
        <v>002939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""</f>
        <v/>
      </c>
      <c r="C103" t="str">
        <f>"20190320"</f>
        <v>20190320</v>
      </c>
      <c r="D103" t="str">
        <f>"---"</f>
        <v>---</v>
      </c>
      <c r="E103" t="str">
        <f>"---"</f>
        <v>---</v>
      </c>
      <c r="F103" t="str">
        <f>"-5000.00"</f>
        <v>-5000.00</v>
      </c>
      <c r="G103" t="str">
        <f>"15970.16"</f>
        <v>15970.16</v>
      </c>
      <c r="H103" t="str">
        <f>"---"</f>
        <v>---</v>
      </c>
      <c r="I103" t="str">
        <f>"---"</f>
        <v>---</v>
      </c>
      <c r="J103" t="str">
        <f>"银行转取"</f>
        <v>银行转取</v>
      </c>
      <c r="K103" t="str">
        <f t="shared" ref="K103:N104" si="45">"---"</f>
        <v>---</v>
      </c>
      <c r="L103" t="str">
        <f t="shared" si="45"/>
        <v>---</v>
      </c>
      <c r="M103" t="str">
        <f t="shared" si="45"/>
        <v>---</v>
      </c>
      <c r="N103" t="str">
        <f t="shared" si="45"/>
        <v>---</v>
      </c>
      <c r="O103" t="str">
        <f>"---"</f>
        <v>---</v>
      </c>
      <c r="P103" t="str">
        <f>"---"</f>
        <v>---</v>
      </c>
    </row>
    <row r="104" spans="1:16" x14ac:dyDescent="0.25">
      <c r="A104" t="str">
        <f t="shared" si="29"/>
        <v>人民币</v>
      </c>
      <c r="B104" t="str">
        <f>""</f>
        <v/>
      </c>
      <c r="C104" t="str">
        <f>"20190320"</f>
        <v>20190320</v>
      </c>
      <c r="D104" t="str">
        <f>"---"</f>
        <v>---</v>
      </c>
      <c r="E104" t="str">
        <f>"---"</f>
        <v>---</v>
      </c>
      <c r="F104" t="str">
        <f>"4.97"</f>
        <v>4.97</v>
      </c>
      <c r="G104" t="str">
        <f>"15975.13"</f>
        <v>15975.13</v>
      </c>
      <c r="H104" t="str">
        <f>"---"</f>
        <v>---</v>
      </c>
      <c r="I104" t="str">
        <f>"---"</f>
        <v>---</v>
      </c>
      <c r="J104" t="str">
        <f>"批量利息归本"</f>
        <v>批量利息归本</v>
      </c>
      <c r="K104" t="str">
        <f t="shared" si="45"/>
        <v>---</v>
      </c>
      <c r="L104" t="str">
        <f t="shared" si="45"/>
        <v>---</v>
      </c>
      <c r="M104" t="str">
        <f t="shared" si="45"/>
        <v>---</v>
      </c>
      <c r="N104" t="str">
        <f t="shared" si="45"/>
        <v>---</v>
      </c>
      <c r="O104" t="str">
        <f>"---"</f>
        <v>---</v>
      </c>
      <c r="P104" t="str">
        <f>"---"</f>
        <v>---</v>
      </c>
    </row>
    <row r="105" spans="1:16" x14ac:dyDescent="0.25">
      <c r="A105" t="str">
        <f t="shared" si="29"/>
        <v>人民币</v>
      </c>
      <c r="B105" t="str">
        <f>"长城证券"</f>
        <v>长城证券</v>
      </c>
      <c r="C105" t="str">
        <f>"20190320"</f>
        <v>20190320</v>
      </c>
      <c r="D105" t="str">
        <f>"14.700"</f>
        <v>14.700</v>
      </c>
      <c r="E105" t="str">
        <f>"500.00"</f>
        <v>500.00</v>
      </c>
      <c r="F105" t="str">
        <f>"-7357.35"</f>
        <v>-7357.35</v>
      </c>
      <c r="G105" t="str">
        <f>"8617.78"</f>
        <v>8617.78</v>
      </c>
      <c r="H105" t="str">
        <f>"1500.00"</f>
        <v>1500.00</v>
      </c>
      <c r="I105" t="str">
        <f>"301"</f>
        <v>301</v>
      </c>
      <c r="J105" t="str">
        <f>"证券买入(长城证券)"</f>
        <v>证券买入(长城证券)</v>
      </c>
      <c r="K105" t="str">
        <f>"7.35"</f>
        <v>7.35</v>
      </c>
      <c r="L105" t="str">
        <f t="shared" ref="L105:N110" si="46">"0.00"</f>
        <v>0.00</v>
      </c>
      <c r="M105" t="str">
        <f t="shared" si="46"/>
        <v>0.00</v>
      </c>
      <c r="N105" t="str">
        <f t="shared" si="46"/>
        <v>0.00</v>
      </c>
      <c r="O105" t="str">
        <f>"002939"</f>
        <v>002939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"长城证券"</f>
        <v>长城证券</v>
      </c>
      <c r="C106" t="str">
        <f>"20190320"</f>
        <v>20190320</v>
      </c>
      <c r="D106" t="str">
        <f>"14.660"</f>
        <v>14.660</v>
      </c>
      <c r="E106" t="str">
        <f>"500.00"</f>
        <v>500.00</v>
      </c>
      <c r="F106" t="str">
        <f>"-7337.33"</f>
        <v>-7337.33</v>
      </c>
      <c r="G106" t="str">
        <f>"1280.45"</f>
        <v>1280.45</v>
      </c>
      <c r="H106" t="str">
        <f>"2000.00"</f>
        <v>2000.00</v>
      </c>
      <c r="I106" t="str">
        <f>"307"</f>
        <v>307</v>
      </c>
      <c r="J106" t="str">
        <f>"证券买入(长城证券)"</f>
        <v>证券买入(长城证券)</v>
      </c>
      <c r="K106" t="str">
        <f>"7.33"</f>
        <v>7.33</v>
      </c>
      <c r="L106" t="str">
        <f t="shared" si="46"/>
        <v>0.00</v>
      </c>
      <c r="M106" t="str">
        <f t="shared" si="46"/>
        <v>0.00</v>
      </c>
      <c r="N106" t="str">
        <f t="shared" si="46"/>
        <v>0.00</v>
      </c>
      <c r="O106" t="str">
        <f>"002939"</f>
        <v>002939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"三美配号"</f>
        <v>三美配号</v>
      </c>
      <c r="C107" t="str">
        <f>"20190321"</f>
        <v>20190321</v>
      </c>
      <c r="D107" t="str">
        <f>"0.000"</f>
        <v>0.000</v>
      </c>
      <c r="E107" t="str">
        <f>"6.00"</f>
        <v>6.00</v>
      </c>
      <c r="F107" t="str">
        <f>"0.00"</f>
        <v>0.00</v>
      </c>
      <c r="G107" t="str">
        <f>"1280.45"</f>
        <v>1280.45</v>
      </c>
      <c r="H107" t="str">
        <f>"0.00"</f>
        <v>0.00</v>
      </c>
      <c r="I107" t="str">
        <f>"313"</f>
        <v>313</v>
      </c>
      <c r="J107" t="str">
        <f>"申购配号(三美配号)"</f>
        <v>申购配号(三美配号)</v>
      </c>
      <c r="K107" t="str">
        <f>"0.00"</f>
        <v>0.00</v>
      </c>
      <c r="L107" t="str">
        <f t="shared" si="46"/>
        <v>0.00</v>
      </c>
      <c r="M107" t="str">
        <f t="shared" si="46"/>
        <v>0.00</v>
      </c>
      <c r="N107" t="str">
        <f t="shared" si="46"/>
        <v>0.00</v>
      </c>
      <c r="O107" t="str">
        <f>"736379"</f>
        <v>736379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"长城证券"</f>
        <v>长城证券</v>
      </c>
      <c r="C108" t="str">
        <f>"20190321"</f>
        <v>20190321</v>
      </c>
      <c r="D108" t="str">
        <f>"15.780"</f>
        <v>15.780</v>
      </c>
      <c r="E108" t="str">
        <f>"-1000.00"</f>
        <v>-1000.00</v>
      </c>
      <c r="F108" t="str">
        <f>"15748.44"</f>
        <v>15748.44</v>
      </c>
      <c r="G108" t="str">
        <f>"17028.89"</f>
        <v>17028.89</v>
      </c>
      <c r="H108" t="str">
        <f>"1000.00"</f>
        <v>1000.00</v>
      </c>
      <c r="I108" t="str">
        <f>"315"</f>
        <v>315</v>
      </c>
      <c r="J108" t="str">
        <f>"证券卖出(长城证券)"</f>
        <v>证券卖出(长城证券)</v>
      </c>
      <c r="K108" t="str">
        <f>"15.78"</f>
        <v>15.78</v>
      </c>
      <c r="L108" t="str">
        <f>"15.78"</f>
        <v>15.78</v>
      </c>
      <c r="M108" t="str">
        <f t="shared" si="46"/>
        <v>0.00</v>
      </c>
      <c r="N108" t="str">
        <f t="shared" si="46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"长城证券"</f>
        <v>长城证券</v>
      </c>
      <c r="C109" t="str">
        <f>"20190321"</f>
        <v>20190321</v>
      </c>
      <c r="D109" t="str">
        <f>"15.790"</f>
        <v>15.790</v>
      </c>
      <c r="E109" t="str">
        <f>"-1000.00"</f>
        <v>-1000.00</v>
      </c>
      <c r="F109" t="str">
        <f>"15758.42"</f>
        <v>15758.42</v>
      </c>
      <c r="G109" t="str">
        <f>"32787.31"</f>
        <v>32787.31</v>
      </c>
      <c r="H109" t="str">
        <f>"0.00"</f>
        <v>0.00</v>
      </c>
      <c r="I109" t="str">
        <f>"320"</f>
        <v>320</v>
      </c>
      <c r="J109" t="str">
        <f>"证券卖出(长城证券)"</f>
        <v>证券卖出(长城证券)</v>
      </c>
      <c r="K109" t="str">
        <f>"15.79"</f>
        <v>15.79</v>
      </c>
      <c r="L109" t="str">
        <f>"15.79"</f>
        <v>15.79</v>
      </c>
      <c r="M109" t="str">
        <f t="shared" si="46"/>
        <v>0.00</v>
      </c>
      <c r="N109" t="str">
        <f t="shared" si="46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9"/>
        <v>人民币</v>
      </c>
      <c r="B110" t="str">
        <f>"蓝思科技"</f>
        <v>蓝思科技</v>
      </c>
      <c r="C110" t="str">
        <f>"20190321"</f>
        <v>20190321</v>
      </c>
      <c r="D110" t="str">
        <f>"8.910"</f>
        <v>8.910</v>
      </c>
      <c r="E110" t="str">
        <f>"500.00"</f>
        <v>500.00</v>
      </c>
      <c r="F110" t="str">
        <f>"-4460.00"</f>
        <v>-4460.00</v>
      </c>
      <c r="G110" t="str">
        <f>"28327.31"</f>
        <v>28327.31</v>
      </c>
      <c r="H110" t="str">
        <f>"2300.00"</f>
        <v>2300.00</v>
      </c>
      <c r="I110" t="str">
        <f>"323"</f>
        <v>323</v>
      </c>
      <c r="J110" t="str">
        <f>"证券买入(蓝思科技)"</f>
        <v>证券买入(蓝思科技)</v>
      </c>
      <c r="K110" t="str">
        <f>"5.00"</f>
        <v>5.00</v>
      </c>
      <c r="L110" t="str">
        <f t="shared" ref="L110:L115" si="47">"0.00"</f>
        <v>0.00</v>
      </c>
      <c r="M110" t="str">
        <f t="shared" si="46"/>
        <v>0.00</v>
      </c>
      <c r="N110" t="str">
        <f t="shared" si="46"/>
        <v>0.00</v>
      </c>
      <c r="O110" t="str">
        <f>"300433"</f>
        <v>300433</v>
      </c>
      <c r="P110" t="str">
        <f>"0153613480"</f>
        <v>0153613480</v>
      </c>
    </row>
    <row r="111" spans="1:16" x14ac:dyDescent="0.25">
      <c r="A111" t="str">
        <f t="shared" si="29"/>
        <v>人民币</v>
      </c>
      <c r="B111" t="str">
        <f>"七一二"</f>
        <v>七一二</v>
      </c>
      <c r="C111" t="str">
        <f>"20190322"</f>
        <v>20190322</v>
      </c>
      <c r="D111" t="str">
        <f>"18.650"</f>
        <v>18.650</v>
      </c>
      <c r="E111" t="str">
        <f>"300.00"</f>
        <v>300.00</v>
      </c>
      <c r="F111" t="str">
        <f>"-5600.71"</f>
        <v>-5600.71</v>
      </c>
      <c r="G111" t="str">
        <f>"22726.60"</f>
        <v>22726.60</v>
      </c>
      <c r="H111" t="str">
        <f>"2300.00"</f>
        <v>2300.00</v>
      </c>
      <c r="I111" t="str">
        <f>"339"</f>
        <v>339</v>
      </c>
      <c r="J111" t="str">
        <f>"证券买入(七一二)"</f>
        <v>证券买入(七一二)</v>
      </c>
      <c r="K111" t="str">
        <f>"5.60"</f>
        <v>5.60</v>
      </c>
      <c r="L111" t="str">
        <f t="shared" si="47"/>
        <v>0.00</v>
      </c>
      <c r="M111" t="str">
        <f>"0.11"</f>
        <v>0.11</v>
      </c>
      <c r="N111" t="str">
        <f>"0.00"</f>
        <v>0.00</v>
      </c>
      <c r="O111" t="str">
        <f>"603712"</f>
        <v>603712</v>
      </c>
      <c r="P111" t="str">
        <f>"A400948245"</f>
        <v>A400948245</v>
      </c>
    </row>
    <row r="112" spans="1:16" x14ac:dyDescent="0.25">
      <c r="A112" t="str">
        <f t="shared" si="29"/>
        <v>人民币</v>
      </c>
      <c r="B112" t="str">
        <f>"银之杰"</f>
        <v>银之杰</v>
      </c>
      <c r="C112" t="str">
        <f>"20190322"</f>
        <v>20190322</v>
      </c>
      <c r="D112" t="str">
        <f>"18.570"</f>
        <v>18.570</v>
      </c>
      <c r="E112" t="str">
        <f>"500.00"</f>
        <v>500.00</v>
      </c>
      <c r="F112" t="str">
        <f>"-9294.29"</f>
        <v>-9294.29</v>
      </c>
      <c r="G112" t="str">
        <f>"13432.31"</f>
        <v>13432.31</v>
      </c>
      <c r="H112" t="str">
        <f>"500.00"</f>
        <v>500.00</v>
      </c>
      <c r="I112" t="str">
        <f>"330"</f>
        <v>330</v>
      </c>
      <c r="J112" t="str">
        <f>"证券买入(银之杰)"</f>
        <v>证券买入(银之杰)</v>
      </c>
      <c r="K112" t="str">
        <f>"9.29"</f>
        <v>9.29</v>
      </c>
      <c r="L112" t="str">
        <f t="shared" si="47"/>
        <v>0.00</v>
      </c>
      <c r="M112" t="str">
        <f>"0.00"</f>
        <v>0.00</v>
      </c>
      <c r="N112" t="str">
        <f>"0.00"</f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9"/>
        <v>人民币</v>
      </c>
      <c r="B113" t="str">
        <f>"银之杰"</f>
        <v>银之杰</v>
      </c>
      <c r="C113" t="str">
        <f>"20190322"</f>
        <v>20190322</v>
      </c>
      <c r="D113" t="str">
        <f>"18.350"</f>
        <v>18.350</v>
      </c>
      <c r="E113" t="str">
        <f>"300.00"</f>
        <v>300.00</v>
      </c>
      <c r="F113" t="str">
        <f>"-5510.51"</f>
        <v>-5510.51</v>
      </c>
      <c r="G113" t="str">
        <f>"7921.80"</f>
        <v>7921.80</v>
      </c>
      <c r="H113" t="str">
        <f>"800.00"</f>
        <v>800.00</v>
      </c>
      <c r="I113" t="str">
        <f>"333"</f>
        <v>333</v>
      </c>
      <c r="J113" t="str">
        <f>"证券买入(银之杰)"</f>
        <v>证券买入(银之杰)</v>
      </c>
      <c r="K113" t="str">
        <f>"5.51"</f>
        <v>5.51</v>
      </c>
      <c r="L113" t="str">
        <f t="shared" si="47"/>
        <v>0.00</v>
      </c>
      <c r="M113" t="str">
        <f>"0.00"</f>
        <v>0.00</v>
      </c>
      <c r="N113" t="str">
        <f>"0.00"</f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9"/>
        <v>人民币</v>
      </c>
      <c r="B114" t="str">
        <f>"银之杰"</f>
        <v>银之杰</v>
      </c>
      <c r="C114" t="str">
        <f>"20190322"</f>
        <v>20190322</v>
      </c>
      <c r="D114" t="str">
        <f>"17.950"</f>
        <v>17.950</v>
      </c>
      <c r="E114" t="str">
        <f>"200.00"</f>
        <v>200.00</v>
      </c>
      <c r="F114" t="str">
        <f>"-3595.00"</f>
        <v>-3595.00</v>
      </c>
      <c r="G114" t="str">
        <f>"4326.80"</f>
        <v>4326.80</v>
      </c>
      <c r="H114" t="str">
        <f>"1000.00"</f>
        <v>1000.00</v>
      </c>
      <c r="I114" t="str">
        <f>"336"</f>
        <v>336</v>
      </c>
      <c r="J114" t="str">
        <f>"证券买入(银之杰)"</f>
        <v>证券买入(银之杰)</v>
      </c>
      <c r="K114" t="str">
        <f>"5.00"</f>
        <v>5.00</v>
      </c>
      <c r="L114" t="str">
        <f t="shared" si="47"/>
        <v>0.00</v>
      </c>
      <c r="M114" t="str">
        <f>"0.00"</f>
        <v>0.00</v>
      </c>
      <c r="N114" t="str">
        <f>"0.00"</f>
        <v>0.00</v>
      </c>
      <c r="O114" t="str">
        <f>"300085"</f>
        <v>300085</v>
      </c>
      <c r="P114" t="str">
        <f>"0153613480"</f>
        <v>0153613480</v>
      </c>
    </row>
    <row r="115" spans="1:16" x14ac:dyDescent="0.25">
      <c r="A115" t="str">
        <f t="shared" si="29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7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""</f>
        <v/>
      </c>
      <c r="C116" t="str">
        <f>"20190326"</f>
        <v>20190326</v>
      </c>
      <c r="D116" t="str">
        <f>"---"</f>
        <v>---</v>
      </c>
      <c r="E116" t="str">
        <f>"---"</f>
        <v>---</v>
      </c>
      <c r="F116" t="str">
        <f>"10000.00"</f>
        <v>10000.00</v>
      </c>
      <c r="G116" t="str">
        <f>"10751.80"</f>
        <v>10751.80</v>
      </c>
      <c r="H116" t="str">
        <f>"---"</f>
        <v>---</v>
      </c>
      <c r="I116" t="str">
        <f>"---"</f>
        <v>---</v>
      </c>
      <c r="J116" t="str">
        <f>"银行转存"</f>
        <v>银行转存</v>
      </c>
      <c r="K116" t="str">
        <f t="shared" ref="K116:P116" si="48">"---"</f>
        <v>---</v>
      </c>
      <c r="L116" t="str">
        <f t="shared" si="48"/>
        <v>---</v>
      </c>
      <c r="M116" t="str">
        <f t="shared" si="48"/>
        <v>---</v>
      </c>
      <c r="N116" t="str">
        <f t="shared" si="48"/>
        <v>---</v>
      </c>
      <c r="O116" t="str">
        <f t="shared" si="48"/>
        <v>---</v>
      </c>
      <c r="P116" t="str">
        <f t="shared" si="48"/>
        <v>---</v>
      </c>
    </row>
    <row r="117" spans="1:16" x14ac:dyDescent="0.25">
      <c r="A117" t="str">
        <f t="shared" si="29"/>
        <v>人民币</v>
      </c>
      <c r="B117" t="str">
        <f>"银之杰"</f>
        <v>银之杰</v>
      </c>
      <c r="C117" t="str">
        <f>"20190326"</f>
        <v>20190326</v>
      </c>
      <c r="D117" t="str">
        <f>"17.180"</f>
        <v>17.180</v>
      </c>
      <c r="E117" t="str">
        <f>"600.00"</f>
        <v>600.00</v>
      </c>
      <c r="F117" t="str">
        <f>"-10318.31"</f>
        <v>-10318.31</v>
      </c>
      <c r="G117" t="str">
        <f>"433.49"</f>
        <v>433.49</v>
      </c>
      <c r="H117" t="str">
        <f>"1800.00"</f>
        <v>1800.00</v>
      </c>
      <c r="I117" t="str">
        <f>"2"</f>
        <v>2</v>
      </c>
      <c r="J117" t="str">
        <f>"证券买入(银之杰)"</f>
        <v>证券买入(银之杰)</v>
      </c>
      <c r="K117" t="str">
        <f>"10.31"</f>
        <v>10.31</v>
      </c>
      <c r="L117" t="str">
        <f>"0.00"</f>
        <v>0.00</v>
      </c>
      <c r="M117" t="str">
        <f>"0.00"</f>
        <v>0.00</v>
      </c>
      <c r="N117" t="str">
        <f>"0.00"</f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""</f>
        <v/>
      </c>
      <c r="C118" t="str">
        <f>"20190327"</f>
        <v>20190327</v>
      </c>
      <c r="D118" t="str">
        <f>"---"</f>
        <v>---</v>
      </c>
      <c r="E118" t="str">
        <f>"---"</f>
        <v>---</v>
      </c>
      <c r="F118" t="str">
        <f>"10000.00"</f>
        <v>10000.00</v>
      </c>
      <c r="G118" t="str">
        <f>"10433.49"</f>
        <v>10433.49</v>
      </c>
      <c r="H118" t="str">
        <f>"---"</f>
        <v>---</v>
      </c>
      <c r="I118" t="str">
        <f>"---"</f>
        <v>---</v>
      </c>
      <c r="J118" t="str">
        <f>"银行转存"</f>
        <v>银行转存</v>
      </c>
      <c r="K118" t="str">
        <f t="shared" ref="K118:P118" si="49">"---"</f>
        <v>---</v>
      </c>
      <c r="L118" t="str">
        <f t="shared" si="49"/>
        <v>---</v>
      </c>
      <c r="M118" t="str">
        <f t="shared" si="49"/>
        <v>---</v>
      </c>
      <c r="N118" t="str">
        <f t="shared" si="49"/>
        <v>---</v>
      </c>
      <c r="O118" t="str">
        <f t="shared" si="49"/>
        <v>---</v>
      </c>
      <c r="P118" t="str">
        <f t="shared" si="49"/>
        <v>---</v>
      </c>
    </row>
    <row r="119" spans="1:16" x14ac:dyDescent="0.25">
      <c r="A119" t="str">
        <f t="shared" si="29"/>
        <v>人民币</v>
      </c>
      <c r="B119" t="str">
        <f>"银之杰"</f>
        <v>银之杰</v>
      </c>
      <c r="C119" t="str">
        <f>"20190327"</f>
        <v>20190327</v>
      </c>
      <c r="D119" t="str">
        <f>"16.360"</f>
        <v>16.360</v>
      </c>
      <c r="E119" t="str">
        <f>"600.00"</f>
        <v>600.00</v>
      </c>
      <c r="F119" t="str">
        <f>"-9825.82"</f>
        <v>-9825.82</v>
      </c>
      <c r="G119" t="str">
        <f>"607.67"</f>
        <v>607.67</v>
      </c>
      <c r="H119" t="str">
        <f>"2400.00"</f>
        <v>2400.00</v>
      </c>
      <c r="I119" t="str">
        <f>"7"</f>
        <v>7</v>
      </c>
      <c r="J119" t="str">
        <f>"证券买入(银之杰)"</f>
        <v>证券买入(银之杰)</v>
      </c>
      <c r="K119" t="str">
        <f>"9.82"</f>
        <v>9.82</v>
      </c>
      <c r="L119" t="str">
        <f>"0.00"</f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9"/>
        <v>人民币</v>
      </c>
      <c r="B120" t="str">
        <f>"银之杰"</f>
        <v>银之杰</v>
      </c>
      <c r="C120" t="str">
        <f>"20190401"</f>
        <v>20190401</v>
      </c>
      <c r="D120" t="str">
        <f>"18.850"</f>
        <v>18.850</v>
      </c>
      <c r="E120" t="str">
        <f>"-800.00"</f>
        <v>-800.00</v>
      </c>
      <c r="F120" t="str">
        <f>"15049.84"</f>
        <v>15049.84</v>
      </c>
      <c r="G120" t="str">
        <f>"15657.51"</f>
        <v>15657.51</v>
      </c>
      <c r="H120" t="str">
        <f>"1600.00"</f>
        <v>1600.00</v>
      </c>
      <c r="I120" t="str">
        <f>"11"</f>
        <v>11</v>
      </c>
      <c r="J120" t="str">
        <f>"证券卖出(银之杰)"</f>
        <v>证券卖出(银之杰)</v>
      </c>
      <c r="K120" t="str">
        <f>"15.08"</f>
        <v>15.08</v>
      </c>
      <c r="L120" t="str">
        <f>"15.08"</f>
        <v>15.08</v>
      </c>
      <c r="M120" t="str">
        <f t="shared" ref="M120:N126" si="50">"0.00"</f>
        <v>0.00</v>
      </c>
      <c r="N120" t="str">
        <f t="shared" si="50"/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9"/>
        <v>人民币</v>
      </c>
      <c r="B121" t="str">
        <f>"银之杰"</f>
        <v>银之杰</v>
      </c>
      <c r="C121" t="str">
        <f>"20190401"</f>
        <v>20190401</v>
      </c>
      <c r="D121" t="str">
        <f>"18.850"</f>
        <v>18.850</v>
      </c>
      <c r="E121" t="str">
        <f>"-1500.00"</f>
        <v>-1500.00</v>
      </c>
      <c r="F121" t="str">
        <f>"28218.44"</f>
        <v>28218.44</v>
      </c>
      <c r="G121" t="str">
        <f>"43875.95"</f>
        <v>43875.95</v>
      </c>
      <c r="H121" t="str">
        <f>"100.00"</f>
        <v>100.00</v>
      </c>
      <c r="I121" t="str">
        <f>"14"</f>
        <v>14</v>
      </c>
      <c r="J121" t="str">
        <f>"证券卖出(银之杰)"</f>
        <v>证券卖出(银之杰)</v>
      </c>
      <c r="K121" t="str">
        <f>"28.28"</f>
        <v>28.28</v>
      </c>
      <c r="L121" t="str">
        <f>"28.28"</f>
        <v>28.28</v>
      </c>
      <c r="M121" t="str">
        <f t="shared" si="50"/>
        <v>0.00</v>
      </c>
      <c r="N121" t="str">
        <f t="shared" si="50"/>
        <v>0.00</v>
      </c>
      <c r="O121" t="str">
        <f>"300085"</f>
        <v>300085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"银之杰"</f>
        <v>银之杰</v>
      </c>
      <c r="C122" t="str">
        <f>"20190401"</f>
        <v>20190401</v>
      </c>
      <c r="D122" t="str">
        <f>"18.910"</f>
        <v>18.910</v>
      </c>
      <c r="E122" t="str">
        <f>"-100.00"</f>
        <v>-100.00</v>
      </c>
      <c r="F122" t="str">
        <f>"1884.11"</f>
        <v>1884.11</v>
      </c>
      <c r="G122" t="str">
        <f>"45760.06"</f>
        <v>45760.06</v>
      </c>
      <c r="H122" t="str">
        <f>"0.00"</f>
        <v>0.00</v>
      </c>
      <c r="I122" t="str">
        <f>"17"</f>
        <v>17</v>
      </c>
      <c r="J122" t="str">
        <f>"证券卖出(银之杰)"</f>
        <v>证券卖出(银之杰)</v>
      </c>
      <c r="K122" t="str">
        <f>"5.00"</f>
        <v>5.00</v>
      </c>
      <c r="L122" t="str">
        <f>"1.89"</f>
        <v>1.89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"安硕信息"</f>
        <v>安硕信息</v>
      </c>
      <c r="C123" t="str">
        <f>"20190401"</f>
        <v>20190401</v>
      </c>
      <c r="D123" t="str">
        <f>"26.450"</f>
        <v>26.450</v>
      </c>
      <c r="E123" t="str">
        <f>"400.00"</f>
        <v>400.00</v>
      </c>
      <c r="F123" t="str">
        <f>"-10590.58"</f>
        <v>-10590.58</v>
      </c>
      <c r="G123" t="str">
        <f>"35169.48"</f>
        <v>35169.48</v>
      </c>
      <c r="H123" t="str">
        <f>"400.00"</f>
        <v>400.00</v>
      </c>
      <c r="I123" t="str">
        <f>"20"</f>
        <v>20</v>
      </c>
      <c r="J123" t="str">
        <f>"证券买入(安硕信息)"</f>
        <v>证券买入(安硕信息)</v>
      </c>
      <c r="K123" t="str">
        <f>"10.58"</f>
        <v>10.58</v>
      </c>
      <c r="L123" t="str">
        <f>"0.00"</f>
        <v>0.00</v>
      </c>
      <c r="M123" t="str">
        <f t="shared" si="50"/>
        <v>0.00</v>
      </c>
      <c r="N123" t="str">
        <f t="shared" si="50"/>
        <v>0.00</v>
      </c>
      <c r="O123" t="str">
        <f>"300380"</f>
        <v>300380</v>
      </c>
      <c r="P123" t="str">
        <f>"0153613480"</f>
        <v>0153613480</v>
      </c>
    </row>
    <row r="124" spans="1:16" x14ac:dyDescent="0.25">
      <c r="A124" t="str">
        <f t="shared" si="29"/>
        <v>人民币</v>
      </c>
      <c r="B124" t="str">
        <f>"博通配号"</f>
        <v>博通配号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"35169.48"</f>
        <v>35169.48</v>
      </c>
      <c r="H124" t="str">
        <f>"0.00"</f>
        <v>0.00</v>
      </c>
      <c r="I124" t="str">
        <f>"29"</f>
        <v>29</v>
      </c>
      <c r="J124" t="str">
        <f>"申购配号(博通配号)"</f>
        <v>申购配号(博通配号)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"736068"</f>
        <v>736068</v>
      </c>
      <c r="P124" t="str">
        <f>"A400948245"</f>
        <v>A400948245</v>
      </c>
    </row>
    <row r="125" spans="1:16" x14ac:dyDescent="0.25">
      <c r="A125" t="str">
        <f t="shared" si="29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"迪普科技"</f>
        <v>迪普科技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"19223.55"</f>
        <v>19223.55</v>
      </c>
      <c r="H126" t="str">
        <f>"0.00"</f>
        <v>0.00</v>
      </c>
      <c r="I126" t="str">
        <f>"31"</f>
        <v>31</v>
      </c>
      <c r="J126" t="str">
        <f>"申购配号(迪普科技)"</f>
        <v>申购配号(迪普科技)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"300768"</f>
        <v>300768</v>
      </c>
      <c r="P126" t="str">
        <f>"0153613480"</f>
        <v>0153613480</v>
      </c>
    </row>
    <row r="127" spans="1:16" x14ac:dyDescent="0.25">
      <c r="A127" t="str">
        <f t="shared" si="29"/>
        <v>人民币</v>
      </c>
      <c r="B127" t="str">
        <f>""</f>
        <v/>
      </c>
      <c r="C127" t="str">
        <f t="shared" ref="C127:C136" si="51">"20190403"</f>
        <v>20190403</v>
      </c>
      <c r="D127" t="str">
        <f>"---"</f>
        <v>---</v>
      </c>
      <c r="E127" t="str">
        <f>"---"</f>
        <v>---</v>
      </c>
      <c r="F127" t="str">
        <f>"-15000.00"</f>
        <v>-15000.00</v>
      </c>
      <c r="G127" t="str">
        <f>"4223.55"</f>
        <v>4223.55</v>
      </c>
      <c r="H127" t="str">
        <f>"---"</f>
        <v>---</v>
      </c>
      <c r="I127" t="str">
        <f>"---"</f>
        <v>---</v>
      </c>
      <c r="J127" t="str">
        <f>"银行转取"</f>
        <v>银行转取</v>
      </c>
      <c r="K127" t="str">
        <f t="shared" ref="K127:P127" si="52">"---"</f>
        <v>---</v>
      </c>
      <c r="L127" t="str">
        <f t="shared" si="52"/>
        <v>---</v>
      </c>
      <c r="M127" t="str">
        <f t="shared" si="52"/>
        <v>---</v>
      </c>
      <c r="N127" t="str">
        <f t="shared" si="52"/>
        <v>---</v>
      </c>
      <c r="O127" t="str">
        <f t="shared" si="52"/>
        <v>---</v>
      </c>
      <c r="P127" t="str">
        <f t="shared" si="52"/>
        <v>---</v>
      </c>
    </row>
    <row r="128" spans="1:16" x14ac:dyDescent="0.25">
      <c r="A128" t="str">
        <f t="shared" si="29"/>
        <v>人民币</v>
      </c>
      <c r="B128" t="str">
        <f>"天味配号"</f>
        <v>天味配号</v>
      </c>
      <c r="C128" t="str">
        <f t="shared" si="51"/>
        <v>20190403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"4223.55"</f>
        <v>4223.55</v>
      </c>
      <c r="H128" t="str">
        <f>"0.00"</f>
        <v>0.00</v>
      </c>
      <c r="I128" t="str">
        <f>"40"</f>
        <v>40</v>
      </c>
      <c r="J128" t="str">
        <f>"申购配号(天味配号)"</f>
        <v>申购配号(天味配号)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>"0.00"</f>
        <v>0.00</v>
      </c>
      <c r="O128" t="str">
        <f>"736317"</f>
        <v>736317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"七一二"</f>
        <v>七一二</v>
      </c>
      <c r="C129" t="str">
        <f t="shared" si="51"/>
        <v>20190403</v>
      </c>
      <c r="D129" t="str">
        <f>"21.810"</f>
        <v>21.810</v>
      </c>
      <c r="E129" t="str">
        <f>"-600.00"</f>
        <v>-600.00</v>
      </c>
      <c r="F129" t="str">
        <f>"13059.56"</f>
        <v>13059.56</v>
      </c>
      <c r="G129" t="str">
        <f>"17283.11"</f>
        <v>17283.11</v>
      </c>
      <c r="H129" t="str">
        <f>"1700.00"</f>
        <v>1700.00</v>
      </c>
      <c r="I129" t="str">
        <f>"48"</f>
        <v>48</v>
      </c>
      <c r="J129" t="str">
        <f>"证券卖出(七一二)"</f>
        <v>证券卖出(七一二)</v>
      </c>
      <c r="K129" t="str">
        <f>"13.09"</f>
        <v>13.09</v>
      </c>
      <c r="L129" t="str">
        <f>"13.09"</f>
        <v>13.09</v>
      </c>
      <c r="M129" t="str">
        <f>"0.26"</f>
        <v>0.26</v>
      </c>
      <c r="N129" t="str">
        <f t="shared" ref="N129:N136" si="53">"0.00"</f>
        <v>0.00</v>
      </c>
      <c r="O129" t="str">
        <f>"603712"</f>
        <v>603712</v>
      </c>
      <c r="P129" t="str">
        <f>"A400948245"</f>
        <v>A400948245</v>
      </c>
    </row>
    <row r="130" spans="1:16" x14ac:dyDescent="0.25">
      <c r="A130" t="str">
        <f t="shared" ref="A130:A193" si="54">"人民币"</f>
        <v>人民币</v>
      </c>
      <c r="B130" t="str">
        <f>"七一二"</f>
        <v>七一二</v>
      </c>
      <c r="C130" t="str">
        <f t="shared" si="51"/>
        <v>20190403</v>
      </c>
      <c r="D130" t="str">
        <f>"21.710"</f>
        <v>21.710</v>
      </c>
      <c r="E130" t="str">
        <f>"-300.00"</f>
        <v>-300.00</v>
      </c>
      <c r="F130" t="str">
        <f>"6499.85"</f>
        <v>6499.85</v>
      </c>
      <c r="G130" t="str">
        <f>"23782.96"</f>
        <v>23782.96</v>
      </c>
      <c r="H130" t="str">
        <f>"1400.00"</f>
        <v>1400.00</v>
      </c>
      <c r="I130" t="str">
        <f>"70"</f>
        <v>70</v>
      </c>
      <c r="J130" t="str">
        <f>"证券卖出(七一二)"</f>
        <v>证券卖出(七一二)</v>
      </c>
      <c r="K130" t="str">
        <f>"6.51"</f>
        <v>6.51</v>
      </c>
      <c r="L130" t="str">
        <f>"6.51"</f>
        <v>6.51</v>
      </c>
      <c r="M130" t="str">
        <f>"0.13"</f>
        <v>0.13</v>
      </c>
      <c r="N130" t="str">
        <f t="shared" si="53"/>
        <v>0.00</v>
      </c>
      <c r="O130" t="str">
        <f>"603712"</f>
        <v>603712</v>
      </c>
      <c r="P130" t="str">
        <f>"A400948245"</f>
        <v>A400948245</v>
      </c>
    </row>
    <row r="131" spans="1:16" x14ac:dyDescent="0.25">
      <c r="A131" t="str">
        <f t="shared" si="54"/>
        <v>人民币</v>
      </c>
      <c r="B131" t="str">
        <f>"安硕信息"</f>
        <v>安硕信息</v>
      </c>
      <c r="C131" t="str">
        <f t="shared" si="51"/>
        <v>20190403</v>
      </c>
      <c r="D131" t="str">
        <f>"26.380"</f>
        <v>26.380</v>
      </c>
      <c r="E131" t="str">
        <f>"300.00"</f>
        <v>300.00</v>
      </c>
      <c r="F131" t="str">
        <f>"-7921.91"</f>
        <v>-7921.91</v>
      </c>
      <c r="G131" t="str">
        <f>"15861.05"</f>
        <v>15861.05</v>
      </c>
      <c r="H131" t="str">
        <f>"1300.00"</f>
        <v>1300.00</v>
      </c>
      <c r="I131" t="str">
        <f>"44"</f>
        <v>44</v>
      </c>
      <c r="J131" t="str">
        <f>"证券买入(安硕信息)"</f>
        <v>证券买入(安硕信息)</v>
      </c>
      <c r="K131" t="str">
        <f>"7.91"</f>
        <v>7.91</v>
      </c>
      <c r="L131" t="str">
        <f>"0.00"</f>
        <v>0.00</v>
      </c>
      <c r="M131" t="str">
        <f>"0.00"</f>
        <v>0.00</v>
      </c>
      <c r="N131" t="str">
        <f t="shared" si="53"/>
        <v>0.00</v>
      </c>
      <c r="O131" t="str">
        <f>"300380"</f>
        <v>300380</v>
      </c>
      <c r="P131" t="str">
        <f t="shared" ref="P131:P136" si="55">"0153613480"</f>
        <v>0153613480</v>
      </c>
    </row>
    <row r="132" spans="1:16" x14ac:dyDescent="0.25">
      <c r="A132" t="str">
        <f t="shared" si="54"/>
        <v>人民币</v>
      </c>
      <c r="B132" t="str">
        <f>"青农商行"</f>
        <v>青农商行</v>
      </c>
      <c r="C132" t="str">
        <f t="shared" si="51"/>
        <v>20190403</v>
      </c>
      <c r="D132" t="str">
        <f>"10.110"</f>
        <v>10.110</v>
      </c>
      <c r="E132" t="str">
        <f>"-500.00"</f>
        <v>-500.00</v>
      </c>
      <c r="F132" t="str">
        <f>"5044.88"</f>
        <v>5044.88</v>
      </c>
      <c r="G132" t="str">
        <f>"20905.93"</f>
        <v>20905.93</v>
      </c>
      <c r="H132" t="str">
        <f>"0.00"</f>
        <v>0.00</v>
      </c>
      <c r="I132" t="str">
        <f>"51"</f>
        <v>51</v>
      </c>
      <c r="J132" t="str">
        <f>"证券卖出(青农商行)"</f>
        <v>证券卖出(青农商行)</v>
      </c>
      <c r="K132" t="str">
        <f>"5.06"</f>
        <v>5.06</v>
      </c>
      <c r="L132" t="str">
        <f>"5.06"</f>
        <v>5.06</v>
      </c>
      <c r="M132" t="str">
        <f>"0.00"</f>
        <v>0.00</v>
      </c>
      <c r="N132" t="str">
        <f t="shared" si="53"/>
        <v>0.00</v>
      </c>
      <c r="O132" t="str">
        <f>"002958"</f>
        <v>002958</v>
      </c>
      <c r="P132" t="str">
        <f t="shared" si="55"/>
        <v>0153613480</v>
      </c>
    </row>
    <row r="133" spans="1:16" x14ac:dyDescent="0.25">
      <c r="A133" t="str">
        <f t="shared" si="54"/>
        <v>人民币</v>
      </c>
      <c r="B133" t="str">
        <f>"西部建设"</f>
        <v>西部建设</v>
      </c>
      <c r="C133" t="str">
        <f t="shared" si="51"/>
        <v>20190403</v>
      </c>
      <c r="D133" t="str">
        <f>"15.680"</f>
        <v>15.680</v>
      </c>
      <c r="E133" t="str">
        <f>"500.00"</f>
        <v>500.00</v>
      </c>
      <c r="F133" t="str">
        <f>"-7847.84"</f>
        <v>-7847.84</v>
      </c>
      <c r="G133" t="str">
        <f>"13058.09"</f>
        <v>13058.09</v>
      </c>
      <c r="H133" t="str">
        <f>"500.00"</f>
        <v>500.00</v>
      </c>
      <c r="I133" t="str">
        <f>"54"</f>
        <v>54</v>
      </c>
      <c r="J133" t="str">
        <f>"证券买入(西部建设)"</f>
        <v>证券买入(西部建设)</v>
      </c>
      <c r="K133" t="str">
        <f>"7.84"</f>
        <v>7.84</v>
      </c>
      <c r="L133" t="str">
        <f>"0.00"</f>
        <v>0.00</v>
      </c>
      <c r="M133" t="str">
        <f>"0.00"</f>
        <v>0.00</v>
      </c>
      <c r="N133" t="str">
        <f t="shared" si="53"/>
        <v>0.00</v>
      </c>
      <c r="O133" t="str">
        <f>"002302"</f>
        <v>002302</v>
      </c>
      <c r="P133" t="str">
        <f t="shared" si="55"/>
        <v>0153613480</v>
      </c>
    </row>
    <row r="134" spans="1:16" x14ac:dyDescent="0.25">
      <c r="A134" t="str">
        <f t="shared" si="54"/>
        <v>人民币</v>
      </c>
      <c r="B134" t="str">
        <f>"青农商行"</f>
        <v>青农商行</v>
      </c>
      <c r="C134" t="str">
        <f t="shared" si="51"/>
        <v>20190403</v>
      </c>
      <c r="D134" t="str">
        <f>"9.941"</f>
        <v>9.941</v>
      </c>
      <c r="E134" t="str">
        <f>"500.00"</f>
        <v>500.00</v>
      </c>
      <c r="F134" t="str">
        <f>"-4975.50"</f>
        <v>-4975.50</v>
      </c>
      <c r="G134" t="str">
        <f>"8082.59"</f>
        <v>8082.59</v>
      </c>
      <c r="H134" t="str">
        <f>"500.00"</f>
        <v>500.00</v>
      </c>
      <c r="I134" t="str">
        <f>"59"</f>
        <v>59</v>
      </c>
      <c r="J134" t="str">
        <f>"证券买入(青农商行)"</f>
        <v>证券买入(青农商行)</v>
      </c>
      <c r="K134" t="str">
        <f>"5.00"</f>
        <v>5.00</v>
      </c>
      <c r="L134" t="str">
        <f>"0.00"</f>
        <v>0.00</v>
      </c>
      <c r="M134" t="str">
        <f>"0.00"</f>
        <v>0.00</v>
      </c>
      <c r="N134" t="str">
        <f t="shared" si="53"/>
        <v>0.00</v>
      </c>
      <c r="O134" t="str">
        <f>"002958"</f>
        <v>002958</v>
      </c>
      <c r="P134" t="str">
        <f t="shared" si="55"/>
        <v>0153613480</v>
      </c>
    </row>
    <row r="135" spans="1:16" x14ac:dyDescent="0.25">
      <c r="A135" t="str">
        <f t="shared" si="54"/>
        <v>人民币</v>
      </c>
      <c r="B135" t="str">
        <f>"安硕信息"</f>
        <v>安硕信息</v>
      </c>
      <c r="C135" t="str">
        <f t="shared" si="51"/>
        <v>20190403</v>
      </c>
      <c r="D135" t="str">
        <f>"27.050"</f>
        <v>27.050</v>
      </c>
      <c r="E135" t="str">
        <f>"-500.00"</f>
        <v>-500.00</v>
      </c>
      <c r="F135" t="str">
        <f>"13497.94"</f>
        <v>13497.94</v>
      </c>
      <c r="G135" t="str">
        <f>"21580.53"</f>
        <v>21580.53</v>
      </c>
      <c r="H135" t="str">
        <f>"800.00"</f>
        <v>800.00</v>
      </c>
      <c r="I135" t="str">
        <f>"73"</f>
        <v>73</v>
      </c>
      <c r="J135" t="str">
        <f>"证券卖出(安硕信息)"</f>
        <v>证券卖出(安硕信息)</v>
      </c>
      <c r="K135" t="str">
        <f>"13.53"</f>
        <v>13.53</v>
      </c>
      <c r="L135" t="str">
        <f>"13.53"</f>
        <v>13.53</v>
      </c>
      <c r="M135" t="str">
        <f>"0.00"</f>
        <v>0.00</v>
      </c>
      <c r="N135" t="str">
        <f t="shared" si="53"/>
        <v>0.00</v>
      </c>
      <c r="O135" t="str">
        <f>"300380"</f>
        <v>300380</v>
      </c>
      <c r="P135" t="str">
        <f t="shared" si="55"/>
        <v>0153613480</v>
      </c>
    </row>
    <row r="136" spans="1:16" x14ac:dyDescent="0.25">
      <c r="A136" t="str">
        <f t="shared" si="54"/>
        <v>人民币</v>
      </c>
      <c r="B136" t="str">
        <f>"德方纳米"</f>
        <v>德方纳米</v>
      </c>
      <c r="C136" t="str">
        <f t="shared" si="51"/>
        <v>20190403</v>
      </c>
      <c r="D136" t="str">
        <f>"0.000"</f>
        <v>0.000</v>
      </c>
      <c r="E136" t="str">
        <f>"9.00"</f>
        <v>9.00</v>
      </c>
      <c r="F136" t="str">
        <f>"0.00"</f>
        <v>0.00</v>
      </c>
      <c r="G136" t="str">
        <f>"21580.53"</f>
        <v>21580.53</v>
      </c>
      <c r="H136" t="str">
        <f>"0.00"</f>
        <v>0.00</v>
      </c>
      <c r="I136" t="str">
        <f>"42"</f>
        <v>42</v>
      </c>
      <c r="J136" t="str">
        <f>"申购配号(德方纳米)"</f>
        <v>申购配号(德方纳米)</v>
      </c>
      <c r="K136" t="str">
        <f>"0.00"</f>
        <v>0.00</v>
      </c>
      <c r="L136" t="str">
        <f>"0.00"</f>
        <v>0.00</v>
      </c>
      <c r="M136" t="str">
        <f>"0.00"</f>
        <v>0.00</v>
      </c>
      <c r="N136" t="str">
        <f t="shared" si="53"/>
        <v>0.00</v>
      </c>
      <c r="O136" t="str">
        <f>"300769"</f>
        <v>300769</v>
      </c>
      <c r="P136" t="str">
        <f t="shared" si="55"/>
        <v>0153613480</v>
      </c>
    </row>
    <row r="137" spans="1:16" x14ac:dyDescent="0.25">
      <c r="A137" t="str">
        <f t="shared" si="54"/>
        <v>人民币</v>
      </c>
      <c r="B137" t="str">
        <f>""</f>
        <v/>
      </c>
      <c r="C137" t="str">
        <f t="shared" ref="C137:C146" si="56">"20190404"</f>
        <v>20190404</v>
      </c>
      <c r="D137" t="str">
        <f>"---"</f>
        <v>---</v>
      </c>
      <c r="E137" t="str">
        <f>"---"</f>
        <v>---</v>
      </c>
      <c r="F137" t="str">
        <f>"-20000.00"</f>
        <v>-20000.00</v>
      </c>
      <c r="G137" t="str">
        <f>"1580.53"</f>
        <v>1580.53</v>
      </c>
      <c r="H137" t="str">
        <f>"---"</f>
        <v>---</v>
      </c>
      <c r="I137" t="str">
        <f>"---"</f>
        <v>---</v>
      </c>
      <c r="J137" t="str">
        <f>"银行转取"</f>
        <v>银行转取</v>
      </c>
      <c r="K137" t="str">
        <f t="shared" ref="K137:P137" si="57">"---"</f>
        <v>---</v>
      </c>
      <c r="L137" t="str">
        <f t="shared" si="57"/>
        <v>---</v>
      </c>
      <c r="M137" t="str">
        <f t="shared" si="57"/>
        <v>---</v>
      </c>
      <c r="N137" t="str">
        <f t="shared" si="57"/>
        <v>---</v>
      </c>
      <c r="O137" t="str">
        <f t="shared" si="57"/>
        <v>---</v>
      </c>
      <c r="P137" t="str">
        <f t="shared" si="57"/>
        <v>---</v>
      </c>
    </row>
    <row r="138" spans="1:16" x14ac:dyDescent="0.25">
      <c r="A138" t="str">
        <f t="shared" si="54"/>
        <v>人民币</v>
      </c>
      <c r="B138" t="str">
        <f>"航发科技"</f>
        <v>航发科技</v>
      </c>
      <c r="C138" t="str">
        <f t="shared" si="56"/>
        <v>20190404</v>
      </c>
      <c r="D138" t="str">
        <f>"18.390"</f>
        <v>18.390</v>
      </c>
      <c r="E138" t="str">
        <f>"200.00"</f>
        <v>200.00</v>
      </c>
      <c r="F138" t="str">
        <f>"-3683.07"</f>
        <v>-3683.07</v>
      </c>
      <c r="G138" t="str">
        <f>"-2102.54"</f>
        <v>-2102.54</v>
      </c>
      <c r="H138" t="str">
        <f>"200.00"</f>
        <v>200.00</v>
      </c>
      <c r="I138" t="str">
        <f>"100"</f>
        <v>100</v>
      </c>
      <c r="J138" t="str">
        <f>"证券买入(航发科技)"</f>
        <v>证券买入(航发科技)</v>
      </c>
      <c r="K138" t="str">
        <f>"5.00"</f>
        <v>5.00</v>
      </c>
      <c r="L138" t="str">
        <f>"0.00"</f>
        <v>0.00</v>
      </c>
      <c r="M138" t="str">
        <f>"0.07"</f>
        <v>0.07</v>
      </c>
      <c r="N138" t="str">
        <f t="shared" ref="N138:N152" si="58">"0.00"</f>
        <v>0.00</v>
      </c>
      <c r="O138" t="str">
        <f>"600391"</f>
        <v>600391</v>
      </c>
      <c r="P138" t="str">
        <f>"A400948245"</f>
        <v>A400948245</v>
      </c>
    </row>
    <row r="139" spans="1:16" x14ac:dyDescent="0.25">
      <c r="A139" t="str">
        <f t="shared" si="54"/>
        <v>人民币</v>
      </c>
      <c r="B139" t="str">
        <f>"航发科技"</f>
        <v>航发科技</v>
      </c>
      <c r="C139" t="str">
        <f t="shared" si="56"/>
        <v>20190404</v>
      </c>
      <c r="D139" t="str">
        <f>"18.300"</f>
        <v>18.300</v>
      </c>
      <c r="E139" t="str">
        <f>"300.00"</f>
        <v>300.00</v>
      </c>
      <c r="F139" t="str">
        <f>"-5495.59"</f>
        <v>-5495.59</v>
      </c>
      <c r="G139" t="str">
        <f>"-7598.13"</f>
        <v>-7598.13</v>
      </c>
      <c r="H139" t="str">
        <f>"500.00"</f>
        <v>500.00</v>
      </c>
      <c r="I139" t="str">
        <f>"103"</f>
        <v>103</v>
      </c>
      <c r="J139" t="str">
        <f>"证券买入(航发科技)"</f>
        <v>证券买入(航发科技)</v>
      </c>
      <c r="K139" t="str">
        <f>"5.49"</f>
        <v>5.49</v>
      </c>
      <c r="L139" t="str">
        <f>"0.00"</f>
        <v>0.00</v>
      </c>
      <c r="M139" t="str">
        <f>"0.10"</f>
        <v>0.10</v>
      </c>
      <c r="N139" t="str">
        <f t="shared" si="58"/>
        <v>0.00</v>
      </c>
      <c r="O139" t="str">
        <f>"600391"</f>
        <v>600391</v>
      </c>
      <c r="P139" t="str">
        <f>"A400948245"</f>
        <v>A400948245</v>
      </c>
    </row>
    <row r="140" spans="1:16" x14ac:dyDescent="0.25">
      <c r="A140" t="str">
        <f t="shared" si="54"/>
        <v>人民币</v>
      </c>
      <c r="B140" t="str">
        <f>"航发科技"</f>
        <v>航发科技</v>
      </c>
      <c r="C140" t="str">
        <f t="shared" si="56"/>
        <v>20190404</v>
      </c>
      <c r="D140" t="str">
        <f>"18.180"</f>
        <v>18.180</v>
      </c>
      <c r="E140" t="str">
        <f>"500.00"</f>
        <v>500.00</v>
      </c>
      <c r="F140" t="str">
        <f>"-9099.27"</f>
        <v>-9099.27</v>
      </c>
      <c r="G140" t="str">
        <f>"-16697.40"</f>
        <v>-16697.40</v>
      </c>
      <c r="H140" t="str">
        <f>"1000.00"</f>
        <v>1000.00</v>
      </c>
      <c r="I140" t="str">
        <f>"114"</f>
        <v>114</v>
      </c>
      <c r="J140" t="str">
        <f>"证券买入(航发科技)"</f>
        <v>证券买入(航发科技)</v>
      </c>
      <c r="K140" t="str">
        <f>"9.09"</f>
        <v>9.09</v>
      </c>
      <c r="L140" t="str">
        <f>"0.00"</f>
        <v>0.00</v>
      </c>
      <c r="M140" t="str">
        <f>"0.18"</f>
        <v>0.18</v>
      </c>
      <c r="N140" t="str">
        <f t="shared" si="58"/>
        <v>0.00</v>
      </c>
      <c r="O140" t="str">
        <f>"600391"</f>
        <v>600391</v>
      </c>
      <c r="P140" t="str">
        <f>"A400948245"</f>
        <v>A400948245</v>
      </c>
    </row>
    <row r="141" spans="1:16" x14ac:dyDescent="0.25">
      <c r="A141" t="str">
        <f t="shared" si="54"/>
        <v>人民币</v>
      </c>
      <c r="B141" t="str">
        <f>"航发科技"</f>
        <v>航发科技</v>
      </c>
      <c r="C141" t="str">
        <f t="shared" si="56"/>
        <v>20190404</v>
      </c>
      <c r="D141" t="str">
        <f>"18.250"</f>
        <v>18.250</v>
      </c>
      <c r="E141" t="str">
        <f>"300.00"</f>
        <v>300.00</v>
      </c>
      <c r="F141" t="str">
        <f>"-5480.59"</f>
        <v>-5480.59</v>
      </c>
      <c r="G141" t="str">
        <f>"-22177.99"</f>
        <v>-22177.99</v>
      </c>
      <c r="H141" t="str">
        <f>"1300.00"</f>
        <v>1300.00</v>
      </c>
      <c r="I141" t="str">
        <f>"127"</f>
        <v>127</v>
      </c>
      <c r="J141" t="str">
        <f>"证券买入(航发科技)"</f>
        <v>证券买入(航发科技)</v>
      </c>
      <c r="K141" t="str">
        <f>"5.48"</f>
        <v>5.48</v>
      </c>
      <c r="L141" t="str">
        <f>"0.00"</f>
        <v>0.00</v>
      </c>
      <c r="M141" t="str">
        <f>"0.11"</f>
        <v>0.11</v>
      </c>
      <c r="N141" t="str">
        <f t="shared" si="58"/>
        <v>0.00</v>
      </c>
      <c r="O141" t="str">
        <f>"600391"</f>
        <v>600391</v>
      </c>
      <c r="P141" t="str">
        <f>"A400948245"</f>
        <v>A400948245</v>
      </c>
    </row>
    <row r="142" spans="1:16" x14ac:dyDescent="0.25">
      <c r="A142" t="str">
        <f t="shared" si="54"/>
        <v>人民币</v>
      </c>
      <c r="B142" t="str">
        <f>"蓝思科技"</f>
        <v>蓝思科技</v>
      </c>
      <c r="C142" t="str">
        <f t="shared" si="56"/>
        <v>20190404</v>
      </c>
      <c r="D142" t="str">
        <f>"9.330"</f>
        <v>9.330</v>
      </c>
      <c r="E142" t="str">
        <f>"-2300.00"</f>
        <v>-2300.00</v>
      </c>
      <c r="F142" t="str">
        <f>"21416.08"</f>
        <v>21416.08</v>
      </c>
      <c r="G142" t="str">
        <f>"-761.91"</f>
        <v>-761.91</v>
      </c>
      <c r="H142" t="str">
        <f>"0.00"</f>
        <v>0.00</v>
      </c>
      <c r="I142" t="str">
        <f>"91"</f>
        <v>91</v>
      </c>
      <c r="J142" t="str">
        <f>"证券卖出(蓝思科技)"</f>
        <v>证券卖出(蓝思科技)</v>
      </c>
      <c r="K142" t="str">
        <f>"21.46"</f>
        <v>21.46</v>
      </c>
      <c r="L142" t="str">
        <f>"21.46"</f>
        <v>21.46</v>
      </c>
      <c r="M142" t="str">
        <f>"0.00"</f>
        <v>0.00</v>
      </c>
      <c r="N142" t="str">
        <f t="shared" si="58"/>
        <v>0.00</v>
      </c>
      <c r="O142" t="str">
        <f>"300433"</f>
        <v>300433</v>
      </c>
      <c r="P142" t="str">
        <f>"0153613480"</f>
        <v>0153613480</v>
      </c>
    </row>
    <row r="143" spans="1:16" x14ac:dyDescent="0.25">
      <c r="A143" t="str">
        <f t="shared" si="54"/>
        <v>人民币</v>
      </c>
      <c r="B143" t="str">
        <f>"安硕信息"</f>
        <v>安硕信息</v>
      </c>
      <c r="C143" t="str">
        <f t="shared" si="56"/>
        <v>20190404</v>
      </c>
      <c r="D143" t="str">
        <f>"27.010"</f>
        <v>27.010</v>
      </c>
      <c r="E143" t="str">
        <f>"-500.00"</f>
        <v>-500.00</v>
      </c>
      <c r="F143" t="str">
        <f>"13477.98"</f>
        <v>13477.98</v>
      </c>
      <c r="G143" t="str">
        <f>"12716.07"</f>
        <v>12716.07</v>
      </c>
      <c r="H143" t="str">
        <f>"300.00"</f>
        <v>300.00</v>
      </c>
      <c r="I143" t="str">
        <f>"88"</f>
        <v>88</v>
      </c>
      <c r="J143" t="str">
        <f>"证券卖出(安硕信息)"</f>
        <v>证券卖出(安硕信息)</v>
      </c>
      <c r="K143" t="str">
        <f>"13.51"</f>
        <v>13.51</v>
      </c>
      <c r="L143" t="str">
        <f>"13.51"</f>
        <v>13.51</v>
      </c>
      <c r="M143" t="str">
        <f>"0.00"</f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4"/>
        <v>人民币</v>
      </c>
      <c r="B144" t="str">
        <f>"安硕信息"</f>
        <v>安硕信息</v>
      </c>
      <c r="C144" t="str">
        <f t="shared" si="56"/>
        <v>20190404</v>
      </c>
      <c r="D144" t="str">
        <f>"26.580"</f>
        <v>26.580</v>
      </c>
      <c r="E144" t="str">
        <f>"-300.00"</f>
        <v>-300.00</v>
      </c>
      <c r="F144" t="str">
        <f>"7958.06"</f>
        <v>7958.06</v>
      </c>
      <c r="G144" t="str">
        <f>"20674.13"</f>
        <v>20674.13</v>
      </c>
      <c r="H144" t="str">
        <f>"0.00"</f>
        <v>0.00</v>
      </c>
      <c r="I144" t="str">
        <f>"120"</f>
        <v>120</v>
      </c>
      <c r="J144" t="str">
        <f>"证券卖出(安硕信息)"</f>
        <v>证券卖出(安硕信息)</v>
      </c>
      <c r="K144" t="str">
        <f>"7.97"</f>
        <v>7.97</v>
      </c>
      <c r="L144" t="str">
        <f>"7.97"</f>
        <v>7.97</v>
      </c>
      <c r="M144" t="str">
        <f>"0.00"</f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4"/>
        <v>人民币</v>
      </c>
      <c r="B145" t="str">
        <f>"西部建设"</f>
        <v>西部建设</v>
      </c>
      <c r="C145" t="str">
        <f t="shared" si="56"/>
        <v>20190404</v>
      </c>
      <c r="D145" t="str">
        <f>"15.570"</f>
        <v>15.570</v>
      </c>
      <c r="E145" t="str">
        <f>"-500.00"</f>
        <v>-500.00</v>
      </c>
      <c r="F145" t="str">
        <f>"7769.42"</f>
        <v>7769.42</v>
      </c>
      <c r="G145" t="str">
        <f>"28443.55"</f>
        <v>28443.55</v>
      </c>
      <c r="H145" t="str">
        <f>"0.00"</f>
        <v>0.00</v>
      </c>
      <c r="I145" t="str">
        <f>"124"</f>
        <v>124</v>
      </c>
      <c r="J145" t="str">
        <f>"证券卖出(西部建设)"</f>
        <v>证券卖出(西部建设)</v>
      </c>
      <c r="K145" t="str">
        <f>"7.79"</f>
        <v>7.79</v>
      </c>
      <c r="L145" t="str">
        <f>"7.79"</f>
        <v>7.79</v>
      </c>
      <c r="M145" t="str">
        <f>"0.00"</f>
        <v>0.00</v>
      </c>
      <c r="N145" t="str">
        <f t="shared" si="58"/>
        <v>0.00</v>
      </c>
      <c r="O145" t="str">
        <f>"002302"</f>
        <v>002302</v>
      </c>
      <c r="P145" t="str">
        <f>"0153613480"</f>
        <v>0153613480</v>
      </c>
    </row>
    <row r="146" spans="1:16" x14ac:dyDescent="0.25">
      <c r="A146" t="str">
        <f t="shared" si="54"/>
        <v>人民币</v>
      </c>
      <c r="B146" t="str">
        <f>"青农商行"</f>
        <v>青农商行</v>
      </c>
      <c r="C146" t="str">
        <f t="shared" si="56"/>
        <v>20190404</v>
      </c>
      <c r="D146" t="str">
        <f>"10.790"</f>
        <v>10.790</v>
      </c>
      <c r="E146" t="str">
        <f>"-500.00"</f>
        <v>-500.00</v>
      </c>
      <c r="F146" t="str">
        <f>"5384.20"</f>
        <v>5384.20</v>
      </c>
      <c r="G146" t="str">
        <f>"33827.75"</f>
        <v>33827.75</v>
      </c>
      <c r="H146" t="str">
        <f>"0.00"</f>
        <v>0.00</v>
      </c>
      <c r="I146" t="str">
        <f>"111"</f>
        <v>111</v>
      </c>
      <c r="J146" t="str">
        <f>"证券卖出(青农商行)"</f>
        <v>证券卖出(青农商行)</v>
      </c>
      <c r="K146" t="str">
        <f>"5.40"</f>
        <v>5.40</v>
      </c>
      <c r="L146" t="str">
        <f>"5.40"</f>
        <v>5.40</v>
      </c>
      <c r="M146" t="str">
        <f>"0.00"</f>
        <v>0.00</v>
      </c>
      <c r="N146" t="str">
        <f t="shared" si="58"/>
        <v>0.00</v>
      </c>
      <c r="O146" t="str">
        <f>"002958"</f>
        <v>002958</v>
      </c>
      <c r="P146" t="str">
        <f>"0153613480"</f>
        <v>0153613480</v>
      </c>
    </row>
    <row r="147" spans="1:16" x14ac:dyDescent="0.25">
      <c r="A147" t="str">
        <f t="shared" si="54"/>
        <v>人民币</v>
      </c>
      <c r="B147" t="str">
        <f>"上海家化"</f>
        <v>上海家化</v>
      </c>
      <c r="C147" t="str">
        <f t="shared" ref="C147:C152" si="59">"20190408"</f>
        <v>20190408</v>
      </c>
      <c r="D147" t="str">
        <f>"31.910"</f>
        <v>31.910</v>
      </c>
      <c r="E147" t="str">
        <f>"200.00"</f>
        <v>200.00</v>
      </c>
      <c r="F147" t="str">
        <f>"-6388.51"</f>
        <v>-6388.51</v>
      </c>
      <c r="G147" t="str">
        <f>"27439.24"</f>
        <v>27439.24</v>
      </c>
      <c r="H147" t="str">
        <f>"200.00"</f>
        <v>200.00</v>
      </c>
      <c r="I147" t="str">
        <f>"143"</f>
        <v>143</v>
      </c>
      <c r="J147" t="str">
        <f>"证券买入(上海家化)"</f>
        <v>证券买入(上海家化)</v>
      </c>
      <c r="K147" t="str">
        <f>"6.38"</f>
        <v>6.38</v>
      </c>
      <c r="L147" t="str">
        <f>"0.00"</f>
        <v>0.00</v>
      </c>
      <c r="M147" t="str">
        <f>"0.13"</f>
        <v>0.13</v>
      </c>
      <c r="N147" t="str">
        <f t="shared" si="58"/>
        <v>0.00</v>
      </c>
      <c r="O147" t="str">
        <f>"600315"</f>
        <v>600315</v>
      </c>
      <c r="P147" t="str">
        <f t="shared" ref="P147:P152" si="60">"A400948245"</f>
        <v>A400948245</v>
      </c>
    </row>
    <row r="148" spans="1:16" x14ac:dyDescent="0.25">
      <c r="A148" t="str">
        <f t="shared" si="54"/>
        <v>人民币</v>
      </c>
      <c r="B148" t="str">
        <f>"七一二"</f>
        <v>七一二</v>
      </c>
      <c r="C148" t="str">
        <f t="shared" si="59"/>
        <v>20190408</v>
      </c>
      <c r="D148" t="str">
        <f>"21.580"</f>
        <v>21.580</v>
      </c>
      <c r="E148" t="str">
        <f>"300.00"</f>
        <v>300.00</v>
      </c>
      <c r="F148" t="str">
        <f>"-6480.60"</f>
        <v>-6480.60</v>
      </c>
      <c r="G148" t="str">
        <f>"20958.64"</f>
        <v>20958.64</v>
      </c>
      <c r="H148" t="str">
        <f>"1700.00"</f>
        <v>1700.00</v>
      </c>
      <c r="I148" t="str">
        <f>"146"</f>
        <v>146</v>
      </c>
      <c r="J148" t="str">
        <f>"证券买入(七一二)"</f>
        <v>证券买入(七一二)</v>
      </c>
      <c r="K148" t="str">
        <f>"6.47"</f>
        <v>6.47</v>
      </c>
      <c r="L148" t="str">
        <f>"0.00"</f>
        <v>0.00</v>
      </c>
      <c r="M148" t="str">
        <f>"0.13"</f>
        <v>0.13</v>
      </c>
      <c r="N148" t="str">
        <f t="shared" si="58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4"/>
        <v>人民币</v>
      </c>
      <c r="B149" t="str">
        <f>"七一二"</f>
        <v>七一二</v>
      </c>
      <c r="C149" t="str">
        <f t="shared" si="59"/>
        <v>20190408</v>
      </c>
      <c r="D149" t="str">
        <f>"22.870"</f>
        <v>22.870</v>
      </c>
      <c r="E149" t="str">
        <f>"-300.00"</f>
        <v>-300.00</v>
      </c>
      <c r="F149" t="str">
        <f>"6847.14"</f>
        <v>6847.14</v>
      </c>
      <c r="G149" t="str">
        <f>"27805.78"</f>
        <v>27805.78</v>
      </c>
      <c r="H149" t="str">
        <f>"1400.00"</f>
        <v>1400.00</v>
      </c>
      <c r="I149" t="str">
        <f>"149"</f>
        <v>149</v>
      </c>
      <c r="J149" t="str">
        <f>"证券卖出(七一二)"</f>
        <v>证券卖出(七一二)</v>
      </c>
      <c r="K149" t="str">
        <f>"6.86"</f>
        <v>6.86</v>
      </c>
      <c r="L149" t="str">
        <f>"6.86"</f>
        <v>6.86</v>
      </c>
      <c r="M149" t="str">
        <f>"0.14"</f>
        <v>0.14</v>
      </c>
      <c r="N149" t="str">
        <f t="shared" si="58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4"/>
        <v>人民币</v>
      </c>
      <c r="B150" t="str">
        <f>"七一二"</f>
        <v>七一二</v>
      </c>
      <c r="C150" t="str">
        <f t="shared" si="59"/>
        <v>20190408</v>
      </c>
      <c r="D150" t="str">
        <f>"22.600"</f>
        <v>22.600</v>
      </c>
      <c r="E150" t="str">
        <f>"300.00"</f>
        <v>300.00</v>
      </c>
      <c r="F150" t="str">
        <f>"-6786.92"</f>
        <v>-6786.92</v>
      </c>
      <c r="G150" t="str">
        <f>"21018.86"</f>
        <v>21018.86</v>
      </c>
      <c r="H150" t="str">
        <f>"1700.00"</f>
        <v>1700.00</v>
      </c>
      <c r="I150" t="str">
        <f>"152"</f>
        <v>152</v>
      </c>
      <c r="J150" t="str">
        <f>"证券买入(七一二)"</f>
        <v>证券买入(七一二)</v>
      </c>
      <c r="K150" t="str">
        <f>"6.78"</f>
        <v>6.78</v>
      </c>
      <c r="L150" t="str">
        <f>"0.00"</f>
        <v>0.00</v>
      </c>
      <c r="M150" t="str">
        <f>"0.14"</f>
        <v>0.14</v>
      </c>
      <c r="N150" t="str">
        <f t="shared" si="58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4"/>
        <v>人民币</v>
      </c>
      <c r="B151" t="str">
        <f>"七一二"</f>
        <v>七一二</v>
      </c>
      <c r="C151" t="str">
        <f t="shared" si="59"/>
        <v>20190408</v>
      </c>
      <c r="D151" t="str">
        <f>"22.440"</f>
        <v>22.440</v>
      </c>
      <c r="E151" t="str">
        <f>"300.00"</f>
        <v>300.00</v>
      </c>
      <c r="F151" t="str">
        <f>"-6738.86"</f>
        <v>-6738.86</v>
      </c>
      <c r="G151" t="str">
        <f>"14280.00"</f>
        <v>14280.00</v>
      </c>
      <c r="H151" t="str">
        <f>"2000.00"</f>
        <v>2000.00</v>
      </c>
      <c r="I151" t="str">
        <f>"155"</f>
        <v>155</v>
      </c>
      <c r="J151" t="str">
        <f>"证券买入(七一二)"</f>
        <v>证券买入(七一二)</v>
      </c>
      <c r="K151" t="str">
        <f>"6.73"</f>
        <v>6.73</v>
      </c>
      <c r="L151" t="str">
        <f>"0.00"</f>
        <v>0.00</v>
      </c>
      <c r="M151" t="str">
        <f>"0.13"</f>
        <v>0.13</v>
      </c>
      <c r="N151" t="str">
        <f t="shared" si="58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4"/>
        <v>人民币</v>
      </c>
      <c r="B152" t="str">
        <f>"航发科技"</f>
        <v>航发科技</v>
      </c>
      <c r="C152" t="str">
        <f t="shared" si="59"/>
        <v>20190408</v>
      </c>
      <c r="D152" t="str">
        <f>"17.740"</f>
        <v>17.740</v>
      </c>
      <c r="E152" t="str">
        <f>"300.00"</f>
        <v>300.00</v>
      </c>
      <c r="F152" t="str">
        <f>"-5327.43"</f>
        <v>-5327.43</v>
      </c>
      <c r="G152" t="str">
        <f>"8952.57"</f>
        <v>8952.57</v>
      </c>
      <c r="H152" t="str">
        <f>"1600.00"</f>
        <v>1600.00</v>
      </c>
      <c r="I152" t="str">
        <f>"159"</f>
        <v>159</v>
      </c>
      <c r="J152" t="str">
        <f>"证券买入(航发科技)"</f>
        <v>证券买入(航发科技)</v>
      </c>
      <c r="K152" t="str">
        <f>"5.32"</f>
        <v>5.32</v>
      </c>
      <c r="L152" t="str">
        <f>"0.00"</f>
        <v>0.00</v>
      </c>
      <c r="M152" t="str">
        <f>"0.11"</f>
        <v>0.11</v>
      </c>
      <c r="N152" t="str">
        <f t="shared" si="58"/>
        <v>0.00</v>
      </c>
      <c r="O152" t="str">
        <f>"600391"</f>
        <v>600391</v>
      </c>
      <c r="P152" t="str">
        <f t="shared" si="60"/>
        <v>A400948245</v>
      </c>
    </row>
    <row r="153" spans="1:16" x14ac:dyDescent="0.25">
      <c r="A153" t="str">
        <f t="shared" si="54"/>
        <v>人民币</v>
      </c>
      <c r="B153" t="str">
        <f>""</f>
        <v/>
      </c>
      <c r="C153" t="str">
        <f t="shared" ref="C153:C161" si="61">"20190409"</f>
        <v>20190409</v>
      </c>
      <c r="D153" t="str">
        <f>"---"</f>
        <v>---</v>
      </c>
      <c r="E153" t="str">
        <f>"---"</f>
        <v>---</v>
      </c>
      <c r="F153" t="str">
        <f>"10000.00"</f>
        <v>10000.00</v>
      </c>
      <c r="G153" t="str">
        <f>"18952.57"</f>
        <v>18952.57</v>
      </c>
      <c r="H153" t="str">
        <f>"---"</f>
        <v>---</v>
      </c>
      <c r="I153" t="str">
        <f>"---"</f>
        <v>---</v>
      </c>
      <c r="J153" t="str">
        <f>"银行转存"</f>
        <v>银行转存</v>
      </c>
      <c r="K153" t="str">
        <f t="shared" ref="K153:P153" si="62">"---"</f>
        <v>---</v>
      </c>
      <c r="L153" t="str">
        <f t="shared" si="62"/>
        <v>---</v>
      </c>
      <c r="M153" t="str">
        <f t="shared" si="62"/>
        <v>---</v>
      </c>
      <c r="N153" t="str">
        <f t="shared" si="62"/>
        <v>---</v>
      </c>
      <c r="O153" t="str">
        <f t="shared" si="62"/>
        <v>---</v>
      </c>
      <c r="P153" t="str">
        <f t="shared" si="62"/>
        <v>---</v>
      </c>
    </row>
    <row r="154" spans="1:16" x14ac:dyDescent="0.25">
      <c r="A154" t="str">
        <f t="shared" si="54"/>
        <v>人民币</v>
      </c>
      <c r="B154" t="str">
        <f>"七一二"</f>
        <v>七一二</v>
      </c>
      <c r="C154" t="str">
        <f t="shared" si="61"/>
        <v>20190409</v>
      </c>
      <c r="D154" t="str">
        <f>"22.220"</f>
        <v>22.220</v>
      </c>
      <c r="E154" t="str">
        <f>"400.00"</f>
        <v>400.00</v>
      </c>
      <c r="F154" t="str">
        <f>"-8897.07"</f>
        <v>-8897.07</v>
      </c>
      <c r="G154" t="str">
        <f>"10055.50"</f>
        <v>10055.50</v>
      </c>
      <c r="H154" t="str">
        <f>"2400.00"</f>
        <v>2400.00</v>
      </c>
      <c r="I154" t="str">
        <f>"169"</f>
        <v>169</v>
      </c>
      <c r="J154" t="str">
        <f>"证券买入(七一二)"</f>
        <v>证券买入(七一二)</v>
      </c>
      <c r="K154" t="str">
        <f>"8.89"</f>
        <v>8.89</v>
      </c>
      <c r="L154" t="str">
        <f>"0.00"</f>
        <v>0.00</v>
      </c>
      <c r="M154" t="str">
        <f>"0.18"</f>
        <v>0.18</v>
      </c>
      <c r="N154" t="str">
        <f t="shared" ref="N154:N161" si="63">"0.00"</f>
        <v>0.00</v>
      </c>
      <c r="O154" t="str">
        <f>"603712"</f>
        <v>603712</v>
      </c>
      <c r="P154" t="str">
        <f>"A400948245"</f>
        <v>A400948245</v>
      </c>
    </row>
    <row r="155" spans="1:16" x14ac:dyDescent="0.25">
      <c r="A155" t="str">
        <f t="shared" si="54"/>
        <v>人民币</v>
      </c>
      <c r="B155" t="str">
        <f>"航发科技"</f>
        <v>航发科技</v>
      </c>
      <c r="C155" t="str">
        <f t="shared" si="61"/>
        <v>20190409</v>
      </c>
      <c r="D155" t="str">
        <f>"17.600"</f>
        <v>17.600</v>
      </c>
      <c r="E155" t="str">
        <f>"400.00"</f>
        <v>400.00</v>
      </c>
      <c r="F155" t="str">
        <f>"-7047.18"</f>
        <v>-7047.18</v>
      </c>
      <c r="G155" t="str">
        <f>"3008.32"</f>
        <v>3008.32</v>
      </c>
      <c r="H155" t="str">
        <f>"2000.00"</f>
        <v>2000.00</v>
      </c>
      <c r="I155" t="str">
        <f>"173"</f>
        <v>173</v>
      </c>
      <c r="J155" t="str">
        <f>"证券买入(航发科技)"</f>
        <v>证券买入(航发科技)</v>
      </c>
      <c r="K155" t="str">
        <f>"7.04"</f>
        <v>7.04</v>
      </c>
      <c r="L155" t="str">
        <f>"0.00"</f>
        <v>0.00</v>
      </c>
      <c r="M155" t="str">
        <f>"0.14"</f>
        <v>0.14</v>
      </c>
      <c r="N155" t="str">
        <f t="shared" si="63"/>
        <v>0.00</v>
      </c>
      <c r="O155" t="str">
        <f>"600391"</f>
        <v>600391</v>
      </c>
      <c r="P155" t="str">
        <f>"A400948245"</f>
        <v>A400948245</v>
      </c>
    </row>
    <row r="156" spans="1:16" x14ac:dyDescent="0.25">
      <c r="A156" t="str">
        <f t="shared" si="54"/>
        <v>人民币</v>
      </c>
      <c r="B156" t="str">
        <f>"七一二"</f>
        <v>七一二</v>
      </c>
      <c r="C156" t="str">
        <f t="shared" si="61"/>
        <v>20190409</v>
      </c>
      <c r="D156" t="str">
        <f>"23.490"</f>
        <v>23.490</v>
      </c>
      <c r="E156" t="str">
        <f>"-400.00"</f>
        <v>-400.00</v>
      </c>
      <c r="F156" t="str">
        <f>"9377.01"</f>
        <v>9377.01</v>
      </c>
      <c r="G156" t="str">
        <f>"12385.33"</f>
        <v>12385.33</v>
      </c>
      <c r="H156" t="str">
        <f>"2000.00"</f>
        <v>2000.00</v>
      </c>
      <c r="I156" t="str">
        <f>"177"</f>
        <v>177</v>
      </c>
      <c r="J156" t="str">
        <f>"证券卖出(七一二)"</f>
        <v>证券卖出(七一二)</v>
      </c>
      <c r="K156" t="str">
        <f>"9.40"</f>
        <v>9.40</v>
      </c>
      <c r="L156" t="str">
        <f>"9.40"</f>
        <v>9.40</v>
      </c>
      <c r="M156" t="str">
        <f>"0.19"</f>
        <v>0.19</v>
      </c>
      <c r="N156" t="str">
        <f t="shared" si="63"/>
        <v>0.00</v>
      </c>
      <c r="O156" t="str">
        <f>"603712"</f>
        <v>603712</v>
      </c>
      <c r="P156" t="str">
        <f>"A400948245"</f>
        <v>A400948245</v>
      </c>
    </row>
    <row r="157" spans="1:16" x14ac:dyDescent="0.25">
      <c r="A157" t="str">
        <f t="shared" si="54"/>
        <v>人民币</v>
      </c>
      <c r="B157" t="str">
        <f>"上海家化"</f>
        <v>上海家化</v>
      </c>
      <c r="C157" t="str">
        <f t="shared" si="61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63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4"/>
        <v>人民币</v>
      </c>
      <c r="B158" t="str">
        <f>"上海新阳"</f>
        <v>上海新阳</v>
      </c>
      <c r="C158" t="str">
        <f t="shared" si="61"/>
        <v>20190409</v>
      </c>
      <c r="D158" t="str">
        <f>"41.000"</f>
        <v>41.000</v>
      </c>
      <c r="E158" t="str">
        <f>"100.00"</f>
        <v>100.00</v>
      </c>
      <c r="F158" t="str">
        <f>"-4105.00"</f>
        <v>-4105.00</v>
      </c>
      <c r="G158" t="str">
        <f>"14385.97"</f>
        <v>14385.97</v>
      </c>
      <c r="H158" t="str">
        <f>"100.00"</f>
        <v>100.00</v>
      </c>
      <c r="I158" t="str">
        <f>"180"</f>
        <v>180</v>
      </c>
      <c r="J158" t="str">
        <f>"证券买入(上海新阳)"</f>
        <v>证券买入(上海新阳)</v>
      </c>
      <c r="K158" t="str">
        <f>"5.00"</f>
        <v>5.00</v>
      </c>
      <c r="L158" t="str">
        <f t="shared" ref="L158:M161" si="64">"0.00"</f>
        <v>0.00</v>
      </c>
      <c r="M158" t="str">
        <f t="shared" si="64"/>
        <v>0.00</v>
      </c>
      <c r="N158" t="str">
        <f t="shared" si="63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4"/>
        <v>人民币</v>
      </c>
      <c r="B159" t="str">
        <f>"上海新阳"</f>
        <v>上海新阳</v>
      </c>
      <c r="C159" t="str">
        <f t="shared" si="61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4"/>
        <v>0.00</v>
      </c>
      <c r="M159" t="str">
        <f t="shared" si="64"/>
        <v>0.00</v>
      </c>
      <c r="N159" t="str">
        <f t="shared" si="63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4"/>
        <v>人民币</v>
      </c>
      <c r="B160" t="str">
        <f>"上海新阳"</f>
        <v>上海新阳</v>
      </c>
      <c r="C160" t="str">
        <f t="shared" si="61"/>
        <v>20190409</v>
      </c>
      <c r="D160" t="str">
        <f>"40.960"</f>
        <v>40.960</v>
      </c>
      <c r="E160" t="str">
        <f>"100.00"</f>
        <v>100.00</v>
      </c>
      <c r="F160" t="str">
        <f>"-4101.00"</f>
        <v>-4101.00</v>
      </c>
      <c r="G160" t="str">
        <f>"6161.97"</f>
        <v>6161.97</v>
      </c>
      <c r="H160" t="str">
        <f>"300.00"</f>
        <v>300.00</v>
      </c>
      <c r="I160" t="str">
        <f>"198"</f>
        <v>198</v>
      </c>
      <c r="J160" t="str">
        <f>"证券买入(上海新阳)"</f>
        <v>证券买入(上海新阳)</v>
      </c>
      <c r="K160" t="str">
        <f>"5.00"</f>
        <v>5.00</v>
      </c>
      <c r="L160" t="str">
        <f t="shared" si="64"/>
        <v>0.00</v>
      </c>
      <c r="M160" t="str">
        <f t="shared" si="64"/>
        <v>0.00</v>
      </c>
      <c r="N160" t="str">
        <f t="shared" si="63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4"/>
        <v>人民币</v>
      </c>
      <c r="B161" t="str">
        <f>"上海新阳"</f>
        <v>上海新阳</v>
      </c>
      <c r="C161" t="str">
        <f t="shared" si="61"/>
        <v>20190409</v>
      </c>
      <c r="D161" t="str">
        <f>"40.870"</f>
        <v>40.870</v>
      </c>
      <c r="E161" t="str">
        <f>"100.00"</f>
        <v>100.00</v>
      </c>
      <c r="F161" t="str">
        <f>"-4092.00"</f>
        <v>-4092.00</v>
      </c>
      <c r="G161" t="str">
        <f>"2069.97"</f>
        <v>2069.97</v>
      </c>
      <c r="H161" t="str">
        <f>"400.00"</f>
        <v>400.00</v>
      </c>
      <c r="I161" t="str">
        <f>"201"</f>
        <v>201</v>
      </c>
      <c r="J161" t="str">
        <f>"证券买入(上海新阳)"</f>
        <v>证券买入(上海新阳)</v>
      </c>
      <c r="K161" t="str">
        <f>"5.00"</f>
        <v>5.00</v>
      </c>
      <c r="L161" t="str">
        <f t="shared" si="64"/>
        <v>0.00</v>
      </c>
      <c r="M161" t="str">
        <f t="shared" si="64"/>
        <v>0.00</v>
      </c>
      <c r="N161" t="str">
        <f t="shared" si="63"/>
        <v>0.00</v>
      </c>
      <c r="O161" t="str">
        <f>"300236"</f>
        <v>300236</v>
      </c>
      <c r="P161" t="str">
        <f>"0153613480"</f>
        <v>0153613480</v>
      </c>
    </row>
    <row r="162" spans="1:16" x14ac:dyDescent="0.25">
      <c r="A162" t="str">
        <f t="shared" si="54"/>
        <v>人民币</v>
      </c>
      <c r="B162" t="str">
        <f>""</f>
        <v/>
      </c>
      <c r="C162" t="str">
        <f>"20190410"</f>
        <v>20190410</v>
      </c>
      <c r="D162" t="str">
        <f>"---"</f>
        <v>---</v>
      </c>
      <c r="E162" t="str">
        <f>"---"</f>
        <v>---</v>
      </c>
      <c r="F162" t="str">
        <f>"10000.00"</f>
        <v>10000.00</v>
      </c>
      <c r="G162" t="str">
        <f>"12069.97"</f>
        <v>12069.97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5">"---"</f>
        <v>---</v>
      </c>
      <c r="L162" t="str">
        <f t="shared" si="65"/>
        <v>---</v>
      </c>
      <c r="M162" t="str">
        <f t="shared" si="65"/>
        <v>---</v>
      </c>
      <c r="N162" t="str">
        <f t="shared" si="65"/>
        <v>---</v>
      </c>
      <c r="O162" t="str">
        <f t="shared" si="65"/>
        <v>---</v>
      </c>
      <c r="P162" t="str">
        <f t="shared" si="65"/>
        <v>---</v>
      </c>
    </row>
    <row r="163" spans="1:16" x14ac:dyDescent="0.25">
      <c r="A163" t="str">
        <f t="shared" si="54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4"/>
        <v>人民币</v>
      </c>
      <c r="B164" t="str">
        <f>"新媒股份"</f>
        <v>新媒股份</v>
      </c>
      <c r="C164" t="str">
        <f>"20190410"</f>
        <v>20190410</v>
      </c>
      <c r="D164" t="str">
        <f>"0.000"</f>
        <v>0.000</v>
      </c>
      <c r="E164" t="str">
        <f>"9.00"</f>
        <v>9.00</v>
      </c>
      <c r="F164" t="str">
        <f>"0.00"</f>
        <v>0.00</v>
      </c>
      <c r="G164" t="str">
        <f>"1354.05"</f>
        <v>1354.05</v>
      </c>
      <c r="H164" t="str">
        <f>"0.00"</f>
        <v>0.00</v>
      </c>
      <c r="I164" t="str">
        <f>"219"</f>
        <v>219</v>
      </c>
      <c r="J164" t="str">
        <f>"申购配号(新媒股份)"</f>
        <v>申购配号(新媒股份)</v>
      </c>
      <c r="K164" t="str">
        <f>"0.00"</f>
        <v>0.00</v>
      </c>
      <c r="L164" t="str">
        <f>"0.00"</f>
        <v>0.00</v>
      </c>
      <c r="M164" t="str">
        <f>"0.00"</f>
        <v>0.00</v>
      </c>
      <c r="N164" t="str">
        <f>"0.00"</f>
        <v>0.00</v>
      </c>
      <c r="O164" t="str">
        <f>"300770"</f>
        <v>300770</v>
      </c>
      <c r="P164" t="str">
        <f>"0153613480"</f>
        <v>0153613480</v>
      </c>
    </row>
    <row r="165" spans="1:16" x14ac:dyDescent="0.25">
      <c r="A165" t="str">
        <f t="shared" si="54"/>
        <v>人民币</v>
      </c>
      <c r="B165" t="str">
        <f>""</f>
        <v/>
      </c>
      <c r="C165" t="str">
        <f>"20190411"</f>
        <v>20190411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"11354.05"</f>
        <v>11354.05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6">"---"</f>
        <v>---</v>
      </c>
      <c r="L165" t="str">
        <f t="shared" si="66"/>
        <v>---</v>
      </c>
      <c r="M165" t="str">
        <f t="shared" si="66"/>
        <v>---</v>
      </c>
      <c r="N165" t="str">
        <f t="shared" si="66"/>
        <v>---</v>
      </c>
      <c r="O165" t="str">
        <f t="shared" si="66"/>
        <v>---</v>
      </c>
      <c r="P165" t="str">
        <f t="shared" si="66"/>
        <v>---</v>
      </c>
    </row>
    <row r="166" spans="1:16" x14ac:dyDescent="0.25">
      <c r="A166" t="str">
        <f t="shared" si="54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4"/>
        <v>人民币</v>
      </c>
      <c r="B167" t="str">
        <f>"上海新阳"</f>
        <v>上海新阳</v>
      </c>
      <c r="C167" t="str">
        <f>"20190411"</f>
        <v>20190411</v>
      </c>
      <c r="D167" t="str">
        <f>"37.800"</f>
        <v>37.800</v>
      </c>
      <c r="E167" t="str">
        <f>"100.00"</f>
        <v>100.00</v>
      </c>
      <c r="F167" t="str">
        <f>"-3785.00"</f>
        <v>-3785.00</v>
      </c>
      <c r="G167" t="str">
        <f>"605.95"</f>
        <v>605.95</v>
      </c>
      <c r="H167" t="str">
        <f>"500.00"</f>
        <v>500.00</v>
      </c>
      <c r="I167" t="str">
        <f>"229"</f>
        <v>229</v>
      </c>
      <c r="J167" t="str">
        <f>"证券买入(上海新阳)"</f>
        <v>证券买入(上海新阳)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"300236"</f>
        <v>300236</v>
      </c>
      <c r="P167" t="str">
        <f>"0153613480"</f>
        <v>0153613480</v>
      </c>
    </row>
    <row r="168" spans="1:16" x14ac:dyDescent="0.25">
      <c r="A168" t="str">
        <f t="shared" si="54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4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7">"---"</f>
        <v>---</v>
      </c>
      <c r="L169" t="str">
        <f t="shared" si="67"/>
        <v>---</v>
      </c>
      <c r="M169" t="str">
        <f t="shared" si="67"/>
        <v>---</v>
      </c>
      <c r="N169" t="str">
        <f t="shared" si="67"/>
        <v>---</v>
      </c>
      <c r="O169" t="str">
        <f t="shared" si="67"/>
        <v>---</v>
      </c>
      <c r="P169" t="str">
        <f t="shared" si="67"/>
        <v>---</v>
      </c>
    </row>
    <row r="170" spans="1:16" x14ac:dyDescent="0.25">
      <c r="A170" t="str">
        <f t="shared" si="54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8">"0.00"</f>
        <v>0.00</v>
      </c>
      <c r="L170" t="str">
        <f t="shared" si="68"/>
        <v>0.00</v>
      </c>
      <c r="M170" t="str">
        <f t="shared" si="68"/>
        <v>0.00</v>
      </c>
      <c r="N170" t="str">
        <f t="shared" si="68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4"/>
        <v>人民币</v>
      </c>
      <c r="B171" t="str">
        <f>"中创配号"</f>
        <v>中创配号</v>
      </c>
      <c r="C171" t="str">
        <f>"20190417"</f>
        <v>20190417</v>
      </c>
      <c r="D171" t="str">
        <f>"0.000"</f>
        <v>0.000</v>
      </c>
      <c r="E171" t="str">
        <f>"10.00"</f>
        <v>10.00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"251"</f>
        <v>251</v>
      </c>
      <c r="J171" t="str">
        <f>"申购配号(中创配号)"</f>
        <v>申购配号(中创配号)</v>
      </c>
      <c r="K171" t="str">
        <f t="shared" si="68"/>
        <v>0.00</v>
      </c>
      <c r="L171" t="str">
        <f t="shared" si="68"/>
        <v>0.00</v>
      </c>
      <c r="M171" t="str">
        <f t="shared" si="68"/>
        <v>0.00</v>
      </c>
      <c r="N171" t="str">
        <f t="shared" si="68"/>
        <v>0.00</v>
      </c>
      <c r="O171" t="str">
        <f>"736967"</f>
        <v>736967</v>
      </c>
      <c r="P171" t="str">
        <f>"A400948245"</f>
        <v>A400948245</v>
      </c>
    </row>
    <row r="172" spans="1:16" x14ac:dyDescent="0.25">
      <c r="A172" t="str">
        <f t="shared" si="54"/>
        <v>人民币</v>
      </c>
      <c r="B172" t="str">
        <f>"运达股份"</f>
        <v>运达股份</v>
      </c>
      <c r="C172" t="str">
        <f>"20190417"</f>
        <v>20190417</v>
      </c>
      <c r="D172" t="str">
        <f>"0.000"</f>
        <v>0.000</v>
      </c>
      <c r="E172" t="str">
        <f>"9.00"</f>
        <v>9.00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"253"</f>
        <v>253</v>
      </c>
      <c r="J172" t="str">
        <f>"申购配号(运达股份)"</f>
        <v>申购配号(运达股份)</v>
      </c>
      <c r="K172" t="str">
        <f t="shared" si="68"/>
        <v>0.00</v>
      </c>
      <c r="L172" t="str">
        <f t="shared" si="68"/>
        <v>0.00</v>
      </c>
      <c r="M172" t="str">
        <f t="shared" si="68"/>
        <v>0.00</v>
      </c>
      <c r="N172" t="str">
        <f t="shared" si="68"/>
        <v>0.00</v>
      </c>
      <c r="O172" t="str">
        <f>"300772"</f>
        <v>300772</v>
      </c>
      <c r="P172" t="str">
        <f>"0153613480"</f>
        <v>0153613480</v>
      </c>
    </row>
    <row r="173" spans="1:16" x14ac:dyDescent="0.25">
      <c r="A173" t="str">
        <f t="shared" si="54"/>
        <v>人民币</v>
      </c>
      <c r="B173" t="str">
        <f>"中通国脉"</f>
        <v>中通国脉</v>
      </c>
      <c r="C173" t="str">
        <f>"20190422"</f>
        <v>20190422</v>
      </c>
      <c r="D173" t="str">
        <f>"27.550"</f>
        <v>27.550</v>
      </c>
      <c r="E173" t="str">
        <f>"-700.00"</f>
        <v>-700.00</v>
      </c>
      <c r="F173" t="str">
        <f>"19246.03"</f>
        <v>19246.03</v>
      </c>
      <c r="G173" t="str">
        <f>"19720.10"</f>
        <v>19720.10</v>
      </c>
      <c r="H173" t="str">
        <f>"1300.00"</f>
        <v>1300.00</v>
      </c>
      <c r="I173" t="str">
        <f>"257"</f>
        <v>257</v>
      </c>
      <c r="J173" t="str">
        <f>"证券卖出(中通国脉)"</f>
        <v>证券卖出(中通国脉)</v>
      </c>
      <c r="K173" t="str">
        <f>"19.29"</f>
        <v>19.29</v>
      </c>
      <c r="L173" t="str">
        <f>"19.29"</f>
        <v>19.29</v>
      </c>
      <c r="M173" t="str">
        <f>"0.39"</f>
        <v>0.39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4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4"/>
        <v>人民币</v>
      </c>
      <c r="B175" t="str">
        <f>"中通国脉"</f>
        <v>中通国脉</v>
      </c>
      <c r="C175" t="str">
        <f>"20190422"</f>
        <v>20190422</v>
      </c>
      <c r="D175" t="str">
        <f>"26.530"</f>
        <v>26.530</v>
      </c>
      <c r="E175" t="str">
        <f>"300.00"</f>
        <v>300.00</v>
      </c>
      <c r="F175" t="str">
        <f>"-7967.12"</f>
        <v>-7967.12</v>
      </c>
      <c r="G175" t="str">
        <f>"1137.16"</f>
        <v>1137.16</v>
      </c>
      <c r="H175" t="str">
        <f>"1600.00"</f>
        <v>1600.00</v>
      </c>
      <c r="I175" t="str">
        <f>"264"</f>
        <v>264</v>
      </c>
      <c r="J175" t="str">
        <f>"证券买入(中通国脉)"</f>
        <v>证券买入(中通国脉)</v>
      </c>
      <c r="K175" t="str">
        <f>"7.96"</f>
        <v>7.96</v>
      </c>
      <c r="L175" t="str">
        <f>"0.00"</f>
        <v>0.00</v>
      </c>
      <c r="M175" t="str">
        <f>"0.16"</f>
        <v>0.16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4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4"/>
        <v>人民币</v>
      </c>
      <c r="B177" t="str">
        <f>""</f>
        <v/>
      </c>
      <c r="C177" t="str">
        <f>"20190429"</f>
        <v>20190429</v>
      </c>
      <c r="D177" t="str">
        <f>"---"</f>
        <v>---</v>
      </c>
      <c r="E177" t="str">
        <f>"---"</f>
        <v>---</v>
      </c>
      <c r="F177" t="str">
        <f>"10000.00"</f>
        <v>10000.00</v>
      </c>
      <c r="G177" t="str">
        <f>"11137.16"</f>
        <v>11137.16</v>
      </c>
      <c r="H177" t="str">
        <f>"---"</f>
        <v>---</v>
      </c>
      <c r="I177" t="str">
        <f>"---"</f>
        <v>---</v>
      </c>
      <c r="J177" t="str">
        <f>"银行转存"</f>
        <v>银行转存</v>
      </c>
      <c r="K177" t="str">
        <f t="shared" ref="K177:P177" si="69">"---"</f>
        <v>---</v>
      </c>
      <c r="L177" t="str">
        <f t="shared" si="69"/>
        <v>---</v>
      </c>
      <c r="M177" t="str">
        <f t="shared" si="69"/>
        <v>---</v>
      </c>
      <c r="N177" t="str">
        <f t="shared" si="69"/>
        <v>---</v>
      </c>
      <c r="O177" t="str">
        <f t="shared" si="69"/>
        <v>---</v>
      </c>
      <c r="P177" t="str">
        <f t="shared" si="69"/>
        <v>---</v>
      </c>
    </row>
    <row r="178" spans="1:16" x14ac:dyDescent="0.25">
      <c r="A178" t="str">
        <f t="shared" si="54"/>
        <v>人民币</v>
      </c>
      <c r="B178" t="str">
        <f>"中通国脉"</f>
        <v>中通国脉</v>
      </c>
      <c r="C178" t="str">
        <f>"20190429"</f>
        <v>20190429</v>
      </c>
      <c r="D178" t="str">
        <f>"22.020"</f>
        <v>22.020</v>
      </c>
      <c r="E178" t="str">
        <f>"500.00"</f>
        <v>500.00</v>
      </c>
      <c r="F178" t="str">
        <f>"-11021.23"</f>
        <v>-11021.23</v>
      </c>
      <c r="G178" t="str">
        <f>"115.93"</f>
        <v>115.93</v>
      </c>
      <c r="H178" t="str">
        <f>"2100.00"</f>
        <v>2100.00</v>
      </c>
      <c r="I178" t="str">
        <f>"277"</f>
        <v>277</v>
      </c>
      <c r="J178" t="str">
        <f>"证券买入(中通国脉)"</f>
        <v>证券买入(中通国脉)</v>
      </c>
      <c r="K178" t="str">
        <f>"11.01"</f>
        <v>11.01</v>
      </c>
      <c r="L178" t="str">
        <f>"0.00"</f>
        <v>0.00</v>
      </c>
      <c r="M178" t="str">
        <f>"0.22"</f>
        <v>0.22</v>
      </c>
      <c r="N178" t="str">
        <f>"0.00"</f>
        <v>0.00</v>
      </c>
      <c r="O178" t="str">
        <f>"603559"</f>
        <v>603559</v>
      </c>
      <c r="P178" t="str">
        <f>"A400948245"</f>
        <v>A400948245</v>
      </c>
    </row>
    <row r="179" spans="1:16" x14ac:dyDescent="0.25">
      <c r="A179" t="str">
        <f t="shared" si="54"/>
        <v>人民币</v>
      </c>
      <c r="B179" t="str">
        <f>"鸿远配号"</f>
        <v>鸿远配号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"281"</f>
        <v>281</v>
      </c>
      <c r="J179" t="str">
        <f>"申购配号(鸿远配号)"</f>
        <v>申购配号(鸿远配号)</v>
      </c>
      <c r="K179" t="str">
        <f>"0.00"</f>
        <v>0.00</v>
      </c>
      <c r="L179" t="str">
        <f>"0.00"</f>
        <v>0.00</v>
      </c>
      <c r="M179" t="str">
        <f>"0.00"</f>
        <v>0.00</v>
      </c>
      <c r="N179" t="str">
        <f>"0.00"</f>
        <v>0.00</v>
      </c>
      <c r="O179" t="str">
        <f>"736267"</f>
        <v>736267</v>
      </c>
      <c r="P179" t="str">
        <f>"A400948245"</f>
        <v>A400948245</v>
      </c>
    </row>
    <row r="180" spans="1:16" x14ac:dyDescent="0.25">
      <c r="A180" t="str">
        <f t="shared" si="54"/>
        <v>人民币</v>
      </c>
      <c r="B180" t="str">
        <f>"宝丰配号"</f>
        <v>宝丰配号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"283"</f>
        <v>283</v>
      </c>
      <c r="J180" t="str">
        <f>"申购配号(宝丰配号)"</f>
        <v>申购配号(宝丰配号)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"741989"</f>
        <v>741989</v>
      </c>
      <c r="P180" t="str">
        <f>"A400948245"</f>
        <v>A400948245</v>
      </c>
    </row>
    <row r="181" spans="1:16" x14ac:dyDescent="0.25">
      <c r="A181" t="str">
        <f t="shared" si="54"/>
        <v>人民币</v>
      </c>
      <c r="B181" t="str">
        <f>""</f>
        <v/>
      </c>
      <c r="C181" t="str">
        <f>"20190506"</f>
        <v>20190506</v>
      </c>
      <c r="D181" t="str">
        <f>"---"</f>
        <v>---</v>
      </c>
      <c r="E181" t="str">
        <f>"---"</f>
        <v>---</v>
      </c>
      <c r="F181" t="str">
        <f>"7000.00"</f>
        <v>7000.00</v>
      </c>
      <c r="G181" t="str">
        <f>"7115.93"</f>
        <v>7115.93</v>
      </c>
      <c r="H181" t="str">
        <f>"---"</f>
        <v>---</v>
      </c>
      <c r="I181" t="str">
        <f>"---"</f>
        <v>---</v>
      </c>
      <c r="J181" t="str">
        <f>"银行转存"</f>
        <v>银行转存</v>
      </c>
      <c r="K181" t="str">
        <f t="shared" ref="K181:P181" si="70">"---"</f>
        <v>---</v>
      </c>
      <c r="L181" t="str">
        <f t="shared" si="70"/>
        <v>---</v>
      </c>
      <c r="M181" t="str">
        <f t="shared" si="70"/>
        <v>---</v>
      </c>
      <c r="N181" t="str">
        <f t="shared" si="70"/>
        <v>---</v>
      </c>
      <c r="O181" t="str">
        <f t="shared" si="70"/>
        <v>---</v>
      </c>
      <c r="P181" t="str">
        <f t="shared" si="70"/>
        <v>---</v>
      </c>
    </row>
    <row r="182" spans="1:16" x14ac:dyDescent="0.25">
      <c r="A182" t="str">
        <f t="shared" si="54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4"/>
        <v>人民币</v>
      </c>
      <c r="B183" t="str">
        <f>"中简科技"</f>
        <v>中简科技</v>
      </c>
      <c r="C183" t="str">
        <f>"20190506"</f>
        <v>20190506</v>
      </c>
      <c r="D183" t="str">
        <f>"0.000"</f>
        <v>0.000</v>
      </c>
      <c r="E183" t="str">
        <f>"5.00"</f>
        <v>5.00</v>
      </c>
      <c r="F183" t="str">
        <f>"0.00"</f>
        <v>0.00</v>
      </c>
      <c r="G183" t="str">
        <f>"1390.10"</f>
        <v>1390.10</v>
      </c>
      <c r="H183" t="str">
        <f>"0.00"</f>
        <v>0.00</v>
      </c>
      <c r="I183" t="str">
        <f>"292"</f>
        <v>292</v>
      </c>
      <c r="J183" t="str">
        <f>"申购配号(中简科技)"</f>
        <v>申购配号(中简科技)</v>
      </c>
      <c r="K183" t="str">
        <f>"0.00"</f>
        <v>0.00</v>
      </c>
      <c r="L183" t="str">
        <f>"0.00"</f>
        <v>0.00</v>
      </c>
      <c r="M183" t="str">
        <f>"0.00"</f>
        <v>0.00</v>
      </c>
      <c r="N183" t="str">
        <f>"0.00"</f>
        <v>0.00</v>
      </c>
      <c r="O183" t="str">
        <f>"300777"</f>
        <v>300777</v>
      </c>
      <c r="P183" t="str">
        <f>"0153613480"</f>
        <v>0153613480</v>
      </c>
    </row>
    <row r="184" spans="1:16" x14ac:dyDescent="0.25">
      <c r="A184" t="str">
        <f t="shared" si="54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>"0.00"</f>
        <v>0.00</v>
      </c>
      <c r="L184" t="str">
        <f>"0.00"</f>
        <v>0.00</v>
      </c>
      <c r="M184" t="str">
        <f>"0.00"</f>
        <v>0.00</v>
      </c>
      <c r="N184" t="str">
        <f>"0.00"</f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4"/>
        <v>人民币</v>
      </c>
      <c r="B185" t="str">
        <f>""</f>
        <v/>
      </c>
      <c r="C185" t="str">
        <f t="shared" ref="C185:C192" si="71">"20190510"</f>
        <v>20190510</v>
      </c>
      <c r="D185" t="str">
        <f>"---"</f>
        <v>---</v>
      </c>
      <c r="E185" t="str">
        <f>"---"</f>
        <v>---</v>
      </c>
      <c r="F185" t="str">
        <f>"10000.00"</f>
        <v>10000.00</v>
      </c>
      <c r="G185" t="str">
        <f>"11390.10"</f>
        <v>11390.10</v>
      </c>
      <c r="H185" t="str">
        <f>"---"</f>
        <v>---</v>
      </c>
      <c r="I185" t="str">
        <f>"---"</f>
        <v>---</v>
      </c>
      <c r="J185" t="str">
        <f>"银行转存"</f>
        <v>银行转存</v>
      </c>
      <c r="K185" t="str">
        <f t="shared" ref="K185:P186" si="72">"---"</f>
        <v>---</v>
      </c>
      <c r="L185" t="str">
        <f t="shared" si="72"/>
        <v>---</v>
      </c>
      <c r="M185" t="str">
        <f t="shared" si="72"/>
        <v>---</v>
      </c>
      <c r="N185" t="str">
        <f t="shared" si="72"/>
        <v>---</v>
      </c>
      <c r="O185" t="str">
        <f t="shared" si="72"/>
        <v>---</v>
      </c>
      <c r="P185" t="str">
        <f t="shared" si="72"/>
        <v>---</v>
      </c>
    </row>
    <row r="186" spans="1:16" x14ac:dyDescent="0.25">
      <c r="A186" t="str">
        <f t="shared" si="54"/>
        <v>人民币</v>
      </c>
      <c r="B186" t="str">
        <f>""</f>
        <v/>
      </c>
      <c r="C186" t="str">
        <f t="shared" si="71"/>
        <v>20190510</v>
      </c>
      <c r="D186" t="str">
        <f>"---"</f>
        <v>---</v>
      </c>
      <c r="E186" t="str">
        <f>"---"</f>
        <v>---</v>
      </c>
      <c r="F186" t="str">
        <f>"-10000.00"</f>
        <v>-10000.00</v>
      </c>
      <c r="G186" t="str">
        <f>"1390.10"</f>
        <v>1390.10</v>
      </c>
      <c r="H186" t="str">
        <f>"---"</f>
        <v>---</v>
      </c>
      <c r="I186" t="str">
        <f>"---"</f>
        <v>---</v>
      </c>
      <c r="J186" t="str">
        <f>"银行转取"</f>
        <v>银行转取</v>
      </c>
      <c r="K186" t="str">
        <f t="shared" si="72"/>
        <v>---</v>
      </c>
      <c r="L186" t="str">
        <f t="shared" si="72"/>
        <v>---</v>
      </c>
      <c r="M186" t="str">
        <f t="shared" si="72"/>
        <v>---</v>
      </c>
      <c r="N186" t="str">
        <f t="shared" si="72"/>
        <v>---</v>
      </c>
      <c r="O186" t="str">
        <f t="shared" si="72"/>
        <v>---</v>
      </c>
      <c r="P186" t="str">
        <f t="shared" si="72"/>
        <v>---</v>
      </c>
    </row>
    <row r="187" spans="1:16" x14ac:dyDescent="0.25">
      <c r="A187" t="str">
        <f t="shared" si="54"/>
        <v>人民币</v>
      </c>
      <c r="B187" t="str">
        <f>"泉峰配号"</f>
        <v>泉峰配号</v>
      </c>
      <c r="C187" t="str">
        <f t="shared" si="71"/>
        <v>20190510</v>
      </c>
      <c r="D187" t="str">
        <f>"0.000"</f>
        <v>0.000</v>
      </c>
      <c r="E187" t="str">
        <f>"14.00"</f>
        <v>14.00</v>
      </c>
      <c r="F187" t="str">
        <f>"0.00"</f>
        <v>0.00</v>
      </c>
      <c r="G187" t="str">
        <f>"1390.10"</f>
        <v>1390.10</v>
      </c>
      <c r="H187" t="str">
        <f>"0.00"</f>
        <v>0.00</v>
      </c>
      <c r="I187" t="str">
        <f>"6"</f>
        <v>6</v>
      </c>
      <c r="J187" t="str">
        <f>"申购配号(泉峰配号)"</f>
        <v>申购配号(泉峰配号)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"736982"</f>
        <v>736982</v>
      </c>
      <c r="P187" t="str">
        <f>"A400948245"</f>
        <v>A400948245</v>
      </c>
    </row>
    <row r="188" spans="1:16" x14ac:dyDescent="0.25">
      <c r="A188" t="str">
        <f t="shared" si="54"/>
        <v>人民币</v>
      </c>
      <c r="B188" t="str">
        <f>"航发科技"</f>
        <v>航发科技</v>
      </c>
      <c r="C188" t="str">
        <f t="shared" si="71"/>
        <v>20190510</v>
      </c>
      <c r="D188" t="str">
        <f>"14.740"</f>
        <v>14.740</v>
      </c>
      <c r="E188" t="str">
        <f>"-400.00"</f>
        <v>-400.00</v>
      </c>
      <c r="F188" t="str">
        <f>"5884.08"</f>
        <v>5884.08</v>
      </c>
      <c r="G188" t="str">
        <f>"7274.18"</f>
        <v>7274.18</v>
      </c>
      <c r="H188" t="str">
        <f>"2400.00"</f>
        <v>2400.00</v>
      </c>
      <c r="I188" t="str">
        <f>"24"</f>
        <v>24</v>
      </c>
      <c r="J188" t="str">
        <f>"证券卖出(航发科技)"</f>
        <v>证券卖出(航发科技)</v>
      </c>
      <c r="K188" t="str">
        <f>"5.90"</f>
        <v>5.90</v>
      </c>
      <c r="L188" t="str">
        <f>"5.90"</f>
        <v>5.90</v>
      </c>
      <c r="M188" t="str">
        <f>"0.12"</f>
        <v>0.12</v>
      </c>
      <c r="N188" t="str">
        <f>"0.00"</f>
        <v>0.00</v>
      </c>
      <c r="O188" t="str">
        <f>"600391"</f>
        <v>600391</v>
      </c>
      <c r="P188" t="str">
        <f>"A400948245"</f>
        <v>A400948245</v>
      </c>
    </row>
    <row r="189" spans="1:16" x14ac:dyDescent="0.25">
      <c r="A189" t="str">
        <f t="shared" si="54"/>
        <v>人民币</v>
      </c>
      <c r="B189" t="str">
        <f>"上海新阳"</f>
        <v>上海新阳</v>
      </c>
      <c r="C189" t="str">
        <f t="shared" si="71"/>
        <v>20190510</v>
      </c>
      <c r="D189" t="str">
        <f>"31.900"</f>
        <v>31.900</v>
      </c>
      <c r="E189" t="str">
        <f>"100.00"</f>
        <v>100.00</v>
      </c>
      <c r="F189" t="str">
        <f>"-3195.00"</f>
        <v>-3195.00</v>
      </c>
      <c r="G189" t="str">
        <f>"4079.18"</f>
        <v>4079.18</v>
      </c>
      <c r="H189" t="str">
        <f>"500.00"</f>
        <v>500.00</v>
      </c>
      <c r="I189" t="str">
        <f>"11"</f>
        <v>11</v>
      </c>
      <c r="J189" t="str">
        <f>"证券买入(上海新阳)"</f>
        <v>证券买入(上海新阳)</v>
      </c>
      <c r="K189" t="str">
        <f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"300236"</f>
        <v>300236</v>
      </c>
      <c r="P189" t="str">
        <f>"0153613480"</f>
        <v>0153613480</v>
      </c>
    </row>
    <row r="190" spans="1:16" x14ac:dyDescent="0.25">
      <c r="A190" t="str">
        <f t="shared" si="54"/>
        <v>人民币</v>
      </c>
      <c r="B190" t="str">
        <f>"上海新阳"</f>
        <v>上海新阳</v>
      </c>
      <c r="C190" t="str">
        <f t="shared" si="71"/>
        <v>20190510</v>
      </c>
      <c r="D190" t="str">
        <f>"33.800"</f>
        <v>33.800</v>
      </c>
      <c r="E190" t="str">
        <f>"-100.00"</f>
        <v>-100.00</v>
      </c>
      <c r="F190" t="str">
        <f>"3371.62"</f>
        <v>3371.62</v>
      </c>
      <c r="G190" t="str">
        <f>"7450.80"</f>
        <v>7450.80</v>
      </c>
      <c r="H190" t="str">
        <f>"400.00"</f>
        <v>400.00</v>
      </c>
      <c r="I190" t="str">
        <f>"21"</f>
        <v>21</v>
      </c>
      <c r="J190" t="str">
        <f>"证券卖出(上海新阳)"</f>
        <v>证券卖出(上海新阳)</v>
      </c>
      <c r="K190" t="str">
        <f>"5.00"</f>
        <v>5.00</v>
      </c>
      <c r="L190" t="str">
        <f>"3.38"</f>
        <v>3.38</v>
      </c>
      <c r="M190" t="str">
        <f>"0.00"</f>
        <v>0.00</v>
      </c>
      <c r="N190" t="str">
        <f>"0.00"</f>
        <v>0.00</v>
      </c>
      <c r="O190" t="str">
        <f>"300236"</f>
        <v>300236</v>
      </c>
      <c r="P190" t="str">
        <f>"0153613480"</f>
        <v>0153613480</v>
      </c>
    </row>
    <row r="191" spans="1:16" x14ac:dyDescent="0.25">
      <c r="A191" t="str">
        <f t="shared" si="54"/>
        <v>人民币</v>
      </c>
      <c r="B191" t="str">
        <f>"三角防务"</f>
        <v>三角防务</v>
      </c>
      <c r="C191" t="str">
        <f t="shared" si="71"/>
        <v>20190510</v>
      </c>
      <c r="D191" t="str">
        <f>"0.000"</f>
        <v>0.000</v>
      </c>
      <c r="E191" t="str">
        <f>"4.00"</f>
        <v>4.00</v>
      </c>
      <c r="F191" t="str">
        <f>"0.00"</f>
        <v>0.00</v>
      </c>
      <c r="G191" t="str">
        <f>"7450.80"</f>
        <v>7450.80</v>
      </c>
      <c r="H191" t="str">
        <f>"0.00"</f>
        <v>0.00</v>
      </c>
      <c r="I191" t="str">
        <f>"8"</f>
        <v>8</v>
      </c>
      <c r="J191" t="str">
        <f>"申购配号(三角防务)"</f>
        <v>申购配号(三角防务)</v>
      </c>
      <c r="K191" t="str">
        <f>"0.00"</f>
        <v>0.00</v>
      </c>
      <c r="L191" t="str">
        <f>"0.00"</f>
        <v>0.00</v>
      </c>
      <c r="M191" t="str">
        <f>"0.00"</f>
        <v>0.00</v>
      </c>
      <c r="N191" t="str">
        <f>"0.00"</f>
        <v>0.00</v>
      </c>
      <c r="O191" t="str">
        <f>"300775"</f>
        <v>300775</v>
      </c>
      <c r="P191" t="str">
        <f>"0153613480"</f>
        <v>0153613480</v>
      </c>
    </row>
    <row r="192" spans="1:16" x14ac:dyDescent="0.25">
      <c r="A192" t="str">
        <f t="shared" si="54"/>
        <v>人民币</v>
      </c>
      <c r="B192" t="str">
        <f>"鸿合科技"</f>
        <v>鸿合科技</v>
      </c>
      <c r="C192" t="str">
        <f t="shared" si="71"/>
        <v>20190510</v>
      </c>
      <c r="D192" t="str">
        <f>"0.000"</f>
        <v>0.000</v>
      </c>
      <c r="E192" t="str">
        <f>"4.00"</f>
        <v>4.00</v>
      </c>
      <c r="F192" t="str">
        <f>"0.00"</f>
        <v>0.00</v>
      </c>
      <c r="G192" t="str">
        <f>"7450.80"</f>
        <v>7450.80</v>
      </c>
      <c r="H192" t="str">
        <f>"0.00"</f>
        <v>0.00</v>
      </c>
      <c r="I192" t="str">
        <f>"4"</f>
        <v>4</v>
      </c>
      <c r="J192" t="str">
        <f>"申购配号(鸿合科技)"</f>
        <v>申购配号(鸿合科技)</v>
      </c>
      <c r="K192" t="str">
        <f>"0.00"</f>
        <v>0.00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"002955"</f>
        <v>002955</v>
      </c>
      <c r="P192" t="str">
        <f>"0153613480"</f>
        <v>0153613480</v>
      </c>
    </row>
    <row r="193" spans="1:16" x14ac:dyDescent="0.25">
      <c r="A193" t="str">
        <f t="shared" si="54"/>
        <v>人民币</v>
      </c>
      <c r="B193" t="str">
        <f>""</f>
        <v/>
      </c>
      <c r="C193" t="str">
        <f>"20190513"</f>
        <v>20190513</v>
      </c>
      <c r="D193" t="str">
        <f>"---"</f>
        <v>---</v>
      </c>
      <c r="E193" t="str">
        <f>"---"</f>
        <v>---</v>
      </c>
      <c r="F193" t="str">
        <f>"-6000.00"</f>
        <v>-6000.00</v>
      </c>
      <c r="G193" t="str">
        <f>"1450.80"</f>
        <v>1450.80</v>
      </c>
      <c r="H193" t="str">
        <f>"---"</f>
        <v>---</v>
      </c>
      <c r="I193" t="str">
        <f>"---"</f>
        <v>---</v>
      </c>
      <c r="J193" t="str">
        <f>"银行转取"</f>
        <v>银行转取</v>
      </c>
      <c r="K193" t="str">
        <f t="shared" ref="K193:P193" si="73">"---"</f>
        <v>---</v>
      </c>
      <c r="L193" t="str">
        <f t="shared" si="73"/>
        <v>---</v>
      </c>
      <c r="M193" t="str">
        <f t="shared" si="73"/>
        <v>---</v>
      </c>
      <c r="N193" t="str">
        <f t="shared" si="73"/>
        <v>---</v>
      </c>
      <c r="O193" t="str">
        <f t="shared" si="73"/>
        <v>---</v>
      </c>
      <c r="P193" t="str">
        <f t="shared" si="73"/>
        <v>---</v>
      </c>
    </row>
    <row r="194" spans="1:16" x14ac:dyDescent="0.25">
      <c r="A194" t="str">
        <f t="shared" ref="A194:A255" si="74">"人民币"</f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ref="K194:N207" si="75">"0.00"</f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4"/>
        <v>人民币</v>
      </c>
      <c r="B195" t="str">
        <f>"惠城环保"</f>
        <v>惠城环保</v>
      </c>
      <c r="C195" t="str">
        <f>"20190513"</f>
        <v>20190513</v>
      </c>
      <c r="D195" t="str">
        <f>"0.000"</f>
        <v>0.000</v>
      </c>
      <c r="E195" t="str">
        <f>"4.00"</f>
        <v>4.00</v>
      </c>
      <c r="F195" t="str">
        <f>"0.00"</f>
        <v>0.00</v>
      </c>
      <c r="G195" t="str">
        <f>"1450.80"</f>
        <v>1450.80</v>
      </c>
      <c r="H195" t="str">
        <f>"0.00"</f>
        <v>0.00</v>
      </c>
      <c r="I195" t="str">
        <f>"36"</f>
        <v>36</v>
      </c>
      <c r="J195" t="str">
        <f>"申购配号(惠城环保)"</f>
        <v>申购配号(惠城环保)</v>
      </c>
      <c r="K195" t="str">
        <f t="shared" si="75"/>
        <v>0.00</v>
      </c>
      <c r="L195" t="str">
        <f t="shared" si="75"/>
        <v>0.00</v>
      </c>
      <c r="M195" t="str">
        <f t="shared" si="75"/>
        <v>0.00</v>
      </c>
      <c r="N195" t="str">
        <f t="shared" si="75"/>
        <v>0.00</v>
      </c>
      <c r="O195" t="str">
        <f>"300779"</f>
        <v>300779</v>
      </c>
      <c r="P195" t="str">
        <f>"0153613480"</f>
        <v>0153613480</v>
      </c>
    </row>
    <row r="196" spans="1:16" x14ac:dyDescent="0.25">
      <c r="A196" t="str">
        <f t="shared" si="74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 t="shared" si="75"/>
        <v>0.00</v>
      </c>
      <c r="L196" t="str">
        <f t="shared" si="75"/>
        <v>0.00</v>
      </c>
      <c r="M196" t="str">
        <f t="shared" si="75"/>
        <v>0.00</v>
      </c>
      <c r="N196" t="str">
        <f t="shared" si="75"/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4"/>
        <v>人民币</v>
      </c>
      <c r="B197" t="str">
        <f>"七一二"</f>
        <v>七一二</v>
      </c>
      <c r="C197" t="str">
        <f>"20190527"</f>
        <v>20190527</v>
      </c>
      <c r="D197" t="str">
        <f>"22.340"</f>
        <v>22.340</v>
      </c>
      <c r="E197" t="str">
        <f>"-1000.00"</f>
        <v>-1000.00</v>
      </c>
      <c r="F197" t="str">
        <f>"22294.87"</f>
        <v>22294.87</v>
      </c>
      <c r="G197" t="str">
        <f>"23745.67"</f>
        <v>23745.67</v>
      </c>
      <c r="H197" t="str">
        <f>"2000.00"</f>
        <v>2000.00</v>
      </c>
      <c r="I197" t="str">
        <f>"44"</f>
        <v>44</v>
      </c>
      <c r="J197" t="str">
        <f>"证券卖出(七一二)"</f>
        <v>证券卖出(七一二)</v>
      </c>
      <c r="K197" t="str">
        <f>"22.34"</f>
        <v>22.34</v>
      </c>
      <c r="L197" t="str">
        <f>"22.34"</f>
        <v>22.34</v>
      </c>
      <c r="M197" t="str">
        <f>"0.45"</f>
        <v>0.45</v>
      </c>
      <c r="N197" t="str">
        <f t="shared" si="75"/>
        <v>0.00</v>
      </c>
      <c r="O197" t="str">
        <f>"603712"</f>
        <v>603712</v>
      </c>
      <c r="P197" t="str">
        <f>"A400948245"</f>
        <v>A400948245</v>
      </c>
    </row>
    <row r="198" spans="1:16" x14ac:dyDescent="0.25">
      <c r="A198" t="str">
        <f t="shared" si="74"/>
        <v>人民币</v>
      </c>
      <c r="B198" t="str">
        <f>"中国人保"</f>
        <v>中国人保</v>
      </c>
      <c r="C198" t="str">
        <f>"20190527"</f>
        <v>20190527</v>
      </c>
      <c r="D198" t="str">
        <f>"8.390"</f>
        <v>8.390</v>
      </c>
      <c r="E198" t="str">
        <f>"2000.00"</f>
        <v>2000.00</v>
      </c>
      <c r="F198" t="str">
        <f>"-16797.12"</f>
        <v>-16797.12</v>
      </c>
      <c r="G198" t="str">
        <f>"6948.55"</f>
        <v>6948.55</v>
      </c>
      <c r="H198" t="str">
        <f>"2000.00"</f>
        <v>2000.00</v>
      </c>
      <c r="I198" t="str">
        <f>"47"</f>
        <v>47</v>
      </c>
      <c r="J198" t="str">
        <f>"证券买入(中国人保)"</f>
        <v>证券买入(中国人保)</v>
      </c>
      <c r="K198" t="str">
        <f>"16.78"</f>
        <v>16.78</v>
      </c>
      <c r="L198" t="str">
        <f>"0.00"</f>
        <v>0.00</v>
      </c>
      <c r="M198" t="str">
        <f>"0.34"</f>
        <v>0.34</v>
      </c>
      <c r="N198" t="str">
        <f t="shared" si="75"/>
        <v>0.00</v>
      </c>
      <c r="O198" t="str">
        <f>"601319"</f>
        <v>601319</v>
      </c>
      <c r="P198" t="str">
        <f>"A400948245"</f>
        <v>A400948245</v>
      </c>
    </row>
    <row r="199" spans="1:16" x14ac:dyDescent="0.25">
      <c r="A199" t="str">
        <f t="shared" si="74"/>
        <v>人民币</v>
      </c>
      <c r="B199" t="str">
        <f>"中通国脉"</f>
        <v>中通国脉</v>
      </c>
      <c r="C199" t="str">
        <f>"20190528"</f>
        <v>20190528</v>
      </c>
      <c r="D199" t="str">
        <f>"19.380"</f>
        <v>19.380</v>
      </c>
      <c r="E199" t="str">
        <f>"300.00"</f>
        <v>300.00</v>
      </c>
      <c r="F199" t="str">
        <f>"-5819.93"</f>
        <v>-5819.93</v>
      </c>
      <c r="G199" t="str">
        <f>"1128.62"</f>
        <v>1128.62</v>
      </c>
      <c r="H199" t="str">
        <f>"2400.00"</f>
        <v>2400.00</v>
      </c>
      <c r="I199" t="str">
        <f>"54"</f>
        <v>54</v>
      </c>
      <c r="J199" t="str">
        <f>"证券买入(中通国脉)"</f>
        <v>证券买入(中通国脉)</v>
      </c>
      <c r="K199" t="str">
        <f>"5.81"</f>
        <v>5.81</v>
      </c>
      <c r="L199" t="str">
        <f>"0.00"</f>
        <v>0.00</v>
      </c>
      <c r="M199" t="str">
        <f>"0.12"</f>
        <v>0.12</v>
      </c>
      <c r="N199" t="str">
        <f t="shared" si="75"/>
        <v>0.00</v>
      </c>
      <c r="O199" t="str">
        <f>"603559"</f>
        <v>603559</v>
      </c>
      <c r="P199" t="str">
        <f>"A400948245"</f>
        <v>A400948245</v>
      </c>
    </row>
    <row r="200" spans="1:16" x14ac:dyDescent="0.25">
      <c r="A200" t="str">
        <f t="shared" si="74"/>
        <v>人民币</v>
      </c>
      <c r="B200" t="str">
        <f>"中国人保"</f>
        <v>中国人保</v>
      </c>
      <c r="C200" t="str">
        <f>"20190528"</f>
        <v>20190528</v>
      </c>
      <c r="D200" t="str">
        <f>"8.460"</f>
        <v>8.460</v>
      </c>
      <c r="E200" t="str">
        <f>"-2000.00"</f>
        <v>-2000.00</v>
      </c>
      <c r="F200" t="str">
        <f>"16885.82"</f>
        <v>16885.82</v>
      </c>
      <c r="G200" t="str">
        <f>"18014.44"</f>
        <v>18014.44</v>
      </c>
      <c r="H200" t="str">
        <f>"0.00"</f>
        <v>0.00</v>
      </c>
      <c r="I200" t="str">
        <f>"60"</f>
        <v>60</v>
      </c>
      <c r="J200" t="str">
        <f>"证券卖出(中国人保)"</f>
        <v>证券卖出(中国人保)</v>
      </c>
      <c r="K200" t="str">
        <f>"16.92"</f>
        <v>16.92</v>
      </c>
      <c r="L200" t="str">
        <f>"16.92"</f>
        <v>16.92</v>
      </c>
      <c r="M200" t="str">
        <f>"0.34"</f>
        <v>0.34</v>
      </c>
      <c r="N200" t="str">
        <f t="shared" si="75"/>
        <v>0.00</v>
      </c>
      <c r="O200" t="str">
        <f>"601319"</f>
        <v>601319</v>
      </c>
      <c r="P200" t="str">
        <f>"A400948245"</f>
        <v>A400948245</v>
      </c>
    </row>
    <row r="201" spans="1:16" x14ac:dyDescent="0.25">
      <c r="A201" t="str">
        <f t="shared" si="74"/>
        <v>人民币</v>
      </c>
      <c r="B201" t="str">
        <f>"七一二"</f>
        <v>七一二</v>
      </c>
      <c r="C201" t="str">
        <f>"20190528"</f>
        <v>20190528</v>
      </c>
      <c r="D201" t="str">
        <f>"22.300"</f>
        <v>22.300</v>
      </c>
      <c r="E201" t="str">
        <f>"500.00"</f>
        <v>500.00</v>
      </c>
      <c r="F201" t="str">
        <f>"-11161.37"</f>
        <v>-11161.37</v>
      </c>
      <c r="G201" t="str">
        <f>"6853.07"</f>
        <v>6853.07</v>
      </c>
      <c r="H201" t="str">
        <f>"2500.00"</f>
        <v>2500.00</v>
      </c>
      <c r="I201" t="str">
        <f>"63"</f>
        <v>63</v>
      </c>
      <c r="J201" t="str">
        <f>"证券买入(七一二)"</f>
        <v>证券买入(七一二)</v>
      </c>
      <c r="K201" t="str">
        <f>"11.15"</f>
        <v>11.15</v>
      </c>
      <c r="L201" t="str">
        <f>"0.00"</f>
        <v>0.00</v>
      </c>
      <c r="M201" t="str">
        <f>"0.22"</f>
        <v>0.22</v>
      </c>
      <c r="N201" t="str">
        <f t="shared" si="75"/>
        <v>0.00</v>
      </c>
      <c r="O201" t="str">
        <f>"603712"</f>
        <v>603712</v>
      </c>
      <c r="P201" t="str">
        <f>"A400948245"</f>
        <v>A400948245</v>
      </c>
    </row>
    <row r="202" spans="1:16" x14ac:dyDescent="0.25">
      <c r="A202" t="str">
        <f t="shared" si="74"/>
        <v>人民币</v>
      </c>
      <c r="B202" t="str">
        <f>"因赛集团"</f>
        <v>因赛集团</v>
      </c>
      <c r="C202" t="str">
        <f>"20190528"</f>
        <v>20190528</v>
      </c>
      <c r="D202" t="str">
        <f>"0.000"</f>
        <v>0.000</v>
      </c>
      <c r="E202" t="str">
        <f>"2.00"</f>
        <v>2.00</v>
      </c>
      <c r="F202" t="str">
        <f>"0.00"</f>
        <v>0.00</v>
      </c>
      <c r="G202" t="str">
        <f>"6853.07"</f>
        <v>6853.07</v>
      </c>
      <c r="H202" t="str">
        <f>"0.00"</f>
        <v>0.00</v>
      </c>
      <c r="I202" t="str">
        <f>"52"</f>
        <v>52</v>
      </c>
      <c r="J202" t="str">
        <f>"申购配号(因赛集团)"</f>
        <v>申购配号(因赛集团)</v>
      </c>
      <c r="K202" t="str">
        <f>"0.00"</f>
        <v>0.00</v>
      </c>
      <c r="L202" t="str">
        <f>"0.00"</f>
        <v>0.00</v>
      </c>
      <c r="M202" t="str">
        <f>"0.00"</f>
        <v>0.00</v>
      </c>
      <c r="N202" t="str">
        <f t="shared" si="75"/>
        <v>0.00</v>
      </c>
      <c r="O202" t="str">
        <f>"300781"</f>
        <v>300781</v>
      </c>
      <c r="P202" t="str">
        <f>"0153613480"</f>
        <v>0153613480</v>
      </c>
    </row>
    <row r="203" spans="1:16" x14ac:dyDescent="0.25">
      <c r="A203" t="str">
        <f t="shared" si="74"/>
        <v>人民币</v>
      </c>
      <c r="B203" t="str">
        <f>"中通国脉"</f>
        <v>中通国脉</v>
      </c>
      <c r="C203" t="str">
        <f>"20190529"</f>
        <v>20190529</v>
      </c>
      <c r="D203" t="str">
        <f>"19.610"</f>
        <v>19.610</v>
      </c>
      <c r="E203" t="str">
        <f>"-300.00"</f>
        <v>-300.00</v>
      </c>
      <c r="F203" t="str">
        <f>"5871.12"</f>
        <v>5871.12</v>
      </c>
      <c r="G203" t="str">
        <f>"12724.19"</f>
        <v>12724.19</v>
      </c>
      <c r="H203" t="str">
        <f>"2100.00"</f>
        <v>2100.00</v>
      </c>
      <c r="I203" t="str">
        <f>"82"</f>
        <v>82</v>
      </c>
      <c r="J203" t="str">
        <f>"证券卖出(中通国脉)"</f>
        <v>证券卖出(中通国脉)</v>
      </c>
      <c r="K203" t="str">
        <f>"5.88"</f>
        <v>5.88</v>
      </c>
      <c r="L203" t="str">
        <f>"5.88"</f>
        <v>5.88</v>
      </c>
      <c r="M203" t="str">
        <f>"0.12"</f>
        <v>0.12</v>
      </c>
      <c r="N203" t="str">
        <f t="shared" si="75"/>
        <v>0.00</v>
      </c>
      <c r="O203" t="str">
        <f>"603559"</f>
        <v>603559</v>
      </c>
      <c r="P203" t="str">
        <f>"A400948245"</f>
        <v>A400948245</v>
      </c>
    </row>
    <row r="204" spans="1:16" x14ac:dyDescent="0.25">
      <c r="A204" t="str">
        <f t="shared" si="74"/>
        <v>人民币</v>
      </c>
      <c r="B204" t="str">
        <f>"丰乐种业"</f>
        <v>丰乐种业</v>
      </c>
      <c r="C204" t="str">
        <f>"20190529"</f>
        <v>20190529</v>
      </c>
      <c r="D204" t="str">
        <f>"11.390"</f>
        <v>11.390</v>
      </c>
      <c r="E204" t="str">
        <f>"600.00"</f>
        <v>600.00</v>
      </c>
      <c r="F204" t="str">
        <f>"-6840.83"</f>
        <v>-6840.83</v>
      </c>
      <c r="G204" t="str">
        <f>"5883.36"</f>
        <v>5883.36</v>
      </c>
      <c r="H204" t="str">
        <f>"600.00"</f>
        <v>600.00</v>
      </c>
      <c r="I204" t="str">
        <f>"79"</f>
        <v>79</v>
      </c>
      <c r="J204" t="str">
        <f>"证券买入(丰乐种业)"</f>
        <v>证券买入(丰乐种业)</v>
      </c>
      <c r="K204" t="str">
        <f>"6.83"</f>
        <v>6.83</v>
      </c>
      <c r="L204" t="str">
        <f>"0.00"</f>
        <v>0.00</v>
      </c>
      <c r="M204" t="str">
        <f>"0.00"</f>
        <v>0.00</v>
      </c>
      <c r="N204" t="str">
        <f t="shared" si="75"/>
        <v>0.00</v>
      </c>
      <c r="O204" t="str">
        <f>"000713"</f>
        <v>000713</v>
      </c>
      <c r="P204" t="str">
        <f>"0153613480"</f>
        <v>0153613480</v>
      </c>
    </row>
    <row r="205" spans="1:16" x14ac:dyDescent="0.25">
      <c r="A205" t="str">
        <f t="shared" si="74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5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4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5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4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5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4"/>
        <v>人民币</v>
      </c>
      <c r="B208" t="str">
        <f>""</f>
        <v/>
      </c>
      <c r="C208" t="str">
        <f t="shared" ref="C208:C215" si="76">"20190604"</f>
        <v>20190604</v>
      </c>
      <c r="D208" t="str">
        <f>"---"</f>
        <v>---</v>
      </c>
      <c r="E208" t="str">
        <f>"---"</f>
        <v>---</v>
      </c>
      <c r="F208" t="str">
        <f>"-7000.00"</f>
        <v>-7000.00</v>
      </c>
      <c r="G208" t="str">
        <f>"7791.78"</f>
        <v>7791.78</v>
      </c>
      <c r="H208" t="str">
        <f>"---"</f>
        <v>---</v>
      </c>
      <c r="I208" t="str">
        <f>"---"</f>
        <v>---</v>
      </c>
      <c r="J208" t="str">
        <f>"银行转取"</f>
        <v>银行转取</v>
      </c>
      <c r="K208" t="str">
        <f t="shared" ref="K208:P208" si="77">"---"</f>
        <v>---</v>
      </c>
      <c r="L208" t="str">
        <f t="shared" si="77"/>
        <v>---</v>
      </c>
      <c r="M208" t="str">
        <f t="shared" si="77"/>
        <v>---</v>
      </c>
      <c r="N208" t="str">
        <f t="shared" si="77"/>
        <v>---</v>
      </c>
      <c r="O208" t="str">
        <f t="shared" si="77"/>
        <v>---</v>
      </c>
      <c r="P208" t="str">
        <f t="shared" si="77"/>
        <v>---</v>
      </c>
    </row>
    <row r="209" spans="1:16" x14ac:dyDescent="0.25">
      <c r="A209" t="str">
        <f t="shared" si="74"/>
        <v>人民币</v>
      </c>
      <c r="B209" t="str">
        <f>"中通国脉"</f>
        <v>中通国脉</v>
      </c>
      <c r="C209" t="str">
        <f t="shared" si="76"/>
        <v>20190604</v>
      </c>
      <c r="D209" t="str">
        <f>"22.710"</f>
        <v>22.710</v>
      </c>
      <c r="E209" t="str">
        <f>"-500.00"</f>
        <v>-500.00</v>
      </c>
      <c r="F209" t="str">
        <f>"11332.05"</f>
        <v>11332.05</v>
      </c>
      <c r="G209" t="str">
        <f>"19123.83"</f>
        <v>19123.83</v>
      </c>
      <c r="H209" t="str">
        <f>"1600.00"</f>
        <v>1600.00</v>
      </c>
      <c r="I209" t="str">
        <f>"100"</f>
        <v>100</v>
      </c>
      <c r="J209" t="str">
        <f>"证券卖出(中通国脉)"</f>
        <v>证券卖出(中通国脉)</v>
      </c>
      <c r="K209" t="str">
        <f>"11.36"</f>
        <v>11.36</v>
      </c>
      <c r="L209" t="str">
        <f>"11.36"</f>
        <v>11.36</v>
      </c>
      <c r="M209" t="str">
        <f>"0.23"</f>
        <v>0.23</v>
      </c>
      <c r="N209" t="str">
        <f t="shared" ref="N209:N228" si="78">"0.00"</f>
        <v>0.00</v>
      </c>
      <c r="O209" t="str">
        <f>"603559"</f>
        <v>603559</v>
      </c>
      <c r="P209" t="str">
        <f t="shared" ref="P209:P214" si="79">"A400948245"</f>
        <v>A400948245</v>
      </c>
    </row>
    <row r="210" spans="1:16" x14ac:dyDescent="0.25">
      <c r="A210" t="str">
        <f t="shared" si="74"/>
        <v>人民币</v>
      </c>
      <c r="B210" t="str">
        <f>"七一二"</f>
        <v>七一二</v>
      </c>
      <c r="C210" t="str">
        <f t="shared" si="76"/>
        <v>20190604</v>
      </c>
      <c r="D210" t="str">
        <f>"20.280"</f>
        <v>20.280</v>
      </c>
      <c r="E210" t="str">
        <f>"500.00"</f>
        <v>500.00</v>
      </c>
      <c r="F210" t="str">
        <f>"-10150.34"</f>
        <v>-10150.34</v>
      </c>
      <c r="G210" t="str">
        <f>"8973.49"</f>
        <v>8973.49</v>
      </c>
      <c r="H210" t="str">
        <f>"3000.00"</f>
        <v>3000.00</v>
      </c>
      <c r="I210" t="str">
        <f>"109"</f>
        <v>109</v>
      </c>
      <c r="J210" t="str">
        <f>"证券买入(七一二)"</f>
        <v>证券买入(七一二)</v>
      </c>
      <c r="K210" t="str">
        <f>"10.14"</f>
        <v>10.14</v>
      </c>
      <c r="L210" t="str">
        <f t="shared" ref="L210:M221" si="80">"0.00"</f>
        <v>0.00</v>
      </c>
      <c r="M210" t="str">
        <f>"0.20"</f>
        <v>0.20</v>
      </c>
      <c r="N210" t="str">
        <f t="shared" si="78"/>
        <v>0.00</v>
      </c>
      <c r="O210" t="str">
        <f>"603712"</f>
        <v>603712</v>
      </c>
      <c r="P210" t="str">
        <f t="shared" si="79"/>
        <v>A400948245</v>
      </c>
    </row>
    <row r="211" spans="1:16" x14ac:dyDescent="0.25">
      <c r="A211" t="str">
        <f t="shared" si="74"/>
        <v>人民币</v>
      </c>
      <c r="B211" t="str">
        <f>"国茂配号"</f>
        <v>国茂配号</v>
      </c>
      <c r="C211" t="str">
        <f t="shared" si="76"/>
        <v>20190604</v>
      </c>
      <c r="D211" t="str">
        <f>"0.000"</f>
        <v>0.000</v>
      </c>
      <c r="E211" t="str">
        <f>"13.00"</f>
        <v>13.00</v>
      </c>
      <c r="F211" t="str">
        <f>"0.00"</f>
        <v>0.00</v>
      </c>
      <c r="G211" t="str">
        <f>"8973.49"</f>
        <v>8973.49</v>
      </c>
      <c r="H211" t="str">
        <f>"0.00"</f>
        <v>0.00</v>
      </c>
      <c r="I211" t="str">
        <f>"113"</f>
        <v>113</v>
      </c>
      <c r="J211" t="str">
        <f>"申购配号(国茂配号)"</f>
        <v>申购配号(国茂配号)</v>
      </c>
      <c r="K211" t="str">
        <f>"0.00"</f>
        <v>0.00</v>
      </c>
      <c r="L211" t="str">
        <f t="shared" si="80"/>
        <v>0.00</v>
      </c>
      <c r="M211" t="str">
        <f>"0.00"</f>
        <v>0.00</v>
      </c>
      <c r="N211" t="str">
        <f t="shared" si="78"/>
        <v>0.00</v>
      </c>
      <c r="O211" t="str">
        <f>"736915"</f>
        <v>736915</v>
      </c>
      <c r="P211" t="str">
        <f t="shared" si="79"/>
        <v>A400948245</v>
      </c>
    </row>
    <row r="212" spans="1:16" x14ac:dyDescent="0.25">
      <c r="A212" t="str">
        <f t="shared" si="74"/>
        <v>人民币</v>
      </c>
      <c r="B212" t="str">
        <f>"七一二"</f>
        <v>七一二</v>
      </c>
      <c r="C212" t="str">
        <f t="shared" si="76"/>
        <v>20190604</v>
      </c>
      <c r="D212" t="str">
        <f>"20.150"</f>
        <v>20.150</v>
      </c>
      <c r="E212" t="str">
        <f>"400.00"</f>
        <v>400.00</v>
      </c>
      <c r="F212" t="str">
        <f>"-8068.22"</f>
        <v>-8068.22</v>
      </c>
      <c r="G212" t="str">
        <f>"905.27"</f>
        <v>905.27</v>
      </c>
      <c r="H212" t="str">
        <f>"3400.00"</f>
        <v>3400.00</v>
      </c>
      <c r="I212" t="str">
        <f>"126"</f>
        <v>126</v>
      </c>
      <c r="J212" t="str">
        <f>"证券买入(七一二)"</f>
        <v>证券买入(七一二)</v>
      </c>
      <c r="K212" t="str">
        <f>"8.06"</f>
        <v>8.06</v>
      </c>
      <c r="L212" t="str">
        <f t="shared" si="80"/>
        <v>0.00</v>
      </c>
      <c r="M212" t="str">
        <f>"0.16"</f>
        <v>0.16</v>
      </c>
      <c r="N212" t="str">
        <f t="shared" si="78"/>
        <v>0.00</v>
      </c>
      <c r="O212" t="str">
        <f>"603712"</f>
        <v>603712</v>
      </c>
      <c r="P212" t="str">
        <f t="shared" si="79"/>
        <v>A400948245</v>
      </c>
    </row>
    <row r="213" spans="1:16" x14ac:dyDescent="0.25">
      <c r="A213" t="str">
        <f t="shared" si="74"/>
        <v>人民币</v>
      </c>
      <c r="B213" t="str">
        <f>"国茂配号"</f>
        <v>国茂配号</v>
      </c>
      <c r="C213" t="str">
        <f t="shared" si="76"/>
        <v>20190604</v>
      </c>
      <c r="D213" t="str">
        <f>"0.000"</f>
        <v>0.000</v>
      </c>
      <c r="E213" t="str">
        <f>"0.00"</f>
        <v>0.00</v>
      </c>
      <c r="F213" t="str">
        <f>"0.00"</f>
        <v>0.00</v>
      </c>
      <c r="G213" t="str">
        <f>"905.27"</f>
        <v>905.27</v>
      </c>
      <c r="H213" t="str">
        <f>"0.00"</f>
        <v>0.00</v>
      </c>
      <c r="I213" t="str">
        <f>"117"</f>
        <v>117</v>
      </c>
      <c r="J213" t="str">
        <f>"申购配号(国茂配号)"</f>
        <v>申购配号(国茂配号)</v>
      </c>
      <c r="K213" t="str">
        <f>"0.00"</f>
        <v>0.00</v>
      </c>
      <c r="L213" t="str">
        <f t="shared" si="80"/>
        <v>0.00</v>
      </c>
      <c r="M213" t="str">
        <f t="shared" si="80"/>
        <v>0.00</v>
      </c>
      <c r="N213" t="str">
        <f t="shared" si="78"/>
        <v>0.00</v>
      </c>
      <c r="O213" t="str">
        <f>"736915"</f>
        <v>736915</v>
      </c>
      <c r="P213" t="str">
        <f t="shared" si="79"/>
        <v>A400948245</v>
      </c>
    </row>
    <row r="214" spans="1:16" x14ac:dyDescent="0.25">
      <c r="A214" t="str">
        <f t="shared" si="74"/>
        <v>人民币</v>
      </c>
      <c r="B214" t="str">
        <f>"国茂配号"</f>
        <v>国茂配号</v>
      </c>
      <c r="C214" t="str">
        <f t="shared" si="76"/>
        <v>20190604</v>
      </c>
      <c r="D214" t="str">
        <f>"0.000"</f>
        <v>0.000</v>
      </c>
      <c r="E214" t="str">
        <f>"0.00"</f>
        <v>0.00</v>
      </c>
      <c r="F214" t="str">
        <f>"0.00"</f>
        <v>0.00</v>
      </c>
      <c r="G214" t="str">
        <f>"905.27"</f>
        <v>905.27</v>
      </c>
      <c r="H214" t="str">
        <f>"0.00"</f>
        <v>0.00</v>
      </c>
      <c r="I214" t="str">
        <f>"121"</f>
        <v>121</v>
      </c>
      <c r="J214" t="str">
        <f>"申购配号(国茂配号)"</f>
        <v>申购配号(国茂配号)</v>
      </c>
      <c r="K214" t="str">
        <f>"0.00"</f>
        <v>0.00</v>
      </c>
      <c r="L214" t="str">
        <f t="shared" si="80"/>
        <v>0.00</v>
      </c>
      <c r="M214" t="str">
        <f t="shared" si="80"/>
        <v>0.00</v>
      </c>
      <c r="N214" t="str">
        <f t="shared" si="78"/>
        <v>0.00</v>
      </c>
      <c r="O214" t="str">
        <f>"736915"</f>
        <v>736915</v>
      </c>
      <c r="P214" t="str">
        <f t="shared" si="79"/>
        <v>A400948245</v>
      </c>
    </row>
    <row r="215" spans="1:16" x14ac:dyDescent="0.25">
      <c r="A215" t="str">
        <f t="shared" si="74"/>
        <v>人民币</v>
      </c>
      <c r="B215" t="str">
        <f>"卓胜微"</f>
        <v>卓胜微</v>
      </c>
      <c r="C215" t="str">
        <f t="shared" si="76"/>
        <v>20190604</v>
      </c>
      <c r="D215" t="str">
        <f>"0.000"</f>
        <v>0.000</v>
      </c>
      <c r="E215" t="str">
        <f>"2.00"</f>
        <v>2.00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"115"</f>
        <v>115</v>
      </c>
      <c r="J215" t="str">
        <f>"申购配号(卓胜微)"</f>
        <v>申购配号(卓胜微)</v>
      </c>
      <c r="K215" t="str">
        <f>"0.00"</f>
        <v>0.00</v>
      </c>
      <c r="L215" t="str">
        <f t="shared" si="80"/>
        <v>0.00</v>
      </c>
      <c r="M215" t="str">
        <f t="shared" si="80"/>
        <v>0.00</v>
      </c>
      <c r="N215" t="str">
        <f t="shared" si="78"/>
        <v>0.00</v>
      </c>
      <c r="O215" t="str">
        <f>"300782"</f>
        <v>300782</v>
      </c>
      <c r="P215" t="str">
        <f>"0153613480"</f>
        <v>0153613480</v>
      </c>
    </row>
    <row r="216" spans="1:16" x14ac:dyDescent="0.25">
      <c r="A216" t="str">
        <f t="shared" si="74"/>
        <v>人民币</v>
      </c>
      <c r="B216" t="str">
        <f>"上海新阳"</f>
        <v>上海新阳</v>
      </c>
      <c r="C216" t="str">
        <f>"20190605"</f>
        <v>20190605</v>
      </c>
      <c r="D216" t="str">
        <f>"33.995"</f>
        <v>33.995</v>
      </c>
      <c r="E216" t="str">
        <f>"-400.00"</f>
        <v>-400.00</v>
      </c>
      <c r="F216" t="str">
        <f>"13570.80"</f>
        <v>13570.80</v>
      </c>
      <c r="G216" t="str">
        <f>"14476.07"</f>
        <v>14476.07</v>
      </c>
      <c r="H216" t="str">
        <f>"0.00"</f>
        <v>0.00</v>
      </c>
      <c r="I216" t="str">
        <f>"137"</f>
        <v>137</v>
      </c>
      <c r="J216" t="str">
        <f>"证券卖出(上海新阳)"</f>
        <v>证券卖出(上海新阳)</v>
      </c>
      <c r="K216" t="str">
        <f>"13.60"</f>
        <v>13.60</v>
      </c>
      <c r="L216" t="str">
        <f>"13.60"</f>
        <v>13.60</v>
      </c>
      <c r="M216" t="str">
        <f t="shared" si="80"/>
        <v>0.00</v>
      </c>
      <c r="N216" t="str">
        <f t="shared" si="78"/>
        <v>0.00</v>
      </c>
      <c r="O216" t="str">
        <f>"300236"</f>
        <v>300236</v>
      </c>
      <c r="P216" t="str">
        <f>"0153613480"</f>
        <v>0153613480</v>
      </c>
    </row>
    <row r="217" spans="1:16" x14ac:dyDescent="0.25">
      <c r="A217" t="str">
        <f t="shared" si="74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 t="shared" ref="L217:L222" si="81">"0.00"</f>
        <v>0.00</v>
      </c>
      <c r="M217" t="str">
        <f t="shared" si="80"/>
        <v>0.00</v>
      </c>
      <c r="N217" t="str">
        <f t="shared" si="78"/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4"/>
        <v>人民币</v>
      </c>
      <c r="B218" t="str">
        <f>"西麦食品"</f>
        <v>西麦食品</v>
      </c>
      <c r="C218" t="str">
        <f>"20190605"</f>
        <v>20190605</v>
      </c>
      <c r="D218" t="str">
        <f>"0.000"</f>
        <v>0.000</v>
      </c>
      <c r="E218" t="str">
        <f>"2.00"</f>
        <v>2.00</v>
      </c>
      <c r="F218" t="str">
        <f>"0.00"</f>
        <v>0.00</v>
      </c>
      <c r="G218" t="str">
        <f>"6598.20"</f>
        <v>6598.20</v>
      </c>
      <c r="H218" t="str">
        <f>"0.00"</f>
        <v>0.00</v>
      </c>
      <c r="I218" t="str">
        <f>"144"</f>
        <v>144</v>
      </c>
      <c r="J218" t="str">
        <f>"申购配号(西麦食品)"</f>
        <v>申购配号(西麦食品)</v>
      </c>
      <c r="K218" t="str">
        <f>"0.00"</f>
        <v>0.00</v>
      </c>
      <c r="L218" t="str">
        <f t="shared" si="81"/>
        <v>0.00</v>
      </c>
      <c r="M218" t="str">
        <f t="shared" si="80"/>
        <v>0.00</v>
      </c>
      <c r="N218" t="str">
        <f t="shared" si="78"/>
        <v>0.00</v>
      </c>
      <c r="O218" t="str">
        <f>"002956"</f>
        <v>002956</v>
      </c>
      <c r="P218" t="str">
        <f>"0153613480"</f>
        <v>0153613480</v>
      </c>
    </row>
    <row r="219" spans="1:16" x14ac:dyDescent="0.25">
      <c r="A219" t="str">
        <f t="shared" si="74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 t="shared" si="81"/>
        <v>0.00</v>
      </c>
      <c r="M219" t="str">
        <f t="shared" si="80"/>
        <v>0.00</v>
      </c>
      <c r="N219" t="str">
        <f t="shared" si="78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4"/>
        <v>人民币</v>
      </c>
      <c r="B220" t="str">
        <f>"元利配号"</f>
        <v>元利配号</v>
      </c>
      <c r="C220" t="str">
        <f>"20190611"</f>
        <v>20190611</v>
      </c>
      <c r="D220" t="str">
        <f>"0.000"</f>
        <v>0.000</v>
      </c>
      <c r="E220" t="str">
        <f>"9.00"</f>
        <v>9.00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"159"</f>
        <v>159</v>
      </c>
      <c r="J220" t="str">
        <f>"申购配号(元利配号)"</f>
        <v>申购配号(元利配号)</v>
      </c>
      <c r="K220" t="str">
        <f>"0.00"</f>
        <v>0.00</v>
      </c>
      <c r="L220" t="str">
        <f t="shared" si="81"/>
        <v>0.00</v>
      </c>
      <c r="M220" t="str">
        <f t="shared" si="80"/>
        <v>0.00</v>
      </c>
      <c r="N220" t="str">
        <f t="shared" si="78"/>
        <v>0.00</v>
      </c>
      <c r="O220" t="str">
        <f>"736217"</f>
        <v>736217</v>
      </c>
      <c r="P220" t="str">
        <f>"A400948245"</f>
        <v>A400948245</v>
      </c>
    </row>
    <row r="221" spans="1:16" x14ac:dyDescent="0.25">
      <c r="A221" t="str">
        <f t="shared" si="74"/>
        <v>人民币</v>
      </c>
      <c r="B221" t="str">
        <f>"松炀配号"</f>
        <v>松炀配号</v>
      </c>
      <c r="C221" t="str">
        <f>"20190611"</f>
        <v>20190611</v>
      </c>
      <c r="D221" t="str">
        <f>"0.000"</f>
        <v>0.000</v>
      </c>
      <c r="E221" t="str">
        <f>"13.00"</f>
        <v>13.00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"157"</f>
        <v>157</v>
      </c>
      <c r="J221" t="str">
        <f>"申购配号(松炀配号)"</f>
        <v>申购配号(松炀配号)</v>
      </c>
      <c r="K221" t="str">
        <f>"0.00"</f>
        <v>0.00</v>
      </c>
      <c r="L221" t="str">
        <f t="shared" si="81"/>
        <v>0.00</v>
      </c>
      <c r="M221" t="str">
        <f t="shared" si="80"/>
        <v>0.00</v>
      </c>
      <c r="N221" t="str">
        <f t="shared" si="78"/>
        <v>0.00</v>
      </c>
      <c r="O221" t="str">
        <f>"736863"</f>
        <v>736863</v>
      </c>
      <c r="P221" t="str">
        <f>"A400948245"</f>
        <v>A400948245</v>
      </c>
    </row>
    <row r="222" spans="1:16" x14ac:dyDescent="0.25">
      <c r="A222" t="str">
        <f t="shared" si="74"/>
        <v>人民币</v>
      </c>
      <c r="B222" t="str">
        <f>"中通国脉"</f>
        <v>中通国脉</v>
      </c>
      <c r="C222" t="str">
        <f>"20190612"</f>
        <v>20190612</v>
      </c>
      <c r="D222" t="str">
        <f>"22.020"</f>
        <v>22.020</v>
      </c>
      <c r="E222" t="str">
        <f>"400.00"</f>
        <v>400.00</v>
      </c>
      <c r="F222" t="str">
        <f>"-8816.99"</f>
        <v>-8816.99</v>
      </c>
      <c r="G222" t="str">
        <f>"-8750.32"</f>
        <v>-8750.32</v>
      </c>
      <c r="H222" t="str">
        <f>"2000.00"</f>
        <v>2000.00</v>
      </c>
      <c r="I222" t="str">
        <f>"177"</f>
        <v>177</v>
      </c>
      <c r="J222" t="str">
        <f>"证券买入(中通国脉)"</f>
        <v>证券买入(中通国脉)</v>
      </c>
      <c r="K222" t="str">
        <f>"8.81"</f>
        <v>8.81</v>
      </c>
      <c r="L222" t="str">
        <f t="shared" si="81"/>
        <v>0.00</v>
      </c>
      <c r="M222" t="str">
        <f>"0.18"</f>
        <v>0.18</v>
      </c>
      <c r="N222" t="str">
        <f t="shared" si="78"/>
        <v>0.00</v>
      </c>
      <c r="O222" t="str">
        <f>"603559"</f>
        <v>603559</v>
      </c>
      <c r="P222" t="str">
        <f>"A400948245"</f>
        <v>A400948245</v>
      </c>
    </row>
    <row r="223" spans="1:16" x14ac:dyDescent="0.25">
      <c r="A223" t="str">
        <f t="shared" si="74"/>
        <v>人民币</v>
      </c>
      <c r="B223" t="str">
        <f>"吴通控股"</f>
        <v>吴通控股</v>
      </c>
      <c r="C223" t="str">
        <f>"20190612"</f>
        <v>20190612</v>
      </c>
      <c r="D223" t="str">
        <f>"7.810"</f>
        <v>7.810</v>
      </c>
      <c r="E223" t="str">
        <f>"-900.00"</f>
        <v>-900.00</v>
      </c>
      <c r="F223" t="str">
        <f>"7014.94"</f>
        <v>7014.94</v>
      </c>
      <c r="G223" t="str">
        <f>"-1735.38"</f>
        <v>-1735.38</v>
      </c>
      <c r="H223" t="str">
        <f>"1000.00"</f>
        <v>1000.00</v>
      </c>
      <c r="I223" t="str">
        <f>"166"</f>
        <v>166</v>
      </c>
      <c r="J223" t="str">
        <f>"证券卖出(吴通控股)"</f>
        <v>证券卖出(吴通控股)</v>
      </c>
      <c r="K223" t="str">
        <f>"7.03"</f>
        <v>7.03</v>
      </c>
      <c r="L223" t="str">
        <f>"7.03"</f>
        <v>7.03</v>
      </c>
      <c r="M223" t="str">
        <f>"0.00"</f>
        <v>0.00</v>
      </c>
      <c r="N223" t="str">
        <f t="shared" si="78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4"/>
        <v>人民币</v>
      </c>
      <c r="B224" t="str">
        <f>"吴通控股"</f>
        <v>吴通控股</v>
      </c>
      <c r="C224" t="str">
        <f>"20190612"</f>
        <v>20190612</v>
      </c>
      <c r="D224" t="str">
        <f>"7.900"</f>
        <v>7.900</v>
      </c>
      <c r="E224" t="str">
        <f>"-1000.00"</f>
        <v>-1000.00</v>
      </c>
      <c r="F224" t="str">
        <f>"7884.20"</f>
        <v>7884.20</v>
      </c>
      <c r="G224" t="str">
        <f>"6148.82"</f>
        <v>6148.82</v>
      </c>
      <c r="H224" t="str">
        <f>"0.00"</f>
        <v>0.00</v>
      </c>
      <c r="I224" t="str">
        <f>"174"</f>
        <v>174</v>
      </c>
      <c r="J224" t="str">
        <f>"证券卖出(吴通控股)"</f>
        <v>证券卖出(吴通控股)</v>
      </c>
      <c r="K224" t="str">
        <f>"7.90"</f>
        <v>7.90</v>
      </c>
      <c r="L224" t="str">
        <f>"7.90"</f>
        <v>7.90</v>
      </c>
      <c r="M224" t="str">
        <f>"0.00"</f>
        <v>0.00</v>
      </c>
      <c r="N224" t="str">
        <f t="shared" si="78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4"/>
        <v>人民币</v>
      </c>
      <c r="B225" t="str">
        <f>"朗进科技"</f>
        <v>朗进科技</v>
      </c>
      <c r="C225" t="str">
        <f>"20190612"</f>
        <v>20190612</v>
      </c>
      <c r="D225" t="str">
        <f>"0.000"</f>
        <v>0.000</v>
      </c>
      <c r="E225" t="str">
        <f>"2.00"</f>
        <v>2.00</v>
      </c>
      <c r="F225" t="str">
        <f>"0.00"</f>
        <v>0.00</v>
      </c>
      <c r="G225" t="str">
        <f>"6148.82"</f>
        <v>6148.82</v>
      </c>
      <c r="H225" t="str">
        <f>"0.00"</f>
        <v>0.00</v>
      </c>
      <c r="I225" t="str">
        <f>"169"</f>
        <v>169</v>
      </c>
      <c r="J225" t="str">
        <f>"申购配号(朗进科技)"</f>
        <v>申购配号(朗进科技)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 t="shared" si="78"/>
        <v>0.00</v>
      </c>
      <c r="O225" t="str">
        <f>"300594"</f>
        <v>300594</v>
      </c>
      <c r="P225" t="str">
        <f>"0153613480"</f>
        <v>0153613480</v>
      </c>
    </row>
    <row r="226" spans="1:16" x14ac:dyDescent="0.25">
      <c r="A226" t="str">
        <f t="shared" si="74"/>
        <v>人民币</v>
      </c>
      <c r="B226" t="str">
        <f>"七一二"</f>
        <v>七一二</v>
      </c>
      <c r="C226" t="str">
        <f>"20190613"</f>
        <v>20190613</v>
      </c>
      <c r="D226" t="str">
        <f>"24.020"</f>
        <v>24.020</v>
      </c>
      <c r="E226" t="str">
        <f>"-1400.00"</f>
        <v>-1400.00</v>
      </c>
      <c r="F226" t="str">
        <f>"33560.07"</f>
        <v>33560.07</v>
      </c>
      <c r="G226" t="str">
        <f>"39708.89"</f>
        <v>39708.89</v>
      </c>
      <c r="H226" t="str">
        <f>"2000.00"</f>
        <v>2000.00</v>
      </c>
      <c r="I226" t="str">
        <f>"187"</f>
        <v>187</v>
      </c>
      <c r="J226" t="str">
        <f>"证券卖出(七一二)"</f>
        <v>证券卖出(七一二)</v>
      </c>
      <c r="K226" t="str">
        <f>"33.63"</f>
        <v>33.63</v>
      </c>
      <c r="L226" t="str">
        <f>"33.63"</f>
        <v>33.63</v>
      </c>
      <c r="M226" t="str">
        <f>"0.67"</f>
        <v>0.67</v>
      </c>
      <c r="N226" t="str">
        <f t="shared" si="78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4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78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4"/>
        <v>人民币</v>
      </c>
      <c r="B228" t="str">
        <f>"七一二"</f>
        <v>七一二</v>
      </c>
      <c r="C228" t="str">
        <f>"20190613"</f>
        <v>20190613</v>
      </c>
      <c r="D228" t="str">
        <f>"23.960"</f>
        <v>23.960</v>
      </c>
      <c r="E228" t="str">
        <f>"-1000.00"</f>
        <v>-1000.00</v>
      </c>
      <c r="F228" t="str">
        <f>"23911.60"</f>
        <v>23911.60</v>
      </c>
      <c r="G228" t="str">
        <f>"87482.19"</f>
        <v>87482.19</v>
      </c>
      <c r="H228" t="str">
        <f>"0.00"</f>
        <v>0.00</v>
      </c>
      <c r="I228" t="str">
        <f>"194"</f>
        <v>194</v>
      </c>
      <c r="J228" t="str">
        <f>"证券卖出(七一二)"</f>
        <v>证券卖出(七一二)</v>
      </c>
      <c r="K228" t="str">
        <f>"23.96"</f>
        <v>23.96</v>
      </c>
      <c r="L228" t="str">
        <f>"23.96"</f>
        <v>23.96</v>
      </c>
      <c r="M228" t="str">
        <f>"0.48"</f>
        <v>0.48</v>
      </c>
      <c r="N228" t="str">
        <f t="shared" si="78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4"/>
        <v>人民币</v>
      </c>
      <c r="B229" t="str">
        <f>""</f>
        <v/>
      </c>
      <c r="C229" t="str">
        <f t="shared" ref="C229:C234" si="82">"20190614"</f>
        <v>20190614</v>
      </c>
      <c r="D229" t="str">
        <f>"---"</f>
        <v>---</v>
      </c>
      <c r="E229" t="str">
        <f>"---"</f>
        <v>---</v>
      </c>
      <c r="F229" t="str">
        <f>"-10000.00"</f>
        <v>-10000.00</v>
      </c>
      <c r="G229" t="str">
        <f>"77482.19"</f>
        <v>77482.19</v>
      </c>
      <c r="H229" t="str">
        <f>"---"</f>
        <v>---</v>
      </c>
      <c r="I229" t="str">
        <f>"---"</f>
        <v>---</v>
      </c>
      <c r="J229" t="str">
        <f>"银行转取"</f>
        <v>银行转取</v>
      </c>
      <c r="K229" t="str">
        <f t="shared" ref="K229:P229" si="83">"---"</f>
        <v>---</v>
      </c>
      <c r="L229" t="str">
        <f t="shared" si="83"/>
        <v>---</v>
      </c>
      <c r="M229" t="str">
        <f t="shared" si="83"/>
        <v>---</v>
      </c>
      <c r="N229" t="str">
        <f t="shared" si="83"/>
        <v>---</v>
      </c>
      <c r="O229" t="str">
        <f t="shared" si="83"/>
        <v>---</v>
      </c>
      <c r="P229" t="str">
        <f t="shared" si="83"/>
        <v>---</v>
      </c>
    </row>
    <row r="230" spans="1:16" x14ac:dyDescent="0.25">
      <c r="A230" t="str">
        <f t="shared" si="74"/>
        <v>人民币</v>
      </c>
      <c r="B230" t="str">
        <f>"海油配号"</f>
        <v>海油配号</v>
      </c>
      <c r="C230" t="str">
        <f t="shared" si="82"/>
        <v>20190614</v>
      </c>
      <c r="D230" t="str">
        <f>"0.000"</f>
        <v>0.000</v>
      </c>
      <c r="E230" t="str">
        <f>"13.00"</f>
        <v>13.00</v>
      </c>
      <c r="F230" t="str">
        <f>"0.00"</f>
        <v>0.00</v>
      </c>
      <c r="G230" t="str">
        <f>"77482.19"</f>
        <v>77482.19</v>
      </c>
      <c r="H230" t="str">
        <f>"0.00"</f>
        <v>0.00</v>
      </c>
      <c r="I230" t="str">
        <f>"206"</f>
        <v>206</v>
      </c>
      <c r="J230" t="str">
        <f>"申购配号(海油配号)"</f>
        <v>申购配号(海油配号)</v>
      </c>
      <c r="K230" t="str">
        <f>"0.00"</f>
        <v>0.00</v>
      </c>
      <c r="L230" t="str">
        <f>"0.00"</f>
        <v>0.00</v>
      </c>
      <c r="M230" t="str">
        <f>"0.00"</f>
        <v>0.00</v>
      </c>
      <c r="N230" t="str">
        <f>"0.00"</f>
        <v>0.00</v>
      </c>
      <c r="O230" t="str">
        <f>"741968"</f>
        <v>741968</v>
      </c>
      <c r="P230" t="str">
        <f>"A400948245"</f>
        <v>A400948245</v>
      </c>
    </row>
    <row r="231" spans="1:16" x14ac:dyDescent="0.25">
      <c r="A231" t="str">
        <f t="shared" si="74"/>
        <v>人民币</v>
      </c>
      <c r="B231" t="str">
        <f>"中通国脉"</f>
        <v>中通国脉</v>
      </c>
      <c r="C231" t="str">
        <f t="shared" si="82"/>
        <v>20190614</v>
      </c>
      <c r="D231" t="str">
        <f>"21.340"</f>
        <v>21.340</v>
      </c>
      <c r="E231" t="str">
        <f>"200.00"</f>
        <v>200.00</v>
      </c>
      <c r="F231" t="str">
        <f>"-4273.09"</f>
        <v>-4273.09</v>
      </c>
      <c r="G231" t="str">
        <f>"73209.10"</f>
        <v>73209.10</v>
      </c>
      <c r="H231" t="str">
        <f>"2200.00"</f>
        <v>2200.00</v>
      </c>
      <c r="I231" t="str">
        <f>"204"</f>
        <v>204</v>
      </c>
      <c r="J231" t="str">
        <f>"证券买入(中通国脉)"</f>
        <v>证券买入(中通国脉)</v>
      </c>
      <c r="K231" t="str">
        <f>"5.00"</f>
        <v>5.00</v>
      </c>
      <c r="L231" t="str">
        <f t="shared" ref="L231:M239" si="84">"0.00"</f>
        <v>0.00</v>
      </c>
      <c r="M231" t="str">
        <f>"0.09"</f>
        <v>0.09</v>
      </c>
      <c r="N231" t="str">
        <f t="shared" ref="N231:N242" si="85">"0.00"</f>
        <v>0.00</v>
      </c>
      <c r="O231" t="str">
        <f>"603559"</f>
        <v>603559</v>
      </c>
      <c r="P231" t="str">
        <f>"A400948245"</f>
        <v>A400948245</v>
      </c>
    </row>
    <row r="232" spans="1:16" x14ac:dyDescent="0.25">
      <c r="A232" t="str">
        <f t="shared" si="74"/>
        <v>人民币</v>
      </c>
      <c r="B232" t="str">
        <f>"凯龙股份"</f>
        <v>凯龙股份</v>
      </c>
      <c r="C232" t="str">
        <f t="shared" si="82"/>
        <v>20190614</v>
      </c>
      <c r="D232" t="str">
        <f>"14.050"</f>
        <v>14.050</v>
      </c>
      <c r="E232" t="str">
        <f>"1000.00"</f>
        <v>1000.00</v>
      </c>
      <c r="F232" t="str">
        <f>"-14064.05"</f>
        <v>-14064.05</v>
      </c>
      <c r="G232" t="str">
        <f>"59145.05"</f>
        <v>59145.05</v>
      </c>
      <c r="H232" t="str">
        <f>"1000.00"</f>
        <v>1000.00</v>
      </c>
      <c r="I232" t="str">
        <f>"200"</f>
        <v>200</v>
      </c>
      <c r="J232" t="str">
        <f>"证券买入(凯龙股份)"</f>
        <v>证券买入(凯龙股份)</v>
      </c>
      <c r="K232" t="str">
        <f>"14.05"</f>
        <v>14.05</v>
      </c>
      <c r="L232" t="str">
        <f t="shared" si="84"/>
        <v>0.00</v>
      </c>
      <c r="M232" t="str">
        <f t="shared" si="84"/>
        <v>0.00</v>
      </c>
      <c r="N232" t="str">
        <f t="shared" si="85"/>
        <v>0.00</v>
      </c>
      <c r="O232" t="str">
        <f>"002783"</f>
        <v>002783</v>
      </c>
      <c r="P232" t="str">
        <f>"0153613480"</f>
        <v>0153613480</v>
      </c>
    </row>
    <row r="233" spans="1:16" x14ac:dyDescent="0.25">
      <c r="A233" t="str">
        <f t="shared" si="74"/>
        <v>人民币</v>
      </c>
      <c r="B233" t="str">
        <f>"凯龙股份"</f>
        <v>凯龙股份</v>
      </c>
      <c r="C233" t="str">
        <f t="shared" si="82"/>
        <v>20190614</v>
      </c>
      <c r="D233" t="str">
        <f>"14.164"</f>
        <v>14.164</v>
      </c>
      <c r="E233" t="str">
        <f>"1000.00"</f>
        <v>1000.00</v>
      </c>
      <c r="F233" t="str">
        <f>"-14177.96"</f>
        <v>-14177.96</v>
      </c>
      <c r="G233" t="str">
        <f>"44967.09"</f>
        <v>44967.09</v>
      </c>
      <c r="H233" t="str">
        <f>"2000.00"</f>
        <v>2000.00</v>
      </c>
      <c r="I233" t="str">
        <f>"212"</f>
        <v>212</v>
      </c>
      <c r="J233" t="str">
        <f>"证券买入(凯龙股份)"</f>
        <v>证券买入(凯龙股份)</v>
      </c>
      <c r="K233" t="str">
        <f>"14.16"</f>
        <v>14.16</v>
      </c>
      <c r="L233" t="str">
        <f t="shared" si="84"/>
        <v>0.00</v>
      </c>
      <c r="M233" t="str">
        <f t="shared" si="84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4"/>
        <v>人民币</v>
      </c>
      <c r="B234" t="str">
        <f>"凯龙股份"</f>
        <v>凯龙股份</v>
      </c>
      <c r="C234" t="str">
        <f t="shared" si="82"/>
        <v>20190614</v>
      </c>
      <c r="D234" t="str">
        <f>"13.770"</f>
        <v>13.770</v>
      </c>
      <c r="E234" t="str">
        <f>"500.00"</f>
        <v>500.00</v>
      </c>
      <c r="F234" t="str">
        <f>"-6891.89"</f>
        <v>-6891.89</v>
      </c>
      <c r="G234" t="str">
        <f>"38075.20"</f>
        <v>38075.20</v>
      </c>
      <c r="H234" t="str">
        <f>"2500.00"</f>
        <v>2500.00</v>
      </c>
      <c r="I234" t="str">
        <f>"221"</f>
        <v>221</v>
      </c>
      <c r="J234" t="str">
        <f>"证券买入(凯龙股份)"</f>
        <v>证券买入(凯龙股份)</v>
      </c>
      <c r="K234" t="str">
        <f>"6.89"</f>
        <v>6.89</v>
      </c>
      <c r="L234" t="str">
        <f t="shared" si="84"/>
        <v>0.00</v>
      </c>
      <c r="M234" t="str">
        <f t="shared" si="84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4"/>
        <v>人民币</v>
      </c>
      <c r="B235" t="str">
        <f>"新化配号"</f>
        <v>新化配号</v>
      </c>
      <c r="C235" t="str">
        <f>"20190617"</f>
        <v>20190617</v>
      </c>
      <c r="D235" t="str">
        <f>"0.000"</f>
        <v>0.000</v>
      </c>
      <c r="E235" t="str">
        <f>"13.00"</f>
        <v>13.00</v>
      </c>
      <c r="F235" t="str">
        <f>"0.00"</f>
        <v>0.00</v>
      </c>
      <c r="G235" t="str">
        <f>"38075.20"</f>
        <v>38075.20</v>
      </c>
      <c r="H235" t="str">
        <f>"0.00"</f>
        <v>0.00</v>
      </c>
      <c r="I235" t="str">
        <f>"232"</f>
        <v>232</v>
      </c>
      <c r="J235" t="str">
        <f>"申购配号(新化配号)"</f>
        <v>申购配号(新化配号)</v>
      </c>
      <c r="K235" t="str">
        <f>"0.00"</f>
        <v>0.00</v>
      </c>
      <c r="L235" t="str">
        <f t="shared" si="84"/>
        <v>0.00</v>
      </c>
      <c r="M235" t="str">
        <f t="shared" si="84"/>
        <v>0.00</v>
      </c>
      <c r="N235" t="str">
        <f t="shared" si="85"/>
        <v>0.00</v>
      </c>
      <c r="O235" t="str">
        <f>"736867"</f>
        <v>736867</v>
      </c>
      <c r="P235" t="str">
        <f>"A400948245"</f>
        <v>A400948245</v>
      </c>
    </row>
    <row r="236" spans="1:16" x14ac:dyDescent="0.25">
      <c r="A236" t="str">
        <f t="shared" si="74"/>
        <v>人民币</v>
      </c>
      <c r="B236" t="str">
        <f>"凯龙股份"</f>
        <v>凯龙股份</v>
      </c>
      <c r="C236" t="str">
        <f>"20190617"</f>
        <v>20190617</v>
      </c>
      <c r="D236" t="str">
        <f>"13.100"</f>
        <v>13.100</v>
      </c>
      <c r="E236" t="str">
        <f>"500.00"</f>
        <v>500.00</v>
      </c>
      <c r="F236" t="str">
        <f>"-6556.55"</f>
        <v>-6556.55</v>
      </c>
      <c r="G236" t="str">
        <f>"31518.65"</f>
        <v>31518.65</v>
      </c>
      <c r="H236" t="str">
        <f>"3000.00"</f>
        <v>3000.00</v>
      </c>
      <c r="I236" t="str">
        <f>"234"</f>
        <v>234</v>
      </c>
      <c r="J236" t="str">
        <f>"证券买入(凯龙股份)"</f>
        <v>证券买入(凯龙股份)</v>
      </c>
      <c r="K236" t="str">
        <f>"6.55"</f>
        <v>6.55</v>
      </c>
      <c r="L236" t="str">
        <f t="shared" si="84"/>
        <v>0.00</v>
      </c>
      <c r="M236" t="str">
        <f t="shared" si="84"/>
        <v>0.00</v>
      </c>
      <c r="N236" t="str">
        <f t="shared" si="85"/>
        <v>0.00</v>
      </c>
      <c r="O236" t="str">
        <f>"002783"</f>
        <v>002783</v>
      </c>
      <c r="P236" t="str">
        <f>"0153613480"</f>
        <v>0153613480</v>
      </c>
    </row>
    <row r="237" spans="1:16" x14ac:dyDescent="0.25">
      <c r="A237" t="str">
        <f t="shared" si="74"/>
        <v>人民币</v>
      </c>
      <c r="B237" t="str">
        <f>"卫通配号"</f>
        <v>卫通配号</v>
      </c>
      <c r="C237" t="str">
        <f>"20190618"</f>
        <v>20190618</v>
      </c>
      <c r="D237" t="str">
        <f>"0.000"</f>
        <v>0.000</v>
      </c>
      <c r="E237" t="str">
        <f>"13.00"</f>
        <v>13.00</v>
      </c>
      <c r="F237" t="str">
        <f>"0.00"</f>
        <v>0.00</v>
      </c>
      <c r="G237" t="str">
        <f>"31518.65"</f>
        <v>31518.65</v>
      </c>
      <c r="H237" t="str">
        <f>"0.00"</f>
        <v>0.00</v>
      </c>
      <c r="I237" t="str">
        <f>"1"</f>
        <v>1</v>
      </c>
      <c r="J237" t="str">
        <f>"申购配号(卫通配号)"</f>
        <v>申购配号(卫通配号)</v>
      </c>
      <c r="K237" t="str">
        <f>"0.00"</f>
        <v>0.00</v>
      </c>
      <c r="L237" t="str">
        <f t="shared" si="84"/>
        <v>0.00</v>
      </c>
      <c r="M237" t="str">
        <f t="shared" si="84"/>
        <v>0.00</v>
      </c>
      <c r="N237" t="str">
        <f t="shared" si="85"/>
        <v>0.00</v>
      </c>
      <c r="O237" t="str">
        <f>"791698"</f>
        <v>791698</v>
      </c>
      <c r="P237" t="str">
        <f>"A400948245"</f>
        <v>A400948245</v>
      </c>
    </row>
    <row r="238" spans="1:16" x14ac:dyDescent="0.25">
      <c r="A238" t="str">
        <f t="shared" si="74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si="84"/>
        <v>0.00</v>
      </c>
      <c r="M238" t="str">
        <f t="shared" si="84"/>
        <v>0.00</v>
      </c>
      <c r="N238" t="str">
        <f t="shared" si="85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4"/>
        <v>人民币</v>
      </c>
      <c r="B239" t="str">
        <f>"凯龙股份"</f>
        <v>凯龙股份</v>
      </c>
      <c r="C239" t="str">
        <f>"20190618"</f>
        <v>20190618</v>
      </c>
      <c r="D239" t="str">
        <f>"12.760"</f>
        <v>12.760</v>
      </c>
      <c r="E239" t="str">
        <f>"-800.00"</f>
        <v>-800.00</v>
      </c>
      <c r="F239" t="str">
        <f>"10187.58"</f>
        <v>10187.58</v>
      </c>
      <c r="G239" t="str">
        <f>"31744.28"</f>
        <v>31744.28</v>
      </c>
      <c r="H239" t="str">
        <f>"3000.00"</f>
        <v>3000.00</v>
      </c>
      <c r="I239" t="str">
        <f>"6"</f>
        <v>6</v>
      </c>
      <c r="J239" t="str">
        <f>"证券卖出(凯龙股份)"</f>
        <v>证券卖出(凯龙股份)</v>
      </c>
      <c r="K239" t="str">
        <f>"10.21"</f>
        <v>10.21</v>
      </c>
      <c r="L239" t="str">
        <f>"10.21"</f>
        <v>10.21</v>
      </c>
      <c r="M239" t="str">
        <f t="shared" si="84"/>
        <v>0.00</v>
      </c>
      <c r="N239" t="str">
        <f t="shared" si="85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4"/>
        <v>人民币</v>
      </c>
      <c r="B240" t="str">
        <f>"中通国脉"</f>
        <v>中通国脉</v>
      </c>
      <c r="C240" t="str">
        <f>"20190619"</f>
        <v>20190619</v>
      </c>
      <c r="D240" t="str">
        <f>"21.640"</f>
        <v>21.640</v>
      </c>
      <c r="E240" t="str">
        <f>"200.00"</f>
        <v>200.00</v>
      </c>
      <c r="F240" t="str">
        <f>"-4333.09"</f>
        <v>-4333.09</v>
      </c>
      <c r="G240" t="str">
        <f>"27411.19"</f>
        <v>27411.19</v>
      </c>
      <c r="H240" t="str">
        <f>"2400.00"</f>
        <v>2400.00</v>
      </c>
      <c r="I240" t="str">
        <f>"20"</f>
        <v>20</v>
      </c>
      <c r="J240" t="str">
        <f>"证券买入(中通国脉)"</f>
        <v>证券买入(中通国脉)</v>
      </c>
      <c r="K240" t="str">
        <f>"5.00"</f>
        <v>5.00</v>
      </c>
      <c r="L240" t="str">
        <f>"0.00"</f>
        <v>0.00</v>
      </c>
      <c r="M240" t="str">
        <f>"0.09"</f>
        <v>0.09</v>
      </c>
      <c r="N240" t="str">
        <f t="shared" si="85"/>
        <v>0.00</v>
      </c>
      <c r="O240" t="str">
        <f>"603559"</f>
        <v>603559</v>
      </c>
      <c r="P240" t="str">
        <f>"A400948245"</f>
        <v>A400948245</v>
      </c>
    </row>
    <row r="241" spans="1:16" x14ac:dyDescent="0.25">
      <c r="A241" t="str">
        <f t="shared" si="74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>"0.00"</f>
        <v>0.00</v>
      </c>
      <c r="M241" t="str">
        <f>"0.00"</f>
        <v>0.00</v>
      </c>
      <c r="N241" t="str">
        <f t="shared" si="85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4"/>
        <v>人民币</v>
      </c>
      <c r="B242" t="str">
        <f>"凯龙股份"</f>
        <v>凯龙股份</v>
      </c>
      <c r="C242" t="str">
        <f>"20190619"</f>
        <v>20190619</v>
      </c>
      <c r="D242" t="str">
        <f>"13.230"</f>
        <v>13.230</v>
      </c>
      <c r="E242" t="str">
        <f>"500.00"</f>
        <v>500.00</v>
      </c>
      <c r="F242" t="str">
        <f>"-6621.62"</f>
        <v>-6621.62</v>
      </c>
      <c r="G242" t="str">
        <f>"14102.89"</f>
        <v>14102.89</v>
      </c>
      <c r="H242" t="str">
        <f>"4000.00"</f>
        <v>4000.00</v>
      </c>
      <c r="I242" t="str">
        <f>"23"</f>
        <v>23</v>
      </c>
      <c r="J242" t="str">
        <f>"证券买入(凯龙股份)"</f>
        <v>证券买入(凯龙股份)</v>
      </c>
      <c r="K242" t="str">
        <f>"6.62"</f>
        <v>6.62</v>
      </c>
      <c r="L242" t="str">
        <f>"0.00"</f>
        <v>0.00</v>
      </c>
      <c r="M242" t="str">
        <f>"0.00"</f>
        <v>0.00</v>
      </c>
      <c r="N242" t="str">
        <f t="shared" si="85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4"/>
        <v>人民币</v>
      </c>
      <c r="B243" t="str">
        <f>""</f>
        <v/>
      </c>
      <c r="C243" t="str">
        <f>"20190620"</f>
        <v>20190620</v>
      </c>
      <c r="D243" t="str">
        <f>"---"</f>
        <v>---</v>
      </c>
      <c r="E243" t="str">
        <f>"---"</f>
        <v>---</v>
      </c>
      <c r="F243" t="str">
        <f>"6.73"</f>
        <v>6.73</v>
      </c>
      <c r="G243" t="str">
        <f>"14109.62"</f>
        <v>14109.62</v>
      </c>
      <c r="H243" t="str">
        <f>"---"</f>
        <v>---</v>
      </c>
      <c r="I243" t="str">
        <f>"---"</f>
        <v>---</v>
      </c>
      <c r="J243" t="str">
        <f>"批量利息归本"</f>
        <v>批量利息归本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74"/>
        <v>人民币</v>
      </c>
      <c r="B244" t="str">
        <f>"凯龙股份"</f>
        <v>凯龙股份</v>
      </c>
      <c r="C244" t="str">
        <f>"20190620"</f>
        <v>20190620</v>
      </c>
      <c r="D244" t="str">
        <f>"12.840"</f>
        <v>12.840</v>
      </c>
      <c r="E244" t="str">
        <f>"1000.00"</f>
        <v>1000.00</v>
      </c>
      <c r="F244" t="str">
        <f>"-12852.84"</f>
        <v>-12852.84</v>
      </c>
      <c r="G244" t="str">
        <f>"1256.78"</f>
        <v>1256.78</v>
      </c>
      <c r="H244" t="str">
        <f>"5000.00"</f>
        <v>5000.00</v>
      </c>
      <c r="I244" t="str">
        <f>"29"</f>
        <v>29</v>
      </c>
      <c r="J244" t="str">
        <f>254:254</f>
        <v>证券买入(宏和科技)</v>
      </c>
      <c r="K244" t="str">
        <f>"12.84"</f>
        <v>12.84</v>
      </c>
      <c r="L244" t="str">
        <f>"0.00"</f>
        <v>0.00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4"/>
        <v>人民币</v>
      </c>
      <c r="B245" t="str">
        <f>"凯龙股份"</f>
        <v>凯龙股份</v>
      </c>
      <c r="C245" t="str">
        <f>"20190620"</f>
        <v>20190620</v>
      </c>
      <c r="D245" t="str">
        <f>"13.260"</f>
        <v>13.260</v>
      </c>
      <c r="E245" t="str">
        <f>"-1000.00"</f>
        <v>-1000.00</v>
      </c>
      <c r="F245" t="str">
        <f>"13233.48"</f>
        <v>13233.48</v>
      </c>
      <c r="G245" t="str">
        <f>"14490.26"</f>
        <v>14490.26</v>
      </c>
      <c r="H245" t="str">
        <f>"4000.00"</f>
        <v>4000.00</v>
      </c>
      <c r="I245" t="str">
        <f>"33"</f>
        <v>33</v>
      </c>
      <c r="J245" t="str">
        <f>"证券卖出(凯龙股份)"</f>
        <v>证券卖出(凯龙股份)</v>
      </c>
      <c r="K245" t="str">
        <f>"13.26"</f>
        <v>13.26</v>
      </c>
      <c r="L245" t="str">
        <f>"13.26"</f>
        <v>13.26</v>
      </c>
      <c r="M245" t="str">
        <f t="shared" ref="M245:N250" si="87">"0.00"</f>
        <v>0.00</v>
      </c>
      <c r="N245" t="str">
        <f t="shared" si="87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4"/>
        <v>人民币</v>
      </c>
      <c r="B246" t="str">
        <f>"凯龙股份"</f>
        <v>凯龙股份</v>
      </c>
      <c r="C246" t="str">
        <f>"20190620"</f>
        <v>20190620</v>
      </c>
      <c r="D246" t="str">
        <f>"13.130"</f>
        <v>13.130</v>
      </c>
      <c r="E246" t="str">
        <f>"1000.00"</f>
        <v>1000.00</v>
      </c>
      <c r="F246" t="str">
        <f>"-13143.13"</f>
        <v>-13143.13</v>
      </c>
      <c r="G246" t="str">
        <f>"1347.13"</f>
        <v>1347.13</v>
      </c>
      <c r="H246" t="str">
        <f>"5000.00"</f>
        <v>5000.00</v>
      </c>
      <c r="I246" t="str">
        <f>"36"</f>
        <v>36</v>
      </c>
      <c r="J246" t="str">
        <f>"证券买入(凯龙股份)"</f>
        <v>证券买入(凯龙股份)</v>
      </c>
      <c r="K246" t="str">
        <f>"13.13"</f>
        <v>13.13</v>
      </c>
      <c r="L246" t="str">
        <f>"0.00"</f>
        <v>0.00</v>
      </c>
      <c r="M246" t="str">
        <f t="shared" si="87"/>
        <v>0.00</v>
      </c>
      <c r="N246" t="str">
        <f t="shared" si="87"/>
        <v>0.00</v>
      </c>
      <c r="O246" t="str">
        <f>"002783"</f>
        <v>002783</v>
      </c>
      <c r="P246" t="str">
        <f>"0153613480"</f>
        <v>0153613480</v>
      </c>
    </row>
    <row r="247" spans="1:16" x14ac:dyDescent="0.25">
      <c r="A247" t="str">
        <f t="shared" si="74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>"0.00"</f>
        <v>0.00</v>
      </c>
      <c r="L247" t="str">
        <f>"0.00"</f>
        <v>0.00</v>
      </c>
      <c r="M247" t="str">
        <f t="shared" si="87"/>
        <v>0.00</v>
      </c>
      <c r="N247" t="str">
        <f t="shared" si="87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4"/>
        <v>人民币</v>
      </c>
      <c r="B248" t="str">
        <f>"值得买"</f>
        <v>值得买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"55"</f>
        <v>55</v>
      </c>
      <c r="J248" t="str">
        <f>"申购配号(值得买)"</f>
        <v>申购配号(值得买)</v>
      </c>
      <c r="K248" t="str">
        <f>"0.00"</f>
        <v>0.00</v>
      </c>
      <c r="L248" t="str">
        <f>"0.00"</f>
        <v>0.00</v>
      </c>
      <c r="M248" t="str">
        <f t="shared" si="87"/>
        <v>0.00</v>
      </c>
      <c r="N248" t="str">
        <f t="shared" si="87"/>
        <v>0.00</v>
      </c>
      <c r="O248" t="str">
        <f>"300785"</f>
        <v>300785</v>
      </c>
      <c r="P248" t="str">
        <f>"0153613480"</f>
        <v>0153613480</v>
      </c>
    </row>
    <row r="249" spans="1:16" x14ac:dyDescent="0.25">
      <c r="A249" t="str">
        <f t="shared" si="74"/>
        <v>人民币</v>
      </c>
      <c r="B249" t="str">
        <f>"三只松鼠"</f>
        <v>三只松鼠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"57"</f>
        <v>57</v>
      </c>
      <c r="J249" t="str">
        <f>"申购配号(三只松鼠)"</f>
        <v>申购配号(三只松鼠)</v>
      </c>
      <c r="K249" t="str">
        <f>"0.00"</f>
        <v>0.00</v>
      </c>
      <c r="L249" t="str">
        <f>"0.00"</f>
        <v>0.00</v>
      </c>
      <c r="M249" t="str">
        <f t="shared" si="87"/>
        <v>0.00</v>
      </c>
      <c r="N249" t="str">
        <f t="shared" si="87"/>
        <v>0.00</v>
      </c>
      <c r="O249" t="str">
        <f>"300783"</f>
        <v>300783</v>
      </c>
      <c r="P249" t="str">
        <f>"0153613480"</f>
        <v>0153613480</v>
      </c>
    </row>
    <row r="250" spans="1:16" x14ac:dyDescent="0.25">
      <c r="A250" t="str">
        <f t="shared" si="74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>"0.00"</f>
        <v>0.00</v>
      </c>
      <c r="L250" t="str">
        <f>"0.00"</f>
        <v>0.00</v>
      </c>
      <c r="M250" t="str">
        <f t="shared" si="87"/>
        <v>0.00</v>
      </c>
      <c r="N250" t="str">
        <f t="shared" si="87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4"/>
        <v>人民币</v>
      </c>
      <c r="B251" t="str">
        <f>""</f>
        <v/>
      </c>
      <c r="C251" t="str">
        <f>"20190705"</f>
        <v>20190705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"11347.13"</f>
        <v>11347.13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8">"---"</f>
        <v>---</v>
      </c>
      <c r="L251" t="str">
        <f t="shared" si="88"/>
        <v>---</v>
      </c>
      <c r="M251" t="str">
        <f t="shared" si="88"/>
        <v>---</v>
      </c>
      <c r="N251" t="str">
        <f t="shared" si="88"/>
        <v>---</v>
      </c>
      <c r="O251" t="str">
        <f t="shared" si="88"/>
        <v>---</v>
      </c>
      <c r="P251" t="str">
        <f t="shared" si="88"/>
        <v>---</v>
      </c>
    </row>
    <row r="252" spans="1:16" x14ac:dyDescent="0.25">
      <c r="A252" t="str">
        <f t="shared" si="74"/>
        <v>人民币</v>
      </c>
      <c r="B252" t="str">
        <f>"凯龙股份"</f>
        <v>凯龙股份</v>
      </c>
      <c r="C252" t="str">
        <f>"20190705"</f>
        <v>20190705</v>
      </c>
      <c r="D252" t="str">
        <f>"12.820"</f>
        <v>12.820</v>
      </c>
      <c r="E252" t="str">
        <f>"800.00"</f>
        <v>800.00</v>
      </c>
      <c r="F252" t="str">
        <f>"-10266.26"</f>
        <v>-10266.26</v>
      </c>
      <c r="G252" t="str">
        <f>"1080.87"</f>
        <v>1080.87</v>
      </c>
      <c r="H252" t="str">
        <f>"5800.00"</f>
        <v>5800.00</v>
      </c>
      <c r="I252" t="str">
        <f>"65"</f>
        <v>65</v>
      </c>
      <c r="J252" t="str">
        <f>"证券买入(凯龙股份)"</f>
        <v>证券买入(凯龙股份)</v>
      </c>
      <c r="K252" t="str">
        <f>"10.26"</f>
        <v>10.26</v>
      </c>
      <c r="L252" t="str">
        <f t="shared" ref="L252:N252" si="89">"0.00"</f>
        <v>0.00</v>
      </c>
      <c r="M252" t="str">
        <f t="shared" si="89"/>
        <v>0.00</v>
      </c>
      <c r="N252" t="str">
        <f t="shared" si="89"/>
        <v>0.00</v>
      </c>
      <c r="O252" t="str">
        <f>"002783"</f>
        <v>002783</v>
      </c>
      <c r="P252" t="str">
        <f>"0153613480"</f>
        <v>0153613480</v>
      </c>
    </row>
    <row r="253" spans="1:16" x14ac:dyDescent="0.25">
      <c r="A253" t="str">
        <f t="shared" si="74"/>
        <v>人民币</v>
      </c>
      <c r="B253" t="str">
        <f>""</f>
        <v/>
      </c>
      <c r="C253" t="str">
        <f>"20190711"</f>
        <v>20190711</v>
      </c>
      <c r="D253" t="str">
        <f>"---"</f>
        <v>---</v>
      </c>
      <c r="E253" t="str">
        <f>"---"</f>
        <v>---</v>
      </c>
      <c r="F253" t="str">
        <f>"4000.00"</f>
        <v>4000.00</v>
      </c>
      <c r="G253" t="str">
        <f>"5080.87"</f>
        <v>5080.87</v>
      </c>
      <c r="H253" t="str">
        <f>"---"</f>
        <v>---</v>
      </c>
      <c r="I253" t="str">
        <f>"---"</f>
        <v>---</v>
      </c>
      <c r="J253" t="str">
        <f>"银行转存"</f>
        <v>银行转存</v>
      </c>
      <c r="K253" t="str">
        <f t="shared" ref="K253:P253" si="90">"---"</f>
        <v>---</v>
      </c>
      <c r="L253" t="str">
        <f t="shared" si="90"/>
        <v>---</v>
      </c>
      <c r="M253" t="str">
        <f t="shared" si="90"/>
        <v>---</v>
      </c>
      <c r="N253" t="str">
        <f t="shared" si="90"/>
        <v>---</v>
      </c>
      <c r="O253" t="str">
        <f t="shared" si="90"/>
        <v>---</v>
      </c>
      <c r="P253" t="str">
        <f t="shared" si="90"/>
        <v>---</v>
      </c>
    </row>
    <row r="254" spans="1:16" x14ac:dyDescent="0.25">
      <c r="A254" t="str">
        <f t="shared" si="74"/>
        <v>人民币</v>
      </c>
      <c r="B254" t="str">
        <f>"宏和科技"</f>
        <v>宏和科技</v>
      </c>
      <c r="C254" t="str">
        <f>"20190711"</f>
        <v>20190711</v>
      </c>
      <c r="D254" t="str">
        <f>"0.000"</f>
        <v>0.000</v>
      </c>
      <c r="E254" t="str">
        <f>"0.00"</f>
        <v>0.00</v>
      </c>
      <c r="F254" t="str">
        <f>"-4430.00"</f>
        <v>-4430.00</v>
      </c>
      <c r="G254" t="str">
        <f t="shared" ref="G254:G266" si="91"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>"---"</f>
        <v>---</v>
      </c>
      <c r="L254" t="str">
        <f>"---"</f>
        <v>---</v>
      </c>
      <c r="M254" t="str">
        <f>"---"</f>
        <v>---</v>
      </c>
      <c r="N254" t="str">
        <f>"---"</f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74"/>
        <v>人民币</v>
      </c>
      <c r="B255" t="str">
        <f>"国林环保"</f>
        <v>国林环保</v>
      </c>
      <c r="C255" t="str">
        <f>"20190711"</f>
        <v>20190711</v>
      </c>
      <c r="D255" t="str">
        <f>"0.000"</f>
        <v>0.000</v>
      </c>
      <c r="E255" t="str">
        <f>"11.00"</f>
        <v>11.00</v>
      </c>
      <c r="F255" t="str">
        <f t="shared" ref="F255:F266" si="92">"0.00"</f>
        <v>0.00</v>
      </c>
      <c r="G255" t="str">
        <f t="shared" si="91"/>
        <v>650.87</v>
      </c>
      <c r="H255" t="str">
        <f t="shared" ref="H255:H260" si="93">"0.00"</f>
        <v>0.00</v>
      </c>
      <c r="I255" t="str">
        <f>"75"</f>
        <v>75</v>
      </c>
      <c r="J255" t="str">
        <f>"申购配号(国林环保)"</f>
        <v>申购配号(国林环保)</v>
      </c>
      <c r="K255" t="str">
        <f t="shared" ref="K255:N266" si="94">"0.00"</f>
        <v>0.00</v>
      </c>
      <c r="L255" t="str">
        <f t="shared" si="94"/>
        <v>0.00</v>
      </c>
      <c r="M255" t="str">
        <f t="shared" si="94"/>
        <v>0.00</v>
      </c>
      <c r="N255" t="str">
        <f t="shared" si="94"/>
        <v>0.00</v>
      </c>
      <c r="O255" t="str">
        <f>"300786"</f>
        <v>300786</v>
      </c>
      <c r="P255" t="str">
        <f>"0153613480"</f>
        <v>0153613480</v>
      </c>
    </row>
    <row r="256" spans="1:16" x14ac:dyDescent="0.25">
      <c r="A256" t="str">
        <f t="shared" ref="A256:A319" si="95">"人民币"</f>
        <v>人民币</v>
      </c>
      <c r="B256" t="str">
        <f>"丸美配号"</f>
        <v>丸美配号</v>
      </c>
      <c r="C256" t="str">
        <f>"20190716"</f>
        <v>20190716</v>
      </c>
      <c r="D256" t="str">
        <f t="shared" ref="D256:D266" si="96">"0.000"</f>
        <v>0.000</v>
      </c>
      <c r="E256" t="str">
        <f>"8.00"</f>
        <v>8.00</v>
      </c>
      <c r="F256" t="str">
        <f t="shared" si="92"/>
        <v>0.00</v>
      </c>
      <c r="G256" t="str">
        <f t="shared" si="91"/>
        <v>650.87</v>
      </c>
      <c r="H256" t="str">
        <f t="shared" si="93"/>
        <v>0.00</v>
      </c>
      <c r="I256" t="str">
        <f>"81"</f>
        <v>81</v>
      </c>
      <c r="J256" t="str">
        <f>"申购配号(丸美配号)"</f>
        <v>申购配号(丸美配号)</v>
      </c>
      <c r="K256" t="str">
        <f t="shared" si="94"/>
        <v>0.00</v>
      </c>
      <c r="L256" t="str">
        <f t="shared" si="94"/>
        <v>0.00</v>
      </c>
      <c r="M256" t="str">
        <f t="shared" si="94"/>
        <v>0.00</v>
      </c>
      <c r="N256" t="str">
        <f t="shared" si="94"/>
        <v>0.00</v>
      </c>
      <c r="O256" t="str">
        <f>"736983"</f>
        <v>736983</v>
      </c>
      <c r="P256" t="str">
        <f>"A400948245"</f>
        <v>A400948245</v>
      </c>
    </row>
    <row r="257" spans="1:16" x14ac:dyDescent="0.25">
      <c r="A257" t="str">
        <f t="shared" si="95"/>
        <v>人民币</v>
      </c>
      <c r="B257" t="str">
        <f>"胜达配号"</f>
        <v>胜达配号</v>
      </c>
      <c r="C257" t="str">
        <f>"20190716"</f>
        <v>20190716</v>
      </c>
      <c r="D257" t="str">
        <f t="shared" si="96"/>
        <v>0.000</v>
      </c>
      <c r="E257" t="str">
        <f>"8.00"</f>
        <v>8.00</v>
      </c>
      <c r="F257" t="str">
        <f t="shared" si="92"/>
        <v>0.00</v>
      </c>
      <c r="G257" t="str">
        <f t="shared" si="91"/>
        <v>650.87</v>
      </c>
      <c r="H257" t="str">
        <f t="shared" si="93"/>
        <v>0.00</v>
      </c>
      <c r="I257" t="str">
        <f>"83"</f>
        <v>83</v>
      </c>
      <c r="J257" t="str">
        <f>"申购配号(胜达配号)"</f>
        <v>申购配号(胜达配号)</v>
      </c>
      <c r="K257" t="str">
        <f t="shared" si="94"/>
        <v>0.00</v>
      </c>
      <c r="L257" t="str">
        <f t="shared" si="94"/>
        <v>0.00</v>
      </c>
      <c r="M257" t="str">
        <f t="shared" si="94"/>
        <v>0.00</v>
      </c>
      <c r="N257" t="str">
        <f t="shared" si="94"/>
        <v>0.00</v>
      </c>
      <c r="O257" t="str">
        <f>"736687"</f>
        <v>736687</v>
      </c>
      <c r="P257" t="str">
        <f>"A400948245"</f>
        <v>A400948245</v>
      </c>
    </row>
    <row r="258" spans="1:16" x14ac:dyDescent="0.25">
      <c r="A258" t="str">
        <f t="shared" si="95"/>
        <v>人民币</v>
      </c>
      <c r="B258" t="str">
        <f>"景津配号"</f>
        <v>景津配号</v>
      </c>
      <c r="C258" t="str">
        <f>"20190717"</f>
        <v>20190717</v>
      </c>
      <c r="D258" t="str">
        <f t="shared" si="96"/>
        <v>0.000</v>
      </c>
      <c r="E258" t="str">
        <f>"8.00"</f>
        <v>8.00</v>
      </c>
      <c r="F258" t="str">
        <f t="shared" si="92"/>
        <v>0.00</v>
      </c>
      <c r="G258" t="str">
        <f t="shared" si="91"/>
        <v>650.87</v>
      </c>
      <c r="H258" t="str">
        <f t="shared" si="93"/>
        <v>0.00</v>
      </c>
      <c r="I258" t="str">
        <f>"89"</f>
        <v>89</v>
      </c>
      <c r="J258" t="str">
        <f>"申购配号(景津配号)"</f>
        <v>申购配号(景津配号)</v>
      </c>
      <c r="K258" t="str">
        <f t="shared" si="94"/>
        <v>0.00</v>
      </c>
      <c r="L258" t="str">
        <f t="shared" si="94"/>
        <v>0.00</v>
      </c>
      <c r="M258" t="str">
        <f t="shared" si="94"/>
        <v>0.00</v>
      </c>
      <c r="N258" t="str">
        <f t="shared" si="94"/>
        <v>0.00</v>
      </c>
      <c r="O258" t="str">
        <f>"736279"</f>
        <v>736279</v>
      </c>
      <c r="P258" t="str">
        <f>"A400948245"</f>
        <v>A400948245</v>
      </c>
    </row>
    <row r="259" spans="1:16" x14ac:dyDescent="0.25">
      <c r="A259" t="str">
        <f t="shared" si="95"/>
        <v>人民币</v>
      </c>
      <c r="B259" t="str">
        <f>"科瑞技术"</f>
        <v>科瑞技术</v>
      </c>
      <c r="C259" t="str">
        <f>"20190717"</f>
        <v>20190717</v>
      </c>
      <c r="D259" t="str">
        <f t="shared" si="96"/>
        <v>0.000</v>
      </c>
      <c r="E259" t="str">
        <f>"13.00"</f>
        <v>13.00</v>
      </c>
      <c r="F259" t="str">
        <f t="shared" si="92"/>
        <v>0.00</v>
      </c>
      <c r="G259" t="str">
        <f t="shared" si="91"/>
        <v>650.87</v>
      </c>
      <c r="H259" t="str">
        <f t="shared" si="93"/>
        <v>0.00</v>
      </c>
      <c r="I259" t="str">
        <f>"87"</f>
        <v>87</v>
      </c>
      <c r="J259" t="str">
        <f>"申购配号(科瑞技术)"</f>
        <v>申购配号(科瑞技术)</v>
      </c>
      <c r="K259" t="str">
        <f t="shared" si="94"/>
        <v>0.00</v>
      </c>
      <c r="L259" t="str">
        <f t="shared" si="94"/>
        <v>0.00</v>
      </c>
      <c r="M259" t="str">
        <f t="shared" si="94"/>
        <v>0.00</v>
      </c>
      <c r="N259" t="str">
        <f t="shared" si="94"/>
        <v>0.00</v>
      </c>
      <c r="O259" t="str">
        <f>"002957"</f>
        <v>002957</v>
      </c>
      <c r="P259" t="str">
        <f>"0153613480"</f>
        <v>0153613480</v>
      </c>
    </row>
    <row r="260" spans="1:16" x14ac:dyDescent="0.25">
      <c r="A260" t="str">
        <f t="shared" si="95"/>
        <v>人民币</v>
      </c>
      <c r="B260" t="str">
        <f>"国联配号"</f>
        <v>国联配号</v>
      </c>
      <c r="C260" t="str">
        <f>"20190718"</f>
        <v>20190718</v>
      </c>
      <c r="D260" t="str">
        <f t="shared" si="96"/>
        <v>0.000</v>
      </c>
      <c r="E260" t="str">
        <f>"8.00"</f>
        <v>8.00</v>
      </c>
      <c r="F260" t="str">
        <f t="shared" si="92"/>
        <v>0.00</v>
      </c>
      <c r="G260" t="str">
        <f t="shared" si="91"/>
        <v>650.87</v>
      </c>
      <c r="H260" t="str">
        <f t="shared" si="93"/>
        <v>0.00</v>
      </c>
      <c r="I260" t="str">
        <f>"95"</f>
        <v>95</v>
      </c>
      <c r="J260" t="str">
        <f>"申购配号(国联配号)"</f>
        <v>申购配号(国联配号)</v>
      </c>
      <c r="K260" t="str">
        <f t="shared" si="94"/>
        <v>0.00</v>
      </c>
      <c r="L260" t="str">
        <f t="shared" si="94"/>
        <v>0.00</v>
      </c>
      <c r="M260" t="str">
        <f t="shared" si="94"/>
        <v>0.00</v>
      </c>
      <c r="N260" t="str">
        <f t="shared" si="94"/>
        <v>0.00</v>
      </c>
      <c r="O260" t="str">
        <f>"736613"</f>
        <v>736613</v>
      </c>
      <c r="P260" t="str">
        <f>"A400948245"</f>
        <v>A400948245</v>
      </c>
    </row>
    <row r="261" spans="1:16" x14ac:dyDescent="0.25">
      <c r="A261" t="str">
        <f t="shared" si="95"/>
        <v>人民币</v>
      </c>
      <c r="B261" t="str">
        <f>"苏州银行"</f>
        <v>苏州银行</v>
      </c>
      <c r="C261" t="str">
        <f>"20190718"</f>
        <v>20190718</v>
      </c>
      <c r="D261" t="str">
        <f t="shared" si="96"/>
        <v>0.000</v>
      </c>
      <c r="E261" t="str">
        <f>"13.00"</f>
        <v>13.00</v>
      </c>
      <c r="F261" t="str">
        <f t="shared" si="92"/>
        <v>0.00</v>
      </c>
      <c r="G261" t="str">
        <f t="shared" si="91"/>
        <v>650.87</v>
      </c>
      <c r="H261" t="str">
        <f t="shared" ref="H261:H266" si="97">"0.00"</f>
        <v>0.00</v>
      </c>
      <c r="I261" t="str">
        <f>"93"</f>
        <v>93</v>
      </c>
      <c r="J261" t="str">
        <f>"申购配号(苏州银行)"</f>
        <v>申购配号(苏州银行)</v>
      </c>
      <c r="K261" t="str">
        <f t="shared" si="94"/>
        <v>0.00</v>
      </c>
      <c r="L261" t="str">
        <f t="shared" si="94"/>
        <v>0.00</v>
      </c>
      <c r="M261" t="str">
        <f t="shared" si="94"/>
        <v>0.00</v>
      </c>
      <c r="N261" t="str">
        <f t="shared" si="94"/>
        <v>0.00</v>
      </c>
      <c r="O261" t="str">
        <f>"002966"</f>
        <v>002966</v>
      </c>
      <c r="P261" t="str">
        <f>"0153613480"</f>
        <v>0153613480</v>
      </c>
    </row>
    <row r="262" spans="1:16" x14ac:dyDescent="0.25">
      <c r="A262" t="str">
        <f t="shared" si="95"/>
        <v>人民币</v>
      </c>
      <c r="B262" t="str">
        <f>"神马配号"</f>
        <v>神马配号</v>
      </c>
      <c r="C262" t="str">
        <f>"20190724"</f>
        <v>20190724</v>
      </c>
      <c r="D262" t="str">
        <f t="shared" si="96"/>
        <v>0.000</v>
      </c>
      <c r="E262" t="str">
        <f>"8.00"</f>
        <v>8.00</v>
      </c>
      <c r="F262" t="str">
        <f t="shared" si="92"/>
        <v>0.00</v>
      </c>
      <c r="G262" t="str">
        <f t="shared" si="91"/>
        <v>650.87</v>
      </c>
      <c r="H262" t="str">
        <f t="shared" si="97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4"/>
        <v>0.00</v>
      </c>
      <c r="L262" t="str">
        <f t="shared" si="94"/>
        <v>0.00</v>
      </c>
      <c r="M262" t="str">
        <f t="shared" si="94"/>
        <v>0.00</v>
      </c>
      <c r="N262" t="str">
        <f t="shared" si="94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5"/>
        <v>人民币</v>
      </c>
      <c r="B263" t="str">
        <f>"柯力配号"</f>
        <v>柯力配号</v>
      </c>
      <c r="C263" t="str">
        <f>"20190725"</f>
        <v>20190725</v>
      </c>
      <c r="D263" t="str">
        <f t="shared" si="96"/>
        <v>0.000</v>
      </c>
      <c r="E263" t="str">
        <f>"8.00"</f>
        <v>8.00</v>
      </c>
      <c r="F263" t="str">
        <f t="shared" si="92"/>
        <v>0.00</v>
      </c>
      <c r="G263" t="str">
        <f t="shared" si="91"/>
        <v>650.87</v>
      </c>
      <c r="H263" t="str">
        <f t="shared" si="97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4"/>
        <v>0.00</v>
      </c>
      <c r="L263" t="str">
        <f t="shared" si="94"/>
        <v>0.00</v>
      </c>
      <c r="M263" t="str">
        <f t="shared" si="94"/>
        <v>0.00</v>
      </c>
      <c r="N263" t="str">
        <f t="shared" si="94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5"/>
        <v>人民币</v>
      </c>
      <c r="B264" t="str">
        <f>"青鸟消防"</f>
        <v>青鸟消防</v>
      </c>
      <c r="C264" t="str">
        <f>"20190730"</f>
        <v>20190730</v>
      </c>
      <c r="D264" t="str">
        <f t="shared" si="96"/>
        <v>0.000</v>
      </c>
      <c r="E264" t="str">
        <f>"13.00"</f>
        <v>13.00</v>
      </c>
      <c r="F264" t="str">
        <f t="shared" si="92"/>
        <v>0.00</v>
      </c>
      <c r="G264" t="str">
        <f t="shared" si="91"/>
        <v>650.87</v>
      </c>
      <c r="H264" t="str">
        <f t="shared" si="97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4"/>
        <v>0.00</v>
      </c>
      <c r="L264" t="str">
        <f t="shared" si="94"/>
        <v>0.00</v>
      </c>
      <c r="M264" t="str">
        <f t="shared" si="94"/>
        <v>0.00</v>
      </c>
      <c r="N264" t="str">
        <f t="shared" si="94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5"/>
        <v>人民币</v>
      </c>
      <c r="B265" t="str">
        <f>"海星配号"</f>
        <v>海星配号</v>
      </c>
      <c r="C265" t="str">
        <f>"20190731"</f>
        <v>20190731</v>
      </c>
      <c r="D265" t="str">
        <f t="shared" si="96"/>
        <v>0.000</v>
      </c>
      <c r="E265" t="str">
        <f>"8.00"</f>
        <v>8.00</v>
      </c>
      <c r="F265" t="str">
        <f t="shared" si="92"/>
        <v>0.00</v>
      </c>
      <c r="G265" t="str">
        <f t="shared" si="91"/>
        <v>650.87</v>
      </c>
      <c r="H265" t="str">
        <f t="shared" si="97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4"/>
        <v>0.00</v>
      </c>
      <c r="L265" t="str">
        <f t="shared" si="94"/>
        <v>0.00</v>
      </c>
      <c r="M265" t="str">
        <f t="shared" si="94"/>
        <v>0.00</v>
      </c>
      <c r="N265" t="str">
        <f t="shared" si="94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5"/>
        <v>人民币</v>
      </c>
      <c r="B266" t="str">
        <f>"海能实业"</f>
        <v>海能实业</v>
      </c>
      <c r="C266" t="str">
        <f>"20190806"</f>
        <v>20190806</v>
      </c>
      <c r="D266" t="str">
        <f t="shared" si="96"/>
        <v>0.000</v>
      </c>
      <c r="E266" t="str">
        <f>"13.00"</f>
        <v>13.00</v>
      </c>
      <c r="F266" t="str">
        <f t="shared" si="92"/>
        <v>0.00</v>
      </c>
      <c r="G266" t="str">
        <f t="shared" si="91"/>
        <v>650.87</v>
      </c>
      <c r="H266" t="str">
        <f t="shared" si="97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4"/>
        <v>0.00</v>
      </c>
      <c r="L266" t="str">
        <f t="shared" si="94"/>
        <v>0.00</v>
      </c>
      <c r="M266" t="str">
        <f t="shared" si="94"/>
        <v>0.00</v>
      </c>
      <c r="N266" t="str">
        <f t="shared" si="94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5"/>
        <v>人民币</v>
      </c>
      <c r="B267" t="str">
        <f>"宏和科技"</f>
        <v>宏和科技</v>
      </c>
      <c r="C267" t="str">
        <f>"20190807"</f>
        <v>20190807</v>
      </c>
      <c r="D267" t="str">
        <f>"20.490"</f>
        <v>20.490</v>
      </c>
      <c r="E267" t="str">
        <f>"-500.00"</f>
        <v>-500.00</v>
      </c>
      <c r="F267" t="str">
        <f>"10224.30"</f>
        <v>10224.30</v>
      </c>
      <c r="G267" t="str">
        <f>"10875.17"</f>
        <v>10875.17</v>
      </c>
      <c r="H267" t="str">
        <f>"500.00"</f>
        <v>500.00</v>
      </c>
      <c r="I267" t="str">
        <f>"7"</f>
        <v>7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"0.20"</f>
        <v>0.20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5"/>
        <v>人民币</v>
      </c>
      <c r="B268" t="str">
        <f>"宏和科技"</f>
        <v>宏和科技</v>
      </c>
      <c r="C268" t="str">
        <f>"20190807"</f>
        <v>20190807</v>
      </c>
      <c r="D268" t="str">
        <f>"20.500"</f>
        <v>20.500</v>
      </c>
      <c r="E268" t="str">
        <f>"-500.00"</f>
        <v>-500.00</v>
      </c>
      <c r="F268" t="str">
        <f>"10229.29"</f>
        <v>10229.29</v>
      </c>
      <c r="G268" t="str">
        <f>"21104.46"</f>
        <v>21104.46</v>
      </c>
      <c r="H268" t="str">
        <f>"0.00"</f>
        <v>0.00</v>
      </c>
      <c r="I268" t="str">
        <f>"10"</f>
        <v>10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"0.21"</f>
        <v>0.21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5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8">"---"</f>
        <v>---</v>
      </c>
      <c r="L269" t="str">
        <f t="shared" si="98"/>
        <v>---</v>
      </c>
      <c r="M269" t="str">
        <f t="shared" si="98"/>
        <v>---</v>
      </c>
      <c r="N269" t="str">
        <f t="shared" si="98"/>
        <v>---</v>
      </c>
      <c r="O269" t="str">
        <f t="shared" si="98"/>
        <v>---</v>
      </c>
      <c r="P269" t="str">
        <f t="shared" si="98"/>
        <v>---</v>
      </c>
    </row>
    <row r="270" spans="1:16" x14ac:dyDescent="0.25">
      <c r="A270" t="str">
        <f t="shared" si="95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5"/>
        <v>人民币</v>
      </c>
      <c r="B271" t="str">
        <f>""</f>
        <v/>
      </c>
      <c r="C271" t="str">
        <f>"20190813"</f>
        <v>20190813</v>
      </c>
      <c r="D271" t="str">
        <f>"---"</f>
        <v>---</v>
      </c>
      <c r="E271" t="str">
        <f>"---"</f>
        <v>---</v>
      </c>
      <c r="F271" t="str">
        <f>"30000.00"</f>
        <v>30000.00</v>
      </c>
      <c r="G271" t="str">
        <f>"31104.46"</f>
        <v>31104.46</v>
      </c>
      <c r="H271" t="str">
        <f>"---"</f>
        <v>---</v>
      </c>
      <c r="I271" t="str">
        <f>"---"</f>
        <v>---</v>
      </c>
      <c r="J271" t="str">
        <f>"银行转存"</f>
        <v>银行转存</v>
      </c>
      <c r="K271" t="str">
        <f t="shared" ref="K271:P271" si="99">"---"</f>
        <v>---</v>
      </c>
      <c r="L271" t="str">
        <f t="shared" si="99"/>
        <v>---</v>
      </c>
      <c r="M271" t="str">
        <f t="shared" si="99"/>
        <v>---</v>
      </c>
      <c r="N271" t="str">
        <f t="shared" si="99"/>
        <v>---</v>
      </c>
      <c r="O271" t="str">
        <f t="shared" si="99"/>
        <v>---</v>
      </c>
      <c r="P271" t="str">
        <f t="shared" si="99"/>
        <v>---</v>
      </c>
    </row>
    <row r="272" spans="1:16" x14ac:dyDescent="0.25">
      <c r="A272" t="str">
        <f t="shared" si="95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 t="shared" ref="N272:N289" si="100"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5"/>
        <v>人民币</v>
      </c>
      <c r="B273" t="str">
        <f>"凯龙股份"</f>
        <v>凯龙股份</v>
      </c>
      <c r="C273" t="str">
        <f>"20190813"</f>
        <v>20190813</v>
      </c>
      <c r="D273" t="str">
        <f>"9.910"</f>
        <v>9.910</v>
      </c>
      <c r="E273" t="str">
        <f>"800.00"</f>
        <v>800.00</v>
      </c>
      <c r="F273" t="str">
        <f>"-7935.93"</f>
        <v>-7935.93</v>
      </c>
      <c r="G273" t="str">
        <f>"7722.80"</f>
        <v>7722.80</v>
      </c>
      <c r="H273" t="str">
        <f>"6600.00"</f>
        <v>6600.00</v>
      </c>
      <c r="I273" t="str">
        <f>"28"</f>
        <v>28</v>
      </c>
      <c r="J273" t="str">
        <f>"证券买入(凯龙股份)"</f>
        <v>证券买入(凯龙股份)</v>
      </c>
      <c r="K273" t="str">
        <f>"7.93"</f>
        <v>7.93</v>
      </c>
      <c r="L273" t="str">
        <f>"0.00"</f>
        <v>0.00</v>
      </c>
      <c r="M273" t="str">
        <f>"0.00"</f>
        <v>0.00</v>
      </c>
      <c r="N273" t="str">
        <f t="shared" si="100"/>
        <v>0.00</v>
      </c>
      <c r="O273" t="str">
        <f>"002783"</f>
        <v>002783</v>
      </c>
      <c r="P273" t="str">
        <f>"0153613480"</f>
        <v>0153613480</v>
      </c>
    </row>
    <row r="274" spans="1:16" x14ac:dyDescent="0.25">
      <c r="A274" t="str">
        <f t="shared" si="95"/>
        <v>人民币</v>
      </c>
      <c r="B274" t="str">
        <f>"中通国脉"</f>
        <v>中通国脉</v>
      </c>
      <c r="C274" t="str">
        <f t="shared" ref="C274:C279" si="101">"20190814"</f>
        <v>20190814</v>
      </c>
      <c r="D274" t="str">
        <f>"19.310"</f>
        <v>19.310</v>
      </c>
      <c r="E274" t="str">
        <f>"800.00"</f>
        <v>800.00</v>
      </c>
      <c r="F274" t="str">
        <f>"-15463.76"</f>
        <v>-15463.76</v>
      </c>
      <c r="G274" t="str">
        <f>"-7740.96"</f>
        <v>-7740.96</v>
      </c>
      <c r="H274" t="str">
        <f>"3200.00"</f>
        <v>3200.00</v>
      </c>
      <c r="I274" t="str">
        <f>"37"</f>
        <v>37</v>
      </c>
      <c r="J274" t="str">
        <f>"证券买入(中通国脉)"</f>
        <v>证券买入(中通国脉)</v>
      </c>
      <c r="K274" t="str">
        <f>"15.45"</f>
        <v>15.45</v>
      </c>
      <c r="L274" t="str">
        <f>"0.00"</f>
        <v>0.00</v>
      </c>
      <c r="M274" t="str">
        <f>"0.31"</f>
        <v>0.31</v>
      </c>
      <c r="N274" t="str">
        <f t="shared" si="100"/>
        <v>0.00</v>
      </c>
      <c r="O274" t="str">
        <f>"603559"</f>
        <v>603559</v>
      </c>
      <c r="P274" t="str">
        <f>"A400948245"</f>
        <v>A400948245</v>
      </c>
    </row>
    <row r="275" spans="1:16" x14ac:dyDescent="0.25">
      <c r="A275" t="str">
        <f t="shared" si="95"/>
        <v>人民币</v>
      </c>
      <c r="B275" t="str">
        <f>"松霖配号"</f>
        <v>松霖配号</v>
      </c>
      <c r="C275" t="str">
        <f t="shared" si="101"/>
        <v>20190814</v>
      </c>
      <c r="D275" t="str">
        <f>"0.000"</f>
        <v>0.000</v>
      </c>
      <c r="E275" t="str">
        <f>"9.00"</f>
        <v>9.00</v>
      </c>
      <c r="F275" t="str">
        <f>"0.00"</f>
        <v>0.00</v>
      </c>
      <c r="G275" t="str">
        <f>"-7740.96"</f>
        <v>-7740.96</v>
      </c>
      <c r="H275" t="str">
        <f>"0.00"</f>
        <v>0.00</v>
      </c>
      <c r="I275" t="str">
        <f>"44"</f>
        <v>44</v>
      </c>
      <c r="J275" t="str">
        <f>"申购配号(松霖配号)"</f>
        <v>申购配号(松霖配号)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0"/>
        <v>0.00</v>
      </c>
      <c r="O275" t="str">
        <f>"736992"</f>
        <v>736992</v>
      </c>
      <c r="P275" t="str">
        <f>"A400948245"</f>
        <v>A400948245</v>
      </c>
    </row>
    <row r="276" spans="1:16" x14ac:dyDescent="0.25">
      <c r="A276" t="str">
        <f t="shared" si="95"/>
        <v>人民币</v>
      </c>
      <c r="B276" t="str">
        <f>"航发科技"</f>
        <v>航发科技</v>
      </c>
      <c r="C276" t="str">
        <f t="shared" si="101"/>
        <v>20190814</v>
      </c>
      <c r="D276" t="str">
        <f>"15.740"</f>
        <v>15.740</v>
      </c>
      <c r="E276" t="str">
        <f>"-1000.00"</f>
        <v>-1000.00</v>
      </c>
      <c r="F276" t="str">
        <f>"15708.21"</f>
        <v>15708.21</v>
      </c>
      <c r="G276" t="str">
        <f>"7967.25"</f>
        <v>7967.25</v>
      </c>
      <c r="H276" t="str">
        <f>"2400.00"</f>
        <v>2400.00</v>
      </c>
      <c r="I276" t="str">
        <f>"46"</f>
        <v>46</v>
      </c>
      <c r="J276" t="str">
        <f>"证券卖出(航发科技)"</f>
        <v>证券卖出(航发科技)</v>
      </c>
      <c r="K276" t="str">
        <f>"15.74"</f>
        <v>15.74</v>
      </c>
      <c r="L276" t="str">
        <f>"15.74"</f>
        <v>15.74</v>
      </c>
      <c r="M276" t="str">
        <f>"0.31"</f>
        <v>0.31</v>
      </c>
      <c r="N276" t="str">
        <f t="shared" si="100"/>
        <v>0.00</v>
      </c>
      <c r="O276" t="str">
        <f>"600391"</f>
        <v>600391</v>
      </c>
      <c r="P276" t="str">
        <f>"A400948245"</f>
        <v>A400948245</v>
      </c>
    </row>
    <row r="277" spans="1:16" x14ac:dyDescent="0.25">
      <c r="A277" t="str">
        <f t="shared" si="95"/>
        <v>人民币</v>
      </c>
      <c r="B277" t="str">
        <f>"凯龙股份"</f>
        <v>凯龙股份</v>
      </c>
      <c r="C277" t="str">
        <f t="shared" si="101"/>
        <v>20190814</v>
      </c>
      <c r="D277" t="str">
        <f>"10.046"</f>
        <v>10.046</v>
      </c>
      <c r="E277" t="str">
        <f>"-800.00"</f>
        <v>-800.00</v>
      </c>
      <c r="F277" t="str">
        <f>"8020.92"</f>
        <v>8020.92</v>
      </c>
      <c r="G277" t="str">
        <f>"15988.17"</f>
        <v>15988.17</v>
      </c>
      <c r="H277" t="str">
        <f>"5800.00"</f>
        <v>5800.00</v>
      </c>
      <c r="I277" t="str">
        <f>"33"</f>
        <v>33</v>
      </c>
      <c r="J277" t="str">
        <f>"证券卖出(凯龙股份)"</f>
        <v>证券卖出(凯龙股份)</v>
      </c>
      <c r="K277" t="str">
        <f>"8.04"</f>
        <v>8.04</v>
      </c>
      <c r="L277" t="str">
        <f>"8.04"</f>
        <v>8.04</v>
      </c>
      <c r="M277" t="str">
        <f>"0.00"</f>
        <v>0.00</v>
      </c>
      <c r="N277" t="str">
        <f t="shared" si="100"/>
        <v>0.00</v>
      </c>
      <c r="O277" t="str">
        <f>"002783"</f>
        <v>002783</v>
      </c>
      <c r="P277" t="str">
        <f>"0153613480"</f>
        <v>0153613480</v>
      </c>
    </row>
    <row r="278" spans="1:16" x14ac:dyDescent="0.25">
      <c r="A278" t="str">
        <f t="shared" si="95"/>
        <v>人民币</v>
      </c>
      <c r="B278" t="str">
        <f>"唐源电气"</f>
        <v>唐源电气</v>
      </c>
      <c r="C278" t="str">
        <f t="shared" si="101"/>
        <v>20190814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"15988.17"</f>
        <v>15988.17</v>
      </c>
      <c r="H278" t="str">
        <f>"0.00"</f>
        <v>0.00</v>
      </c>
      <c r="I278" t="str">
        <f>"40"</f>
        <v>40</v>
      </c>
      <c r="J278" t="str">
        <f>"申购配号(唐源电气)"</f>
        <v>申购配号(唐源电气)</v>
      </c>
      <c r="K278" t="str">
        <f t="shared" ref="K278:L280" si="102">"0.00"</f>
        <v>0.00</v>
      </c>
      <c r="L278" t="str">
        <f t="shared" si="102"/>
        <v>0.00</v>
      </c>
      <c r="M278" t="str">
        <f>"0.00"</f>
        <v>0.00</v>
      </c>
      <c r="N278" t="str">
        <f t="shared" si="100"/>
        <v>0.00</v>
      </c>
      <c r="O278" t="str">
        <f>"300789"</f>
        <v>300789</v>
      </c>
      <c r="P278" t="str">
        <f>"0153613480"</f>
        <v>0153613480</v>
      </c>
    </row>
    <row r="279" spans="1:16" x14ac:dyDescent="0.25">
      <c r="A279" t="str">
        <f t="shared" si="95"/>
        <v>人民币</v>
      </c>
      <c r="B279" t="str">
        <f>"小熊电器"</f>
        <v>小熊电器</v>
      </c>
      <c r="C279" t="str">
        <f t="shared" si="101"/>
        <v>20190814</v>
      </c>
      <c r="D279" t="str">
        <f>"0.000"</f>
        <v>0.000</v>
      </c>
      <c r="E279" t="str">
        <f>"12.00"</f>
        <v>12.00</v>
      </c>
      <c r="F279" t="str">
        <f>"0.00"</f>
        <v>0.00</v>
      </c>
      <c r="G279" t="str">
        <f>"15988.17"</f>
        <v>15988.17</v>
      </c>
      <c r="H279" t="str">
        <f>"0.00"</f>
        <v>0.00</v>
      </c>
      <c r="I279" t="str">
        <f>"42"</f>
        <v>42</v>
      </c>
      <c r="J279" t="str">
        <f>"申购配号(小熊电器)"</f>
        <v>申购配号(小熊电器)</v>
      </c>
      <c r="K279" t="str">
        <f t="shared" si="102"/>
        <v>0.00</v>
      </c>
      <c r="L279" t="str">
        <f t="shared" si="102"/>
        <v>0.00</v>
      </c>
      <c r="M279" t="str">
        <f>"0.00"</f>
        <v>0.00</v>
      </c>
      <c r="N279" t="str">
        <f t="shared" si="100"/>
        <v>0.00</v>
      </c>
      <c r="O279" t="str">
        <f>"002959"</f>
        <v>002959</v>
      </c>
      <c r="P279" t="str">
        <f>"0153613480"</f>
        <v>0153613480</v>
      </c>
    </row>
    <row r="280" spans="1:16" x14ac:dyDescent="0.25">
      <c r="A280" t="str">
        <f t="shared" si="95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 t="shared" si="102"/>
        <v>0.00</v>
      </c>
      <c r="L280" t="str">
        <f t="shared" si="102"/>
        <v>0.00</v>
      </c>
      <c r="M280" t="str">
        <f>"0.00"</f>
        <v>0.00</v>
      </c>
      <c r="N280" t="str">
        <f t="shared" si="100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5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0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5"/>
        <v>人民币</v>
      </c>
      <c r="B282" t="str">
        <f>"航发科技"</f>
        <v>航发科技</v>
      </c>
      <c r="C282" t="str">
        <f>"20190816"</f>
        <v>20190816</v>
      </c>
      <c r="D282" t="str">
        <f>"15.850"</f>
        <v>15.850</v>
      </c>
      <c r="E282" t="str">
        <f>"-1000.00"</f>
        <v>-1000.00</v>
      </c>
      <c r="F282" t="str">
        <f>"15817.98"</f>
        <v>15817.98</v>
      </c>
      <c r="G282" t="str">
        <f>"16410.46"</f>
        <v>16410.46</v>
      </c>
      <c r="H282" t="str">
        <f>"2400.00"</f>
        <v>2400.00</v>
      </c>
      <c r="I282" t="str">
        <f>"63"</f>
        <v>63</v>
      </c>
      <c r="J282" t="str">
        <f>"证券卖出(航发科技)"</f>
        <v>证券卖出(航发科技)</v>
      </c>
      <c r="K282" t="str">
        <f>"15.85"</f>
        <v>15.85</v>
      </c>
      <c r="L282" t="str">
        <f>"15.85"</f>
        <v>15.85</v>
      </c>
      <c r="M282" t="str">
        <f>"0.32"</f>
        <v>0.32</v>
      </c>
      <c r="N282" t="str">
        <f t="shared" si="100"/>
        <v>0.00</v>
      </c>
      <c r="O282" t="str">
        <f>"600391"</f>
        <v>600391</v>
      </c>
      <c r="P282" t="str">
        <f>"A400948245"</f>
        <v>A400948245</v>
      </c>
    </row>
    <row r="283" spans="1:16" x14ac:dyDescent="0.25">
      <c r="A283" t="str">
        <f t="shared" si="95"/>
        <v>人民币</v>
      </c>
      <c r="B283" t="str">
        <f>"凯龙股份"</f>
        <v>凯龙股份</v>
      </c>
      <c r="C283" t="str">
        <f>"20190816"</f>
        <v>20190816</v>
      </c>
      <c r="D283" t="str">
        <f>"9.900"</f>
        <v>9.900</v>
      </c>
      <c r="E283" t="str">
        <f>"600.00"</f>
        <v>600.00</v>
      </c>
      <c r="F283" t="str">
        <f>"-5945.94"</f>
        <v>-5945.94</v>
      </c>
      <c r="G283" t="str">
        <f>"10464.52"</f>
        <v>10464.52</v>
      </c>
      <c r="H283" t="str">
        <f>"6400.00"</f>
        <v>6400.00</v>
      </c>
      <c r="I283" t="str">
        <f>"66"</f>
        <v>66</v>
      </c>
      <c r="J283" t="str">
        <f>"证券买入(凯龙股份)"</f>
        <v>证券买入(凯龙股份)</v>
      </c>
      <c r="K283" t="str">
        <f>"5.94"</f>
        <v>5.94</v>
      </c>
      <c r="L283" t="str">
        <f>"0.00"</f>
        <v>0.00</v>
      </c>
      <c r="M283" t="str">
        <f>"0.00"</f>
        <v>0.00</v>
      </c>
      <c r="N283" t="str">
        <f t="shared" si="100"/>
        <v>0.00</v>
      </c>
      <c r="O283" t="str">
        <f>"002783"</f>
        <v>002783</v>
      </c>
      <c r="P283" t="str">
        <f>"0153613480"</f>
        <v>0153613480</v>
      </c>
    </row>
    <row r="284" spans="1:16" x14ac:dyDescent="0.25">
      <c r="A284" t="str">
        <f t="shared" si="95"/>
        <v>人民币</v>
      </c>
      <c r="B284" t="str">
        <f>"中通国脉"</f>
        <v>中通国脉</v>
      </c>
      <c r="C284" t="str">
        <f t="shared" ref="C284:C290" si="103">"20190819"</f>
        <v>20190819</v>
      </c>
      <c r="D284" t="str">
        <f>"19.820"</f>
        <v>19.820</v>
      </c>
      <c r="E284" t="str">
        <f>"500.00"</f>
        <v>500.00</v>
      </c>
      <c r="F284" t="str">
        <f>"-9920.11"</f>
        <v>-9920.11</v>
      </c>
      <c r="G284" t="str">
        <f>"544.41"</f>
        <v>544.41</v>
      </c>
      <c r="H284" t="str">
        <f>"3700.00"</f>
        <v>3700.00</v>
      </c>
      <c r="I284" t="str">
        <f>"80"</f>
        <v>80</v>
      </c>
      <c r="J284" t="str">
        <f>"证券买入(中通国脉)"</f>
        <v>证券买入(中通国脉)</v>
      </c>
      <c r="K284" t="str">
        <f>"9.91"</f>
        <v>9.91</v>
      </c>
      <c r="L284" t="str">
        <f>"0.00"</f>
        <v>0.00</v>
      </c>
      <c r="M284" t="str">
        <f>"0.20"</f>
        <v>0.20</v>
      </c>
      <c r="N284" t="str">
        <f t="shared" si="100"/>
        <v>0.00</v>
      </c>
      <c r="O284" t="str">
        <f>"603559"</f>
        <v>603559</v>
      </c>
      <c r="P284" t="str">
        <f>"A400948245"</f>
        <v>A400948245</v>
      </c>
    </row>
    <row r="285" spans="1:16" x14ac:dyDescent="0.25">
      <c r="A285" t="str">
        <f t="shared" si="95"/>
        <v>人民币</v>
      </c>
      <c r="B285" t="str">
        <f>"中通国脉"</f>
        <v>中通国脉</v>
      </c>
      <c r="C285" t="str">
        <f t="shared" si="103"/>
        <v>20190819</v>
      </c>
      <c r="D285" t="str">
        <f>"19.940"</f>
        <v>19.940</v>
      </c>
      <c r="E285" t="str">
        <f>"-800.00"</f>
        <v>-800.00</v>
      </c>
      <c r="F285" t="str">
        <f>"15919.78"</f>
        <v>15919.78</v>
      </c>
      <c r="G285" t="str">
        <f>"16464.19"</f>
        <v>16464.19</v>
      </c>
      <c r="H285" t="str">
        <f>"2900.00"</f>
        <v>2900.00</v>
      </c>
      <c r="I285" t="str">
        <f>"83"</f>
        <v>83</v>
      </c>
      <c r="J285" t="str">
        <f>"证券卖出(中通国脉)"</f>
        <v>证券卖出(中通国脉)</v>
      </c>
      <c r="K285" t="str">
        <f>"15.95"</f>
        <v>15.95</v>
      </c>
      <c r="L285" t="str">
        <f>"15.95"</f>
        <v>15.95</v>
      </c>
      <c r="M285" t="str">
        <f>"0.32"</f>
        <v>0.32</v>
      </c>
      <c r="N285" t="str">
        <f t="shared" si="100"/>
        <v>0.00</v>
      </c>
      <c r="O285" t="str">
        <f>"603559"</f>
        <v>603559</v>
      </c>
      <c r="P285" t="str">
        <f>"A400948245"</f>
        <v>A400948245</v>
      </c>
    </row>
    <row r="286" spans="1:16" x14ac:dyDescent="0.25">
      <c r="A286" t="str">
        <f t="shared" si="95"/>
        <v>人民币</v>
      </c>
      <c r="B286" t="str">
        <f>"中通国脉"</f>
        <v>中通国脉</v>
      </c>
      <c r="C286" t="str">
        <f t="shared" si="103"/>
        <v>20190819</v>
      </c>
      <c r="D286" t="str">
        <f>"20.140"</f>
        <v>20.140</v>
      </c>
      <c r="E286" t="str">
        <f>"-500.00"</f>
        <v>-500.00</v>
      </c>
      <c r="F286" t="str">
        <f>"10049.66"</f>
        <v>10049.66</v>
      </c>
      <c r="G286" t="str">
        <f>"26513.85"</f>
        <v>26513.85</v>
      </c>
      <c r="H286" t="str">
        <f>"2400.00"</f>
        <v>2400.00</v>
      </c>
      <c r="I286" t="str">
        <f>"89"</f>
        <v>89</v>
      </c>
      <c r="J286" t="str">
        <f>"证券卖出(中通国脉)"</f>
        <v>证券卖出(中通国脉)</v>
      </c>
      <c r="K286" t="str">
        <f>"10.07"</f>
        <v>10.07</v>
      </c>
      <c r="L286" t="str">
        <f>"10.07"</f>
        <v>10.07</v>
      </c>
      <c r="M286" t="str">
        <f>"0.20"</f>
        <v>0.20</v>
      </c>
      <c r="N286" t="str">
        <f t="shared" si="100"/>
        <v>0.00</v>
      </c>
      <c r="O286" t="str">
        <f>"603559"</f>
        <v>603559</v>
      </c>
      <c r="P286" t="str">
        <f>"A400948245"</f>
        <v>A400948245</v>
      </c>
    </row>
    <row r="287" spans="1:16" x14ac:dyDescent="0.25">
      <c r="A287" t="str">
        <f t="shared" si="95"/>
        <v>人民币</v>
      </c>
      <c r="B287" t="str">
        <f>"航发科技"</f>
        <v>航发科技</v>
      </c>
      <c r="C287" t="str">
        <f t="shared" si="103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0"/>
        <v>0.00</v>
      </c>
      <c r="O287" t="str">
        <f>"600391"</f>
        <v>600391</v>
      </c>
      <c r="P287" t="str">
        <f>"A400948245"</f>
        <v>A400948245</v>
      </c>
    </row>
    <row r="288" spans="1:16" x14ac:dyDescent="0.25">
      <c r="A288" t="str">
        <f t="shared" si="95"/>
        <v>人民币</v>
      </c>
      <c r="B288" t="str">
        <f>"华脉科技"</f>
        <v>华脉科技</v>
      </c>
      <c r="C288" t="str">
        <f t="shared" si="103"/>
        <v>20190819</v>
      </c>
      <c r="D288" t="str">
        <f>"16.200"</f>
        <v>16.200</v>
      </c>
      <c r="E288" t="str">
        <f>"800.00"</f>
        <v>800.00</v>
      </c>
      <c r="F288" t="str">
        <f>"-12973.22"</f>
        <v>-12973.22</v>
      </c>
      <c r="G288" t="str">
        <f>"3762.66"</f>
        <v>3762.66</v>
      </c>
      <c r="H288" t="str">
        <f>"800.00"</f>
        <v>800.00</v>
      </c>
      <c r="I288" t="str">
        <f>"100"</f>
        <v>100</v>
      </c>
      <c r="J288" t="str">
        <f>"证券买入(华脉科技)"</f>
        <v>证券买入(华脉科技)</v>
      </c>
      <c r="K288" t="str">
        <f>"12.96"</f>
        <v>12.96</v>
      </c>
      <c r="L288" t="str">
        <f>"0.00"</f>
        <v>0.00</v>
      </c>
      <c r="M288" t="str">
        <f>"0.26"</f>
        <v>0.26</v>
      </c>
      <c r="N288" t="str">
        <f t="shared" si="100"/>
        <v>0.00</v>
      </c>
      <c r="O288" t="str">
        <f>"603042"</f>
        <v>603042</v>
      </c>
      <c r="P288" t="str">
        <f>"A400948245"</f>
        <v>A400948245</v>
      </c>
    </row>
    <row r="289" spans="1:16" x14ac:dyDescent="0.25">
      <c r="A289" t="str">
        <f t="shared" si="95"/>
        <v>人民币</v>
      </c>
      <c r="B289" t="str">
        <f>"凯龙股份"</f>
        <v>凯龙股份</v>
      </c>
      <c r="C289" t="str">
        <f t="shared" si="103"/>
        <v>20190819</v>
      </c>
      <c r="D289" t="str">
        <f>"10.150"</f>
        <v>10.150</v>
      </c>
      <c r="E289" t="str">
        <f>"-600.00"</f>
        <v>-600.00</v>
      </c>
      <c r="F289" t="str">
        <f>"6077.82"</f>
        <v>6077.82</v>
      </c>
      <c r="G289" t="str">
        <f>"9840.48"</f>
        <v>9840.48</v>
      </c>
      <c r="H289" t="str">
        <f>"5800.00"</f>
        <v>5800.00</v>
      </c>
      <c r="I289" t="str">
        <f>"86"</f>
        <v>86</v>
      </c>
      <c r="J289" t="str">
        <f>"证券卖出(凯龙股份)"</f>
        <v>证券卖出(凯龙股份)</v>
      </c>
      <c r="K289" t="str">
        <f>"6.09"</f>
        <v>6.09</v>
      </c>
      <c r="L289" t="str">
        <f>"6.09"</f>
        <v>6.09</v>
      </c>
      <c r="M289" t="str">
        <f>"0.00"</f>
        <v>0.00</v>
      </c>
      <c r="N289" t="str">
        <f t="shared" si="100"/>
        <v>0.00</v>
      </c>
      <c r="O289" t="str">
        <f>"002783"</f>
        <v>002783</v>
      </c>
      <c r="P289" t="str">
        <f>"0153613480"</f>
        <v>0153613480</v>
      </c>
    </row>
    <row r="290" spans="1:16" x14ac:dyDescent="0.25">
      <c r="A290" t="str">
        <f t="shared" si="95"/>
        <v>人民币</v>
      </c>
      <c r="B290" t="str">
        <f>"中通国脉"</f>
        <v>中通国脉</v>
      </c>
      <c r="C290" t="str">
        <f t="shared" si="103"/>
        <v>20190819</v>
      </c>
      <c r="D290" t="str">
        <f>"0.000"</f>
        <v>0.000</v>
      </c>
      <c r="E290" t="str">
        <f>"0.00"</f>
        <v>0.00</v>
      </c>
      <c r="F290" t="str">
        <f>"52.80"</f>
        <v>52.80</v>
      </c>
      <c r="G290" t="str">
        <f>"9893.28"</f>
        <v>9893.28</v>
      </c>
      <c r="H290" t="str">
        <f>"2400.00"</f>
        <v>2400.00</v>
      </c>
      <c r="I290" t="str">
        <f>"---"</f>
        <v>---</v>
      </c>
      <c r="J290" t="str">
        <f>"股息入帐(中通国脉)"</f>
        <v>股息入帐(中通国脉)</v>
      </c>
      <c r="K290" t="str">
        <f>"---"</f>
        <v>---</v>
      </c>
      <c r="L290" t="str">
        <f>"---"</f>
        <v>---</v>
      </c>
      <c r="M290" t="str">
        <f>"---"</f>
        <v>---</v>
      </c>
      <c r="N290" t="str">
        <f>"---"</f>
        <v>---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5"/>
        <v>人民币</v>
      </c>
      <c r="B291" t="str">
        <f>"航发科技"</f>
        <v>航发科技</v>
      </c>
      <c r="C291" t="str">
        <f>"20190820"</f>
        <v>20190820</v>
      </c>
      <c r="D291" t="str">
        <f>"16.610"</f>
        <v>16.610</v>
      </c>
      <c r="E291" t="str">
        <f>"-600.00"</f>
        <v>-600.00</v>
      </c>
      <c r="F291" t="str">
        <f>"9945.86"</f>
        <v>9945.86</v>
      </c>
      <c r="G291" t="str">
        <f>"19839.14"</f>
        <v>19839.14</v>
      </c>
      <c r="H291" t="str">
        <f>"2400.00"</f>
        <v>2400.00</v>
      </c>
      <c r="I291" t="str">
        <f>"113"</f>
        <v>113</v>
      </c>
      <c r="J291" t="str">
        <f>"证券卖出(航发科技)"</f>
        <v>证券卖出(航发科技)</v>
      </c>
      <c r="K291" t="str">
        <f>"9.97"</f>
        <v>9.97</v>
      </c>
      <c r="L291" t="str">
        <f>"9.97"</f>
        <v>9.97</v>
      </c>
      <c r="M291" t="str">
        <f>"0.20"</f>
        <v>0.20</v>
      </c>
      <c r="N291" t="str">
        <f t="shared" ref="N291:N296" si="104">"0.00"</f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5"/>
        <v>人民币</v>
      </c>
      <c r="B292" t="str">
        <f>"华脉科技"</f>
        <v>华脉科技</v>
      </c>
      <c r="C292" t="str">
        <f>"20190820"</f>
        <v>20190820</v>
      </c>
      <c r="D292" t="str">
        <f>"15.850"</f>
        <v>15.850</v>
      </c>
      <c r="E292" t="str">
        <f>"200.00"</f>
        <v>200.00</v>
      </c>
      <c r="F292" t="str">
        <f>"-3175.06"</f>
        <v>-3175.06</v>
      </c>
      <c r="G292" t="str">
        <f>"16664.08"</f>
        <v>16664.08</v>
      </c>
      <c r="H292" t="str">
        <f>"1000.00"</f>
        <v>1000.00</v>
      </c>
      <c r="I292" t="str">
        <f>"116"</f>
        <v>116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4"/>
        <v>0.00</v>
      </c>
      <c r="O292" t="str">
        <f>"603042"</f>
        <v>603042</v>
      </c>
      <c r="P292" t="str">
        <f>"A400948245"</f>
        <v>A400948245</v>
      </c>
    </row>
    <row r="293" spans="1:16" x14ac:dyDescent="0.25">
      <c r="A293" t="str">
        <f t="shared" si="95"/>
        <v>人民币</v>
      </c>
      <c r="B293" t="str">
        <f>"华脉科技"</f>
        <v>华脉科技</v>
      </c>
      <c r="C293" t="str">
        <f>"20190820"</f>
        <v>20190820</v>
      </c>
      <c r="D293" t="str">
        <f>"15.810"</f>
        <v>15.810</v>
      </c>
      <c r="E293" t="str">
        <f>"200.00"</f>
        <v>200.00</v>
      </c>
      <c r="F293" t="str">
        <f>"-3167.06"</f>
        <v>-3167.06</v>
      </c>
      <c r="G293" t="str">
        <f>"13497.02"</f>
        <v>13497.02</v>
      </c>
      <c r="H293" t="str">
        <f>"1200.00"</f>
        <v>1200.00</v>
      </c>
      <c r="I293" t="str">
        <f>"119"</f>
        <v>119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4"/>
        <v>0.00</v>
      </c>
      <c r="O293" t="str">
        <f>"603042"</f>
        <v>603042</v>
      </c>
      <c r="P293" t="str">
        <f>"A400948245"</f>
        <v>A400948245</v>
      </c>
    </row>
    <row r="294" spans="1:16" x14ac:dyDescent="0.25">
      <c r="A294" t="str">
        <f t="shared" si="95"/>
        <v>人民币</v>
      </c>
      <c r="B294" t="str">
        <f>"凯龙股份"</f>
        <v>凯龙股份</v>
      </c>
      <c r="C294" t="str">
        <f>"20190820"</f>
        <v>20190820</v>
      </c>
      <c r="D294" t="str">
        <f>"10.620"</f>
        <v>10.620</v>
      </c>
      <c r="E294" t="str">
        <f>"900.00"</f>
        <v>900.00</v>
      </c>
      <c r="F294" t="str">
        <f>"-9567.56"</f>
        <v>-9567.56</v>
      </c>
      <c r="G294" t="str">
        <f>"3929.46"</f>
        <v>3929.46</v>
      </c>
      <c r="H294" t="str">
        <f>"6700.00"</f>
        <v>6700.00</v>
      </c>
      <c r="I294" t="str">
        <f>"110"</f>
        <v>110</v>
      </c>
      <c r="J294" t="str">
        <f>"证券买入(凯龙股份)"</f>
        <v>证券买入(凯龙股份)</v>
      </c>
      <c r="K294" t="str">
        <f>"9.56"</f>
        <v>9.56</v>
      </c>
      <c r="L294" t="str">
        <f>"0.00"</f>
        <v>0.00</v>
      </c>
      <c r="M294" t="str">
        <f>"0.00"</f>
        <v>0.00</v>
      </c>
      <c r="N294" t="str">
        <f t="shared" si="104"/>
        <v>0.00</v>
      </c>
      <c r="O294" t="str">
        <f>"002783"</f>
        <v>002783</v>
      </c>
      <c r="P294" t="str">
        <f>"0153613480"</f>
        <v>0153613480</v>
      </c>
    </row>
    <row r="295" spans="1:16" x14ac:dyDescent="0.25">
      <c r="A295" t="str">
        <f t="shared" si="95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4"/>
        <v>0.00</v>
      </c>
      <c r="O295" t="str">
        <f>"736093"</f>
        <v>736093</v>
      </c>
      <c r="P295" t="str">
        <f>"A400948245"</f>
        <v>A400948245</v>
      </c>
    </row>
    <row r="296" spans="1:16" x14ac:dyDescent="0.25">
      <c r="A296" t="str">
        <f t="shared" si="95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4"/>
        <v>0.00</v>
      </c>
      <c r="O296" t="str">
        <f>"603559"</f>
        <v>603559</v>
      </c>
      <c r="P296" t="str">
        <f>"A400948245"</f>
        <v>A400948245</v>
      </c>
    </row>
    <row r="297" spans="1:16" x14ac:dyDescent="0.25">
      <c r="A297" t="str">
        <f t="shared" si="95"/>
        <v>人民币</v>
      </c>
      <c r="B297" t="str">
        <f>""</f>
        <v/>
      </c>
      <c r="C297" t="str">
        <f>"20190822"</f>
        <v>20190822</v>
      </c>
      <c r="D297" t="str">
        <f>"---"</f>
        <v>---</v>
      </c>
      <c r="E297" t="str">
        <f>"---"</f>
        <v>---</v>
      </c>
      <c r="F297" t="str">
        <f>"16000.00"</f>
        <v>16000.00</v>
      </c>
      <c r="G297" t="str">
        <f>"16004.38"</f>
        <v>16004.38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5">"---"</f>
        <v>---</v>
      </c>
      <c r="L297" t="str">
        <f t="shared" si="105"/>
        <v>---</v>
      </c>
      <c r="M297" t="str">
        <f t="shared" si="105"/>
        <v>---</v>
      </c>
      <c r="N297" t="str">
        <f t="shared" si="105"/>
        <v>---</v>
      </c>
      <c r="O297" t="str">
        <f t="shared" si="105"/>
        <v>---</v>
      </c>
      <c r="P297" t="str">
        <f t="shared" si="105"/>
        <v>---</v>
      </c>
    </row>
    <row r="298" spans="1:16" x14ac:dyDescent="0.25">
      <c r="A298" t="str">
        <f t="shared" si="95"/>
        <v>人民币</v>
      </c>
      <c r="B298" t="str">
        <f>"华脉科技"</f>
        <v>华脉科技</v>
      </c>
      <c r="C298" t="str">
        <f>"20190822"</f>
        <v>20190822</v>
      </c>
      <c r="D298" t="str">
        <f>"15.560"</f>
        <v>15.560</v>
      </c>
      <c r="E298" t="str">
        <f>"500.00"</f>
        <v>500.00</v>
      </c>
      <c r="F298" t="str">
        <f>"-7787.94"</f>
        <v>-7787.94</v>
      </c>
      <c r="G298" t="str">
        <f>"8216.44"</f>
        <v>8216.44</v>
      </c>
      <c r="H298" t="str">
        <f>"1700.00"</f>
        <v>1700.00</v>
      </c>
      <c r="I298" t="str">
        <f>"134"</f>
        <v>134</v>
      </c>
      <c r="J298" t="str">
        <f>"证券买入(华脉科技)"</f>
        <v>证券买入(华脉科技)</v>
      </c>
      <c r="K298" t="str">
        <f>"7.78"</f>
        <v>7.78</v>
      </c>
      <c r="L298" t="str">
        <f>"0.00"</f>
        <v>0.00</v>
      </c>
      <c r="M298" t="str">
        <f>"0.16"</f>
        <v>0.16</v>
      </c>
      <c r="N298" t="str">
        <f>"0.00"</f>
        <v>0.00</v>
      </c>
      <c r="O298" t="str">
        <f>"603042"</f>
        <v>603042</v>
      </c>
      <c r="P298" t="str">
        <f>"A400948245"</f>
        <v>A400948245</v>
      </c>
    </row>
    <row r="299" spans="1:16" x14ac:dyDescent="0.25">
      <c r="A299" t="str">
        <f t="shared" si="95"/>
        <v>人民币</v>
      </c>
      <c r="B299" t="str">
        <f>""</f>
        <v/>
      </c>
      <c r="C299" t="str">
        <f>"20190823"</f>
        <v>20190823</v>
      </c>
      <c r="D299" t="str">
        <f>"---"</f>
        <v>---</v>
      </c>
      <c r="E299" t="str">
        <f>"---"</f>
        <v>---</v>
      </c>
      <c r="F299" t="str">
        <f>"10000.00"</f>
        <v>10000.00</v>
      </c>
      <c r="G299" t="str">
        <f>"18216.44"</f>
        <v>18216.44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6">"---"</f>
        <v>---</v>
      </c>
      <c r="L299" t="str">
        <f t="shared" si="106"/>
        <v>---</v>
      </c>
      <c r="M299" t="str">
        <f t="shared" si="106"/>
        <v>---</v>
      </c>
      <c r="N299" t="str">
        <f t="shared" si="106"/>
        <v>---</v>
      </c>
      <c r="O299" t="str">
        <f t="shared" si="106"/>
        <v>---</v>
      </c>
      <c r="P299" t="str">
        <f t="shared" si="106"/>
        <v>---</v>
      </c>
    </row>
    <row r="300" spans="1:16" x14ac:dyDescent="0.25">
      <c r="A300" t="str">
        <f t="shared" si="95"/>
        <v>人民币</v>
      </c>
      <c r="B300" t="str">
        <f>"长城证券"</f>
        <v>长城证券</v>
      </c>
      <c r="C300" t="str">
        <f>"20190823"</f>
        <v>20190823</v>
      </c>
      <c r="D300" t="str">
        <f>"16.160"</f>
        <v>16.160</v>
      </c>
      <c r="E300" t="str">
        <f>"1100.00"</f>
        <v>1100.00</v>
      </c>
      <c r="F300" t="str">
        <f>"-17793.78"</f>
        <v>-17793.78</v>
      </c>
      <c r="G300" t="str">
        <f>"422.66"</f>
        <v>422.66</v>
      </c>
      <c r="H300" t="str">
        <f>"1100.00"</f>
        <v>1100.00</v>
      </c>
      <c r="I300" t="str">
        <f>"139"</f>
        <v>139</v>
      </c>
      <c r="J300" t="str">
        <f>"证券买入(长城证券)"</f>
        <v>证券买入(长城证券)</v>
      </c>
      <c r="K300" t="str">
        <f>"17.78"</f>
        <v>17.78</v>
      </c>
      <c r="L300" t="str">
        <f>"0.00"</f>
        <v>0.00</v>
      </c>
      <c r="M300" t="str">
        <f>"0.00"</f>
        <v>0.00</v>
      </c>
      <c r="N300" t="str">
        <f>"0.00"</f>
        <v>0.00</v>
      </c>
      <c r="O300" t="str">
        <f>"002939"</f>
        <v>002939</v>
      </c>
      <c r="P300" t="str">
        <f>"0153613480"</f>
        <v>0153613480</v>
      </c>
    </row>
    <row r="301" spans="1:16" x14ac:dyDescent="0.25">
      <c r="A301" t="str">
        <f t="shared" si="95"/>
        <v>人民币</v>
      </c>
      <c r="B301" t="str">
        <f>""</f>
        <v/>
      </c>
      <c r="C301" t="str">
        <f>"20190826"</f>
        <v>20190826</v>
      </c>
      <c r="D301" t="str">
        <f>"---"</f>
        <v>---</v>
      </c>
      <c r="E301" t="str">
        <f>"---"</f>
        <v>---</v>
      </c>
      <c r="F301" t="str">
        <f>"30000.00"</f>
        <v>30000.00</v>
      </c>
      <c r="G301" t="str">
        <f>"30422.66"</f>
        <v>30422.66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07">"---"</f>
        <v>---</v>
      </c>
      <c r="L301" t="str">
        <f t="shared" si="107"/>
        <v>---</v>
      </c>
      <c r="M301" t="str">
        <f t="shared" si="107"/>
        <v>---</v>
      </c>
      <c r="N301" t="str">
        <f t="shared" si="107"/>
        <v>---</v>
      </c>
      <c r="O301" t="str">
        <f t="shared" si="107"/>
        <v>---</v>
      </c>
      <c r="P301" t="str">
        <f t="shared" si="107"/>
        <v>---</v>
      </c>
    </row>
    <row r="302" spans="1:16" x14ac:dyDescent="0.25">
      <c r="A302" t="str">
        <f t="shared" si="95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 t="shared" ref="N302:N327" si="108"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5"/>
        <v>人民币</v>
      </c>
      <c r="B303" t="str">
        <f>"凯龙股份"</f>
        <v>凯龙股份</v>
      </c>
      <c r="C303" t="str">
        <f>"20190826"</f>
        <v>20190826</v>
      </c>
      <c r="D303" t="str">
        <f>"11.400"</f>
        <v>11.400</v>
      </c>
      <c r="E303" t="str">
        <f>"-900.00"</f>
        <v>-900.00</v>
      </c>
      <c r="F303" t="str">
        <f>"10239.48"</f>
        <v>10239.48</v>
      </c>
      <c r="G303" t="str">
        <f>"30475.76"</f>
        <v>30475.76</v>
      </c>
      <c r="H303" t="str">
        <f>"5800.00"</f>
        <v>5800.00</v>
      </c>
      <c r="I303" t="str">
        <f>"160"</f>
        <v>160</v>
      </c>
      <c r="J303" t="str">
        <f>"证券卖出(凯龙股份)"</f>
        <v>证券卖出(凯龙股份)</v>
      </c>
      <c r="K303" t="str">
        <f>"10.26"</f>
        <v>10.26</v>
      </c>
      <c r="L303" t="str">
        <f>"10.26"</f>
        <v>10.26</v>
      </c>
      <c r="M303" t="str">
        <f>"0.00"</f>
        <v>0.00</v>
      </c>
      <c r="N303" t="str">
        <f t="shared" si="108"/>
        <v>0.00</v>
      </c>
      <c r="O303" t="str">
        <f>"002783"</f>
        <v>002783</v>
      </c>
      <c r="P303" t="str">
        <f>"0153613480"</f>
        <v>0153613480</v>
      </c>
    </row>
    <row r="304" spans="1:16" x14ac:dyDescent="0.25">
      <c r="A304" t="str">
        <f t="shared" si="95"/>
        <v>人民币</v>
      </c>
      <c r="B304" t="str">
        <f>"中通国脉"</f>
        <v>中通国脉</v>
      </c>
      <c r="C304" t="str">
        <f t="shared" ref="C304:C309" si="109">"20190827"</f>
        <v>20190827</v>
      </c>
      <c r="D304" t="str">
        <f>"19.500"</f>
        <v>19.500</v>
      </c>
      <c r="E304" t="str">
        <f>"500.00"</f>
        <v>500.00</v>
      </c>
      <c r="F304" t="str">
        <f>"-9759.95"</f>
        <v>-9759.95</v>
      </c>
      <c r="G304" t="str">
        <f>"20715.81"</f>
        <v>20715.81</v>
      </c>
      <c r="H304" t="str">
        <f>"3100.00"</f>
        <v>3100.00</v>
      </c>
      <c r="I304" t="str">
        <f>"179"</f>
        <v>179</v>
      </c>
      <c r="J304" t="str">
        <f>"证券买入(中通国脉)"</f>
        <v>证券买入(中通国脉)</v>
      </c>
      <c r="K304" t="str">
        <f>"9.75"</f>
        <v>9.75</v>
      </c>
      <c r="L304" t="str">
        <f>"0.00"</f>
        <v>0.00</v>
      </c>
      <c r="M304" t="str">
        <f>"0.20"</f>
        <v>0.20</v>
      </c>
      <c r="N304" t="str">
        <f t="shared" si="108"/>
        <v>0.00</v>
      </c>
      <c r="O304" t="str">
        <f>"603559"</f>
        <v>603559</v>
      </c>
      <c r="P304" t="str">
        <f>"A400948245"</f>
        <v>A400948245</v>
      </c>
    </row>
    <row r="305" spans="1:16" x14ac:dyDescent="0.25">
      <c r="A305" t="str">
        <f t="shared" si="95"/>
        <v>人民币</v>
      </c>
      <c r="B305" t="str">
        <f>"中通国脉"</f>
        <v>中通国脉</v>
      </c>
      <c r="C305" t="str">
        <f t="shared" si="109"/>
        <v>20190827</v>
      </c>
      <c r="D305" t="str">
        <f>"19.360"</f>
        <v>19.360</v>
      </c>
      <c r="E305" t="str">
        <f>"400.00"</f>
        <v>400.00</v>
      </c>
      <c r="F305" t="str">
        <f>"-7751.90"</f>
        <v>-7751.90</v>
      </c>
      <c r="G305" t="str">
        <f>"12963.91"</f>
        <v>12963.91</v>
      </c>
      <c r="H305" t="str">
        <f>"3500.00"</f>
        <v>3500.00</v>
      </c>
      <c r="I305" t="str">
        <f>"182"</f>
        <v>182</v>
      </c>
      <c r="J305" t="str">
        <f>"证券买入(中通国脉)"</f>
        <v>证券买入(中通国脉)</v>
      </c>
      <c r="K305" t="str">
        <f>"7.74"</f>
        <v>7.74</v>
      </c>
      <c r="L305" t="str">
        <f>"0.00"</f>
        <v>0.00</v>
      </c>
      <c r="M305" t="str">
        <f>"0.16"</f>
        <v>0.16</v>
      </c>
      <c r="N305" t="str">
        <f t="shared" si="108"/>
        <v>0.00</v>
      </c>
      <c r="O305" t="str">
        <f>"603559"</f>
        <v>603559</v>
      </c>
      <c r="P305" t="str">
        <f>"A400948245"</f>
        <v>A400948245</v>
      </c>
    </row>
    <row r="306" spans="1:16" x14ac:dyDescent="0.25">
      <c r="A306" t="str">
        <f t="shared" si="95"/>
        <v>人民币</v>
      </c>
      <c r="B306" t="str">
        <f>"长城证券"</f>
        <v>长城证券</v>
      </c>
      <c r="C306" t="str">
        <f t="shared" si="109"/>
        <v>20190827</v>
      </c>
      <c r="D306" t="str">
        <f>"16.310"</f>
        <v>16.310</v>
      </c>
      <c r="E306" t="str">
        <f>"-1100.00"</f>
        <v>-1100.00</v>
      </c>
      <c r="F306" t="str">
        <f>"17905.12"</f>
        <v>17905.12</v>
      </c>
      <c r="G306" t="str">
        <f>"30869.03"</f>
        <v>30869.03</v>
      </c>
      <c r="H306" t="str">
        <f>"0.00"</f>
        <v>0.00</v>
      </c>
      <c r="I306" t="str">
        <f>"173"</f>
        <v>173</v>
      </c>
      <c r="J306" t="str">
        <f>"证券卖出(长城证券)"</f>
        <v>证券卖出(长城证券)</v>
      </c>
      <c r="K306" t="str">
        <f>"17.94"</f>
        <v>17.94</v>
      </c>
      <c r="L306" t="str">
        <f>"17.94"</f>
        <v>17.94</v>
      </c>
      <c r="M306" t="str">
        <f>"0.00"</f>
        <v>0.00</v>
      </c>
      <c r="N306" t="str">
        <f t="shared" si="108"/>
        <v>0.00</v>
      </c>
      <c r="O306" t="str">
        <f>"002939"</f>
        <v>002939</v>
      </c>
      <c r="P306" t="str">
        <f>"0153613480"</f>
        <v>0153613480</v>
      </c>
    </row>
    <row r="307" spans="1:16" x14ac:dyDescent="0.25">
      <c r="A307" t="str">
        <f t="shared" si="95"/>
        <v>人民币</v>
      </c>
      <c r="B307" t="str">
        <f>"凯龙股份"</f>
        <v>凯龙股份</v>
      </c>
      <c r="C307" t="str">
        <f t="shared" si="109"/>
        <v>20190827</v>
      </c>
      <c r="D307" t="str">
        <f>"12.460"</f>
        <v>12.460</v>
      </c>
      <c r="E307" t="str">
        <f>"1000.00"</f>
        <v>1000.00</v>
      </c>
      <c r="F307" t="str">
        <f>"-12472.46"</f>
        <v>-12472.46</v>
      </c>
      <c r="G307" t="str">
        <f>"18396.57"</f>
        <v>18396.57</v>
      </c>
      <c r="H307" t="str">
        <f>"6800.00"</f>
        <v>6800.00</v>
      </c>
      <c r="I307" t="str">
        <f>"167"</f>
        <v>167</v>
      </c>
      <c r="J307" t="str">
        <f>"证券买入(凯龙股份)"</f>
        <v>证券买入(凯龙股份)</v>
      </c>
      <c r="K307" t="str">
        <f>"12.46"</f>
        <v>12.46</v>
      </c>
      <c r="L307" t="str">
        <f>"0.00"</f>
        <v>0.00</v>
      </c>
      <c r="M307" t="str">
        <f>"0.00"</f>
        <v>0.00</v>
      </c>
      <c r="N307" t="str">
        <f t="shared" si="108"/>
        <v>0.00</v>
      </c>
      <c r="O307" t="str">
        <f>"002783"</f>
        <v>002783</v>
      </c>
      <c r="P307" t="str">
        <f>"0153613480"</f>
        <v>0153613480</v>
      </c>
    </row>
    <row r="308" spans="1:16" x14ac:dyDescent="0.25">
      <c r="A308" t="str">
        <f t="shared" si="95"/>
        <v>人民币</v>
      </c>
      <c r="B308" t="str">
        <f>"凯龙股份"</f>
        <v>凯龙股份</v>
      </c>
      <c r="C308" t="str">
        <f t="shared" si="109"/>
        <v>20190827</v>
      </c>
      <c r="D308" t="str">
        <f>"13.170"</f>
        <v>13.170</v>
      </c>
      <c r="E308" t="str">
        <f>"-1000.00"</f>
        <v>-1000.00</v>
      </c>
      <c r="F308" t="str">
        <f>"13143.66"</f>
        <v>13143.66</v>
      </c>
      <c r="G308" t="str">
        <f>"31540.23"</f>
        <v>31540.23</v>
      </c>
      <c r="H308" t="str">
        <f>"5800.00"</f>
        <v>5800.00</v>
      </c>
      <c r="I308" t="str">
        <f>"176"</f>
        <v>176</v>
      </c>
      <c r="J308" t="str">
        <f>"证券卖出(凯龙股份)"</f>
        <v>证券卖出(凯龙股份)</v>
      </c>
      <c r="K308" t="str">
        <f>"13.17"</f>
        <v>13.17</v>
      </c>
      <c r="L308" t="str">
        <f>"13.17"</f>
        <v>13.17</v>
      </c>
      <c r="M308" t="str">
        <f>"0.00"</f>
        <v>0.00</v>
      </c>
      <c r="N308" t="str">
        <f t="shared" si="108"/>
        <v>0.00</v>
      </c>
      <c r="O308" t="str">
        <f>"002783"</f>
        <v>002783</v>
      </c>
      <c r="P308" t="str">
        <f>"0153613480"</f>
        <v>0153613480</v>
      </c>
    </row>
    <row r="309" spans="1:16" x14ac:dyDescent="0.25">
      <c r="A309" t="str">
        <f t="shared" si="95"/>
        <v>人民币</v>
      </c>
      <c r="B309" t="str">
        <f>"瑞达期货"</f>
        <v>瑞达期货</v>
      </c>
      <c r="C309" t="str">
        <f t="shared" si="109"/>
        <v>20190827</v>
      </c>
      <c r="D309" t="str">
        <f>"0.000"</f>
        <v>0.000</v>
      </c>
      <c r="E309" t="str">
        <f>"12.00"</f>
        <v>12.00</v>
      </c>
      <c r="F309" t="str">
        <f>"0.00"</f>
        <v>0.00</v>
      </c>
      <c r="G309" t="str">
        <f>"31540.23"</f>
        <v>31540.23</v>
      </c>
      <c r="H309" t="str">
        <f>"0.00"</f>
        <v>0.00</v>
      </c>
      <c r="I309" t="str">
        <f>"171"</f>
        <v>171</v>
      </c>
      <c r="J309" t="str">
        <f>"申购配号(瑞达期货)"</f>
        <v>申购配号(瑞达期货)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8"/>
        <v>0.00</v>
      </c>
      <c r="O309" t="str">
        <f>"002961"</f>
        <v>002961</v>
      </c>
      <c r="P309" t="str">
        <f>"0153613480"</f>
        <v>0153613480</v>
      </c>
    </row>
    <row r="310" spans="1:16" x14ac:dyDescent="0.25">
      <c r="A310" t="str">
        <f t="shared" si="95"/>
        <v>人民币</v>
      </c>
      <c r="B310" t="str">
        <f>"航发科技"</f>
        <v>航发科技</v>
      </c>
      <c r="C310" t="str">
        <f>"20190828"</f>
        <v>20190828</v>
      </c>
      <c r="D310" t="str">
        <f>"17.590"</f>
        <v>17.590</v>
      </c>
      <c r="E310" t="str">
        <f>"-600.00"</f>
        <v>-600.00</v>
      </c>
      <c r="F310" t="str">
        <f>"10532.69"</f>
        <v>10532.69</v>
      </c>
      <c r="G310" t="str">
        <f>"42072.92"</f>
        <v>42072.92</v>
      </c>
      <c r="H310" t="str">
        <f>"2400.00"</f>
        <v>2400.00</v>
      </c>
      <c r="I310" t="str">
        <f>"201"</f>
        <v>201</v>
      </c>
      <c r="J310" t="str">
        <f>"证券卖出(航发科技)"</f>
        <v>证券卖出(航发科技)</v>
      </c>
      <c r="K310" t="str">
        <f>"10.55"</f>
        <v>10.55</v>
      </c>
      <c r="L310" t="str">
        <f>"10.55"</f>
        <v>10.55</v>
      </c>
      <c r="M310" t="str">
        <f>"0.21"</f>
        <v>0.21</v>
      </c>
      <c r="N310" t="str">
        <f t="shared" si="108"/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5"/>
        <v>人民币</v>
      </c>
      <c r="B311" t="str">
        <f>"中科配号"</f>
        <v>中科配号</v>
      </c>
      <c r="C311" t="str">
        <f>"20190828"</f>
        <v>20190828</v>
      </c>
      <c r="D311" t="str">
        <f>"0.000"</f>
        <v>0.000</v>
      </c>
      <c r="E311" t="str">
        <f>"10.00"</f>
        <v>10.00</v>
      </c>
      <c r="F311" t="str">
        <f>"0.00"</f>
        <v>0.00</v>
      </c>
      <c r="G311" t="str">
        <f>"42072.92"</f>
        <v>42072.92</v>
      </c>
      <c r="H311" t="str">
        <f>"0.00"</f>
        <v>0.00</v>
      </c>
      <c r="I311" t="str">
        <f>"204"</f>
        <v>204</v>
      </c>
      <c r="J311" t="str">
        <f>"申购配号(中科配号)"</f>
        <v>申购配号(中科配号)</v>
      </c>
      <c r="K311" t="str">
        <f>"0.00"</f>
        <v>0.00</v>
      </c>
      <c r="L311" t="str">
        <f>"0.00"</f>
        <v>0.00</v>
      </c>
      <c r="M311" t="str">
        <f>"0.00"</f>
        <v>0.00</v>
      </c>
      <c r="N311" t="str">
        <f t="shared" si="108"/>
        <v>0.00</v>
      </c>
      <c r="O311" t="str">
        <f>"736927"</f>
        <v>736927</v>
      </c>
      <c r="P311" t="str">
        <f>"A400948245"</f>
        <v>A400948245</v>
      </c>
    </row>
    <row r="312" spans="1:16" x14ac:dyDescent="0.25">
      <c r="A312" t="str">
        <f t="shared" si="95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ref="L312:M314" si="110">"0.00"</f>
        <v>0.00</v>
      </c>
      <c r="M312" t="str">
        <f t="shared" si="110"/>
        <v>0.00</v>
      </c>
      <c r="N312" t="str">
        <f t="shared" si="108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5"/>
        <v>人民币</v>
      </c>
      <c r="B313" t="str">
        <f>"凯龙股份"</f>
        <v>凯龙股份</v>
      </c>
      <c r="C313" t="str">
        <f>"20190828"</f>
        <v>20190828</v>
      </c>
      <c r="D313" t="str">
        <f>"13.050"</f>
        <v>13.050</v>
      </c>
      <c r="E313" t="str">
        <f>"1000.00"</f>
        <v>1000.00</v>
      </c>
      <c r="F313" t="str">
        <f>"-13063.05"</f>
        <v>-13063.05</v>
      </c>
      <c r="G313" t="str">
        <f>"16096.97"</f>
        <v>16096.97</v>
      </c>
      <c r="H313" t="str">
        <f>"7800.00"</f>
        <v>7800.00</v>
      </c>
      <c r="I313" t="str">
        <f>"206"</f>
        <v>206</v>
      </c>
      <c r="J313" t="str">
        <f>"证券买入(凯龙股份)"</f>
        <v>证券买入(凯龙股份)</v>
      </c>
      <c r="K313" t="str">
        <f>"13.05"</f>
        <v>13.05</v>
      </c>
      <c r="L313" t="str">
        <f t="shared" si="110"/>
        <v>0.00</v>
      </c>
      <c r="M313" t="str">
        <f t="shared" si="110"/>
        <v>0.00</v>
      </c>
      <c r="N313" t="str">
        <f t="shared" si="108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5"/>
        <v>人民币</v>
      </c>
      <c r="B314" t="str">
        <f>"凯龙股份"</f>
        <v>凯龙股份</v>
      </c>
      <c r="C314" t="str">
        <f>"20190828"</f>
        <v>20190828</v>
      </c>
      <c r="D314" t="str">
        <f>"12.560"</f>
        <v>12.560</v>
      </c>
      <c r="E314" t="str">
        <f>"1000.00"</f>
        <v>1000.00</v>
      </c>
      <c r="F314" t="str">
        <f>"-12572.56"</f>
        <v>-12572.56</v>
      </c>
      <c r="G314" t="str">
        <f>"3524.41"</f>
        <v>3524.41</v>
      </c>
      <c r="H314" t="str">
        <f>"8800.00"</f>
        <v>8800.00</v>
      </c>
      <c r="I314" t="str">
        <f>"212"</f>
        <v>212</v>
      </c>
      <c r="J314" t="str">
        <f>"证券买入(凯龙股份)"</f>
        <v>证券买入(凯龙股份)</v>
      </c>
      <c r="K314" t="str">
        <f>"12.56"</f>
        <v>12.56</v>
      </c>
      <c r="L314" t="str">
        <f t="shared" si="110"/>
        <v>0.00</v>
      </c>
      <c r="M314" t="str">
        <f t="shared" si="110"/>
        <v>0.00</v>
      </c>
      <c r="N314" t="str">
        <f t="shared" si="108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5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08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95"/>
        <v>人民币</v>
      </c>
      <c r="B316" t="str">
        <f>"航发科技"</f>
        <v>航发科技</v>
      </c>
      <c r="C316" t="str">
        <f>"20190830"</f>
        <v>20190830</v>
      </c>
      <c r="D316" t="str">
        <f>"18.000"</f>
        <v>18.000</v>
      </c>
      <c r="E316" t="str">
        <f>"-1000.00"</f>
        <v>-1000.00</v>
      </c>
      <c r="F316" t="str">
        <f>"17963.64"</f>
        <v>17963.64</v>
      </c>
      <c r="G316" t="str">
        <f>"35795.08"</f>
        <v>35795.08</v>
      </c>
      <c r="H316" t="str">
        <f>"600.00"</f>
        <v>600.00</v>
      </c>
      <c r="I316" t="str">
        <f>"238"</f>
        <v>238</v>
      </c>
      <c r="J316" t="str">
        <f>"证券卖出(航发科技)"</f>
        <v>证券卖出(航发科技)</v>
      </c>
      <c r="K316" t="str">
        <f>"18.00"</f>
        <v>18.00</v>
      </c>
      <c r="L316" t="str">
        <f>"18.00"</f>
        <v>18.00</v>
      </c>
      <c r="M316" t="str">
        <f>"0.36"</f>
        <v>0.36</v>
      </c>
      <c r="N316" t="str">
        <f t="shared" si="108"/>
        <v>0.00</v>
      </c>
      <c r="O316" t="str">
        <f>"600391"</f>
        <v>600391</v>
      </c>
      <c r="P316" t="str">
        <f>"A400948245"</f>
        <v>A400948245</v>
      </c>
    </row>
    <row r="317" spans="1:16" x14ac:dyDescent="0.25">
      <c r="A317" t="str">
        <f t="shared" si="95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08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95"/>
        <v>人民币</v>
      </c>
      <c r="B318" t="str">
        <f>"凯龙股份"</f>
        <v>凯龙股份</v>
      </c>
      <c r="C318" t="str">
        <f>"20190830"</f>
        <v>20190830</v>
      </c>
      <c r="D318" t="str">
        <f>"12.170"</f>
        <v>12.170</v>
      </c>
      <c r="E318" t="str">
        <f>"1200.00"</f>
        <v>1200.00</v>
      </c>
      <c r="F318" t="str">
        <f>"-14618.60"</f>
        <v>-14618.60</v>
      </c>
      <c r="G318" t="str">
        <f>"31978.62"</f>
        <v>31978.62</v>
      </c>
      <c r="H318" t="str">
        <f>"10000.00"</f>
        <v>10000.00</v>
      </c>
      <c r="I318" t="str">
        <f>"248"</f>
        <v>248</v>
      </c>
      <c r="J318" t="str">
        <f>"证券买入(凯龙股份)"</f>
        <v>证券买入(凯龙股份)</v>
      </c>
      <c r="K318" t="str">
        <f>"14.60"</f>
        <v>14.60</v>
      </c>
      <c r="L318" t="str">
        <f>"0.00"</f>
        <v>0.00</v>
      </c>
      <c r="M318" t="str">
        <f>"0.00"</f>
        <v>0.00</v>
      </c>
      <c r="N318" t="str">
        <f t="shared" si="10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5"/>
        <v>人民币</v>
      </c>
      <c r="B319" t="str">
        <f>"华脉科技"</f>
        <v>华脉科技</v>
      </c>
      <c r="C319" t="str">
        <f>"20190902"</f>
        <v>20190902</v>
      </c>
      <c r="D319" t="str">
        <f>"14.240"</f>
        <v>14.240</v>
      </c>
      <c r="E319" t="str">
        <f>"600.00"</f>
        <v>600.00</v>
      </c>
      <c r="F319" t="str">
        <f>"-8552.71"</f>
        <v>-8552.71</v>
      </c>
      <c r="G319" t="str">
        <f>"23425.91"</f>
        <v>23425.91</v>
      </c>
      <c r="H319" t="str">
        <f>"2300.00"</f>
        <v>2300.00</v>
      </c>
      <c r="I319" t="str">
        <f>"260"</f>
        <v>260</v>
      </c>
      <c r="J319" t="str">
        <f>"证券买入(华脉科技)"</f>
        <v>证券买入(华脉科技)</v>
      </c>
      <c r="K319" t="str">
        <f>"8.54"</f>
        <v>8.54</v>
      </c>
      <c r="L319" t="str">
        <f>"0.00"</f>
        <v>0.00</v>
      </c>
      <c r="M319" t="str">
        <f>"0.17"</f>
        <v>0.17</v>
      </c>
      <c r="N319" t="str">
        <f t="shared" si="108"/>
        <v>0.00</v>
      </c>
      <c r="O319" t="str">
        <f>"603042"</f>
        <v>603042</v>
      </c>
      <c r="P319" t="str">
        <f t="shared" ref="P319:P324" si="111">"A400948245"</f>
        <v>A400948245</v>
      </c>
    </row>
    <row r="320" spans="1:16" x14ac:dyDescent="0.25">
      <c r="A320" t="str">
        <f t="shared" ref="A320:A341" si="112">"人民币"</f>
        <v>人民币</v>
      </c>
      <c r="B320" t="str">
        <f>"华脉科技"</f>
        <v>华脉科技</v>
      </c>
      <c r="C320" t="str">
        <f>"20190902"</f>
        <v>20190902</v>
      </c>
      <c r="D320" t="str">
        <f>"14.500"</f>
        <v>14.500</v>
      </c>
      <c r="E320" t="str">
        <f>"-600.00"</f>
        <v>-600.00</v>
      </c>
      <c r="F320" t="str">
        <f>"8682.43"</f>
        <v>8682.43</v>
      </c>
      <c r="G320" t="str">
        <f>"32108.34"</f>
        <v>32108.34</v>
      </c>
      <c r="H320" t="str">
        <f>"1700.00"</f>
        <v>1700.00</v>
      </c>
      <c r="I320" t="str">
        <f>"267"</f>
        <v>267</v>
      </c>
      <c r="J320" t="str">
        <f>"证券卖出(华脉科技)"</f>
        <v>证券卖出(华脉科技)</v>
      </c>
      <c r="K320" t="str">
        <f>"8.70"</f>
        <v>8.70</v>
      </c>
      <c r="L320" t="str">
        <f>"8.70"</f>
        <v>8.70</v>
      </c>
      <c r="M320" t="str">
        <f>"0.17"</f>
        <v>0.17</v>
      </c>
      <c r="N320" t="str">
        <f t="shared" si="108"/>
        <v>0.00</v>
      </c>
      <c r="O320" t="str">
        <f>"603042"</f>
        <v>603042</v>
      </c>
      <c r="P320" t="str">
        <f t="shared" si="111"/>
        <v>A400948245</v>
      </c>
    </row>
    <row r="321" spans="1:16" x14ac:dyDescent="0.25">
      <c r="A321" t="str">
        <f t="shared" si="112"/>
        <v>人民币</v>
      </c>
      <c r="B321" t="str">
        <f>"中通国脉"</f>
        <v>中通国脉</v>
      </c>
      <c r="C321" t="str">
        <f t="shared" ref="C321:C327" si="113">"20190903"</f>
        <v>20190903</v>
      </c>
      <c r="D321" t="str">
        <f>"19.520"</f>
        <v>19.520</v>
      </c>
      <c r="E321" t="str">
        <f>"-400.00"</f>
        <v>-400.00</v>
      </c>
      <c r="F321" t="str">
        <f>"7792.22"</f>
        <v>7792.22</v>
      </c>
      <c r="G321" t="str">
        <f>"39900.56"</f>
        <v>39900.56</v>
      </c>
      <c r="H321" t="str">
        <f>"3100.00"</f>
        <v>3100.00</v>
      </c>
      <c r="I321" t="str">
        <f>"286"</f>
        <v>286</v>
      </c>
      <c r="J321" t="str">
        <f>"证券卖出(中通国脉)"</f>
        <v>证券卖出(中通国脉)</v>
      </c>
      <c r="K321" t="str">
        <f>"7.81"</f>
        <v>7.81</v>
      </c>
      <c r="L321" t="str">
        <f>"7.81"</f>
        <v>7.81</v>
      </c>
      <c r="M321" t="str">
        <f>"0.16"</f>
        <v>0.16</v>
      </c>
      <c r="N321" t="str">
        <f t="shared" si="108"/>
        <v>0.00</v>
      </c>
      <c r="O321" t="str">
        <f>"603559"</f>
        <v>603559</v>
      </c>
      <c r="P321" t="str">
        <f t="shared" si="111"/>
        <v>A400948245</v>
      </c>
    </row>
    <row r="322" spans="1:16" x14ac:dyDescent="0.25">
      <c r="A322" t="str">
        <f t="shared" si="112"/>
        <v>人民币</v>
      </c>
      <c r="B322" t="str">
        <f>"中通国脉"</f>
        <v>中通国脉</v>
      </c>
      <c r="C322" t="str">
        <f t="shared" si="113"/>
        <v>20190903</v>
      </c>
      <c r="D322" t="str">
        <f>"19.510"</f>
        <v>19.510</v>
      </c>
      <c r="E322" t="str">
        <f>"-500.00"</f>
        <v>-500.00</v>
      </c>
      <c r="F322" t="str">
        <f>"9735.29"</f>
        <v>9735.29</v>
      </c>
      <c r="G322" t="str">
        <f>"49635.85"</f>
        <v>49635.85</v>
      </c>
      <c r="H322" t="str">
        <f>"2600.00"</f>
        <v>2600.00</v>
      </c>
      <c r="I322" t="str">
        <f>"289"</f>
        <v>289</v>
      </c>
      <c r="J322" t="str">
        <f>"证券卖出(中通国脉)"</f>
        <v>证券卖出(中通国脉)</v>
      </c>
      <c r="K322" t="str">
        <f>"9.76"</f>
        <v>9.76</v>
      </c>
      <c r="L322" t="str">
        <f>"9.75"</f>
        <v>9.75</v>
      </c>
      <c r="M322" t="str">
        <f>"0.20"</f>
        <v>0.20</v>
      </c>
      <c r="N322" t="str">
        <f t="shared" si="108"/>
        <v>0.00</v>
      </c>
      <c r="O322" t="str">
        <f>"603559"</f>
        <v>603559</v>
      </c>
      <c r="P322" t="str">
        <f t="shared" si="111"/>
        <v>A400948245</v>
      </c>
    </row>
    <row r="323" spans="1:16" x14ac:dyDescent="0.25">
      <c r="A323" t="str">
        <f t="shared" si="112"/>
        <v>人民币</v>
      </c>
      <c r="B323" t="str">
        <f>"华脉科技"</f>
        <v>华脉科技</v>
      </c>
      <c r="C323" t="str">
        <f t="shared" si="113"/>
        <v>20190903</v>
      </c>
      <c r="D323" t="str">
        <f>"14.740"</f>
        <v>14.740</v>
      </c>
      <c r="E323" t="str">
        <f>"600.00"</f>
        <v>600.00</v>
      </c>
      <c r="F323" t="str">
        <f>"-8853.02"</f>
        <v>-8853.02</v>
      </c>
      <c r="G323" t="str">
        <f>"40782.83"</f>
        <v>40782.83</v>
      </c>
      <c r="H323" t="str">
        <f>"2300.00"</f>
        <v>2300.00</v>
      </c>
      <c r="I323" t="str">
        <f>"293"</f>
        <v>293</v>
      </c>
      <c r="J323" t="str">
        <f>"证券买入(华脉科技)"</f>
        <v>证券买入(华脉科技)</v>
      </c>
      <c r="K323" t="str">
        <f>"8.84"</f>
        <v>8.84</v>
      </c>
      <c r="L323" t="str">
        <f>"0.00"</f>
        <v>0.00</v>
      </c>
      <c r="M323" t="str">
        <f>"0.18"</f>
        <v>0.18</v>
      </c>
      <c r="N323" t="str">
        <f t="shared" si="108"/>
        <v>0.00</v>
      </c>
      <c r="O323" t="str">
        <f>"603042"</f>
        <v>603042</v>
      </c>
      <c r="P323" t="str">
        <f t="shared" si="111"/>
        <v>A400948245</v>
      </c>
    </row>
    <row r="324" spans="1:16" x14ac:dyDescent="0.25">
      <c r="A324" t="str">
        <f t="shared" si="112"/>
        <v>人民币</v>
      </c>
      <c r="B324" t="str">
        <f>"中通国脉"</f>
        <v>中通国脉</v>
      </c>
      <c r="C324" t="str">
        <f t="shared" si="113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08"/>
        <v>0.00</v>
      </c>
      <c r="O324" t="str">
        <f>"603559"</f>
        <v>603559</v>
      </c>
      <c r="P324" t="str">
        <f t="shared" si="111"/>
        <v>A400948245</v>
      </c>
    </row>
    <row r="325" spans="1:16" x14ac:dyDescent="0.25">
      <c r="A325" t="str">
        <f t="shared" si="112"/>
        <v>人民币</v>
      </c>
      <c r="B325" t="str">
        <f>"旋极信息"</f>
        <v>旋极信息</v>
      </c>
      <c r="C325" t="str">
        <f t="shared" si="113"/>
        <v>20190903</v>
      </c>
      <c r="D325" t="str">
        <f>"5.810"</f>
        <v>5.810</v>
      </c>
      <c r="E325" t="str">
        <f>"1500.00"</f>
        <v>1500.00</v>
      </c>
      <c r="F325" t="str">
        <f>"-8723.72"</f>
        <v>-8723.72</v>
      </c>
      <c r="G325" t="str">
        <f>"35970.11"</f>
        <v>35970.11</v>
      </c>
      <c r="H325" t="str">
        <f>"1500.00"</f>
        <v>1500.00</v>
      </c>
      <c r="I325" t="str">
        <f>"272"</f>
        <v>272</v>
      </c>
      <c r="J325" t="str">
        <f>"证券买入(旋极信息)"</f>
        <v>证券买入(旋极信息)</v>
      </c>
      <c r="K325" t="str">
        <f>"8.72"</f>
        <v>8.72</v>
      </c>
      <c r="L325" t="str">
        <f t="shared" ref="L325:M327" si="114">"0.00"</f>
        <v>0.00</v>
      </c>
      <c r="M325" t="str">
        <f t="shared" si="114"/>
        <v>0.00</v>
      </c>
      <c r="N325" t="str">
        <f t="shared" si="108"/>
        <v>0.00</v>
      </c>
      <c r="O325" t="str">
        <f>"300324"</f>
        <v>300324</v>
      </c>
      <c r="P325" t="str">
        <f>"0153613480"</f>
        <v>0153613480</v>
      </c>
    </row>
    <row r="326" spans="1:16" x14ac:dyDescent="0.25">
      <c r="A326" t="str">
        <f t="shared" si="112"/>
        <v>人民币</v>
      </c>
      <c r="B326" t="str">
        <f>"旋极信息"</f>
        <v>旋极信息</v>
      </c>
      <c r="C326" t="str">
        <f t="shared" si="113"/>
        <v>20190903</v>
      </c>
      <c r="D326" t="str">
        <f>"5.620"</f>
        <v>5.620</v>
      </c>
      <c r="E326" t="str">
        <f>"1000.00"</f>
        <v>1000.00</v>
      </c>
      <c r="F326" t="str">
        <f>"-5625.62"</f>
        <v>-5625.62</v>
      </c>
      <c r="G326" t="str">
        <f>"30344.49"</f>
        <v>30344.49</v>
      </c>
      <c r="H326" t="str">
        <f>"2500.00"</f>
        <v>2500.00</v>
      </c>
      <c r="I326" t="str">
        <f>"279"</f>
        <v>279</v>
      </c>
      <c r="J326" t="str">
        <f>"证券买入(旋极信息)"</f>
        <v>证券买入(旋极信息)</v>
      </c>
      <c r="K326" t="str">
        <f>"5.62"</f>
        <v>5.62</v>
      </c>
      <c r="L326" t="str">
        <f t="shared" si="114"/>
        <v>0.00</v>
      </c>
      <c r="M326" t="str">
        <f t="shared" si="114"/>
        <v>0.00</v>
      </c>
      <c r="N326" t="str">
        <f t="shared" si="108"/>
        <v>0.00</v>
      </c>
      <c r="O326" t="str">
        <f>"300324"</f>
        <v>300324</v>
      </c>
      <c r="P326" t="str">
        <f>"0153613480"</f>
        <v>0153613480</v>
      </c>
    </row>
    <row r="327" spans="1:16" x14ac:dyDescent="0.25">
      <c r="A327" t="str">
        <f t="shared" si="112"/>
        <v>人民币</v>
      </c>
      <c r="B327" t="str">
        <f>"旋极信息"</f>
        <v>旋极信息</v>
      </c>
      <c r="C327" t="str">
        <f t="shared" si="113"/>
        <v>20190903</v>
      </c>
      <c r="D327" t="str">
        <f>"5.590"</f>
        <v>5.590</v>
      </c>
      <c r="E327" t="str">
        <f>"500.00"</f>
        <v>500.00</v>
      </c>
      <c r="F327" t="str">
        <f>"-2800.00"</f>
        <v>-2800.00</v>
      </c>
      <c r="G327" t="str">
        <f>"27544.49"</f>
        <v>27544.49</v>
      </c>
      <c r="H327" t="str">
        <f>"3000.00"</f>
        <v>3000.00</v>
      </c>
      <c r="I327" t="str">
        <f>"299"</f>
        <v>299</v>
      </c>
      <c r="J327" t="str">
        <f>"证券买入(旋极信息)"</f>
        <v>证券买入(旋极信息)</v>
      </c>
      <c r="K327" t="str">
        <f>"5.00"</f>
        <v>5.00</v>
      </c>
      <c r="L327" t="str">
        <f t="shared" si="114"/>
        <v>0.00</v>
      </c>
      <c r="M327" t="str">
        <f t="shared" si="114"/>
        <v>0.00</v>
      </c>
      <c r="N327" t="str">
        <f t="shared" si="108"/>
        <v>0.00</v>
      </c>
      <c r="O327" t="str">
        <f>"300324"</f>
        <v>300324</v>
      </c>
      <c r="P327" t="str">
        <f>"0153613480"</f>
        <v>0153613480</v>
      </c>
    </row>
    <row r="328" spans="1:16" x14ac:dyDescent="0.25">
      <c r="A328" t="str">
        <f t="shared" si="112"/>
        <v>人民币</v>
      </c>
      <c r="B328" t="str">
        <f>"中通国脉"</f>
        <v>中通国脉</v>
      </c>
      <c r="C328" t="str">
        <f>"20190904"</f>
        <v>20190904</v>
      </c>
      <c r="D328" t="str">
        <f>"0.000"</f>
        <v>0.000</v>
      </c>
      <c r="E328" t="str">
        <f>"0.00"</f>
        <v>0.00</v>
      </c>
      <c r="F328" t="str">
        <f>"-0.66"</f>
        <v>-0.66</v>
      </c>
      <c r="G328" t="str">
        <f>"27543.83"</f>
        <v>27543.83</v>
      </c>
      <c r="H328" t="str">
        <f>"2400.00"</f>
        <v>2400.00</v>
      </c>
      <c r="I328" t="str">
        <f>"---"</f>
        <v>---</v>
      </c>
      <c r="J328" t="str">
        <f>"红利差异税扣税(中通国脉)"</f>
        <v>红利差异税扣税(中通国脉)</v>
      </c>
      <c r="K328" t="str">
        <f t="shared" ref="K328:N330" si="115">"---"</f>
        <v>---</v>
      </c>
      <c r="L328" t="str">
        <f t="shared" si="115"/>
        <v>---</v>
      </c>
      <c r="M328" t="str">
        <f t="shared" si="115"/>
        <v>---</v>
      </c>
      <c r="N328" t="str">
        <f t="shared" si="115"/>
        <v>---</v>
      </c>
      <c r="O328" t="str">
        <f>"603559"</f>
        <v>603559</v>
      </c>
      <c r="P328" t="str">
        <f>"A400948245"</f>
        <v>A400948245</v>
      </c>
    </row>
    <row r="329" spans="1:16" x14ac:dyDescent="0.25">
      <c r="A329" t="str">
        <f t="shared" si="112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"-0.66"</f>
        <v>-0.66</v>
      </c>
      <c r="G329" t="str">
        <f>"27543.17"</f>
        <v>27543.17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si="115"/>
        <v>---</v>
      </c>
      <c r="L329" t="str">
        <f t="shared" si="115"/>
        <v>---</v>
      </c>
      <c r="M329" t="str">
        <f t="shared" si="115"/>
        <v>---</v>
      </c>
      <c r="N329" t="str">
        <f t="shared" si="115"/>
        <v>---</v>
      </c>
      <c r="O329" t="str">
        <f>"603559"</f>
        <v>603559</v>
      </c>
      <c r="P329" t="str">
        <f>"A400948245"</f>
        <v>A400948245</v>
      </c>
    </row>
    <row r="330" spans="1:16" x14ac:dyDescent="0.25">
      <c r="A330" t="str">
        <f t="shared" si="112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"-1.10"</f>
        <v>-1.10</v>
      </c>
      <c r="G330" t="str">
        <f>"27542.07"</f>
        <v>27542.07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5"/>
        <v>---</v>
      </c>
      <c r="L330" t="str">
        <f t="shared" si="115"/>
        <v>---</v>
      </c>
      <c r="M330" t="str">
        <f t="shared" si="115"/>
        <v>---</v>
      </c>
      <c r="N330" t="str">
        <f t="shared" si="115"/>
        <v>---</v>
      </c>
      <c r="O330" t="str">
        <f>"603559"</f>
        <v>603559</v>
      </c>
      <c r="P330" t="str">
        <f>"A400948245"</f>
        <v>A400948245</v>
      </c>
    </row>
    <row r="331" spans="1:16" x14ac:dyDescent="0.25">
      <c r="A331" t="str">
        <f t="shared" si="112"/>
        <v>人民币</v>
      </c>
      <c r="B331" t="str">
        <f>"华脉科技"</f>
        <v>华脉科技</v>
      </c>
      <c r="C331" t="str">
        <f>"20190904"</f>
        <v>20190904</v>
      </c>
      <c r="D331" t="str">
        <f>"14.830"</f>
        <v>14.830</v>
      </c>
      <c r="E331" t="str">
        <f>"500.00"</f>
        <v>500.00</v>
      </c>
      <c r="F331" t="str">
        <f>"-7422.57"</f>
        <v>-7422.57</v>
      </c>
      <c r="G331" t="str">
        <f>"20119.50"</f>
        <v>20119.50</v>
      </c>
      <c r="H331" t="str">
        <f>"2800.00"</f>
        <v>2800.00</v>
      </c>
      <c r="I331" t="str">
        <f>"315"</f>
        <v>315</v>
      </c>
      <c r="J331" t="str">
        <f>"证券买入(华脉科技)"</f>
        <v>证券买入(华脉科技)</v>
      </c>
      <c r="K331" t="str">
        <f>"7.42"</f>
        <v>7.42</v>
      </c>
      <c r="L331" t="str">
        <f>"0.00"</f>
        <v>0.00</v>
      </c>
      <c r="M331" t="str">
        <f>"0.15"</f>
        <v>0.15</v>
      </c>
      <c r="N331" t="str">
        <f t="shared" ref="N331:N341" si="116">"0.00"</f>
        <v>0.00</v>
      </c>
      <c r="O331" t="str">
        <f>"603042"</f>
        <v>603042</v>
      </c>
      <c r="P331" t="str">
        <f>"A400948245"</f>
        <v>A400948245</v>
      </c>
    </row>
    <row r="332" spans="1:16" x14ac:dyDescent="0.25">
      <c r="A332" t="str">
        <f t="shared" si="112"/>
        <v>人民币</v>
      </c>
      <c r="B332" t="str">
        <f>"华脉科技"</f>
        <v>华脉科技</v>
      </c>
      <c r="C332" t="str">
        <f>"20190905"</f>
        <v>20190905</v>
      </c>
      <c r="D332" t="str">
        <f>"15.030"</f>
        <v>15.030</v>
      </c>
      <c r="E332" t="str">
        <f>"-1100.00"</f>
        <v>-1100.00</v>
      </c>
      <c r="F332" t="str">
        <f>"16499.61"</f>
        <v>16499.61</v>
      </c>
      <c r="G332" t="str">
        <f>"36619.11"</f>
        <v>36619.11</v>
      </c>
      <c r="H332" t="str">
        <f>"1700.00"</f>
        <v>1700.00</v>
      </c>
      <c r="I332" t="str">
        <f>"329"</f>
        <v>329</v>
      </c>
      <c r="J332" t="str">
        <f>"证券卖出(华脉科技)"</f>
        <v>证券卖出(华脉科技)</v>
      </c>
      <c r="K332" t="str">
        <f>"16.53"</f>
        <v>16.53</v>
      </c>
      <c r="L332" t="str">
        <f>"16.53"</f>
        <v>16.53</v>
      </c>
      <c r="M332" t="str">
        <f>"0.33"</f>
        <v>0.33</v>
      </c>
      <c r="N332" t="str">
        <f t="shared" si="116"/>
        <v>0.00</v>
      </c>
      <c r="O332" t="str">
        <f>"603042"</f>
        <v>603042</v>
      </c>
      <c r="P332" t="str">
        <f>"A400948245"</f>
        <v>A400948245</v>
      </c>
    </row>
    <row r="333" spans="1:16" x14ac:dyDescent="0.25">
      <c r="A333" t="str">
        <f t="shared" si="112"/>
        <v>人民币</v>
      </c>
      <c r="B333" t="str">
        <f>"长城证券"</f>
        <v>长城证券</v>
      </c>
      <c r="C333" t="str">
        <f>"20190905"</f>
        <v>20190905</v>
      </c>
      <c r="D333" t="str">
        <f>"16.597"</f>
        <v>16.597</v>
      </c>
      <c r="E333" t="str">
        <f>"1000.00"</f>
        <v>1000.00</v>
      </c>
      <c r="F333" t="str">
        <f>"-16613.60"</f>
        <v>-16613.60</v>
      </c>
      <c r="G333" t="str">
        <f>"20005.51"</f>
        <v>20005.51</v>
      </c>
      <c r="H333" t="str">
        <f>"1000.00"</f>
        <v>1000.00</v>
      </c>
      <c r="I333" t="str">
        <f>"319"</f>
        <v>319</v>
      </c>
      <c r="J333" t="str">
        <f>"证券买入(长城证券)"</f>
        <v>证券买入(长城证券)</v>
      </c>
      <c r="K333" t="str">
        <f>"16.60"</f>
        <v>16.60</v>
      </c>
      <c r="L333" t="str">
        <f>"0.00"</f>
        <v>0.00</v>
      </c>
      <c r="M333" t="str">
        <f>"0.00"</f>
        <v>0.00</v>
      </c>
      <c r="N333" t="str">
        <f t="shared" si="116"/>
        <v>0.00</v>
      </c>
      <c r="O333" t="str">
        <f>"002939"</f>
        <v>002939</v>
      </c>
      <c r="P333" t="str">
        <f t="shared" ref="P333:P341" si="117">"0153613480"</f>
        <v>0153613480</v>
      </c>
    </row>
    <row r="334" spans="1:16" x14ac:dyDescent="0.25">
      <c r="A334" t="str">
        <f t="shared" si="112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>"0.00"</f>
        <v>0.00</v>
      </c>
      <c r="N334" t="str">
        <f t="shared" si="116"/>
        <v>0.00</v>
      </c>
      <c r="O334" t="str">
        <f>"002939"</f>
        <v>002939</v>
      </c>
      <c r="P334" t="str">
        <f t="shared" si="117"/>
        <v>0153613480</v>
      </c>
    </row>
    <row r="335" spans="1:16" x14ac:dyDescent="0.25">
      <c r="A335" t="str">
        <f t="shared" si="112"/>
        <v>人民币</v>
      </c>
      <c r="B335" t="str">
        <f>"旋极信息"</f>
        <v>旋极信息</v>
      </c>
      <c r="C335" t="str">
        <f>"20190905"</f>
        <v>20190905</v>
      </c>
      <c r="D335" t="str">
        <f>"5.810"</f>
        <v>5.810</v>
      </c>
      <c r="E335" t="str">
        <f>"-3000.00"</f>
        <v>-3000.00</v>
      </c>
      <c r="F335" t="str">
        <f>"17395.14"</f>
        <v>17395.14</v>
      </c>
      <c r="G335" t="str">
        <f>"34095.65"</f>
        <v>34095.65</v>
      </c>
      <c r="H335" t="str">
        <f>"0.00"</f>
        <v>0.00</v>
      </c>
      <c r="I335" t="str">
        <f>"332"</f>
        <v>332</v>
      </c>
      <c r="J335" t="str">
        <f>"证券卖出(旋极信息)"</f>
        <v>证券卖出(旋极信息)</v>
      </c>
      <c r="K335" t="str">
        <f>"17.43"</f>
        <v>17.43</v>
      </c>
      <c r="L335" t="str">
        <f>"17.43"</f>
        <v>17.43</v>
      </c>
      <c r="M335" t="str">
        <f t="shared" ref="M335:M341" si="118">"0.00"</f>
        <v>0.00</v>
      </c>
      <c r="N335" t="str">
        <f t="shared" si="116"/>
        <v>0.00</v>
      </c>
      <c r="O335" t="str">
        <f>"300324"</f>
        <v>300324</v>
      </c>
      <c r="P335" t="str">
        <f t="shared" si="117"/>
        <v>0153613480</v>
      </c>
    </row>
    <row r="336" spans="1:16" x14ac:dyDescent="0.25">
      <c r="A336" t="str">
        <f t="shared" si="112"/>
        <v>人民币</v>
      </c>
      <c r="B336" t="str">
        <f>"五方光电"</f>
        <v>五方光电</v>
      </c>
      <c r="C336" t="str">
        <f>"20190905"</f>
        <v>20190905</v>
      </c>
      <c r="D336" t="str">
        <f>"0.000"</f>
        <v>0.000</v>
      </c>
      <c r="E336" t="str">
        <f>"15.00"</f>
        <v>15.00</v>
      </c>
      <c r="F336" t="str">
        <f>"0.00"</f>
        <v>0.00</v>
      </c>
      <c r="G336" t="str">
        <f>"34095.65"</f>
        <v>34095.65</v>
      </c>
      <c r="H336" t="str">
        <f>"0.00"</f>
        <v>0.00</v>
      </c>
      <c r="I336" t="str">
        <f>"324"</f>
        <v>324</v>
      </c>
      <c r="J336" t="str">
        <f>"申购配号(五方光电)"</f>
        <v>申购配号(五方光电)</v>
      </c>
      <c r="K336" t="str">
        <f>"0.00"</f>
        <v>0.00</v>
      </c>
      <c r="L336" t="str">
        <f>"0.00"</f>
        <v>0.00</v>
      </c>
      <c r="M336" t="str">
        <f t="shared" si="118"/>
        <v>0.00</v>
      </c>
      <c r="N336" t="str">
        <f t="shared" si="116"/>
        <v>0.00</v>
      </c>
      <c r="O336" t="str">
        <f>"002962"</f>
        <v>002962</v>
      </c>
      <c r="P336" t="str">
        <f t="shared" si="117"/>
        <v>0153613480</v>
      </c>
    </row>
    <row r="337" spans="1:16" x14ac:dyDescent="0.25">
      <c r="A337" t="str">
        <f t="shared" si="112"/>
        <v>人民币</v>
      </c>
      <c r="B337" t="str">
        <f>"长城证券"</f>
        <v>长城证券</v>
      </c>
      <c r="C337" t="str">
        <f>"20190906"</f>
        <v>20190906</v>
      </c>
      <c r="D337" t="str">
        <f>"16.100"</f>
        <v>16.100</v>
      </c>
      <c r="E337" t="str">
        <f>"1000.00"</f>
        <v>1000.00</v>
      </c>
      <c r="F337" t="str">
        <f>"-16116.10"</f>
        <v>-16116.10</v>
      </c>
      <c r="G337" t="str">
        <f>"17979.55"</f>
        <v>17979.55</v>
      </c>
      <c r="H337" t="str">
        <f>"2200.00"</f>
        <v>2200.00</v>
      </c>
      <c r="I337" t="str">
        <f>"340"</f>
        <v>340</v>
      </c>
      <c r="J337" t="str">
        <f>"证券买入(长城证券)"</f>
        <v>证券买入(长城证券)</v>
      </c>
      <c r="K337" t="str">
        <f>"16.10"</f>
        <v>16.10</v>
      </c>
      <c r="L337" t="str">
        <f>"0.00"</f>
        <v>0.00</v>
      </c>
      <c r="M337" t="str">
        <f t="shared" si="118"/>
        <v>0.00</v>
      </c>
      <c r="N337" t="str">
        <f t="shared" si="116"/>
        <v>0.00</v>
      </c>
      <c r="O337" t="str">
        <f>"002939"</f>
        <v>002939</v>
      </c>
      <c r="P337" t="str">
        <f t="shared" si="117"/>
        <v>0153613480</v>
      </c>
    </row>
    <row r="338" spans="1:16" x14ac:dyDescent="0.25">
      <c r="A338" t="str">
        <f t="shared" si="112"/>
        <v>人民币</v>
      </c>
      <c r="B338" t="str">
        <f>"长城证券"</f>
        <v>长城证券</v>
      </c>
      <c r="C338" t="str">
        <f>"20190906"</f>
        <v>20190906</v>
      </c>
      <c r="D338" t="str">
        <f>"16.300"</f>
        <v>16.300</v>
      </c>
      <c r="E338" t="str">
        <f>"-1000.00"</f>
        <v>-1000.00</v>
      </c>
      <c r="F338" t="str">
        <f>"16267.40"</f>
        <v>16267.40</v>
      </c>
      <c r="G338" t="str">
        <f>"34246.95"</f>
        <v>34246.95</v>
      </c>
      <c r="H338" t="str">
        <f>"1200.00"</f>
        <v>1200.00</v>
      </c>
      <c r="I338" t="str">
        <f>"343"</f>
        <v>343</v>
      </c>
      <c r="J338" t="str">
        <f>"证券卖出(长城证券)"</f>
        <v>证券卖出(长城证券)</v>
      </c>
      <c r="K338" t="str">
        <f>"16.30"</f>
        <v>16.30</v>
      </c>
      <c r="L338" t="str">
        <f>"16.30"</f>
        <v>16.30</v>
      </c>
      <c r="M338" t="str">
        <f t="shared" si="118"/>
        <v>0.00</v>
      </c>
      <c r="N338" t="str">
        <f t="shared" si="116"/>
        <v>0.00</v>
      </c>
      <c r="O338" t="str">
        <f>"002939"</f>
        <v>002939</v>
      </c>
      <c r="P338" t="str">
        <f t="shared" si="117"/>
        <v>0153613480</v>
      </c>
    </row>
    <row r="339" spans="1:16" x14ac:dyDescent="0.25">
      <c r="A339" t="str">
        <f t="shared" si="112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18"/>
        <v>0.00</v>
      </c>
      <c r="N339" t="str">
        <f t="shared" si="116"/>
        <v>0.00</v>
      </c>
      <c r="O339" t="str">
        <f>"002783"</f>
        <v>002783</v>
      </c>
      <c r="P339" t="str">
        <f t="shared" si="117"/>
        <v>0153613480</v>
      </c>
    </row>
    <row r="340" spans="1:16" x14ac:dyDescent="0.25">
      <c r="A340" t="str">
        <f t="shared" si="112"/>
        <v>人民币</v>
      </c>
      <c r="B340" t="str">
        <f>"凯龙股份"</f>
        <v>凯龙股份</v>
      </c>
      <c r="C340" t="str">
        <f>"20190906"</f>
        <v>20190906</v>
      </c>
      <c r="D340" t="str">
        <f>"13.280"</f>
        <v>13.280</v>
      </c>
      <c r="E340" t="str">
        <f>"-3000.00"</f>
        <v>-3000.00</v>
      </c>
      <c r="F340" t="str">
        <f>"39760.32"</f>
        <v>39760.32</v>
      </c>
      <c r="G340" t="str">
        <f>"89384.45"</f>
        <v>89384.45</v>
      </c>
      <c r="H340" t="str">
        <f>"5800.00"</f>
        <v>5800.00</v>
      </c>
      <c r="I340" t="str">
        <f>"352"</f>
        <v>352</v>
      </c>
      <c r="J340" t="str">
        <f>"证券卖出(凯龙股份)"</f>
        <v>证券卖出(凯龙股份)</v>
      </c>
      <c r="K340" t="str">
        <f>"39.84"</f>
        <v>39.84</v>
      </c>
      <c r="L340" t="str">
        <f>"39.84"</f>
        <v>39.84</v>
      </c>
      <c r="M340" t="str">
        <f t="shared" si="118"/>
        <v>0.00</v>
      </c>
      <c r="N340" t="str">
        <f t="shared" si="116"/>
        <v>0.00</v>
      </c>
      <c r="O340" t="str">
        <f>"002783"</f>
        <v>002783</v>
      </c>
      <c r="P340" t="str">
        <f t="shared" si="117"/>
        <v>0153613480</v>
      </c>
    </row>
    <row r="341" spans="1:16" x14ac:dyDescent="0.25">
      <c r="A341" t="str">
        <f t="shared" si="112"/>
        <v>人民币</v>
      </c>
      <c r="B341" t="str">
        <f>"凯龙股份"</f>
        <v>凯龙股份</v>
      </c>
      <c r="C341" t="str">
        <f>"20190906"</f>
        <v>20190906</v>
      </c>
      <c r="D341" t="str">
        <f>"13.940"</f>
        <v>13.940</v>
      </c>
      <c r="E341" t="str">
        <f>"-5800.00"</f>
        <v>-5800.00</v>
      </c>
      <c r="F341" t="str">
        <f>"80690.30"</f>
        <v>80690.30</v>
      </c>
      <c r="G341" t="str">
        <f>"170074.75"</f>
        <v>170074.75</v>
      </c>
      <c r="H341" t="str">
        <f>"0.00"</f>
        <v>0.00</v>
      </c>
      <c r="I341" t="str">
        <f>"358"</f>
        <v>358</v>
      </c>
      <c r="J341" t="str">
        <f>"证券卖出(凯龙股份)"</f>
        <v>证券卖出(凯龙股份)</v>
      </c>
      <c r="K341" t="str">
        <f>"80.85"</f>
        <v>80.85</v>
      </c>
      <c r="L341" t="str">
        <f>"80.85"</f>
        <v>80.85</v>
      </c>
      <c r="M341" t="str">
        <f t="shared" si="118"/>
        <v>0.00</v>
      </c>
      <c r="N341" t="str">
        <f t="shared" si="116"/>
        <v>0.00</v>
      </c>
      <c r="O341" t="str">
        <f>"002783"</f>
        <v>002783</v>
      </c>
      <c r="P341" t="str">
        <f t="shared" si="117"/>
        <v>0153613480</v>
      </c>
    </row>
  </sheetData>
  <autoFilter ref="A1:P268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2019-09-08T02:56:14Z</dcterms:modified>
</cp:coreProperties>
</file>