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zrkw\Desktop\"/>
    </mc:Choice>
  </mc:AlternateContent>
  <bookViews>
    <workbookView xWindow="0" yWindow="0" windowWidth="23040" windowHeight="9060"/>
  </bookViews>
  <sheets>
    <sheet name="2017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0"/>
  <sheetViews>
    <sheetView tabSelected="1" workbookViewId="0"/>
  </sheetViews>
  <sheetFormatPr defaultRowHeight="13.8" x14ac:dyDescent="0.25"/>
  <sheetData>
    <row r="2" spans="1:16" x14ac:dyDescent="0.25">
      <c r="A2" t="str">
        <f>"币种"</f>
        <v>币种</v>
      </c>
      <c r="B2" t="str">
        <f>"证券名称"</f>
        <v>证券名称</v>
      </c>
      <c r="C2" t="str">
        <f>"成交日期"</f>
        <v>成交日期</v>
      </c>
      <c r="D2" t="str">
        <f>"成交价格"</f>
        <v>成交价格</v>
      </c>
      <c r="E2" t="str">
        <f>"成交数量"</f>
        <v>成交数量</v>
      </c>
      <c r="F2" t="str">
        <f>"发生金额"</f>
        <v>发生金额</v>
      </c>
      <c r="G2" t="str">
        <f>"资金余额"</f>
        <v>资金余额</v>
      </c>
      <c r="H2" t="str">
        <f>"剩余数量"</f>
        <v>剩余数量</v>
      </c>
      <c r="I2" t="str">
        <f>"合同编号"</f>
        <v>合同编号</v>
      </c>
      <c r="J2" t="str">
        <f>"业务名称"</f>
        <v>业务名称</v>
      </c>
      <c r="K2" t="str">
        <f>"手续费"</f>
        <v>手续费</v>
      </c>
      <c r="L2" t="str">
        <f>"印花税"</f>
        <v>印花税</v>
      </c>
      <c r="M2" t="str">
        <f>"过户费"</f>
        <v>过户费</v>
      </c>
      <c r="N2" t="str">
        <f>"结算费"</f>
        <v>结算费</v>
      </c>
      <c r="O2" t="str">
        <f>"证券代码"</f>
        <v>证券代码</v>
      </c>
      <c r="P2" t="str">
        <f>"股东代码"</f>
        <v>股东代码</v>
      </c>
    </row>
    <row r="3" spans="1:16" x14ac:dyDescent="0.25">
      <c r="A3" t="str">
        <f t="shared" ref="A3:A66" si="0">"人民币"</f>
        <v>人民币</v>
      </c>
      <c r="B3" t="str">
        <f>""</f>
        <v/>
      </c>
      <c r="C3" t="str">
        <f>"20170227"</f>
        <v>20170227</v>
      </c>
      <c r="D3" t="str">
        <f>"---"</f>
        <v>---</v>
      </c>
      <c r="E3" t="str">
        <f>"---"</f>
        <v>---</v>
      </c>
      <c r="F3" t="str">
        <f>"19000.00"</f>
        <v>19000.00</v>
      </c>
      <c r="G3" t="str">
        <f>"19000.50"</f>
        <v>19000.50</v>
      </c>
      <c r="H3" t="str">
        <f>"---"</f>
        <v>---</v>
      </c>
      <c r="I3" t="str">
        <f>"---"</f>
        <v>---</v>
      </c>
      <c r="J3" t="str">
        <f>"银行转存"</f>
        <v>银行转存</v>
      </c>
      <c r="K3" t="str">
        <f t="shared" ref="K3:P3" si="1">"---"</f>
        <v>---</v>
      </c>
      <c r="L3" t="str">
        <f t="shared" si="1"/>
        <v>---</v>
      </c>
      <c r="M3" t="str">
        <f t="shared" si="1"/>
        <v>---</v>
      </c>
      <c r="N3" t="str">
        <f t="shared" si="1"/>
        <v>---</v>
      </c>
      <c r="O3" t="str">
        <f t="shared" si="1"/>
        <v>---</v>
      </c>
      <c r="P3" t="str">
        <f t="shared" si="1"/>
        <v>---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"11.250"</f>
        <v>11.250</v>
      </c>
      <c r="E4" t="str">
        <f>"200.00"</f>
        <v>200.00</v>
      </c>
      <c r="F4" t="str">
        <f>"-2255.00"</f>
        <v>-2255.00</v>
      </c>
      <c r="G4" t="str">
        <f>"16745.50"</f>
        <v>16745.50</v>
      </c>
      <c r="H4" t="str">
        <f>"200.00"</f>
        <v>200.00</v>
      </c>
      <c r="I4" t="str">
        <f>"2"</f>
        <v>2</v>
      </c>
      <c r="J4" t="str">
        <f>"证券买入(东北制药)"</f>
        <v>证券买入(东北制药)</v>
      </c>
      <c r="K4" t="str">
        <f t="shared" ref="K4:K10" si="2">"5.00"</f>
        <v>5.00</v>
      </c>
      <c r="L4" t="str">
        <f t="shared" ref="L4:N8" si="3">"0.00"</f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ref="P4:P10" si="4">"0153613480"</f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"20170227"</f>
        <v>20170227</v>
      </c>
      <c r="D5" t="str">
        <f>"11.200"</f>
        <v>11.200</v>
      </c>
      <c r="E5" t="str">
        <f>"300.00"</f>
        <v>300.00</v>
      </c>
      <c r="F5" t="str">
        <f>"-3365.00"</f>
        <v>-3365.00</v>
      </c>
      <c r="G5" t="str">
        <f>"13380.50"</f>
        <v>13380.50</v>
      </c>
      <c r="H5" t="str">
        <f>"500.00"</f>
        <v>500.00</v>
      </c>
      <c r="I5" t="str">
        <f>"5"</f>
        <v>5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"东北制药"</f>
        <v>东北制药</v>
      </c>
      <c r="C6" t="str">
        <f>"20170228"</f>
        <v>20170228</v>
      </c>
      <c r="D6" t="str">
        <f>"11.050"</f>
        <v>11.050</v>
      </c>
      <c r="E6" t="str">
        <f>"500.00"</f>
        <v>500.00</v>
      </c>
      <c r="F6" t="str">
        <f>"-5530.00"</f>
        <v>-5530.00</v>
      </c>
      <c r="G6" t="str">
        <f>"7850.50"</f>
        <v>7850.50</v>
      </c>
      <c r="H6" t="str">
        <f>"1000.00"</f>
        <v>1000.00</v>
      </c>
      <c r="I6" t="str">
        <f>"1"</f>
        <v>1</v>
      </c>
      <c r="J6" t="str">
        <f>"证券买入(东北制药)"</f>
        <v>证券买入(东北制药)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"000597"</f>
        <v>000597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"11.810"</f>
        <v>11.810</v>
      </c>
      <c r="E7" t="str">
        <f>"200.00"</f>
        <v>200.00</v>
      </c>
      <c r="F7" t="str">
        <f>"-2367.00"</f>
        <v>-2367.00</v>
      </c>
      <c r="G7" t="str">
        <f>"5483.50"</f>
        <v>5483.50</v>
      </c>
      <c r="H7" t="str">
        <f>"200.00"</f>
        <v>200.00</v>
      </c>
      <c r="I7" t="str">
        <f>"5"</f>
        <v>5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"20170301"</f>
        <v>20170301</v>
      </c>
      <c r="D8" t="str">
        <f>"11.600"</f>
        <v>11.600</v>
      </c>
      <c r="E8" t="str">
        <f>"200.00"</f>
        <v>200.00</v>
      </c>
      <c r="F8" t="str">
        <f>"-2325.00"</f>
        <v>-2325.00</v>
      </c>
      <c r="G8" t="str">
        <f>"3158.50"</f>
        <v>3158.50</v>
      </c>
      <c r="H8" t="str">
        <f>"400.00"</f>
        <v>400.00</v>
      </c>
      <c r="I8" t="str">
        <f>"8"</f>
        <v>8</v>
      </c>
      <c r="J8" t="str">
        <f>"证券买入(*ST舜船)"</f>
        <v>证券买入(*ST舜船)</v>
      </c>
      <c r="K8" t="str">
        <f t="shared" si="2"/>
        <v>5.00</v>
      </c>
      <c r="L8" t="str">
        <f t="shared" si="3"/>
        <v>0.00</v>
      </c>
      <c r="M8" t="str">
        <f t="shared" si="3"/>
        <v>0.00</v>
      </c>
      <c r="N8" t="str">
        <f t="shared" si="3"/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"*ST舜船"</f>
        <v>*ST舜船</v>
      </c>
      <c r="C9" t="str">
        <f>"20170302"</f>
        <v>20170302</v>
      </c>
      <c r="D9" t="str">
        <f>"12.480"</f>
        <v>12.480</v>
      </c>
      <c r="E9" t="str">
        <f>"-400.00"</f>
        <v>-400.00</v>
      </c>
      <c r="F9" t="str">
        <f>"4982.01"</f>
        <v>4982.01</v>
      </c>
      <c r="G9" t="str">
        <f>"8140.51"</f>
        <v>8140.51</v>
      </c>
      <c r="H9" t="str">
        <f>"0.00"</f>
        <v>0.00</v>
      </c>
      <c r="I9" t="str">
        <f>"13"</f>
        <v>13</v>
      </c>
      <c r="J9" t="str">
        <f>"证券卖出(*ST舜船)"</f>
        <v>证券卖出(*ST舜船)</v>
      </c>
      <c r="K9" t="str">
        <f t="shared" si="2"/>
        <v>5.00</v>
      </c>
      <c r="L9" t="str">
        <f>"4.99"</f>
        <v>4.99</v>
      </c>
      <c r="M9" t="str">
        <f>"0.00"</f>
        <v>0.00</v>
      </c>
      <c r="N9" t="str">
        <f>"0.00"</f>
        <v>0.00</v>
      </c>
      <c r="O9" t="str">
        <f>"002608"</f>
        <v>002608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"合肥城建"</f>
        <v>合肥城建</v>
      </c>
      <c r="C10" t="str">
        <f>"20170302"</f>
        <v>20170302</v>
      </c>
      <c r="D10" t="str">
        <f>"17.380"</f>
        <v>17.380</v>
      </c>
      <c r="E10" t="str">
        <f>"300.00"</f>
        <v>300.00</v>
      </c>
      <c r="F10" t="str">
        <f>"-5219.00"</f>
        <v>-5219.00</v>
      </c>
      <c r="G10" t="str">
        <f>"2921.51"</f>
        <v>2921.51</v>
      </c>
      <c r="H10" t="str">
        <f>"300.00"</f>
        <v>300.00</v>
      </c>
      <c r="I10" t="str">
        <f>"16"</f>
        <v>16</v>
      </c>
      <c r="J10" t="str">
        <f>"证券买入(合肥城建)"</f>
        <v>证券买入(合肥城建)</v>
      </c>
      <c r="K10" t="str">
        <f t="shared" si="2"/>
        <v>5.00</v>
      </c>
      <c r="L10" t="str">
        <f>"0.00"</f>
        <v>0.00</v>
      </c>
      <c r="M10" t="str">
        <f>"0.00"</f>
        <v>0.00</v>
      </c>
      <c r="N10" t="str">
        <f>"0.00"</f>
        <v>0.00</v>
      </c>
      <c r="O10" t="str">
        <f>"002208"</f>
        <v>002208</v>
      </c>
      <c r="P10" t="str">
        <f t="shared" si="4"/>
        <v>0153613480</v>
      </c>
    </row>
    <row r="11" spans="1:16" x14ac:dyDescent="0.25">
      <c r="A11" t="str">
        <f t="shared" si="0"/>
        <v>人民币</v>
      </c>
      <c r="B11" t="str">
        <f>""</f>
        <v/>
      </c>
      <c r="C11" t="str">
        <f>"20170303"</f>
        <v>20170303</v>
      </c>
      <c r="D11" t="str">
        <f>"---"</f>
        <v>---</v>
      </c>
      <c r="E11" t="str">
        <f>"---"</f>
        <v>---</v>
      </c>
      <c r="F11" t="str">
        <f>"9000.00"</f>
        <v>9000.00</v>
      </c>
      <c r="G11" t="str">
        <f>"11921.51"</f>
        <v>11921.51</v>
      </c>
      <c r="H11" t="str">
        <f>"---"</f>
        <v>---</v>
      </c>
      <c r="I11" t="str">
        <f>"---"</f>
        <v>---</v>
      </c>
      <c r="J11" t="str">
        <f>"银行转存"</f>
        <v>银行转存</v>
      </c>
      <c r="K11" t="str">
        <f t="shared" ref="K11:P11" si="5">"---"</f>
        <v>---</v>
      </c>
      <c r="L11" t="str">
        <f t="shared" si="5"/>
        <v>---</v>
      </c>
      <c r="M11" t="str">
        <f t="shared" si="5"/>
        <v>---</v>
      </c>
      <c r="N11" t="str">
        <f t="shared" si="5"/>
        <v>---</v>
      </c>
      <c r="O11" t="str">
        <f t="shared" si="5"/>
        <v>---</v>
      </c>
      <c r="P11" t="str">
        <f t="shared" si="5"/>
        <v>---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"17.380"</f>
        <v>17.380</v>
      </c>
      <c r="E12" t="str">
        <f>"300.00"</f>
        <v>300.00</v>
      </c>
      <c r="F12" t="str">
        <f>"-5219.00"</f>
        <v>-5219.00</v>
      </c>
      <c r="G12" t="str">
        <f>"6702.51"</f>
        <v>6702.51</v>
      </c>
      <c r="H12" t="str">
        <f>"600.00"</f>
        <v>600.00</v>
      </c>
      <c r="I12" t="str">
        <f>"23"</f>
        <v>23</v>
      </c>
      <c r="J12" t="str">
        <f>"证券买入(合肥城建)"</f>
        <v>证券买入(合肥城建)</v>
      </c>
      <c r="K12" t="str">
        <f t="shared" ref="K12:K18" si="6">"5.00"</f>
        <v>5.00</v>
      </c>
      <c r="L12" t="str">
        <f t="shared" ref="L12:N13" si="7">"0.00"</f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"合肥城建"</f>
        <v>合肥城建</v>
      </c>
      <c r="C13" t="str">
        <f>"20170303"</f>
        <v>20170303</v>
      </c>
      <c r="D13" t="str">
        <f>"17.100"</f>
        <v>17.100</v>
      </c>
      <c r="E13" t="str">
        <f>"300.00"</f>
        <v>300.00</v>
      </c>
      <c r="F13" t="str">
        <f>"-5135.00"</f>
        <v>-5135.00</v>
      </c>
      <c r="G13" t="str">
        <f>"1567.51"</f>
        <v>1567.51</v>
      </c>
      <c r="H13" t="str">
        <f>"900.00"</f>
        <v>900.00</v>
      </c>
      <c r="I13" t="str">
        <f>"26"</f>
        <v>26</v>
      </c>
      <c r="J13" t="str">
        <f>"证券买入(合肥城建)"</f>
        <v>证券买入(合肥城建)</v>
      </c>
      <c r="K13" t="str">
        <f t="shared" si="6"/>
        <v>5.00</v>
      </c>
      <c r="L13" t="str">
        <f t="shared" si="7"/>
        <v>0.00</v>
      </c>
      <c r="M13" t="str">
        <f t="shared" si="7"/>
        <v>0.00</v>
      </c>
      <c r="N13" t="str">
        <f t="shared" si="7"/>
        <v>0.00</v>
      </c>
      <c r="O13" t="str">
        <f>"002208"</f>
        <v>002208</v>
      </c>
      <c r="P13" t="str">
        <f>"0153613480"</f>
        <v>0153613480</v>
      </c>
    </row>
    <row r="14" spans="1:16" x14ac:dyDescent="0.25">
      <c r="A14" t="str">
        <f t="shared" si="0"/>
        <v>人民币</v>
      </c>
      <c r="B14" t="str">
        <f>"均胜电子"</f>
        <v>均胜电子</v>
      </c>
      <c r="C14" t="str">
        <f>"20170307"</f>
        <v>20170307</v>
      </c>
      <c r="D14" t="str">
        <f>"31.980"</f>
        <v>31.980</v>
      </c>
      <c r="E14" t="str">
        <f>"200.00"</f>
        <v>200.00</v>
      </c>
      <c r="F14" t="str">
        <f>"-6401.13"</f>
        <v>-6401.13</v>
      </c>
      <c r="G14" t="str">
        <f>"-4833.62"</f>
        <v>-4833.62</v>
      </c>
      <c r="H14" t="str">
        <f>"200.00"</f>
        <v>200.00</v>
      </c>
      <c r="I14" t="str">
        <f>"37"</f>
        <v>37</v>
      </c>
      <c r="J14" t="str">
        <f>"证券买入(均胜电子)"</f>
        <v>证券买入(均胜电子)</v>
      </c>
      <c r="K14" t="str">
        <f t="shared" si="6"/>
        <v>5.00</v>
      </c>
      <c r="L14" t="str">
        <f>"0.00"</f>
        <v>0.00</v>
      </c>
      <c r="M14" t="str">
        <f>"0.13"</f>
        <v>0.13</v>
      </c>
      <c r="N14" t="str">
        <f t="shared" ref="N14:N20" si="8">"0.00"</f>
        <v>0.00</v>
      </c>
      <c r="O14" t="str">
        <f>"600699"</f>
        <v>600699</v>
      </c>
      <c r="P14" t="str">
        <f>"A400948245"</f>
        <v>A400948245</v>
      </c>
    </row>
    <row r="15" spans="1:16" x14ac:dyDescent="0.25">
      <c r="A15" t="str">
        <f t="shared" si="0"/>
        <v>人民币</v>
      </c>
      <c r="B15" t="str">
        <f>"东北制药"</f>
        <v>东北制药</v>
      </c>
      <c r="C15" t="str">
        <f>"20170307"</f>
        <v>20170307</v>
      </c>
      <c r="D15" t="str">
        <f>"11.170"</f>
        <v>11.170</v>
      </c>
      <c r="E15" t="str">
        <f>"-1000.00"</f>
        <v>-1000.00</v>
      </c>
      <c r="F15" t="str">
        <f>"11153.83"</f>
        <v>11153.83</v>
      </c>
      <c r="G15" t="str">
        <f>"6320.21"</f>
        <v>6320.21</v>
      </c>
      <c r="H15" t="str">
        <f>"0.00"</f>
        <v>0.00</v>
      </c>
      <c r="I15" t="str">
        <f>"34"</f>
        <v>34</v>
      </c>
      <c r="J15" t="str">
        <f>"证券卖出(东北制药)"</f>
        <v>证券卖出(东北制药)</v>
      </c>
      <c r="K15" t="str">
        <f t="shared" si="6"/>
        <v>5.00</v>
      </c>
      <c r="L15" t="str">
        <f>"11.17"</f>
        <v>11.17</v>
      </c>
      <c r="M15" t="str">
        <f>"0.00"</f>
        <v>0.00</v>
      </c>
      <c r="N15" t="str">
        <f t="shared" si="8"/>
        <v>0.00</v>
      </c>
      <c r="O15" t="str">
        <f>"000597"</f>
        <v>000597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"合肥城建"</f>
        <v>合肥城建</v>
      </c>
      <c r="C16" t="str">
        <f>"20170307"</f>
        <v>20170307</v>
      </c>
      <c r="D16" t="str">
        <f>"17.080"</f>
        <v>17.080</v>
      </c>
      <c r="E16" t="str">
        <f>"300.00"</f>
        <v>300.00</v>
      </c>
      <c r="F16" t="str">
        <f>"-5129.00"</f>
        <v>-5129.00</v>
      </c>
      <c r="G16" t="str">
        <f>"1191.21"</f>
        <v>1191.21</v>
      </c>
      <c r="H16" t="str">
        <f>"1200.00"</f>
        <v>1200.00</v>
      </c>
      <c r="I16" t="str">
        <f>"40"</f>
        <v>40</v>
      </c>
      <c r="J16" t="str">
        <f>"证券买入(合肥城建)"</f>
        <v>证券买入(合肥城建)</v>
      </c>
      <c r="K16" t="str">
        <f t="shared" si="6"/>
        <v>5.00</v>
      </c>
      <c r="L16" t="str">
        <f>"0.00"</f>
        <v>0.00</v>
      </c>
      <c r="M16" t="str">
        <f>"0.00"</f>
        <v>0.00</v>
      </c>
      <c r="N16" t="str">
        <f t="shared" si="8"/>
        <v>0.00</v>
      </c>
      <c r="O16" t="str">
        <f>"002208"</f>
        <v>002208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"均胜电子"</f>
        <v>均胜电子</v>
      </c>
      <c r="C17" t="str">
        <f>"20170314"</f>
        <v>20170314</v>
      </c>
      <c r="D17" t="str">
        <f>"32.900"</f>
        <v>32.900</v>
      </c>
      <c r="E17" t="str">
        <f>"-200.00"</f>
        <v>-200.00</v>
      </c>
      <c r="F17" t="str">
        <f>"6568.29"</f>
        <v>6568.29</v>
      </c>
      <c r="G17" t="str">
        <f>"7759.50"</f>
        <v>7759.50</v>
      </c>
      <c r="H17" t="str">
        <f>"0.00"</f>
        <v>0.00</v>
      </c>
      <c r="I17" t="str">
        <f>"46"</f>
        <v>46</v>
      </c>
      <c r="J17" t="str">
        <f>"证券卖出(均胜电子)"</f>
        <v>证券卖出(均胜电子)</v>
      </c>
      <c r="K17" t="str">
        <f t="shared" si="6"/>
        <v>5.00</v>
      </c>
      <c r="L17" t="str">
        <f>"6.58"</f>
        <v>6.58</v>
      </c>
      <c r="M17" t="str">
        <f>"0.13"</f>
        <v>0.13</v>
      </c>
      <c r="N17" t="str">
        <f t="shared" si="8"/>
        <v>0.00</v>
      </c>
      <c r="O17" t="str">
        <f>"600699"</f>
        <v>600699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"合肥城建"</f>
        <v>合肥城建</v>
      </c>
      <c r="C18" t="str">
        <f>"20170315"</f>
        <v>20170315</v>
      </c>
      <c r="D18" t="str">
        <f>"16.820"</f>
        <v>16.820</v>
      </c>
      <c r="E18" t="str">
        <f>"400.00"</f>
        <v>400.00</v>
      </c>
      <c r="F18" t="str">
        <f>"-6733.00"</f>
        <v>-6733.00</v>
      </c>
      <c r="G18" t="str">
        <f>"1026.50"</f>
        <v>1026.50</v>
      </c>
      <c r="H18" t="str">
        <f>"1600.00"</f>
        <v>1600.00</v>
      </c>
      <c r="I18" t="str">
        <f>"54"</f>
        <v>54</v>
      </c>
      <c r="J18" t="str">
        <f>"证券买入(合肥城建)"</f>
        <v>证券买入(合肥城建)</v>
      </c>
      <c r="K18" t="str">
        <f t="shared" si="6"/>
        <v>5.00</v>
      </c>
      <c r="L18" t="str">
        <f t="shared" ref="L18:M20" si="9">"0.00"</f>
        <v>0.00</v>
      </c>
      <c r="M18" t="str">
        <f t="shared" si="9"/>
        <v>0.00</v>
      </c>
      <c r="N18" t="str">
        <f t="shared" si="8"/>
        <v>0.00</v>
      </c>
      <c r="O18" t="str">
        <f>"002208"</f>
        <v>002208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"快意电梯"</f>
        <v>快意电梯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"50"</f>
        <v>50</v>
      </c>
      <c r="J19" t="str">
        <f>"申购配号(快意电梯)"</f>
        <v>申购配号(快意电梯)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"002774"</f>
        <v>002774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"力盛赛车"</f>
        <v>力盛赛车</v>
      </c>
      <c r="C20" t="str">
        <f>"20170315"</f>
        <v>20170315</v>
      </c>
      <c r="D20" t="str">
        <f>"0.000"</f>
        <v>0.000</v>
      </c>
      <c r="E20" t="str">
        <f>"2.00"</f>
        <v>2.00</v>
      </c>
      <c r="F20" t="str">
        <f>"0.00"</f>
        <v>0.00</v>
      </c>
      <c r="G20" t="str">
        <f>"1026.50"</f>
        <v>1026.50</v>
      </c>
      <c r="H20" t="str">
        <f>"0.00"</f>
        <v>0.00</v>
      </c>
      <c r="I20" t="str">
        <f>"52"</f>
        <v>52</v>
      </c>
      <c r="J20" t="str">
        <f>"申购配号(力盛赛车)"</f>
        <v>申购配号(力盛赛车)</v>
      </c>
      <c r="K20" t="str">
        <f>"0.00"</f>
        <v>0.00</v>
      </c>
      <c r="L20" t="str">
        <f t="shared" si="9"/>
        <v>0.00</v>
      </c>
      <c r="M20" t="str">
        <f t="shared" si="9"/>
        <v>0.00</v>
      </c>
      <c r="N20" t="str">
        <f t="shared" si="8"/>
        <v>0.00</v>
      </c>
      <c r="O20" t="str">
        <f>"002858"</f>
        <v>002858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""</f>
        <v/>
      </c>
      <c r="C21" t="str">
        <f>"20170320"</f>
        <v>20170320</v>
      </c>
      <c r="D21" t="str">
        <f>"---"</f>
        <v>---</v>
      </c>
      <c r="E21" t="str">
        <f>"---"</f>
        <v>---</v>
      </c>
      <c r="F21" t="str">
        <f>"0.53"</f>
        <v>0.53</v>
      </c>
      <c r="G21" t="str">
        <f>"1027.03"</f>
        <v>1027.03</v>
      </c>
      <c r="H21" t="str">
        <f>"---"</f>
        <v>---</v>
      </c>
      <c r="I21" t="str">
        <f>"---"</f>
        <v>---</v>
      </c>
      <c r="J21" t="str">
        <f>"批量利息归本"</f>
        <v>批量利息归本</v>
      </c>
      <c r="K21" t="str">
        <f t="shared" ref="K21:P22" si="10">"---"</f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""</f>
        <v/>
      </c>
      <c r="C22" t="str">
        <f>"20170322"</f>
        <v>20170322</v>
      </c>
      <c r="D22" t="str">
        <f>"---"</f>
        <v>---</v>
      </c>
      <c r="E22" t="str">
        <f>"---"</f>
        <v>---</v>
      </c>
      <c r="F22" t="str">
        <f>"8000.00"</f>
        <v>8000.00</v>
      </c>
      <c r="G22" t="str">
        <f>"9027.03"</f>
        <v>9027.03</v>
      </c>
      <c r="H22" t="str">
        <f>"---"</f>
        <v>---</v>
      </c>
      <c r="I22" t="str">
        <f>"---"</f>
        <v>---</v>
      </c>
      <c r="J22" t="str">
        <f>"银行转存"</f>
        <v>银行转存</v>
      </c>
      <c r="K22" t="str">
        <f t="shared" si="10"/>
        <v>---</v>
      </c>
      <c r="L22" t="str">
        <f t="shared" si="10"/>
        <v>---</v>
      </c>
      <c r="M22" t="str">
        <f t="shared" si="10"/>
        <v>---</v>
      </c>
      <c r="N22" t="str">
        <f t="shared" si="10"/>
        <v>---</v>
      </c>
      <c r="O22" t="str">
        <f t="shared" si="10"/>
        <v>---</v>
      </c>
      <c r="P22" t="str">
        <f t="shared" si="10"/>
        <v>---</v>
      </c>
    </row>
    <row r="23" spans="1:16" x14ac:dyDescent="0.25">
      <c r="A23" t="str">
        <f t="shared" si="0"/>
        <v>人民币</v>
      </c>
      <c r="B23" t="str">
        <f>"合肥城建"</f>
        <v>合肥城建</v>
      </c>
      <c r="C23" t="str">
        <f>"20170322"</f>
        <v>20170322</v>
      </c>
      <c r="D23" t="str">
        <f>"16.300"</f>
        <v>16.300</v>
      </c>
      <c r="E23" t="str">
        <f>"500.00"</f>
        <v>500.00</v>
      </c>
      <c r="F23" t="str">
        <f>"-8155.00"</f>
        <v>-8155.00</v>
      </c>
      <c r="G23" t="str">
        <f>"872.03"</f>
        <v>872.03</v>
      </c>
      <c r="H23" t="str">
        <f>"2100.00"</f>
        <v>2100.00</v>
      </c>
      <c r="I23" t="str">
        <f>"65"</f>
        <v>65</v>
      </c>
      <c r="J23" t="str">
        <f>"证券买入(合肥城建)"</f>
        <v>证券买入(合肥城建)</v>
      </c>
      <c r="K23" t="str">
        <f>"5.00"</f>
        <v>5.00</v>
      </c>
      <c r="L23" t="str">
        <f t="shared" ref="L23:N24" si="11">"0.00"</f>
        <v>0.00</v>
      </c>
      <c r="M23" t="str">
        <f t="shared" si="11"/>
        <v>0.00</v>
      </c>
      <c r="N23" t="str">
        <f t="shared" si="11"/>
        <v>0.00</v>
      </c>
      <c r="O23" t="str">
        <f>"002208"</f>
        <v>002208</v>
      </c>
      <c r="P23" t="str">
        <f t="shared" ref="P23:P32" si="12">"0153613480"</f>
        <v>0153613480</v>
      </c>
    </row>
    <row r="24" spans="1:16" x14ac:dyDescent="0.25">
      <c r="A24" t="str">
        <f t="shared" si="0"/>
        <v>人民币</v>
      </c>
      <c r="B24" t="str">
        <f>"达安股份"</f>
        <v>达安股份</v>
      </c>
      <c r="C24" t="str">
        <f>"20170323"</f>
        <v>20170323</v>
      </c>
      <c r="D24" t="str">
        <f>"0.000"</f>
        <v>0.000</v>
      </c>
      <c r="E24" t="str">
        <f>"3.00"</f>
        <v>3.00</v>
      </c>
      <c r="F24" t="str">
        <f>"0.00"</f>
        <v>0.00</v>
      </c>
      <c r="G24" t="str">
        <f>"872.03"</f>
        <v>872.03</v>
      </c>
      <c r="H24" t="str">
        <f>"0.00"</f>
        <v>0.00</v>
      </c>
      <c r="I24" t="str">
        <f>"69"</f>
        <v>69</v>
      </c>
      <c r="J24" t="str">
        <f>"申购配号(达安股份)"</f>
        <v>申购配号(达安股份)</v>
      </c>
      <c r="K24" t="str">
        <f>"0.00"</f>
        <v>0.00</v>
      </c>
      <c r="L24" t="str">
        <f t="shared" si="11"/>
        <v>0.00</v>
      </c>
      <c r="M24" t="str">
        <f t="shared" si="11"/>
        <v>0.00</v>
      </c>
      <c r="N24" t="str">
        <f t="shared" si="11"/>
        <v>0.00</v>
      </c>
      <c r="O24" t="str">
        <f>"300635"</f>
        <v>300635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"20170324"</f>
        <v>20170324</v>
      </c>
      <c r="D25" t="str">
        <f>"17.480"</f>
        <v>17.480</v>
      </c>
      <c r="E25" t="str">
        <f>"-500.00"</f>
        <v>-500.00</v>
      </c>
      <c r="F25" t="str">
        <f>"8726.26"</f>
        <v>8726.26</v>
      </c>
      <c r="G25" t="str">
        <f>"9598.29"</f>
        <v>9598.29</v>
      </c>
      <c r="H25" t="str">
        <f>"1600.00"</f>
        <v>1600.00</v>
      </c>
      <c r="I25" t="str">
        <f>"74"</f>
        <v>74</v>
      </c>
      <c r="J25" t="str">
        <f>"证券卖出(合肥城建)"</f>
        <v>证券卖出(合肥城建)</v>
      </c>
      <c r="K25" t="str">
        <f>"5.00"</f>
        <v>5.00</v>
      </c>
      <c r="L25" t="str">
        <f>"8.74"</f>
        <v>8.74</v>
      </c>
      <c r="M25" t="str">
        <f t="shared" ref="M25:N32" si="13">"0.00"</f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"合肥城建"</f>
        <v>合肥城建</v>
      </c>
      <c r="C26" t="str">
        <f>"20170327"</f>
        <v>20170327</v>
      </c>
      <c r="D26" t="str">
        <f>"16.830"</f>
        <v>16.830</v>
      </c>
      <c r="E26" t="str">
        <f>"400.00"</f>
        <v>400.00</v>
      </c>
      <c r="F26" t="str">
        <f>"-6737.00"</f>
        <v>-6737.00</v>
      </c>
      <c r="G26" t="str">
        <f>"2861.29"</f>
        <v>2861.29</v>
      </c>
      <c r="H26" t="str">
        <f>"2000.00"</f>
        <v>2000.00</v>
      </c>
      <c r="I26" t="str">
        <f>"78"</f>
        <v>78</v>
      </c>
      <c r="J26" t="str">
        <f>"证券买入(合肥城建)"</f>
        <v>证券买入(合肥城建)</v>
      </c>
      <c r="K26" t="str">
        <f>"5.00"</f>
        <v>5.00</v>
      </c>
      <c r="L26" t="str">
        <f t="shared" ref="L26:L32" si="14">"0.00"</f>
        <v>0.00</v>
      </c>
      <c r="M26" t="str">
        <f t="shared" si="13"/>
        <v>0.00</v>
      </c>
      <c r="N26" t="str">
        <f t="shared" si="13"/>
        <v>0.00</v>
      </c>
      <c r="O26" t="str">
        <f>"002208"</f>
        <v>002208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"广和通"</f>
        <v>广和通</v>
      </c>
      <c r="C27" t="str">
        <f>"20170327"</f>
        <v>20170327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"81"</f>
        <v>81</v>
      </c>
      <c r="J27" t="str">
        <f>"申购配号(广和通)"</f>
        <v>申购配号(广和通)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"300638"</f>
        <v>300638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"星帅尔"</f>
        <v>星帅尔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"85"</f>
        <v>85</v>
      </c>
      <c r="J28" t="str">
        <f>"申购配号(星帅尔)"</f>
        <v>申购配号(星帅尔)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"002860"</f>
        <v>002860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"实丰文化"</f>
        <v>实丰文化</v>
      </c>
      <c r="C29" t="str">
        <f>"20170329"</f>
        <v>20170329</v>
      </c>
      <c r="D29" t="str">
        <f>"0.000"</f>
        <v>0.000</v>
      </c>
      <c r="E29" t="str">
        <f>"4.00"</f>
        <v>4.00</v>
      </c>
      <c r="F29" t="str">
        <f>"0.00"</f>
        <v>0.00</v>
      </c>
      <c r="G29" t="str">
        <f>"2861.29"</f>
        <v>2861.29</v>
      </c>
      <c r="H29" t="str">
        <f>"0.00"</f>
        <v>0.00</v>
      </c>
      <c r="I29" t="str">
        <f>"87"</f>
        <v>87</v>
      </c>
      <c r="J29" t="str">
        <f>"申购配号(实丰文化)"</f>
        <v>申购配号(实丰文化)</v>
      </c>
      <c r="K29" t="str">
        <f>"0.00"</f>
        <v>0.00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"002862"</f>
        <v>002862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"合肥城建"</f>
        <v>合肥城建</v>
      </c>
      <c r="C30" t="str">
        <f>"20170330"</f>
        <v>20170330</v>
      </c>
      <c r="D30" t="str">
        <f>"16.180"</f>
        <v>16.180</v>
      </c>
      <c r="E30" t="str">
        <f>"100.00"</f>
        <v>100.00</v>
      </c>
      <c r="F30" t="str">
        <f>"-1623.00"</f>
        <v>-1623.00</v>
      </c>
      <c r="G30" t="str">
        <f>"1238.29"</f>
        <v>1238.29</v>
      </c>
      <c r="H30" t="str">
        <f>"2100.00"</f>
        <v>2100.00</v>
      </c>
      <c r="I30" t="str">
        <f>"99"</f>
        <v>99</v>
      </c>
      <c r="J30" t="str">
        <f>"证券买入(合肥城建)"</f>
        <v>证券买入(合肥城建)</v>
      </c>
      <c r="K30" t="str">
        <f>"5.00"</f>
        <v>5.00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"002208"</f>
        <v>002208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"扬帆新材"</f>
        <v>扬帆新材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"91"</f>
        <v>91</v>
      </c>
      <c r="J31" t="str">
        <f>"申购配号(扬帆新材)"</f>
        <v>申购配号(扬帆新材)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"300637"</f>
        <v>300637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"凯普生物"</f>
        <v>凯普生物</v>
      </c>
      <c r="C32" t="str">
        <f>"20170330"</f>
        <v>20170330</v>
      </c>
      <c r="D32" t="str">
        <f>"0.000"</f>
        <v>0.000</v>
      </c>
      <c r="E32" t="str">
        <f>"5.00"</f>
        <v>5.00</v>
      </c>
      <c r="F32" t="str">
        <f>"0.00"</f>
        <v>0.00</v>
      </c>
      <c r="G32" t="str">
        <f>"1238.29"</f>
        <v>1238.29</v>
      </c>
      <c r="H32" t="str">
        <f>"0.00"</f>
        <v>0.00</v>
      </c>
      <c r="I32" t="str">
        <f>"93"</f>
        <v>93</v>
      </c>
      <c r="J32" t="str">
        <f>"申购配号(凯普生物)"</f>
        <v>申购配号(凯普生物)</v>
      </c>
      <c r="K32" t="str">
        <f>"0.00"</f>
        <v>0.00</v>
      </c>
      <c r="L32" t="str">
        <f t="shared" si="14"/>
        <v>0.00</v>
      </c>
      <c r="M32" t="str">
        <f t="shared" si="13"/>
        <v>0.00</v>
      </c>
      <c r="N32" t="str">
        <f t="shared" si="13"/>
        <v>0.00</v>
      </c>
      <c r="O32" t="str">
        <f>"300639"</f>
        <v>300639</v>
      </c>
      <c r="P32" t="str">
        <f t="shared" si="12"/>
        <v>0153613480</v>
      </c>
    </row>
    <row r="33" spans="1:16" x14ac:dyDescent="0.25">
      <c r="A33" t="str">
        <f t="shared" si="0"/>
        <v>人民币</v>
      </c>
      <c r="B33" t="str">
        <f>""</f>
        <v/>
      </c>
      <c r="C33" t="str">
        <f>"20170331"</f>
        <v>20170331</v>
      </c>
      <c r="D33" t="str">
        <f>"---"</f>
        <v>---</v>
      </c>
      <c r="E33" t="str">
        <f>"---"</f>
        <v>---</v>
      </c>
      <c r="F33" t="str">
        <f>"6000.00"</f>
        <v>6000.00</v>
      </c>
      <c r="G33" t="str">
        <f>"7238.29"</f>
        <v>7238.29</v>
      </c>
      <c r="H33" t="str">
        <f>"---"</f>
        <v>---</v>
      </c>
      <c r="I33" t="str">
        <f>"---"</f>
        <v>---</v>
      </c>
      <c r="J33" t="str">
        <f>"银行转存"</f>
        <v>银行转存</v>
      </c>
      <c r="K33" t="str">
        <f t="shared" ref="K33:P33" si="15">"---"</f>
        <v>---</v>
      </c>
      <c r="L33" t="str">
        <f t="shared" si="15"/>
        <v>---</v>
      </c>
      <c r="M33" t="str">
        <f t="shared" si="15"/>
        <v>---</v>
      </c>
      <c r="N33" t="str">
        <f t="shared" si="15"/>
        <v>---</v>
      </c>
      <c r="O33" t="str">
        <f t="shared" si="15"/>
        <v>---</v>
      </c>
      <c r="P33" t="str">
        <f t="shared" si="15"/>
        <v>---</v>
      </c>
    </row>
    <row r="34" spans="1:16" x14ac:dyDescent="0.25">
      <c r="A34" t="str">
        <f t="shared" si="0"/>
        <v>人民币</v>
      </c>
      <c r="B34" t="str">
        <f>"合肥城建"</f>
        <v>合肥城建</v>
      </c>
      <c r="C34" t="str">
        <f>"20170331"</f>
        <v>20170331</v>
      </c>
      <c r="D34" t="str">
        <f>"15.880"</f>
        <v>15.880</v>
      </c>
      <c r="E34" t="str">
        <f>"400.00"</f>
        <v>400.00</v>
      </c>
      <c r="F34" t="str">
        <f>"-6357.00"</f>
        <v>-6357.00</v>
      </c>
      <c r="G34" t="str">
        <f t="shared" ref="G34:G39" si="16">"881.29"</f>
        <v>881.29</v>
      </c>
      <c r="H34" t="str">
        <f>"2500.00"</f>
        <v>2500.00</v>
      </c>
      <c r="I34" t="str">
        <f>"119"</f>
        <v>119</v>
      </c>
      <c r="J34" t="str">
        <f>"证券买入(合肥城建)"</f>
        <v>证券买入(合肥城建)</v>
      </c>
      <c r="K34" t="str">
        <f>"5.00"</f>
        <v>5.00</v>
      </c>
      <c r="L34" t="str">
        <f t="shared" ref="L34:N39" si="17">"0.00"</f>
        <v>0.00</v>
      </c>
      <c r="M34" t="str">
        <f t="shared" si="17"/>
        <v>0.00</v>
      </c>
      <c r="N34" t="str">
        <f t="shared" si="17"/>
        <v>0.00</v>
      </c>
      <c r="O34" t="str">
        <f>"002208"</f>
        <v>002208</v>
      </c>
      <c r="P34" t="str">
        <f t="shared" ref="P34:P39" si="18">"0153613480"</f>
        <v>0153613480</v>
      </c>
    </row>
    <row r="35" spans="1:16" x14ac:dyDescent="0.25">
      <c r="A35" t="str">
        <f t="shared" si="0"/>
        <v>人民币</v>
      </c>
      <c r="B35" t="str">
        <f>"瀛通通讯"</f>
        <v>瀛通通讯</v>
      </c>
      <c r="C35" t="str">
        <f>"20170331"</f>
        <v>20170331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"109"</f>
        <v>109</v>
      </c>
      <c r="J35" t="str">
        <f>"申购配号(瀛通通讯)"</f>
        <v>申购配号(瀛通通讯)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"002861"</f>
        <v>002861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"德艺文创"</f>
        <v>德艺文创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"126"</f>
        <v>126</v>
      </c>
      <c r="J36" t="str">
        <f>"申购配号(德艺文创)"</f>
        <v>申购配号(德艺文创)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"300640"</f>
        <v>300640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"长川科技"</f>
        <v>长川科技</v>
      </c>
      <c r="C37" t="str">
        <f>"20170405"</f>
        <v>20170405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"124"</f>
        <v>124</v>
      </c>
      <c r="J37" t="str">
        <f>"申购配号(长川科技)"</f>
        <v>申购配号(长川科技)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"300604"</f>
        <v>300604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"今飞凯达"</f>
        <v>今飞凯达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"130"</f>
        <v>130</v>
      </c>
      <c r="J38" t="str">
        <f>"申购配号(今飞凯达)"</f>
        <v>申购配号(今飞凯达)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"002863"</f>
        <v>002863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"正丹股份"</f>
        <v>正丹股份</v>
      </c>
      <c r="C39" t="str">
        <f>"20170406"</f>
        <v>20170406</v>
      </c>
      <c r="D39" t="str">
        <f>"0.000"</f>
        <v>0.000</v>
      </c>
      <c r="E39" t="str">
        <f>"5.00"</f>
        <v>5.00</v>
      </c>
      <c r="F39" t="str">
        <f>"0.00"</f>
        <v>0.00</v>
      </c>
      <c r="G39" t="str">
        <f t="shared" si="16"/>
        <v>881.29</v>
      </c>
      <c r="H39" t="str">
        <f>"0.00"</f>
        <v>0.00</v>
      </c>
      <c r="I39" t="str">
        <f>"132"</f>
        <v>132</v>
      </c>
      <c r="J39" t="str">
        <f>"申购配号(正丹股份)"</f>
        <v>申购配号(正丹股份)</v>
      </c>
      <c r="K39" t="str">
        <f>"0.00"</f>
        <v>0.00</v>
      </c>
      <c r="L39" t="str">
        <f t="shared" si="17"/>
        <v>0.00</v>
      </c>
      <c r="M39" t="str">
        <f t="shared" si="17"/>
        <v>0.00</v>
      </c>
      <c r="N39" t="str">
        <f t="shared" si="17"/>
        <v>0.00</v>
      </c>
      <c r="O39" t="str">
        <f>"300641"</f>
        <v>300641</v>
      </c>
      <c r="P39" t="str">
        <f t="shared" si="18"/>
        <v>0153613480</v>
      </c>
    </row>
    <row r="40" spans="1:16" x14ac:dyDescent="0.25">
      <c r="A40" t="str">
        <f t="shared" si="0"/>
        <v>人民币</v>
      </c>
      <c r="B40" t="str">
        <f>"中直股份"</f>
        <v>中直股份</v>
      </c>
      <c r="C40" t="str">
        <f>"20170410"</f>
        <v>20170410</v>
      </c>
      <c r="D40" t="str">
        <f>"51.900"</f>
        <v>51.900</v>
      </c>
      <c r="E40" t="str">
        <f>"200.00"</f>
        <v>200.00</v>
      </c>
      <c r="F40" t="str">
        <f>"-10385.21"</f>
        <v>-10385.21</v>
      </c>
      <c r="G40" t="str">
        <f>"-9503.92"</f>
        <v>-9503.92</v>
      </c>
      <c r="H40" t="str">
        <f>"200.00"</f>
        <v>200.00</v>
      </c>
      <c r="I40" t="str">
        <f>"139"</f>
        <v>139</v>
      </c>
      <c r="J40" t="str">
        <f>"证券买入(中直股份)"</f>
        <v>证券买入(中直股份)</v>
      </c>
      <c r="K40" t="str">
        <f>"5.00"</f>
        <v>5.00</v>
      </c>
      <c r="L40" t="str">
        <f>"0.00"</f>
        <v>0.00</v>
      </c>
      <c r="M40" t="str">
        <f>"0.21"</f>
        <v>0.21</v>
      </c>
      <c r="N40" t="str">
        <f>"0.00"</f>
        <v>0.00</v>
      </c>
      <c r="O40" t="str">
        <f>"600038"</f>
        <v>600038</v>
      </c>
      <c r="P40" t="str">
        <f>"A400948245"</f>
        <v>A400948245</v>
      </c>
    </row>
    <row r="41" spans="1:16" x14ac:dyDescent="0.25">
      <c r="A41" t="str">
        <f t="shared" si="0"/>
        <v>人民币</v>
      </c>
      <c r="B41" t="str">
        <f>"合肥城建"</f>
        <v>合肥城建</v>
      </c>
      <c r="C41" t="str">
        <f>"20170410"</f>
        <v>20170410</v>
      </c>
      <c r="D41" t="str">
        <f>"15.800"</f>
        <v>15.800</v>
      </c>
      <c r="E41" t="str">
        <f>"-700.00"</f>
        <v>-700.00</v>
      </c>
      <c r="F41" t="str">
        <f>"11043.94"</f>
        <v>11043.94</v>
      </c>
      <c r="G41" t="str">
        <f>"1540.02"</f>
        <v>1540.02</v>
      </c>
      <c r="H41" t="str">
        <f>"1800.00"</f>
        <v>1800.00</v>
      </c>
      <c r="I41" t="str">
        <f>"136"</f>
        <v>136</v>
      </c>
      <c r="J41" t="str">
        <f>"证券卖出(合肥城建)"</f>
        <v>证券卖出(合肥城建)</v>
      </c>
      <c r="K41" t="str">
        <f>"5.00"</f>
        <v>5.00</v>
      </c>
      <c r="L41" t="str">
        <f>"11.06"</f>
        <v>11.06</v>
      </c>
      <c r="M41" t="str">
        <f>"0.00"</f>
        <v>0.00</v>
      </c>
      <c r="N41" t="str">
        <f>"0.00"</f>
        <v>0.00</v>
      </c>
      <c r="O41" t="str">
        <f>"002208"</f>
        <v>002208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""</f>
        <v/>
      </c>
      <c r="C42" t="str">
        <f>"20170411"</f>
        <v>20170411</v>
      </c>
      <c r="D42" t="str">
        <f>"---"</f>
        <v>---</v>
      </c>
      <c r="E42" t="str">
        <f>"---"</f>
        <v>---</v>
      </c>
      <c r="F42" t="str">
        <f>"-1000.00"</f>
        <v>-1000.00</v>
      </c>
      <c r="G42" t="str">
        <f>"540.02"</f>
        <v>540.02</v>
      </c>
      <c r="H42" t="str">
        <f>"---"</f>
        <v>---</v>
      </c>
      <c r="I42" t="str">
        <f>"---"</f>
        <v>---</v>
      </c>
      <c r="J42" t="str">
        <f>"银行转取"</f>
        <v>银行转取</v>
      </c>
      <c r="K42" t="str">
        <f t="shared" ref="K42:P42" si="19">"---"</f>
        <v>---</v>
      </c>
      <c r="L42" t="str">
        <f t="shared" si="19"/>
        <v>---</v>
      </c>
      <c r="M42" t="str">
        <f t="shared" si="19"/>
        <v>---</v>
      </c>
      <c r="N42" t="str">
        <f t="shared" si="19"/>
        <v>---</v>
      </c>
      <c r="O42" t="str">
        <f t="shared" si="19"/>
        <v>---</v>
      </c>
      <c r="P42" t="str">
        <f t="shared" si="19"/>
        <v>---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"53.600"</f>
        <v>53.600</v>
      </c>
      <c r="E43" t="str">
        <f>"-100.00"</f>
        <v>-100.00</v>
      </c>
      <c r="F43" t="str">
        <f>"5349.53"</f>
        <v>5349.53</v>
      </c>
      <c r="G43" t="str">
        <f>"5889.55"</f>
        <v>5889.55</v>
      </c>
      <c r="H43" t="str">
        <f>"100.00"</f>
        <v>100.00</v>
      </c>
      <c r="I43" t="str">
        <f>"7"</f>
        <v>7</v>
      </c>
      <c r="J43" t="str">
        <f>"证券卖出(中直股份)"</f>
        <v>证券卖出(中直股份)</v>
      </c>
      <c r="K43" t="str">
        <f>"5.00"</f>
        <v>5.00</v>
      </c>
      <c r="L43" t="str">
        <f>"5.36"</f>
        <v>5.36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"中直股份"</f>
        <v>中直股份</v>
      </c>
      <c r="C44" t="str">
        <f>"20170411"</f>
        <v>20170411</v>
      </c>
      <c r="D44" t="str">
        <f>"53.950"</f>
        <v>53.950</v>
      </c>
      <c r="E44" t="str">
        <f>"-100.00"</f>
        <v>-100.00</v>
      </c>
      <c r="F44" t="str">
        <f>"5384.49"</f>
        <v>5384.49</v>
      </c>
      <c r="G44" t="str">
        <f>"11274.04"</f>
        <v>11274.04</v>
      </c>
      <c r="H44" t="str">
        <f>"0.00"</f>
        <v>0.00</v>
      </c>
      <c r="I44" t="str">
        <f>"13"</f>
        <v>13</v>
      </c>
      <c r="J44" t="str">
        <f>"证券卖出(中直股份)"</f>
        <v>证券卖出(中直股份)</v>
      </c>
      <c r="K44" t="str">
        <f>"5.00"</f>
        <v>5.00</v>
      </c>
      <c r="L44" t="str">
        <f>"5.40"</f>
        <v>5.40</v>
      </c>
      <c r="M44" t="str">
        <f>"0.11"</f>
        <v>0.11</v>
      </c>
      <c r="N44" t="str">
        <f>"0.00"</f>
        <v>0.00</v>
      </c>
      <c r="O44" t="str">
        <f>"600038"</f>
        <v>600038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"西藏天路"</f>
        <v>西藏天路</v>
      </c>
      <c r="C45" t="str">
        <f>"20170411"</f>
        <v>20170411</v>
      </c>
      <c r="D45" t="str">
        <f>"12.980"</f>
        <v>12.980</v>
      </c>
      <c r="E45" t="str">
        <f>"400.00"</f>
        <v>400.00</v>
      </c>
      <c r="F45" t="str">
        <f>"-5197.10"</f>
        <v>-5197.10</v>
      </c>
      <c r="G45" t="str">
        <f>"6076.94"</f>
        <v>6076.94</v>
      </c>
      <c r="H45" t="str">
        <f>"400.00"</f>
        <v>400.00</v>
      </c>
      <c r="I45" t="str">
        <f>"16"</f>
        <v>16</v>
      </c>
      <c r="J45" t="str">
        <f>"证券买入(西藏天路)"</f>
        <v>证券买入(西藏天路)</v>
      </c>
      <c r="K45" t="str">
        <f>"5.00"</f>
        <v>5.00</v>
      </c>
      <c r="L45" t="str">
        <f>"0.00"</f>
        <v>0.00</v>
      </c>
      <c r="M45" t="str">
        <f>"0.10"</f>
        <v>0.10</v>
      </c>
      <c r="N45" t="str">
        <f>"0.00"</f>
        <v>0.00</v>
      </c>
      <c r="O45" t="str">
        <f>"600326"</f>
        <v>600326</v>
      </c>
      <c r="P45" t="str">
        <f>"A400948245"</f>
        <v>A400948245</v>
      </c>
    </row>
    <row r="46" spans="1:16" x14ac:dyDescent="0.25">
      <c r="A46" t="str">
        <f t="shared" si="0"/>
        <v>人民币</v>
      </c>
      <c r="B46" t="str">
        <f>"三超新材"</f>
        <v>三超新材</v>
      </c>
      <c r="C46" t="str">
        <f>"20170411"</f>
        <v>20170411</v>
      </c>
      <c r="D46" t="str">
        <f>"0.000"</f>
        <v>0.000</v>
      </c>
      <c r="E46" t="str">
        <f>"6.00"</f>
        <v>6.00</v>
      </c>
      <c r="F46" t="str">
        <f>"0.00"</f>
        <v>0.00</v>
      </c>
      <c r="G46" t="str">
        <f>"6076.94"</f>
        <v>6076.94</v>
      </c>
      <c r="H46" t="str">
        <f>"0.00"</f>
        <v>0.00</v>
      </c>
      <c r="I46" t="str">
        <f>"1"</f>
        <v>1</v>
      </c>
      <c r="J46" t="str">
        <f>"申购配号(三超新材)"</f>
        <v>申购配号(三超新材)</v>
      </c>
      <c r="K46" t="str">
        <f>"0.00"</f>
        <v>0.00</v>
      </c>
      <c r="L46" t="str">
        <f>"0.00"</f>
        <v>0.00</v>
      </c>
      <c r="M46" t="str">
        <f>"0.00"</f>
        <v>0.00</v>
      </c>
      <c r="N46" t="str">
        <f>"0.00"</f>
        <v>0.00</v>
      </c>
      <c r="O46" t="str">
        <f>"300554"</f>
        <v>300554</v>
      </c>
      <c r="P46" t="str">
        <f>"0153613480"</f>
        <v>0153613480</v>
      </c>
    </row>
    <row r="47" spans="1:16" x14ac:dyDescent="0.25">
      <c r="A47" t="str">
        <f t="shared" si="0"/>
        <v>人民币</v>
      </c>
      <c r="B47" t="str">
        <f>""</f>
        <v/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"-5000.00"</f>
        <v>-5000.00</v>
      </c>
      <c r="G47" t="str">
        <f>"1076.94"</f>
        <v>1076.94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8" si="20">"---"</f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""</f>
        <v/>
      </c>
      <c r="C48" t="str">
        <f>"20170412"</f>
        <v>20170412</v>
      </c>
      <c r="D48" t="str">
        <f>"---"</f>
        <v>---</v>
      </c>
      <c r="E48" t="str">
        <f>"---"</f>
        <v>---</v>
      </c>
      <c r="F48" t="str">
        <f>"-1000.00"</f>
        <v>-1000.00</v>
      </c>
      <c r="G48" t="str">
        <f>"76.94"</f>
        <v>76.94</v>
      </c>
      <c r="H48" t="str">
        <f>"---"</f>
        <v>---</v>
      </c>
      <c r="I48" t="str">
        <f>"---"</f>
        <v>---</v>
      </c>
      <c r="J48" t="str">
        <f>"银行转取"</f>
        <v>银行转取</v>
      </c>
      <c r="K48" t="str">
        <f t="shared" si="20"/>
        <v>---</v>
      </c>
      <c r="L48" t="str">
        <f t="shared" si="20"/>
        <v>---</v>
      </c>
      <c r="M48" t="str">
        <f t="shared" si="20"/>
        <v>---</v>
      </c>
      <c r="N48" t="str">
        <f t="shared" si="20"/>
        <v>---</v>
      </c>
      <c r="O48" t="str">
        <f t="shared" si="20"/>
        <v>---</v>
      </c>
      <c r="P48" t="str">
        <f t="shared" si="20"/>
        <v>---</v>
      </c>
    </row>
    <row r="49" spans="1:16" x14ac:dyDescent="0.25">
      <c r="A49" t="str">
        <f t="shared" si="0"/>
        <v>人民币</v>
      </c>
      <c r="B49" t="str">
        <f>"透景生命"</f>
        <v>透景生命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"25"</f>
        <v>25</v>
      </c>
      <c r="J49" t="str">
        <f>"申购配号(透景生命)"</f>
        <v>申购配号(透景生命)</v>
      </c>
      <c r="K49" t="str">
        <f t="shared" ref="K49:N50" si="21">"0.00"</f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"300642"</f>
        <v>300642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"正元智慧"</f>
        <v>正元智慧</v>
      </c>
      <c r="C50" t="str">
        <f>"20170412"</f>
        <v>20170412</v>
      </c>
      <c r="D50" t="str">
        <f>"0.000"</f>
        <v>0.000</v>
      </c>
      <c r="E50" t="str">
        <f>"6.00"</f>
        <v>6.00</v>
      </c>
      <c r="F50" t="str">
        <f>"0.00"</f>
        <v>0.00</v>
      </c>
      <c r="G50" t="str">
        <f>"76.94"</f>
        <v>76.94</v>
      </c>
      <c r="H50" t="str">
        <f>"0.00"</f>
        <v>0.00</v>
      </c>
      <c r="I50" t="str">
        <f>"27"</f>
        <v>27</v>
      </c>
      <c r="J50" t="str">
        <f>"申购配号(正元智慧)"</f>
        <v>申购配号(正元智慧)</v>
      </c>
      <c r="K50" t="str">
        <f t="shared" si="21"/>
        <v>0.00</v>
      </c>
      <c r="L50" t="str">
        <f t="shared" si="21"/>
        <v>0.00</v>
      </c>
      <c r="M50" t="str">
        <f t="shared" si="21"/>
        <v>0.00</v>
      </c>
      <c r="N50" t="str">
        <f t="shared" si="21"/>
        <v>0.00</v>
      </c>
      <c r="O50" t="str">
        <f>"300645"</f>
        <v>300645</v>
      </c>
      <c r="P50" t="str">
        <f>"0153613480"</f>
        <v>0153613480</v>
      </c>
    </row>
    <row r="51" spans="1:16" x14ac:dyDescent="0.25">
      <c r="A51" t="str">
        <f t="shared" si="0"/>
        <v>人民币</v>
      </c>
      <c r="B51" t="str">
        <f>""</f>
        <v/>
      </c>
      <c r="C51" t="str">
        <f>"20170414"</f>
        <v>20170414</v>
      </c>
      <c r="D51" t="str">
        <f>"---"</f>
        <v>---</v>
      </c>
      <c r="E51" t="str">
        <f>"---"</f>
        <v>---</v>
      </c>
      <c r="F51" t="str">
        <f>"15000.00"</f>
        <v>15000.00</v>
      </c>
      <c r="G51" t="str">
        <f>"15076.94"</f>
        <v>15076.94</v>
      </c>
      <c r="H51" t="str">
        <f>"---"</f>
        <v>---</v>
      </c>
      <c r="I51" t="str">
        <f>"---"</f>
        <v>---</v>
      </c>
      <c r="J51" t="str">
        <f>"银行转存"</f>
        <v>银行转存</v>
      </c>
      <c r="K51" t="str">
        <f t="shared" ref="K51:P51" si="22">"---"</f>
        <v>---</v>
      </c>
      <c r="L51" t="str">
        <f t="shared" si="22"/>
        <v>---</v>
      </c>
      <c r="M51" t="str">
        <f t="shared" si="22"/>
        <v>---</v>
      </c>
      <c r="N51" t="str">
        <f t="shared" si="22"/>
        <v>---</v>
      </c>
      <c r="O51" t="str">
        <f t="shared" si="22"/>
        <v>---</v>
      </c>
      <c r="P51" t="str">
        <f t="shared" si="22"/>
        <v>---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"11.850"</f>
        <v>11.850</v>
      </c>
      <c r="E52" t="str">
        <f>"400.00"</f>
        <v>400.00</v>
      </c>
      <c r="F52" t="str">
        <f>"-4745.09"</f>
        <v>-4745.09</v>
      </c>
      <c r="G52" t="str">
        <f>"10331.85"</f>
        <v>10331.85</v>
      </c>
      <c r="H52" t="str">
        <f>"800.00"</f>
        <v>800.00</v>
      </c>
      <c r="I52" t="str">
        <f>"39"</f>
        <v>39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"西藏天路"</f>
        <v>西藏天路</v>
      </c>
      <c r="C53" t="str">
        <f>"20170414"</f>
        <v>20170414</v>
      </c>
      <c r="D53" t="str">
        <f>"11.650"</f>
        <v>11.650</v>
      </c>
      <c r="E53" t="str">
        <f>"400.00"</f>
        <v>400.00</v>
      </c>
      <c r="F53" t="str">
        <f>"-4665.09"</f>
        <v>-4665.09</v>
      </c>
      <c r="G53" t="str">
        <f>"5666.76"</f>
        <v>5666.76</v>
      </c>
      <c r="H53" t="str">
        <f>"1200.00"</f>
        <v>1200.00</v>
      </c>
      <c r="I53" t="str">
        <f>"42"</f>
        <v>42</v>
      </c>
      <c r="J53" t="str">
        <f>"证券买入(西藏天路)"</f>
        <v>证券买入(西藏天路)</v>
      </c>
      <c r="K53" t="str">
        <f>"5.00"</f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"600326"</f>
        <v>600326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"钧达股份"</f>
        <v>钧达股份</v>
      </c>
      <c r="C54" t="str">
        <f>"20170414"</f>
        <v>20170414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"32"</f>
        <v>32</v>
      </c>
      <c r="J54" t="str">
        <f>"申购配号(钧达股份)"</f>
        <v>申购配号(钧达股份)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"002865"</f>
        <v>002865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"传艺科技"</f>
        <v>传艺科技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"48"</f>
        <v>48</v>
      </c>
      <c r="J55" t="str">
        <f>"申购配号(传艺科技)"</f>
        <v>申购配号(传艺科技)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"002866"</f>
        <v>002866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"友讯达"</f>
        <v>友讯达</v>
      </c>
      <c r="C56" t="str">
        <f>"20170417"</f>
        <v>20170417</v>
      </c>
      <c r="D56" t="str">
        <f>"0.000"</f>
        <v>0.000</v>
      </c>
      <c r="E56" t="str">
        <f>"6.00"</f>
        <v>6.00</v>
      </c>
      <c r="F56" t="str">
        <f>"0.00"</f>
        <v>0.00</v>
      </c>
      <c r="G56" t="str">
        <f>"5666.76"</f>
        <v>5666.76</v>
      </c>
      <c r="H56" t="str">
        <f>"0.00"</f>
        <v>0.00</v>
      </c>
      <c r="I56" t="str">
        <f>"50"</f>
        <v>50</v>
      </c>
      <c r="J56" t="str">
        <f>"申购配号(友讯达)"</f>
        <v>申购配号(友讯达)</v>
      </c>
      <c r="K56" t="str">
        <f>"0.00"</f>
        <v>0.00</v>
      </c>
      <c r="L56" t="str">
        <f>"0.00"</f>
        <v>0.00</v>
      </c>
      <c r="M56" t="str">
        <f>"0.00"</f>
        <v>0.00</v>
      </c>
      <c r="N56" t="str">
        <f>"0.00"</f>
        <v>0.00</v>
      </c>
      <c r="O56" t="str">
        <f>"300514"</f>
        <v>300514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""</f>
        <v/>
      </c>
      <c r="C57" t="str">
        <f>"20170418"</f>
        <v>20170418</v>
      </c>
      <c r="D57" t="str">
        <f>"---"</f>
        <v>---</v>
      </c>
      <c r="E57" t="str">
        <f>"---"</f>
        <v>---</v>
      </c>
      <c r="F57" t="str">
        <f>"-5500.00"</f>
        <v>-5500.00</v>
      </c>
      <c r="G57" t="str">
        <f>"166.76"</f>
        <v>166.76</v>
      </c>
      <c r="H57" t="str">
        <f>"---"</f>
        <v>---</v>
      </c>
      <c r="I57" t="str">
        <f>"---"</f>
        <v>---</v>
      </c>
      <c r="J57" t="str">
        <f>"银行转取"</f>
        <v>银行转取</v>
      </c>
      <c r="K57" t="str">
        <f t="shared" ref="K57:P57" si="23">"---"</f>
        <v>---</v>
      </c>
      <c r="L57" t="str">
        <f t="shared" si="23"/>
        <v>---</v>
      </c>
      <c r="M57" t="str">
        <f t="shared" si="23"/>
        <v>---</v>
      </c>
      <c r="N57" t="str">
        <f t="shared" si="23"/>
        <v>---</v>
      </c>
      <c r="O57" t="str">
        <f t="shared" si="23"/>
        <v>---</v>
      </c>
      <c r="P57" t="str">
        <f t="shared" si="23"/>
        <v>---</v>
      </c>
    </row>
    <row r="58" spans="1:16" x14ac:dyDescent="0.25">
      <c r="A58" t="str">
        <f t="shared" si="0"/>
        <v>人民币</v>
      </c>
      <c r="B58" t="str">
        <f>"周大生"</f>
        <v>周大生</v>
      </c>
      <c r="C58" t="str">
        <f>"20170418"</f>
        <v>20170418</v>
      </c>
      <c r="D58" t="str">
        <f>"0.000"</f>
        <v>0.000</v>
      </c>
      <c r="E58" t="str">
        <f>"6.00"</f>
        <v>6.00</v>
      </c>
      <c r="F58" t="str">
        <f>"0.00"</f>
        <v>0.00</v>
      </c>
      <c r="G58" t="str">
        <f>"166.76"</f>
        <v>166.76</v>
      </c>
      <c r="H58" t="str">
        <f>"0.00"</f>
        <v>0.00</v>
      </c>
      <c r="I58" t="str">
        <f>"55"</f>
        <v>55</v>
      </c>
      <c r="J58" t="str">
        <f>"申购配号(周大生)"</f>
        <v>申购配号(周大生)</v>
      </c>
      <c r="K58" t="str">
        <f>"0.00"</f>
        <v>0.00</v>
      </c>
      <c r="L58" t="str">
        <f>"0.00"</f>
        <v>0.00</v>
      </c>
      <c r="M58" t="str">
        <f>"0.00"</f>
        <v>0.00</v>
      </c>
      <c r="N58" t="str">
        <f>"0.00"</f>
        <v>0.00</v>
      </c>
      <c r="O58" t="str">
        <f>"002867"</f>
        <v>002867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 t="shared" ref="B59:B64" si="24">"西藏天路"</f>
        <v>西藏天路</v>
      </c>
      <c r="C59" t="str">
        <f>"20170420"</f>
        <v>20170420</v>
      </c>
      <c r="D59" t="str">
        <f>"12.300"</f>
        <v>12.300</v>
      </c>
      <c r="E59" t="str">
        <f>"-400.00"</f>
        <v>-400.00</v>
      </c>
      <c r="F59" t="str">
        <f>"4909.98"</f>
        <v>4909.98</v>
      </c>
      <c r="G59" t="str">
        <f>"5076.74"</f>
        <v>5076.74</v>
      </c>
      <c r="H59" t="str">
        <f>"800.00"</f>
        <v>800.00</v>
      </c>
      <c r="I59" t="str">
        <f>"58"</f>
        <v>58</v>
      </c>
      <c r="J59" t="str">
        <f>"证券卖出(西藏天路)"</f>
        <v>证券卖出(西藏天路)</v>
      </c>
      <c r="K59" t="str">
        <f t="shared" ref="K59:K64" si="25">"5.00"</f>
        <v>5.00</v>
      </c>
      <c r="L59" t="str">
        <f>"4.92"</f>
        <v>4.92</v>
      </c>
      <c r="M59" t="str">
        <f>"0.10"</f>
        <v>0.10</v>
      </c>
      <c r="N59" t="str">
        <f t="shared" ref="N59:N66" si="26">"0.00"</f>
        <v>0.00</v>
      </c>
      <c r="O59" t="str">
        <f t="shared" ref="O59:O64" si="27">"600326"</f>
        <v>600326</v>
      </c>
      <c r="P59" t="str">
        <f t="shared" ref="P59:P64" si="28">"A400948245"</f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"12.610"</f>
        <v>12.610</v>
      </c>
      <c r="E60" t="str">
        <f>"-400.00"</f>
        <v>-400.00</v>
      </c>
      <c r="F60" t="str">
        <f>"5033.86"</f>
        <v>5033.86</v>
      </c>
      <c r="G60" t="str">
        <f>"10110.60"</f>
        <v>10110.60</v>
      </c>
      <c r="H60" t="str">
        <f>"400.00"</f>
        <v>400.00</v>
      </c>
      <c r="I60" t="str">
        <f>"61"</f>
        <v>61</v>
      </c>
      <c r="J60" t="str">
        <f>"证券卖出(西藏天路)"</f>
        <v>证券卖出(西藏天路)</v>
      </c>
      <c r="K60" t="str">
        <f t="shared" si="25"/>
        <v>5.00</v>
      </c>
      <c r="L60" t="str">
        <f>"5.04"</f>
        <v>5.04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"20170420"</f>
        <v>20170420</v>
      </c>
      <c r="D61" t="str">
        <f>"12.700"</f>
        <v>12.700</v>
      </c>
      <c r="E61" t="str">
        <f>"-400.00"</f>
        <v>-400.00</v>
      </c>
      <c r="F61" t="str">
        <f>"5069.82"</f>
        <v>5069.82</v>
      </c>
      <c r="G61" t="str">
        <f>"15180.42"</f>
        <v>15180.42</v>
      </c>
      <c r="H61" t="str">
        <f>"0.00"</f>
        <v>0.00</v>
      </c>
      <c r="I61" t="str">
        <f>"64"</f>
        <v>64</v>
      </c>
      <c r="J61" t="str">
        <f>"证券卖出(西藏天路)"</f>
        <v>证券卖出(西藏天路)</v>
      </c>
      <c r="K61" t="str">
        <f t="shared" si="25"/>
        <v>5.00</v>
      </c>
      <c r="L61" t="str">
        <f>"5.08"</f>
        <v>5.08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"12.730"</f>
        <v>12.730</v>
      </c>
      <c r="E62" t="str">
        <f>"400.00"</f>
        <v>400.00</v>
      </c>
      <c r="F62" t="str">
        <f>"-5097.10"</f>
        <v>-5097.10</v>
      </c>
      <c r="G62" t="str">
        <f>"10083.32"</f>
        <v>10083.32</v>
      </c>
      <c r="H62" t="str">
        <f>"400.00"</f>
        <v>400.00</v>
      </c>
      <c r="I62" t="str">
        <f>"74"</f>
        <v>74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"12.740"</f>
        <v>12.740</v>
      </c>
      <c r="E63" t="str">
        <f>"400.00"</f>
        <v>400.00</v>
      </c>
      <c r="F63" t="str">
        <f>"-5101.10"</f>
        <v>-5101.10</v>
      </c>
      <c r="G63" t="str">
        <f>"4982.22"</f>
        <v>4982.22</v>
      </c>
      <c r="H63" t="str">
        <f>"800.00"</f>
        <v>800.00</v>
      </c>
      <c r="I63" t="str">
        <f>"77"</f>
        <v>77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"0.10"</f>
        <v>0.10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 t="shared" si="24"/>
        <v>西藏天路</v>
      </c>
      <c r="C64" t="str">
        <f>"20170421"</f>
        <v>20170421</v>
      </c>
      <c r="D64" t="str">
        <f>"12.640"</f>
        <v>12.640</v>
      </c>
      <c r="E64" t="str">
        <f>"300.00"</f>
        <v>300.00</v>
      </c>
      <c r="F64" t="str">
        <f>"-3797.08"</f>
        <v>-3797.08</v>
      </c>
      <c r="G64" t="str">
        <f>"1185.14"</f>
        <v>1185.14</v>
      </c>
      <c r="H64" t="str">
        <f>"1100.00"</f>
        <v>1100.00</v>
      </c>
      <c r="I64" t="str">
        <f>"80"</f>
        <v>80</v>
      </c>
      <c r="J64" t="str">
        <f>"证券买入(西藏天路)"</f>
        <v>证券买入(西藏天路)</v>
      </c>
      <c r="K64" t="str">
        <f t="shared" si="25"/>
        <v>5.00</v>
      </c>
      <c r="L64" t="str">
        <f>"0.00"</f>
        <v>0.00</v>
      </c>
      <c r="M64" t="str">
        <f>"0.08"</f>
        <v>0.08</v>
      </c>
      <c r="N64" t="str">
        <f t="shared" si="26"/>
        <v>0.00</v>
      </c>
      <c r="O64" t="str">
        <f t="shared" si="27"/>
        <v>600326</v>
      </c>
      <c r="P64" t="str">
        <f t="shared" si="28"/>
        <v>A400948245</v>
      </c>
    </row>
    <row r="65" spans="1:16" x14ac:dyDescent="0.25">
      <c r="A65" t="str">
        <f t="shared" si="0"/>
        <v>人民币</v>
      </c>
      <c r="B65" t="str">
        <f>"太龙照明"</f>
        <v>太龙照明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"85"</f>
        <v>85</v>
      </c>
      <c r="J65" t="str">
        <f>"申购配号(太龙照明)"</f>
        <v>申购配号(太龙照明)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"300650"</f>
        <v>300650</v>
      </c>
      <c r="P65" t="str">
        <f>"0153613480"</f>
        <v>0153613480</v>
      </c>
    </row>
    <row r="66" spans="1:16" x14ac:dyDescent="0.25">
      <c r="A66" t="str">
        <f t="shared" si="0"/>
        <v>人民币</v>
      </c>
      <c r="B66" t="str">
        <f>"万通智控"</f>
        <v>万通智控</v>
      </c>
      <c r="C66" t="str">
        <f>"20170421"</f>
        <v>20170421</v>
      </c>
      <c r="D66" t="str">
        <f>"0.000"</f>
        <v>0.000</v>
      </c>
      <c r="E66" t="str">
        <f>"6.00"</f>
        <v>6.00</v>
      </c>
      <c r="F66" t="str">
        <f>"0.00"</f>
        <v>0.00</v>
      </c>
      <c r="G66" t="str">
        <f>"1185.14"</f>
        <v>1185.14</v>
      </c>
      <c r="H66" t="str">
        <f>"0.00"</f>
        <v>0.00</v>
      </c>
      <c r="I66" t="str">
        <f>"83"</f>
        <v>83</v>
      </c>
      <c r="J66" t="str">
        <f>"申购配号(万通智控)"</f>
        <v>申购配号(万通智控)</v>
      </c>
      <c r="K66" t="str">
        <f>"0.00"</f>
        <v>0.00</v>
      </c>
      <c r="L66" t="str">
        <f>"0.00"</f>
        <v>0.00</v>
      </c>
      <c r="M66" t="str">
        <f>"0.00"</f>
        <v>0.00</v>
      </c>
      <c r="N66" t="str">
        <f t="shared" si="26"/>
        <v>0.00</v>
      </c>
      <c r="O66" t="str">
        <f>"300643"</f>
        <v>300643</v>
      </c>
      <c r="P66" t="str">
        <f>"0153613480"</f>
        <v>0153613480</v>
      </c>
    </row>
    <row r="67" spans="1:16" x14ac:dyDescent="0.25">
      <c r="A67" t="str">
        <f t="shared" ref="A67:A130" si="29">"人民币"</f>
        <v>人民币</v>
      </c>
      <c r="B67" t="str">
        <f>""</f>
        <v/>
      </c>
      <c r="C67" t="str">
        <f>"20170425"</f>
        <v>20170425</v>
      </c>
      <c r="D67" t="str">
        <f>"---"</f>
        <v>---</v>
      </c>
      <c r="E67" t="str">
        <f>"---"</f>
        <v>---</v>
      </c>
      <c r="F67" t="str">
        <f>"9500.00"</f>
        <v>9500.00</v>
      </c>
      <c r="G67" t="str">
        <f>"10685.14"</f>
        <v>10685.14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0">"---"</f>
        <v>---</v>
      </c>
      <c r="L67" t="str">
        <f t="shared" si="30"/>
        <v>---</v>
      </c>
      <c r="M67" t="str">
        <f t="shared" si="30"/>
        <v>---</v>
      </c>
      <c r="N67" t="str">
        <f t="shared" si="30"/>
        <v>---</v>
      </c>
      <c r="O67" t="str">
        <f t="shared" si="30"/>
        <v>---</v>
      </c>
      <c r="P67" t="str">
        <f t="shared" si="30"/>
        <v>---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"20170425"</f>
        <v>20170425</v>
      </c>
      <c r="D68" t="str">
        <f>"11.700"</f>
        <v>11.700</v>
      </c>
      <c r="E68" t="str">
        <f>"400.00"</f>
        <v>400.00</v>
      </c>
      <c r="F68" t="str">
        <f>"-4685.09"</f>
        <v>-4685.09</v>
      </c>
      <c r="G68" t="str">
        <f>"6000.05"</f>
        <v>6000.05</v>
      </c>
      <c r="H68" t="str">
        <f>"1500.00"</f>
        <v>1500.00</v>
      </c>
      <c r="I68" t="str">
        <f>"93"</f>
        <v>93</v>
      </c>
      <c r="J68" t="str">
        <f>"证券买入(西藏天路)"</f>
        <v>证券买入(西藏天路)</v>
      </c>
      <c r="K68" t="str">
        <f>"5.00"</f>
        <v>5.00</v>
      </c>
      <c r="L68" t="str">
        <f>"0.00"</f>
        <v>0.00</v>
      </c>
      <c r="M68" t="str">
        <f>"0.09"</f>
        <v>0.09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"12.870"</f>
        <v>12.870</v>
      </c>
      <c r="E69" t="str">
        <f>"-800.00"</f>
        <v>-800.00</v>
      </c>
      <c r="F69" t="str">
        <f>"10280.49"</f>
        <v>10280.49</v>
      </c>
      <c r="G69" t="str">
        <f>"16280.54"</f>
        <v>16280.54</v>
      </c>
      <c r="H69" t="str">
        <f>"700.00"</f>
        <v>700.00</v>
      </c>
      <c r="I69" t="str">
        <f>"97"</f>
        <v>97</v>
      </c>
      <c r="J69" t="str">
        <f>"证券卖出(西藏天路)"</f>
        <v>证券卖出(西藏天路)</v>
      </c>
      <c r="K69" t="str">
        <f>"5.00"</f>
        <v>5.00</v>
      </c>
      <c r="L69" t="str">
        <f>"10.30"</f>
        <v>10.30</v>
      </c>
      <c r="M69" t="str">
        <f>"0.21"</f>
        <v>0.21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"12.700"</f>
        <v>12.700</v>
      </c>
      <c r="E70" t="str">
        <f>"-300.00"</f>
        <v>-300.00</v>
      </c>
      <c r="F70" t="str">
        <f>"3801.11"</f>
        <v>3801.11</v>
      </c>
      <c r="G70" t="str">
        <f>"20081.65"</f>
        <v>20081.65</v>
      </c>
      <c r="H70" t="str">
        <f>"400.00"</f>
        <v>400.00</v>
      </c>
      <c r="I70" t="str">
        <f>"103"</f>
        <v>103</v>
      </c>
      <c r="J70" t="str">
        <f>"证券卖出(西藏天路)"</f>
        <v>证券卖出(西藏天路)</v>
      </c>
      <c r="K70" t="str">
        <f>"5.00"</f>
        <v>5.00</v>
      </c>
      <c r="L70" t="str">
        <f>"3.81"</f>
        <v>3.81</v>
      </c>
      <c r="M70" t="str">
        <f>"0.08"</f>
        <v>0.08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"西藏天路"</f>
        <v>西藏天路</v>
      </c>
      <c r="C71" t="str">
        <f>"20170426"</f>
        <v>20170426</v>
      </c>
      <c r="D71" t="str">
        <f>"12.870"</f>
        <v>12.870</v>
      </c>
      <c r="E71" t="str">
        <f>"-400.00"</f>
        <v>-400.00</v>
      </c>
      <c r="F71" t="str">
        <f>"5137.75"</f>
        <v>5137.75</v>
      </c>
      <c r="G71" t="str">
        <f>"25219.40"</f>
        <v>25219.40</v>
      </c>
      <c r="H71" t="str">
        <f>"0.00"</f>
        <v>0.00</v>
      </c>
      <c r="I71" t="str">
        <f>"106"</f>
        <v>106</v>
      </c>
      <c r="J71" t="str">
        <f>"证券卖出(西藏天路)"</f>
        <v>证券卖出(西藏天路)</v>
      </c>
      <c r="K71" t="str">
        <f>"5.00"</f>
        <v>5.00</v>
      </c>
      <c r="L71" t="str">
        <f>"5.15"</f>
        <v>5.15</v>
      </c>
      <c r="M71" t="str">
        <f>"0.10"</f>
        <v>0.10</v>
      </c>
      <c r="N71" t="str">
        <f>"0.00"</f>
        <v>0.00</v>
      </c>
      <c r="O71" t="str">
        <f>"600326"</f>
        <v>600326</v>
      </c>
      <c r="P71" t="str">
        <f>"A400948245"</f>
        <v>A400948245</v>
      </c>
    </row>
    <row r="72" spans="1:16" x14ac:dyDescent="0.25">
      <c r="A72" t="str">
        <f t="shared" si="29"/>
        <v>人民币</v>
      </c>
      <c r="B72" t="str">
        <f>""</f>
        <v/>
      </c>
      <c r="C72" t="str">
        <f>"20170427"</f>
        <v>20170427</v>
      </c>
      <c r="D72" t="str">
        <f>"---"</f>
        <v>---</v>
      </c>
      <c r="E72" t="str">
        <f>"---"</f>
        <v>---</v>
      </c>
      <c r="F72" t="str">
        <f>"-2000.00"</f>
        <v>-2000.00</v>
      </c>
      <c r="G72" t="str">
        <f>"23219.40"</f>
        <v>23219.40</v>
      </c>
      <c r="H72" t="str">
        <f>"---"</f>
        <v>---</v>
      </c>
      <c r="I72" t="str">
        <f>"---"</f>
        <v>---</v>
      </c>
      <c r="J72" t="str">
        <f>"银行转取"</f>
        <v>银行转取</v>
      </c>
      <c r="K72" t="str">
        <f t="shared" ref="K72:P72" si="31">"---"</f>
        <v>---</v>
      </c>
      <c r="L72" t="str">
        <f t="shared" si="31"/>
        <v>---</v>
      </c>
      <c r="M72" t="str">
        <f t="shared" si="31"/>
        <v>---</v>
      </c>
      <c r="N72" t="str">
        <f t="shared" si="31"/>
        <v>---</v>
      </c>
      <c r="O72" t="str">
        <f t="shared" si="31"/>
        <v>---</v>
      </c>
      <c r="P72" t="str">
        <f t="shared" si="31"/>
        <v>---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"23.220"</f>
        <v>23.220</v>
      </c>
      <c r="E73" t="str">
        <f>"300.00"</f>
        <v>300.00</v>
      </c>
      <c r="F73" t="str">
        <f>"-6971.00"</f>
        <v>-6971.00</v>
      </c>
      <c r="G73" t="str">
        <f>"16248.40"</f>
        <v>16248.40</v>
      </c>
      <c r="H73" t="str">
        <f>"300.00"</f>
        <v>300.00</v>
      </c>
      <c r="I73" t="str">
        <f>"112"</f>
        <v>112</v>
      </c>
      <c r="J73" t="str">
        <f>"证券买入(西部建设)"</f>
        <v>证券买入(西部建设)</v>
      </c>
      <c r="K73" t="str">
        <f>"5.00"</f>
        <v>5.00</v>
      </c>
      <c r="L73" t="str">
        <f t="shared" ref="L73:N74" si="32">"0.00"</f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ref="P73:P82" si="33">"0153613480"</f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"20170427"</f>
        <v>20170427</v>
      </c>
      <c r="D74" t="str">
        <f>"23.000"</f>
        <v>23.000</v>
      </c>
      <c r="E74" t="str">
        <f>"300.00"</f>
        <v>300.00</v>
      </c>
      <c r="F74" t="str">
        <f>"-6905.00"</f>
        <v>-6905.00</v>
      </c>
      <c r="G74" t="str">
        <f>"9343.40"</f>
        <v>9343.40</v>
      </c>
      <c r="H74" t="str">
        <f>"600.00"</f>
        <v>600.00</v>
      </c>
      <c r="I74" t="str">
        <f>"115"</f>
        <v>115</v>
      </c>
      <c r="J74" t="str">
        <f>"证券买入(西部建设)"</f>
        <v>证券买入(西部建设)</v>
      </c>
      <c r="K74" t="str">
        <f>"5.00"</f>
        <v>5.00</v>
      </c>
      <c r="L74" t="str">
        <f t="shared" si="32"/>
        <v>0.00</v>
      </c>
      <c r="M74" t="str">
        <f t="shared" si="32"/>
        <v>0.00</v>
      </c>
      <c r="N74" t="str">
        <f t="shared" si="32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"西部建设"</f>
        <v>西部建设</v>
      </c>
      <c r="C75" t="str">
        <f>"20170502"</f>
        <v>20170502</v>
      </c>
      <c r="D75" t="str">
        <f>"24.500"</f>
        <v>24.500</v>
      </c>
      <c r="E75" t="str">
        <f>"-600.00"</f>
        <v>-600.00</v>
      </c>
      <c r="F75" t="str">
        <f>"14680.30"</f>
        <v>14680.30</v>
      </c>
      <c r="G75" t="str">
        <f>"24023.70"</f>
        <v>24023.70</v>
      </c>
      <c r="H75" t="str">
        <f>"0.00"</f>
        <v>0.00</v>
      </c>
      <c r="I75" t="str">
        <f>"124"</f>
        <v>124</v>
      </c>
      <c r="J75" t="str">
        <f>"证券卖出(西部建设)"</f>
        <v>证券卖出(西部建设)</v>
      </c>
      <c r="K75" t="str">
        <f>"5.00"</f>
        <v>5.00</v>
      </c>
      <c r="L75" t="str">
        <f>"14.70"</f>
        <v>14.70</v>
      </c>
      <c r="M75" t="str">
        <f t="shared" ref="M75:N82" si="34">"0.00"</f>
        <v>0.00</v>
      </c>
      <c r="N75" t="str">
        <f t="shared" si="34"/>
        <v>0.00</v>
      </c>
      <c r="O75" t="str">
        <f>"002302"</f>
        <v>002302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"金溢科技"</f>
        <v>金溢科技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""</f>
        <v/>
      </c>
      <c r="J76" t="str">
        <f>"申购配号(金溢科技)"</f>
        <v>申购配号(金溢科技)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"002869"</f>
        <v>002869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"伟隆股份"</f>
        <v>伟隆股份</v>
      </c>
      <c r="C77" t="str">
        <f>"20170502"</f>
        <v>20170502</v>
      </c>
      <c r="D77" t="str">
        <f>"0.000"</f>
        <v>0.000</v>
      </c>
      <c r="E77" t="str">
        <f>"6.00"</f>
        <v>6.00</v>
      </c>
      <c r="F77" t="str">
        <f>"0.00"</f>
        <v>0.00</v>
      </c>
      <c r="G77" t="str">
        <f>"24023.70"</f>
        <v>24023.70</v>
      </c>
      <c r="H77" t="str">
        <f>"0.00"</f>
        <v>0.00</v>
      </c>
      <c r="I77" t="str">
        <f>""</f>
        <v/>
      </c>
      <c r="J77" t="str">
        <f>"申购配号(伟隆股份)"</f>
        <v>申购配号(伟隆股份)</v>
      </c>
      <c r="K77" t="str">
        <f>"0.00"</f>
        <v>0.00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"002871"</f>
        <v>002871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"21.070"</f>
        <v>21.070</v>
      </c>
      <c r="E78" t="str">
        <f>"400.00"</f>
        <v>400.00</v>
      </c>
      <c r="F78" t="str">
        <f>"-8433.00"</f>
        <v>-8433.00</v>
      </c>
      <c r="G78" t="str">
        <f>"15590.70"</f>
        <v>15590.70</v>
      </c>
      <c r="H78" t="str">
        <f>"400.00"</f>
        <v>400.00</v>
      </c>
      <c r="I78" t="str">
        <f>"136"</f>
        <v>136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"21.200"</f>
        <v>21.200</v>
      </c>
      <c r="E79" t="str">
        <f>"300.00"</f>
        <v>300.00</v>
      </c>
      <c r="F79" t="str">
        <f>"-6365.00"</f>
        <v>-6365.00</v>
      </c>
      <c r="G79" t="str">
        <f>"9225.70"</f>
        <v>9225.70</v>
      </c>
      <c r="H79" t="str">
        <f>"700.00"</f>
        <v>700.00</v>
      </c>
      <c r="I79" t="str">
        <f>"143"</f>
        <v>143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"冀东水泥"</f>
        <v>冀东水泥</v>
      </c>
      <c r="C80" t="str">
        <f>"20170503"</f>
        <v>20170503</v>
      </c>
      <c r="D80" t="str">
        <f>"20.800"</f>
        <v>20.800</v>
      </c>
      <c r="E80" t="str">
        <f>"200.00"</f>
        <v>200.00</v>
      </c>
      <c r="F80" t="str">
        <f>"-4165.00"</f>
        <v>-4165.00</v>
      </c>
      <c r="G80" t="str">
        <f>"5060.70"</f>
        <v>5060.70</v>
      </c>
      <c r="H80" t="str">
        <f>"900.00"</f>
        <v>900.00</v>
      </c>
      <c r="I80" t="str">
        <f>"146"</f>
        <v>146</v>
      </c>
      <c r="J80" t="str">
        <f>"证券买入(冀东水泥)"</f>
        <v>证券买入(冀东水泥)</v>
      </c>
      <c r="K80" t="str">
        <f>"5.00"</f>
        <v>5.00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"000401"</f>
        <v>000401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"正海生物"</f>
        <v>正海生物</v>
      </c>
      <c r="C81" t="str">
        <f>"20170503"</f>
        <v>20170503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""</f>
        <v/>
      </c>
      <c r="J81" t="str">
        <f>"申购配号(正海生物)"</f>
        <v>申购配号(正海生物)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"300653"</f>
        <v>300653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"香山股份"</f>
        <v>香山股份</v>
      </c>
      <c r="C82" t="str">
        <f>"20170504"</f>
        <v>20170504</v>
      </c>
      <c r="D82" t="str">
        <f>"0.000"</f>
        <v>0.000</v>
      </c>
      <c r="E82" t="str">
        <f>"6.00"</f>
        <v>6.00</v>
      </c>
      <c r="F82" t="str">
        <f>"0.00"</f>
        <v>0.00</v>
      </c>
      <c r="G82" t="str">
        <f>"5060.70"</f>
        <v>5060.70</v>
      </c>
      <c r="H82" t="str">
        <f>"0.00"</f>
        <v>0.00</v>
      </c>
      <c r="I82" t="str">
        <f>"153"</f>
        <v>153</v>
      </c>
      <c r="J82" t="str">
        <f>"申购配号(香山股份)"</f>
        <v>申购配号(香山股份)</v>
      </c>
      <c r="K82" t="str">
        <f>"0.00"</f>
        <v>0.00</v>
      </c>
      <c r="L82" t="str">
        <f>"0.00"</f>
        <v>0.00</v>
      </c>
      <c r="M82" t="str">
        <f t="shared" si="34"/>
        <v>0.00</v>
      </c>
      <c r="N82" t="str">
        <f t="shared" si="34"/>
        <v>0.00</v>
      </c>
      <c r="O82" t="str">
        <f>"002870"</f>
        <v>002870</v>
      </c>
      <c r="P82" t="str">
        <f t="shared" si="33"/>
        <v>0153613480</v>
      </c>
    </row>
    <row r="83" spans="1:16" x14ac:dyDescent="0.25">
      <c r="A83" t="str">
        <f t="shared" si="29"/>
        <v>人民币</v>
      </c>
      <c r="B83" t="str">
        <f>""</f>
        <v/>
      </c>
      <c r="C83" t="str">
        <f>"20170508"</f>
        <v>20170508</v>
      </c>
      <c r="D83" t="str">
        <f>"---"</f>
        <v>---</v>
      </c>
      <c r="E83" t="str">
        <f>"---"</f>
        <v>---</v>
      </c>
      <c r="F83" t="str">
        <f>"9000.00"</f>
        <v>9000.00</v>
      </c>
      <c r="G83" t="str">
        <f>"14060.70"</f>
        <v>14060.70</v>
      </c>
      <c r="H83" t="str">
        <f>"---"</f>
        <v>---</v>
      </c>
      <c r="I83" t="str">
        <f>"---"</f>
        <v>---</v>
      </c>
      <c r="J83" t="str">
        <f>"银行转存"</f>
        <v>银行转存</v>
      </c>
      <c r="K83" t="str">
        <f t="shared" ref="K83:P83" si="35">"---"</f>
        <v>---</v>
      </c>
      <c r="L83" t="str">
        <f t="shared" si="35"/>
        <v>---</v>
      </c>
      <c r="M83" t="str">
        <f t="shared" si="35"/>
        <v>---</v>
      </c>
      <c r="N83" t="str">
        <f t="shared" si="35"/>
        <v>---</v>
      </c>
      <c r="O83" t="str">
        <f t="shared" si="35"/>
        <v>---</v>
      </c>
      <c r="P83" t="str">
        <f t="shared" si="35"/>
        <v>---</v>
      </c>
    </row>
    <row r="84" spans="1:16" x14ac:dyDescent="0.25">
      <c r="A84" t="str">
        <f t="shared" si="29"/>
        <v>人民币</v>
      </c>
      <c r="B84" t="str">
        <f>"冀东水泥"</f>
        <v>冀东水泥</v>
      </c>
      <c r="C84" t="str">
        <f>"20170508"</f>
        <v>20170508</v>
      </c>
      <c r="D84" t="str">
        <f>"18.970"</f>
        <v>18.970</v>
      </c>
      <c r="E84" t="str">
        <f>"300.00"</f>
        <v>300.00</v>
      </c>
      <c r="F84" t="str">
        <f>"-5696.00"</f>
        <v>-5696.00</v>
      </c>
      <c r="G84" t="str">
        <f>"8364.70"</f>
        <v>8364.70</v>
      </c>
      <c r="H84" t="str">
        <f>"1200.00"</f>
        <v>1200.00</v>
      </c>
      <c r="I84" t="str">
        <f>"159"</f>
        <v>159</v>
      </c>
      <c r="J84" t="str">
        <f>"证券买入(冀东水泥)"</f>
        <v>证券买入(冀东水泥)</v>
      </c>
      <c r="K84" t="str">
        <f>"5.00"</f>
        <v>5.00</v>
      </c>
      <c r="L84" t="str">
        <f t="shared" ref="L84:N87" si="36">"0.00"</f>
        <v>0.00</v>
      </c>
      <c r="M84" t="str">
        <f t="shared" si="36"/>
        <v>0.00</v>
      </c>
      <c r="N84" t="str">
        <f t="shared" si="36"/>
        <v>0.00</v>
      </c>
      <c r="O84" t="str">
        <f>"000401"</f>
        <v>000401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"新天药业"</f>
        <v>新天药业</v>
      </c>
      <c r="C85" t="str">
        <f>"20170508"</f>
        <v>20170508</v>
      </c>
      <c r="D85" t="str">
        <f>"0.000"</f>
        <v>0.000</v>
      </c>
      <c r="E85" t="str">
        <f>"6.00"</f>
        <v>6.00</v>
      </c>
      <c r="F85" t="str">
        <f>"0.00"</f>
        <v>0.00</v>
      </c>
      <c r="G85" t="str">
        <f>"8364.70"</f>
        <v>8364.70</v>
      </c>
      <c r="H85" t="str">
        <f>"0.00"</f>
        <v>0.00</v>
      </c>
      <c r="I85" t="str">
        <f>"157"</f>
        <v>157</v>
      </c>
      <c r="J85" t="str">
        <f>"申购配号(新天药业)"</f>
        <v>申购配号(新天药业)</v>
      </c>
      <c r="K85" t="str">
        <f>"0.00"</f>
        <v>0.00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"002873"</f>
        <v>002873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"冀东水泥"</f>
        <v>冀东水泥</v>
      </c>
      <c r="C86" t="str">
        <f>"20170509"</f>
        <v>20170509</v>
      </c>
      <c r="D86" t="str">
        <f>"17.810"</f>
        <v>17.810</v>
      </c>
      <c r="E86" t="str">
        <f>"400.00"</f>
        <v>400.00</v>
      </c>
      <c r="F86" t="str">
        <f>"-7129.00"</f>
        <v>-7129.00</v>
      </c>
      <c r="G86" t="str">
        <f>"1235.70"</f>
        <v>1235.70</v>
      </c>
      <c r="H86" t="str">
        <f>"1600.00"</f>
        <v>1600.00</v>
      </c>
      <c r="I86" t="str">
        <f>"165"</f>
        <v>165</v>
      </c>
      <c r="J86" t="str">
        <f>"证券买入(冀东水泥)"</f>
        <v>证券买入(冀东水泥)</v>
      </c>
      <c r="K86" t="str">
        <f>"5.00"</f>
        <v>5.00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"000401"</f>
        <v>000401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"民德电子"</f>
        <v>民德电子</v>
      </c>
      <c r="C87" t="str">
        <f>"20170509"</f>
        <v>20170509</v>
      </c>
      <c r="D87" t="str">
        <f>"0.000"</f>
        <v>0.000</v>
      </c>
      <c r="E87" t="str">
        <f>"6.00"</f>
        <v>6.00</v>
      </c>
      <c r="F87" t="str">
        <f>"0.00"</f>
        <v>0.00</v>
      </c>
      <c r="G87" t="str">
        <f>"1235.70"</f>
        <v>1235.70</v>
      </c>
      <c r="H87" t="str">
        <f>"0.00"</f>
        <v>0.00</v>
      </c>
      <c r="I87" t="str">
        <f>"168"</f>
        <v>168</v>
      </c>
      <c r="J87" t="str">
        <f>"申购配号(民德电子)"</f>
        <v>申购配号(民德电子)</v>
      </c>
      <c r="K87" t="str">
        <f>"0.00"</f>
        <v>0.00</v>
      </c>
      <c r="L87" t="str">
        <f t="shared" si="36"/>
        <v>0.00</v>
      </c>
      <c r="M87" t="str">
        <f t="shared" si="36"/>
        <v>0.00</v>
      </c>
      <c r="N87" t="str">
        <f t="shared" si="36"/>
        <v>0.00</v>
      </c>
      <c r="O87" t="str">
        <f>"300656"</f>
        <v>300656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""</f>
        <v/>
      </c>
      <c r="C88" t="str">
        <f>"20170510"</f>
        <v>20170510</v>
      </c>
      <c r="D88" t="str">
        <f>"---"</f>
        <v>---</v>
      </c>
      <c r="E88" t="str">
        <f>"---"</f>
        <v>---</v>
      </c>
      <c r="F88" t="str">
        <f>"-1000.00"</f>
        <v>-1000.00</v>
      </c>
      <c r="G88" t="str">
        <f>"235.70"</f>
        <v>235.70</v>
      </c>
      <c r="H88" t="str">
        <f>"---"</f>
        <v>---</v>
      </c>
      <c r="I88" t="str">
        <f>"---"</f>
        <v>---</v>
      </c>
      <c r="J88" t="str">
        <f>"银行转取"</f>
        <v>银行转取</v>
      </c>
      <c r="K88" t="str">
        <f t="shared" ref="K88:P88" si="37">"---"</f>
        <v>---</v>
      </c>
      <c r="L88" t="str">
        <f t="shared" si="37"/>
        <v>---</v>
      </c>
      <c r="M88" t="str">
        <f t="shared" si="37"/>
        <v>---</v>
      </c>
      <c r="N88" t="str">
        <f t="shared" si="37"/>
        <v>---</v>
      </c>
      <c r="O88" t="str">
        <f t="shared" si="37"/>
        <v>---</v>
      </c>
      <c r="P88" t="str">
        <f t="shared" si="37"/>
        <v>---</v>
      </c>
    </row>
    <row r="89" spans="1:16" x14ac:dyDescent="0.25">
      <c r="A89" t="str">
        <f t="shared" si="29"/>
        <v>人民币</v>
      </c>
      <c r="B89" t="str">
        <f>"天圣制药"</f>
        <v>天圣制药</v>
      </c>
      <c r="C89" t="str">
        <f>"20170510"</f>
        <v>20170510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"175"</f>
        <v>175</v>
      </c>
      <c r="J89" t="str">
        <f>"申购配号(天圣制药)"</f>
        <v>申购配号(天圣制药)</v>
      </c>
      <c r="K89" t="str">
        <f t="shared" ref="K89:N91" si="38">"0.00"</f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"002872"</f>
        <v>002872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"晶瑞股份"</f>
        <v>晶瑞股份</v>
      </c>
      <c r="C90" t="str">
        <f>"20170511"</f>
        <v>20170511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"184"</f>
        <v>184</v>
      </c>
      <c r="J90" t="str">
        <f>"申购配号(晶瑞股份)"</f>
        <v>申购配号(晶瑞股份)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"300655"</f>
        <v>300655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"弘信电子"</f>
        <v>弘信电子</v>
      </c>
      <c r="C91" t="str">
        <f>"20170512"</f>
        <v>20170512</v>
      </c>
      <c r="D91" t="str">
        <f>"0.000"</f>
        <v>0.000</v>
      </c>
      <c r="E91" t="str">
        <f>"6.00"</f>
        <v>6.00</v>
      </c>
      <c r="F91" t="str">
        <f>"0.00"</f>
        <v>0.00</v>
      </c>
      <c r="G91" t="str">
        <f>"235.70"</f>
        <v>235.70</v>
      </c>
      <c r="H91" t="str">
        <f>"0.00"</f>
        <v>0.00</v>
      </c>
      <c r="I91" t="str">
        <f>"187"</f>
        <v>187</v>
      </c>
      <c r="J91" t="str">
        <f>"申购配号(弘信电子)"</f>
        <v>申购配号(弘信电子)</v>
      </c>
      <c r="K91" t="str">
        <f t="shared" si="38"/>
        <v>0.00</v>
      </c>
      <c r="L91" t="str">
        <f t="shared" si="38"/>
        <v>0.00</v>
      </c>
      <c r="M91" t="str">
        <f t="shared" si="38"/>
        <v>0.00</v>
      </c>
      <c r="N91" t="str">
        <f t="shared" si="38"/>
        <v>0.00</v>
      </c>
      <c r="O91" t="str">
        <f>"300657"</f>
        <v>300657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""</f>
        <v/>
      </c>
      <c r="C92" t="str">
        <f>"20170516"</f>
        <v>20170516</v>
      </c>
      <c r="D92" t="str">
        <f>"---"</f>
        <v>---</v>
      </c>
      <c r="E92" t="str">
        <f>"---"</f>
        <v>---</v>
      </c>
      <c r="F92" t="str">
        <f>"9000.00"</f>
        <v>9000.00</v>
      </c>
      <c r="G92" t="str">
        <f>"9235.70"</f>
        <v>9235.70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39">"---"</f>
        <v>---</v>
      </c>
      <c r="L92" t="str">
        <f t="shared" si="39"/>
        <v>---</v>
      </c>
      <c r="M92" t="str">
        <f t="shared" si="39"/>
        <v>---</v>
      </c>
      <c r="N92" t="str">
        <f t="shared" si="39"/>
        <v>---</v>
      </c>
      <c r="O92" t="str">
        <f t="shared" si="39"/>
        <v>---</v>
      </c>
      <c r="P92" t="str">
        <f t="shared" si="39"/>
        <v>---</v>
      </c>
    </row>
    <row r="93" spans="1:16" x14ac:dyDescent="0.25">
      <c r="A93" t="str">
        <f t="shared" si="29"/>
        <v>人民币</v>
      </c>
      <c r="B93" t="str">
        <f>"三利谱"</f>
        <v>三利谱</v>
      </c>
      <c r="C93" t="str">
        <f>"20170516"</f>
        <v>20170516</v>
      </c>
      <c r="D93" t="str">
        <f>"0.000"</f>
        <v>0.000</v>
      </c>
      <c r="E93" t="str">
        <f>"7.00"</f>
        <v>7.00</v>
      </c>
      <c r="F93" t="str">
        <f>"0.00"</f>
        <v>0.00</v>
      </c>
      <c r="G93" t="str">
        <f>"9235.70"</f>
        <v>9235.70</v>
      </c>
      <c r="H93" t="str">
        <f>"0.00"</f>
        <v>0.00</v>
      </c>
      <c r="I93" t="str">
        <f>"198"</f>
        <v>198</v>
      </c>
      <c r="J93" t="str">
        <f>"申购配号(三利谱)"</f>
        <v>申购配号(三利谱)</v>
      </c>
      <c r="K93" t="str">
        <f>"0.00"</f>
        <v>0.00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"002876"</f>
        <v>002876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"西部建设"</f>
        <v>西部建设</v>
      </c>
      <c r="C94" t="str">
        <f>"20170517"</f>
        <v>20170517</v>
      </c>
      <c r="D94" t="str">
        <f>"19.500"</f>
        <v>19.500</v>
      </c>
      <c r="E94" t="str">
        <f>"300.00"</f>
        <v>300.00</v>
      </c>
      <c r="F94" t="str">
        <f>"-5855.00"</f>
        <v>-5855.00</v>
      </c>
      <c r="G94" t="str">
        <f>"3380.70"</f>
        <v>3380.70</v>
      </c>
      <c r="H94" t="str">
        <f>"300.00"</f>
        <v>300.00</v>
      </c>
      <c r="I94" t="str">
        <f>"206"</f>
        <v>206</v>
      </c>
      <c r="J94" t="str">
        <f>"证券买入(西部建设)"</f>
        <v>证券买入(西部建设)</v>
      </c>
      <c r="K94" t="str">
        <f>"5.00"</f>
        <v>5.00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"002302"</f>
        <v>002302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"冀东水泥"</f>
        <v>冀东水泥</v>
      </c>
      <c r="C95" t="str">
        <f>"20170517"</f>
        <v>20170517</v>
      </c>
      <c r="D95" t="str">
        <f>"18.850"</f>
        <v>18.850</v>
      </c>
      <c r="E95" t="str">
        <f>"-400.00"</f>
        <v>-400.00</v>
      </c>
      <c r="F95" t="str">
        <f>"7527.46"</f>
        <v>7527.46</v>
      </c>
      <c r="G95" t="str">
        <f>"10908.16"</f>
        <v>10908.16</v>
      </c>
      <c r="H95" t="str">
        <f>"1200.00"</f>
        <v>1200.00</v>
      </c>
      <c r="I95" t="str">
        <f>"209"</f>
        <v>209</v>
      </c>
      <c r="J95" t="str">
        <f>"证券卖出(冀东水泥)"</f>
        <v>证券卖出(冀东水泥)</v>
      </c>
      <c r="K95" t="str">
        <f>"5.00"</f>
        <v>5.00</v>
      </c>
      <c r="L95" t="str">
        <f>"7.54"</f>
        <v>7.54</v>
      </c>
      <c r="M95" t="str">
        <f t="shared" ref="M95:N97" si="40">"0.00"</f>
        <v>0.00</v>
      </c>
      <c r="N95" t="str">
        <f t="shared" si="40"/>
        <v>0.00</v>
      </c>
      <c r="O95" t="str">
        <f>"000401"</f>
        <v>000401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"延江股份"</f>
        <v>延江股份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"212"</f>
        <v>212</v>
      </c>
      <c r="J96" t="str">
        <f>"申购配号(延江股份)"</f>
        <v>申购配号(延江股份)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"300658"</f>
        <v>300658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"中孚信息"</f>
        <v>中孚信息</v>
      </c>
      <c r="C97" t="str">
        <f>"20170517"</f>
        <v>20170517</v>
      </c>
      <c r="D97" t="str">
        <f>"0.000"</f>
        <v>0.000</v>
      </c>
      <c r="E97" t="str">
        <f>"7.00"</f>
        <v>7.00</v>
      </c>
      <c r="F97" t="str">
        <f>"0.00"</f>
        <v>0.00</v>
      </c>
      <c r="G97" t="str">
        <f>"10908.16"</f>
        <v>10908.16</v>
      </c>
      <c r="H97" t="str">
        <f>"0.00"</f>
        <v>0.00</v>
      </c>
      <c r="I97" t="str">
        <f>"214"</f>
        <v>214</v>
      </c>
      <c r="J97" t="str">
        <f>"申购配号(中孚信息)"</f>
        <v>申购配号(中孚信息)</v>
      </c>
      <c r="K97" t="str">
        <f>"0.00"</f>
        <v>0.00</v>
      </c>
      <c r="L97" t="str">
        <f>"0.00"</f>
        <v>0.00</v>
      </c>
      <c r="M97" t="str">
        <f t="shared" si="40"/>
        <v>0.00</v>
      </c>
      <c r="N97" t="str">
        <f t="shared" si="40"/>
        <v>0.00</v>
      </c>
      <c r="O97" t="str">
        <f>"300659"</f>
        <v>300659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""</f>
        <v/>
      </c>
      <c r="C98" t="str">
        <f>"20170518"</f>
        <v>20170518</v>
      </c>
      <c r="D98" t="str">
        <f>"---"</f>
        <v>---</v>
      </c>
      <c r="E98" t="str">
        <f>"---"</f>
        <v>---</v>
      </c>
      <c r="F98" t="str">
        <f>"-3000.00"</f>
        <v>-3000.00</v>
      </c>
      <c r="G98" t="str">
        <f>"7908.16"</f>
        <v>7908.16</v>
      </c>
      <c r="H98" t="str">
        <f>"---"</f>
        <v>---</v>
      </c>
      <c r="I98" t="str">
        <f>"---"</f>
        <v>---</v>
      </c>
      <c r="J98" t="str">
        <f>"银行转取"</f>
        <v>银行转取</v>
      </c>
      <c r="K98" t="str">
        <f t="shared" ref="K98:P98" si="41">"---"</f>
        <v>---</v>
      </c>
      <c r="L98" t="str">
        <f t="shared" si="41"/>
        <v>---</v>
      </c>
      <c r="M98" t="str">
        <f t="shared" si="41"/>
        <v>---</v>
      </c>
      <c r="N98" t="str">
        <f t="shared" si="41"/>
        <v>---</v>
      </c>
      <c r="O98" t="str">
        <f t="shared" si="41"/>
        <v>---</v>
      </c>
      <c r="P98" t="str">
        <f t="shared" si="41"/>
        <v>---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"18.700"</f>
        <v>18.700</v>
      </c>
      <c r="E99" t="str">
        <f>"200.00"</f>
        <v>200.00</v>
      </c>
      <c r="F99" t="str">
        <f>"-3745.00"</f>
        <v>-3745.00</v>
      </c>
      <c r="G99" t="str">
        <f>"4163.16"</f>
        <v>4163.16</v>
      </c>
      <c r="H99" t="str">
        <f>"500.00"</f>
        <v>500.00</v>
      </c>
      <c r="I99" t="str">
        <f>"224"</f>
        <v>224</v>
      </c>
      <c r="J99" t="str">
        <f>"证券买入(西部建设)"</f>
        <v>证券买入(西部建设)</v>
      </c>
      <c r="K99" t="str">
        <f>"5.00"</f>
        <v>5.00</v>
      </c>
      <c r="L99" t="str">
        <f t="shared" ref="L99:N103" si="42">"0.00"</f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"西部建设"</f>
        <v>西部建设</v>
      </c>
      <c r="C100" t="str">
        <f>"20170518"</f>
        <v>20170518</v>
      </c>
      <c r="D100" t="str">
        <f>"18.440"</f>
        <v>18.440</v>
      </c>
      <c r="E100" t="str">
        <f>"200.00"</f>
        <v>200.00</v>
      </c>
      <c r="F100" t="str">
        <f>"-3693.00"</f>
        <v>-3693.00</v>
      </c>
      <c r="G100" t="str">
        <f>"470.16"</f>
        <v>470.16</v>
      </c>
      <c r="H100" t="str">
        <f>"700.00"</f>
        <v>700.00</v>
      </c>
      <c r="I100" t="str">
        <f>"230"</f>
        <v>230</v>
      </c>
      <c r="J100" t="str">
        <f>"证券买入(西部建设)"</f>
        <v>证券买入(西部建设)</v>
      </c>
      <c r="K100" t="str">
        <f>"5.00"</f>
        <v>5.00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"002302"</f>
        <v>002302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"智能自控"</f>
        <v>智能自控</v>
      </c>
      <c r="C101" t="str">
        <f>"20170523"</f>
        <v>20170523</v>
      </c>
      <c r="D101" t="str">
        <f>"0.000"</f>
        <v>0.000</v>
      </c>
      <c r="E101" t="str">
        <f>"8.00"</f>
        <v>8.00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"237"</f>
        <v>237</v>
      </c>
      <c r="J101" t="str">
        <f>"申购配号(智能自控)"</f>
        <v>申购配号(智能自控)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"002877"</f>
        <v>002877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"飞鹿股份"</f>
        <v>飞鹿股份</v>
      </c>
      <c r="C102" t="str">
        <f>"20170531"</f>
        <v>20170531</v>
      </c>
      <c r="D102" t="str">
        <f>"0.000"</f>
        <v>0.000</v>
      </c>
      <c r="E102" t="str">
        <f>"9.00"</f>
        <v>9.00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"1"</f>
        <v>1</v>
      </c>
      <c r="J102" t="str">
        <f>"申购配号(飞鹿股份)"</f>
        <v>申购配号(飞鹿股份)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"300665"</f>
        <v>300665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"江丰电子"</f>
        <v>江丰电子</v>
      </c>
      <c r="C103" t="str">
        <f>"20170605"</f>
        <v>20170605</v>
      </c>
      <c r="D103" t="str">
        <f>"0.000"</f>
        <v>0.000</v>
      </c>
      <c r="E103" t="str">
        <f>"10.00"</f>
        <v>10.00</v>
      </c>
      <c r="F103" t="str">
        <f>"0.00"</f>
        <v>0.00</v>
      </c>
      <c r="G103" t="str">
        <f>"470.16"</f>
        <v>470.16</v>
      </c>
      <c r="H103" t="str">
        <f>"0.00"</f>
        <v>0.00</v>
      </c>
      <c r="I103" t="str">
        <f>"6"</f>
        <v>6</v>
      </c>
      <c r="J103" t="str">
        <f>"申购配号(江丰电子)"</f>
        <v>申购配号(江丰电子)</v>
      </c>
      <c r="K103" t="str">
        <f>"0.00"</f>
        <v>0.00</v>
      </c>
      <c r="L103" t="str">
        <f t="shared" si="42"/>
        <v>0.00</v>
      </c>
      <c r="M103" t="str">
        <f t="shared" si="42"/>
        <v>0.00</v>
      </c>
      <c r="N103" t="str">
        <f t="shared" si="42"/>
        <v>0.00</v>
      </c>
      <c r="O103" t="str">
        <f>"300666"</f>
        <v>300666</v>
      </c>
      <c r="P103" t="str">
        <f>"0153613480"</f>
        <v>0153613480</v>
      </c>
    </row>
    <row r="104" spans="1:16" x14ac:dyDescent="0.25">
      <c r="A104" t="str">
        <f t="shared" si="29"/>
        <v>人民币</v>
      </c>
      <c r="B104" t="str">
        <f>""</f>
        <v/>
      </c>
      <c r="C104" t="str">
        <f>"20170606"</f>
        <v>20170606</v>
      </c>
      <c r="D104" t="str">
        <f>"---"</f>
        <v>---</v>
      </c>
      <c r="E104" t="str">
        <f>"---"</f>
        <v>---</v>
      </c>
      <c r="F104" t="str">
        <f>"4990.00"</f>
        <v>4990.00</v>
      </c>
      <c r="G104" t="str">
        <f>"5460.16"</f>
        <v>5460.16</v>
      </c>
      <c r="H104" t="str">
        <f>"---"</f>
        <v>---</v>
      </c>
      <c r="I104" t="str">
        <f>"---"</f>
        <v>---</v>
      </c>
      <c r="J104" t="str">
        <f>"银行转存"</f>
        <v>银行转存</v>
      </c>
      <c r="K104" t="str">
        <f t="shared" ref="K104:P104" si="43">"---"</f>
        <v>---</v>
      </c>
      <c r="L104" t="str">
        <f t="shared" si="43"/>
        <v>---</v>
      </c>
      <c r="M104" t="str">
        <f t="shared" si="43"/>
        <v>---</v>
      </c>
      <c r="N104" t="str">
        <f t="shared" si="43"/>
        <v>---</v>
      </c>
      <c r="O104" t="str">
        <f t="shared" si="43"/>
        <v>---</v>
      </c>
      <c r="P104" t="str">
        <f t="shared" si="43"/>
        <v>---</v>
      </c>
    </row>
    <row r="105" spans="1:16" x14ac:dyDescent="0.25">
      <c r="A105" t="str">
        <f t="shared" si="29"/>
        <v>人民币</v>
      </c>
      <c r="B105" t="str">
        <f>"冀东水泥"</f>
        <v>冀东水泥</v>
      </c>
      <c r="C105" t="str">
        <f>"20170606"</f>
        <v>20170606</v>
      </c>
      <c r="D105" t="str">
        <f>"16.140"</f>
        <v>16.140</v>
      </c>
      <c r="E105" t="str">
        <f>"300.00"</f>
        <v>300.00</v>
      </c>
      <c r="F105" t="str">
        <f>"-4847.00"</f>
        <v>-4847.00</v>
      </c>
      <c r="G105" t="str">
        <f>"613.16"</f>
        <v>613.16</v>
      </c>
      <c r="H105" t="str">
        <f>"1500.00"</f>
        <v>1500.00</v>
      </c>
      <c r="I105" t="str">
        <f>"18"</f>
        <v>18</v>
      </c>
      <c r="J105" t="str">
        <f>"证券买入(冀东水泥)"</f>
        <v>证券买入(冀东水泥)</v>
      </c>
      <c r="K105" t="str">
        <f>"5.00"</f>
        <v>5.00</v>
      </c>
      <c r="L105" t="str">
        <f t="shared" ref="L105:N106" si="44">"0.00"</f>
        <v>0.00</v>
      </c>
      <c r="M105" t="str">
        <f t="shared" si="44"/>
        <v>0.00</v>
      </c>
      <c r="N105" t="str">
        <f t="shared" si="44"/>
        <v>0.00</v>
      </c>
      <c r="O105" t="str">
        <f>"000401"</f>
        <v>000401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"杰恩设计"</f>
        <v>杰恩设计</v>
      </c>
      <c r="C106" t="str">
        <f>"20170606"</f>
        <v>20170606</v>
      </c>
      <c r="D106" t="str">
        <f>"0.000"</f>
        <v>0.000</v>
      </c>
      <c r="E106" t="str">
        <f>"10.00"</f>
        <v>10.00</v>
      </c>
      <c r="F106" t="str">
        <f>"0.00"</f>
        <v>0.00</v>
      </c>
      <c r="G106" t="str">
        <f>"613.16"</f>
        <v>613.16</v>
      </c>
      <c r="H106" t="str">
        <f>"0.00"</f>
        <v>0.00</v>
      </c>
      <c r="I106" t="str">
        <f>"16"</f>
        <v>16</v>
      </c>
      <c r="J106" t="str">
        <f>"申购配号(杰恩设计)"</f>
        <v>申购配号(杰恩设计)</v>
      </c>
      <c r="K106" t="str">
        <f>"0.00"</f>
        <v>0.00</v>
      </c>
      <c r="L106" t="str">
        <f t="shared" si="44"/>
        <v>0.00</v>
      </c>
      <c r="M106" t="str">
        <f t="shared" si="44"/>
        <v>0.00</v>
      </c>
      <c r="N106" t="str">
        <f t="shared" si="44"/>
        <v>0.00</v>
      </c>
      <c r="O106" t="str">
        <f>"300668"</f>
        <v>300668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"西部建设"</f>
        <v>西部建设</v>
      </c>
      <c r="C107" t="str">
        <f>"20170606"</f>
        <v>20170606</v>
      </c>
      <c r="D107" t="str">
        <f>"0.000"</f>
        <v>0.000</v>
      </c>
      <c r="E107" t="str">
        <f>"0.00"</f>
        <v>0.00</v>
      </c>
      <c r="F107" t="str">
        <f>"45.50"</f>
        <v>45.50</v>
      </c>
      <c r="G107" t="str">
        <f>"658.66"</f>
        <v>658.66</v>
      </c>
      <c r="H107" t="str">
        <f>"700.00"</f>
        <v>700.00</v>
      </c>
      <c r="I107" t="str">
        <f>"---"</f>
        <v>---</v>
      </c>
      <c r="J107" t="str">
        <f>"股息入帐(西部建设)"</f>
        <v>股息入帐(西部建设)</v>
      </c>
      <c r="K107" t="str">
        <f>"---"</f>
        <v>---</v>
      </c>
      <c r="L107" t="str">
        <f>"---"</f>
        <v>---</v>
      </c>
      <c r="M107" t="str">
        <f>"---"</f>
        <v>---</v>
      </c>
      <c r="N107" t="str">
        <f>"---"</f>
        <v>---</v>
      </c>
      <c r="O107" t="str">
        <f>"002302"</f>
        <v>002302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"冀东水泥"</f>
        <v>冀东水泥</v>
      </c>
      <c r="C108" t="str">
        <f>"20170607"</f>
        <v>20170607</v>
      </c>
      <c r="D108" t="str">
        <f>"16.560"</f>
        <v>16.560</v>
      </c>
      <c r="E108" t="str">
        <f>"-300.00"</f>
        <v>-300.00</v>
      </c>
      <c r="F108" t="str">
        <f>"4958.03"</f>
        <v>4958.03</v>
      </c>
      <c r="G108" t="str">
        <f>"5616.69"</f>
        <v>5616.69</v>
      </c>
      <c r="H108" t="str">
        <f>"1200.00"</f>
        <v>1200.00</v>
      </c>
      <c r="I108" t="str">
        <f>"37"</f>
        <v>37</v>
      </c>
      <c r="J108" t="str">
        <f>"证券卖出(冀东水泥)"</f>
        <v>证券卖出(冀东水泥)</v>
      </c>
      <c r="K108" t="str">
        <f>"5.00"</f>
        <v>5.00</v>
      </c>
      <c r="L108" t="str">
        <f>"4.97"</f>
        <v>4.97</v>
      </c>
      <c r="M108" t="str">
        <f>"0.00"</f>
        <v>0.00</v>
      </c>
      <c r="N108" t="str">
        <f>"0.00"</f>
        <v>0.00</v>
      </c>
      <c r="O108" t="str">
        <f>"000401"</f>
        <v>000401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"必创科技"</f>
        <v>必创科技</v>
      </c>
      <c r="C109" t="str">
        <f>"20170607"</f>
        <v>20170607</v>
      </c>
      <c r="D109" t="str">
        <f>"0.000"</f>
        <v>0.000</v>
      </c>
      <c r="E109" t="str">
        <f>"10.00"</f>
        <v>10.00</v>
      </c>
      <c r="F109" t="str">
        <f>"0.00"</f>
        <v>0.00</v>
      </c>
      <c r="G109" t="str">
        <f>"5616.69"</f>
        <v>5616.69</v>
      </c>
      <c r="H109" t="str">
        <f>"0.00"</f>
        <v>0.00</v>
      </c>
      <c r="I109" t="str">
        <f>"25"</f>
        <v>25</v>
      </c>
      <c r="J109" t="str">
        <f>"申购配号(必创科技)"</f>
        <v>申购配号(必创科技)</v>
      </c>
      <c r="K109" t="str">
        <f>"0.00"</f>
        <v>0.00</v>
      </c>
      <c r="L109" t="str">
        <f>"0.00"</f>
        <v>0.00</v>
      </c>
      <c r="M109" t="str">
        <f>"0.00"</f>
        <v>0.00</v>
      </c>
      <c r="N109" t="str">
        <f>"0.00"</f>
        <v>0.00</v>
      </c>
      <c r="O109" t="str">
        <f>"300667"</f>
        <v>300667</v>
      </c>
      <c r="P109" t="str">
        <f>"0153613480"</f>
        <v>0153613480</v>
      </c>
    </row>
    <row r="110" spans="1:16" x14ac:dyDescent="0.25">
      <c r="A110" t="str">
        <f t="shared" si="29"/>
        <v>人民币</v>
      </c>
      <c r="B110" t="str">
        <f>""</f>
        <v/>
      </c>
      <c r="C110" t="str">
        <f>"20170608"</f>
        <v>20170608</v>
      </c>
      <c r="D110" t="str">
        <f>"---"</f>
        <v>---</v>
      </c>
      <c r="E110" t="str">
        <f>"---"</f>
        <v>---</v>
      </c>
      <c r="F110" t="str">
        <f>"-5000.00"</f>
        <v>-5000.00</v>
      </c>
      <c r="G110" t="str">
        <f>"616.69"</f>
        <v>616.69</v>
      </c>
      <c r="H110" t="str">
        <f>"---"</f>
        <v>---</v>
      </c>
      <c r="I110" t="str">
        <f>"---"</f>
        <v>---</v>
      </c>
      <c r="J110" t="str">
        <f>"银行转取"</f>
        <v>银行转取</v>
      </c>
      <c r="K110" t="str">
        <f t="shared" ref="K110:P110" si="45">"---"</f>
        <v>---</v>
      </c>
      <c r="L110" t="str">
        <f t="shared" si="45"/>
        <v>---</v>
      </c>
      <c r="M110" t="str">
        <f t="shared" si="45"/>
        <v>---</v>
      </c>
      <c r="N110" t="str">
        <f t="shared" si="45"/>
        <v>---</v>
      </c>
      <c r="O110" t="str">
        <f t="shared" si="45"/>
        <v>---</v>
      </c>
      <c r="P110" t="str">
        <f t="shared" si="45"/>
        <v>---</v>
      </c>
    </row>
    <row r="111" spans="1:16" x14ac:dyDescent="0.25">
      <c r="A111" t="str">
        <f t="shared" si="29"/>
        <v>人民币</v>
      </c>
      <c r="B111" t="str">
        <f>"金龙羽"</f>
        <v>金龙羽</v>
      </c>
      <c r="C111" t="str">
        <f>"20170613"</f>
        <v>20170613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"43"</f>
        <v>43</v>
      </c>
      <c r="J111" t="str">
        <f>"申购配号(金龙羽)"</f>
        <v>申购配号(金龙羽)</v>
      </c>
      <c r="K111" t="str">
        <f t="shared" ref="K111:N113" si="46">"0.00"</f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"002882"</f>
        <v>002882</v>
      </c>
      <c r="P111" t="str">
        <f t="shared" ref="P111:P120" si="47">"0153613480"</f>
        <v>0153613480</v>
      </c>
    </row>
    <row r="112" spans="1:16" x14ac:dyDescent="0.25">
      <c r="A112" t="str">
        <f t="shared" si="29"/>
        <v>人民币</v>
      </c>
      <c r="B112" t="str">
        <f>"沃特股份"</f>
        <v>沃特股份</v>
      </c>
      <c r="C112" t="str">
        <f>"20170614"</f>
        <v>20170614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"48"</f>
        <v>48</v>
      </c>
      <c r="J112" t="str">
        <f>"申购配号(沃特股份)"</f>
        <v>申购配号(沃特股份)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"002886"</f>
        <v>002886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"京泉华"</f>
        <v>京泉华</v>
      </c>
      <c r="C113" t="str">
        <f>"20170615"</f>
        <v>20170615</v>
      </c>
      <c r="D113" t="str">
        <f>"0.000"</f>
        <v>0.000</v>
      </c>
      <c r="E113" t="str">
        <f>"10.00"</f>
        <v>10.00</v>
      </c>
      <c r="F113" t="str">
        <f>"0.00"</f>
        <v>0.00</v>
      </c>
      <c r="G113" t="str">
        <f>"616.69"</f>
        <v>616.69</v>
      </c>
      <c r="H113" t="str">
        <f>"0.00"</f>
        <v>0.00</v>
      </c>
      <c r="I113" t="str">
        <f>"51"</f>
        <v>51</v>
      </c>
      <c r="J113" t="str">
        <f>"申购配号(京泉华)"</f>
        <v>申购配号(京泉华)</v>
      </c>
      <c r="K113" t="str">
        <f t="shared" si="46"/>
        <v>0.00</v>
      </c>
      <c r="L113" t="str">
        <f t="shared" si="46"/>
        <v>0.00</v>
      </c>
      <c r="M113" t="str">
        <f t="shared" si="46"/>
        <v>0.00</v>
      </c>
      <c r="N113" t="str">
        <f t="shared" si="46"/>
        <v>0.00</v>
      </c>
      <c r="O113" t="str">
        <f>"002885"</f>
        <v>002885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ref="C114:C119" si="48">"20170616"</f>
        <v>20170616</v>
      </c>
      <c r="D114" t="str">
        <f>"19.740"</f>
        <v>19.740</v>
      </c>
      <c r="E114" t="str">
        <f>"-300.00"</f>
        <v>-300.00</v>
      </c>
      <c r="F114" t="str">
        <f>"5911.08"</f>
        <v>5911.08</v>
      </c>
      <c r="G114" t="str">
        <f>"6527.77"</f>
        <v>6527.77</v>
      </c>
      <c r="H114" t="str">
        <f>"400.00"</f>
        <v>400.00</v>
      </c>
      <c r="I114" t="str">
        <f>"54"</f>
        <v>54</v>
      </c>
      <c r="J114" t="str">
        <f>"证券卖出(西部建设)"</f>
        <v>证券卖出(西部建设)</v>
      </c>
      <c r="K114" t="str">
        <f t="shared" ref="K114:K119" si="49">"5.00"</f>
        <v>5.00</v>
      </c>
      <c r="L114" t="str">
        <f>"5.92"</f>
        <v>5.92</v>
      </c>
      <c r="M114" t="str">
        <f t="shared" ref="M114:N119" si="50">"0.00"</f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"19.800"</f>
        <v>19.800</v>
      </c>
      <c r="E115" t="str">
        <f>"-200.00"</f>
        <v>-200.00</v>
      </c>
      <c r="F115" t="str">
        <f>"3951.04"</f>
        <v>3951.04</v>
      </c>
      <c r="G115" t="str">
        <f>"10478.81"</f>
        <v>10478.81</v>
      </c>
      <c r="H115" t="str">
        <f>"200.00"</f>
        <v>200.00</v>
      </c>
      <c r="I115" t="str">
        <f>"56"</f>
        <v>56</v>
      </c>
      <c r="J115" t="str">
        <f>"证券卖出(西部建设)"</f>
        <v>证券卖出(西部建设)</v>
      </c>
      <c r="K115" t="str">
        <f t="shared" si="49"/>
        <v>5.00</v>
      </c>
      <c r="L115" t="str">
        <f>"3.96"</f>
        <v>3.96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"西部建设"</f>
        <v>西部建设</v>
      </c>
      <c r="C116" t="str">
        <f t="shared" si="48"/>
        <v>20170616</v>
      </c>
      <c r="D116" t="str">
        <f>"19.400"</f>
        <v>19.400</v>
      </c>
      <c r="E116" t="str">
        <f>"-200.00"</f>
        <v>-200.00</v>
      </c>
      <c r="F116" t="str">
        <f>"3871.12"</f>
        <v>3871.12</v>
      </c>
      <c r="G116" t="str">
        <f>"14349.93"</f>
        <v>14349.93</v>
      </c>
      <c r="H116" t="str">
        <f>"0.00"</f>
        <v>0.00</v>
      </c>
      <c r="I116" t="str">
        <f>"66"</f>
        <v>66</v>
      </c>
      <c r="J116" t="str">
        <f>"证券卖出(西部建设)"</f>
        <v>证券卖出(西部建设)</v>
      </c>
      <c r="K116" t="str">
        <f t="shared" si="49"/>
        <v>5.00</v>
      </c>
      <c r="L116" t="str">
        <f>"3.88"</f>
        <v>3.88</v>
      </c>
      <c r="M116" t="str">
        <f t="shared" si="50"/>
        <v>0.00</v>
      </c>
      <c r="N116" t="str">
        <f t="shared" si="50"/>
        <v>0.00</v>
      </c>
      <c r="O116" t="str">
        <f>"002302"</f>
        <v>002302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"300.00"</f>
        <v>300.00</v>
      </c>
      <c r="F117" t="str">
        <f>"-4964.00"</f>
        <v>-4964.00</v>
      </c>
      <c r="G117" t="str">
        <f>"9385.93"</f>
        <v>9385.93</v>
      </c>
      <c r="H117" t="str">
        <f>"300.00"</f>
        <v>300.00</v>
      </c>
      <c r="I117" t="str">
        <f>"79"</f>
        <v>79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"汉钟精机"</f>
        <v>汉钟精机</v>
      </c>
      <c r="C118" t="str">
        <f t="shared" si="48"/>
        <v>20170616</v>
      </c>
      <c r="D118" t="str">
        <f>"16.530"</f>
        <v>16.530</v>
      </c>
      <c r="E118" t="str">
        <f>"200.00"</f>
        <v>200.00</v>
      </c>
      <c r="F118" t="str">
        <f>"-3311.00"</f>
        <v>-3311.00</v>
      </c>
      <c r="G118" t="str">
        <f>"6074.93"</f>
        <v>6074.93</v>
      </c>
      <c r="H118" t="str">
        <f>"500.00"</f>
        <v>500.00</v>
      </c>
      <c r="I118" t="str">
        <f>"82"</f>
        <v>82</v>
      </c>
      <c r="J118" t="str">
        <f>"证券买入(汉钟精机)"</f>
        <v>证券买入(汉钟精机)</v>
      </c>
      <c r="K118" t="str">
        <f t="shared" si="49"/>
        <v>5.00</v>
      </c>
      <c r="L118" t="str">
        <f>"0.00"</f>
        <v>0.00</v>
      </c>
      <c r="M118" t="str">
        <f t="shared" si="50"/>
        <v>0.00</v>
      </c>
      <c r="N118" t="str">
        <f t="shared" si="50"/>
        <v>0.00</v>
      </c>
      <c r="O118" t="str">
        <f>"002158"</f>
        <v>002158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"冀东水泥"</f>
        <v>冀东水泥</v>
      </c>
      <c r="C119" t="str">
        <f t="shared" si="48"/>
        <v>20170616</v>
      </c>
      <c r="D119" t="str">
        <f>"16.300"</f>
        <v>16.300</v>
      </c>
      <c r="E119" t="str">
        <f>"-500.00"</f>
        <v>-500.00</v>
      </c>
      <c r="F119" t="str">
        <f>"8136.85"</f>
        <v>8136.85</v>
      </c>
      <c r="G119" t="str">
        <f>"14211.78"</f>
        <v>14211.78</v>
      </c>
      <c r="H119" t="str">
        <f>"700.00"</f>
        <v>700.00</v>
      </c>
      <c r="I119" t="str">
        <f>"69"</f>
        <v>69</v>
      </c>
      <c r="J119" t="str">
        <f>"证券卖出(冀东水泥)"</f>
        <v>证券卖出(冀东水泥)</v>
      </c>
      <c r="K119" t="str">
        <f t="shared" si="49"/>
        <v>5.00</v>
      </c>
      <c r="L119" t="str">
        <f>"8.15"</f>
        <v>8.15</v>
      </c>
      <c r="M119" t="str">
        <f t="shared" si="50"/>
        <v>0.00</v>
      </c>
      <c r="N119" t="str">
        <f t="shared" si="50"/>
        <v>0.00</v>
      </c>
      <c r="O119" t="str">
        <f>"000401"</f>
        <v>000401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"西部建设"</f>
        <v>西部建设</v>
      </c>
      <c r="C120" t="str">
        <f>"20170619"</f>
        <v>20170619</v>
      </c>
      <c r="D120" t="str">
        <f>"0.000"</f>
        <v>0.000</v>
      </c>
      <c r="E120" t="str">
        <f>"0.00"</f>
        <v>0.00</v>
      </c>
      <c r="F120" t="str">
        <f>"-9.10"</f>
        <v>-9.10</v>
      </c>
      <c r="G120" t="str">
        <f>"14202.68"</f>
        <v>14202.68</v>
      </c>
      <c r="H120" t="str">
        <f>"0.00"</f>
        <v>0.00</v>
      </c>
      <c r="I120" t="str">
        <f>"---"</f>
        <v>---</v>
      </c>
      <c r="J120" t="str">
        <f>"红利差异税扣税(西部建设)"</f>
        <v>红利差异税扣税(西部建设)</v>
      </c>
      <c r="K120" t="str">
        <f t="shared" ref="K120:N121" si="51">"---"</f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"002302"</f>
        <v>002302</v>
      </c>
      <c r="P120" t="str">
        <f t="shared" si="47"/>
        <v>0153613480</v>
      </c>
    </row>
    <row r="121" spans="1:16" x14ac:dyDescent="0.25">
      <c r="A121" t="str">
        <f t="shared" si="29"/>
        <v>人民币</v>
      </c>
      <c r="B121" t="str">
        <f>""</f>
        <v/>
      </c>
      <c r="C121" t="str">
        <f>"20170619"</f>
        <v>20170619</v>
      </c>
      <c r="D121" t="str">
        <f>"---"</f>
        <v>---</v>
      </c>
      <c r="E121" t="str">
        <f>"---"</f>
        <v>---</v>
      </c>
      <c r="F121" t="str">
        <f>"-10000.00"</f>
        <v>-10000.00</v>
      </c>
      <c r="G121" t="str">
        <f>"4202.68"</f>
        <v>4202.68</v>
      </c>
      <c r="H121" t="str">
        <f>"---"</f>
        <v>---</v>
      </c>
      <c r="I121" t="str">
        <f>"---"</f>
        <v>---</v>
      </c>
      <c r="J121" t="str">
        <f>"银行转取"</f>
        <v>银行转取</v>
      </c>
      <c r="K121" t="str">
        <f t="shared" si="51"/>
        <v>---</v>
      </c>
      <c r="L121" t="str">
        <f t="shared" si="51"/>
        <v>---</v>
      </c>
      <c r="M121" t="str">
        <f t="shared" si="51"/>
        <v>---</v>
      </c>
      <c r="N121" t="str">
        <f t="shared" si="51"/>
        <v>---</v>
      </c>
      <c r="O121" t="str">
        <f>"---"</f>
        <v>---</v>
      </c>
      <c r="P121" t="str">
        <f>"---"</f>
        <v>---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"17.470"</f>
        <v>17.470</v>
      </c>
      <c r="E122" t="str">
        <f>"-300.00"</f>
        <v>-300.00</v>
      </c>
      <c r="F122" t="str">
        <f>"5230.76"</f>
        <v>5230.76</v>
      </c>
      <c r="G122" t="str">
        <f>"9433.44"</f>
        <v>9433.44</v>
      </c>
      <c r="H122" t="str">
        <f>"200.00"</f>
        <v>200.00</v>
      </c>
      <c r="I122" t="str">
        <f>"95"</f>
        <v>95</v>
      </c>
      <c r="J122" t="str">
        <f>"证券卖出(汉钟精机)"</f>
        <v>证券卖出(汉钟精机)</v>
      </c>
      <c r="K122" t="str">
        <f>"5.00"</f>
        <v>5.00</v>
      </c>
      <c r="L122" t="str">
        <f>"5.24"</f>
        <v>5.24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"汉钟精机"</f>
        <v>汉钟精机</v>
      </c>
      <c r="C123" t="str">
        <f>"20170619"</f>
        <v>20170619</v>
      </c>
      <c r="D123" t="str">
        <f>"16.930"</f>
        <v>16.930</v>
      </c>
      <c r="E123" t="str">
        <f>"200.00"</f>
        <v>200.00</v>
      </c>
      <c r="F123" t="str">
        <f>"-3391.00"</f>
        <v>-3391.00</v>
      </c>
      <c r="G123" t="str">
        <f>"6042.44"</f>
        <v>6042.44</v>
      </c>
      <c r="H123" t="str">
        <f>"400.00"</f>
        <v>400.00</v>
      </c>
      <c r="I123" t="str">
        <f>"99"</f>
        <v>99</v>
      </c>
      <c r="J123" t="str">
        <f>"证券买入(汉钟精机)"</f>
        <v>证券买入(汉钟精机)</v>
      </c>
      <c r="K123" t="str">
        <f>"5.00"</f>
        <v>5.00</v>
      </c>
      <c r="L123" t="str">
        <f>"0.00"</f>
        <v>0.00</v>
      </c>
      <c r="M123" t="str">
        <f>"0.00"</f>
        <v>0.00</v>
      </c>
      <c r="N123" t="str">
        <f>"0.00"</f>
        <v>0.00</v>
      </c>
      <c r="O123" t="str">
        <f>"002158"</f>
        <v>002158</v>
      </c>
      <c r="P123" t="str">
        <f>"0153613480"</f>
        <v>0153613480</v>
      </c>
    </row>
    <row r="124" spans="1:16" x14ac:dyDescent="0.25">
      <c r="A124" t="str">
        <f t="shared" si="29"/>
        <v>人民币</v>
      </c>
      <c r="B124" t="str">
        <f>""</f>
        <v/>
      </c>
      <c r="C124" t="str">
        <f>"20170620"</f>
        <v>20170620</v>
      </c>
      <c r="D124" t="str">
        <f>"---"</f>
        <v>---</v>
      </c>
      <c r="E124" t="str">
        <f>"---"</f>
        <v>---</v>
      </c>
      <c r="F124" t="str">
        <f>"3.20"</f>
        <v>3.20</v>
      </c>
      <c r="G124" t="str">
        <f>"6045.64"</f>
        <v>6045.64</v>
      </c>
      <c r="H124" t="str">
        <f>"---"</f>
        <v>---</v>
      </c>
      <c r="I124" t="str">
        <f>"---"</f>
        <v>---</v>
      </c>
      <c r="J124" t="str">
        <f>"批量利息归本"</f>
        <v>批量利息归本</v>
      </c>
      <c r="K124" t="str">
        <f t="shared" ref="K124:P124" si="52">"---"</f>
        <v>---</v>
      </c>
      <c r="L124" t="str">
        <f t="shared" si="52"/>
        <v>---</v>
      </c>
      <c r="M124" t="str">
        <f t="shared" si="52"/>
        <v>---</v>
      </c>
      <c r="N124" t="str">
        <f t="shared" si="52"/>
        <v>---</v>
      </c>
      <c r="O124" t="str">
        <f t="shared" si="52"/>
        <v>---</v>
      </c>
      <c r="P124" t="str">
        <f t="shared" si="52"/>
        <v>---</v>
      </c>
    </row>
    <row r="125" spans="1:16" x14ac:dyDescent="0.25">
      <c r="A125" t="str">
        <f t="shared" si="29"/>
        <v>人民币</v>
      </c>
      <c r="B125" t="str">
        <f>"汉钟精机"</f>
        <v>汉钟精机</v>
      </c>
      <c r="C125" t="str">
        <f>"20170620"</f>
        <v>20170620</v>
      </c>
      <c r="D125" t="str">
        <f>"18.400"</f>
        <v>18.400</v>
      </c>
      <c r="E125" t="str">
        <f>"-400.00"</f>
        <v>-400.00</v>
      </c>
      <c r="F125" t="str">
        <f>"7347.64"</f>
        <v>7347.64</v>
      </c>
      <c r="G125" t="str">
        <f>"13393.28"</f>
        <v>13393.28</v>
      </c>
      <c r="H125" t="str">
        <f>"0.00"</f>
        <v>0.00</v>
      </c>
      <c r="I125" t="str">
        <f>"104"</f>
        <v>104</v>
      </c>
      <c r="J125" t="str">
        <f>"证券卖出(汉钟精机)"</f>
        <v>证券卖出(汉钟精机)</v>
      </c>
      <c r="K125" t="str">
        <f t="shared" ref="K125:K138" si="53">"5.00"</f>
        <v>5.00</v>
      </c>
      <c r="L125" t="str">
        <f>"7.36"</f>
        <v>7.36</v>
      </c>
      <c r="M125" t="str">
        <f>"0.00"</f>
        <v>0.00</v>
      </c>
      <c r="N125" t="str">
        <f>"0.00"</f>
        <v>0.00</v>
      </c>
      <c r="O125" t="str">
        <f>"002158"</f>
        <v>002158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"20170621"</f>
        <v>20170621</v>
      </c>
      <c r="D126" t="str">
        <f>"21.930"</f>
        <v>21.930</v>
      </c>
      <c r="E126" t="str">
        <f>"200.00"</f>
        <v>200.00</v>
      </c>
      <c r="F126" t="str">
        <f>"-4391.09"</f>
        <v>-4391.09</v>
      </c>
      <c r="G126" t="str">
        <f>"9002.19"</f>
        <v>9002.19</v>
      </c>
      <c r="H126" t="str">
        <f>"200.00"</f>
        <v>200.00</v>
      </c>
      <c r="I126" t="str">
        <f>"109"</f>
        <v>109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"0.09"</f>
        <v>0.09</v>
      </c>
      <c r="N126" t="str">
        <f t="shared" ref="N126:N144" si="54">"0.00"</f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"银龙股份"</f>
        <v>银龙股份</v>
      </c>
      <c r="C127" t="str">
        <f>"20170622"</f>
        <v>20170622</v>
      </c>
      <c r="D127" t="str">
        <f>"21.700"</f>
        <v>21.700</v>
      </c>
      <c r="E127" t="str">
        <f>"100.00"</f>
        <v>100.00</v>
      </c>
      <c r="F127" t="str">
        <f>"-2175.04"</f>
        <v>-2175.04</v>
      </c>
      <c r="G127" t="str">
        <f>"6827.15"</f>
        <v>6827.15</v>
      </c>
      <c r="H127" t="str">
        <f>"300.00"</f>
        <v>300.00</v>
      </c>
      <c r="I127" t="str">
        <f>"131"</f>
        <v>131</v>
      </c>
      <c r="J127" t="str">
        <f>"证券买入(银龙股份)"</f>
        <v>证券买入(银龙股份)</v>
      </c>
      <c r="K127" t="str">
        <f t="shared" si="53"/>
        <v>5.00</v>
      </c>
      <c r="L127" t="str">
        <f>"0.00"</f>
        <v>0.00</v>
      </c>
      <c r="M127" t="str">
        <f>"0.04"</f>
        <v>0.04</v>
      </c>
      <c r="N127" t="str">
        <f t="shared" si="54"/>
        <v>0.00</v>
      </c>
      <c r="O127" t="str">
        <f>"603969"</f>
        <v>603969</v>
      </c>
      <c r="P127" t="str">
        <f>"A400948245"</f>
        <v>A400948245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"20.870"</f>
        <v>20.870</v>
      </c>
      <c r="E128" t="str">
        <f>"200.00"</f>
        <v>200.00</v>
      </c>
      <c r="F128" t="str">
        <f>"-4179.00"</f>
        <v>-4179.00</v>
      </c>
      <c r="G128" t="str">
        <f>"2648.15"</f>
        <v>2648.15</v>
      </c>
      <c r="H128" t="str">
        <f>"200.00"</f>
        <v>200.00</v>
      </c>
      <c r="I128" t="str">
        <f>"113"</f>
        <v>113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ref="M128:M144" si="55">"0.00"</f>
        <v>0.00</v>
      </c>
      <c r="N128" t="str">
        <f t="shared" si="54"/>
        <v>0.00</v>
      </c>
      <c r="O128" t="str">
        <f>"300344"</f>
        <v>300344</v>
      </c>
      <c r="P128" t="str">
        <f t="shared" ref="P128:P147" si="56">"0153613480"</f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"20.790"</f>
        <v>20.790</v>
      </c>
      <c r="E129" t="str">
        <f>"200.00"</f>
        <v>200.00</v>
      </c>
      <c r="F129" t="str">
        <f>"-4163.00"</f>
        <v>-4163.00</v>
      </c>
      <c r="G129" t="str">
        <f>"-1514.85"</f>
        <v>-1514.85</v>
      </c>
      <c r="H129" t="str">
        <f>"400.00"</f>
        <v>400.00</v>
      </c>
      <c r="I129" t="str">
        <f>"124"</f>
        <v>124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si="29"/>
        <v>人民币</v>
      </c>
      <c r="B130" t="str">
        <f>"太空板业"</f>
        <v>太空板业</v>
      </c>
      <c r="C130" t="str">
        <f>"20170622"</f>
        <v>20170622</v>
      </c>
      <c r="D130" t="str">
        <f>"20.730"</f>
        <v>20.730</v>
      </c>
      <c r="E130" t="str">
        <f>"200.00"</f>
        <v>200.00</v>
      </c>
      <c r="F130" t="str">
        <f>"-4151.00"</f>
        <v>-4151.00</v>
      </c>
      <c r="G130" t="str">
        <f>"-5665.85"</f>
        <v>-5665.85</v>
      </c>
      <c r="H130" t="str">
        <f>"600.00"</f>
        <v>600.00</v>
      </c>
      <c r="I130" t="str">
        <f>"122"</f>
        <v>122</v>
      </c>
      <c r="J130" t="str">
        <f>"证券买入(太空板业)"</f>
        <v>证券买入(太空板业)</v>
      </c>
      <c r="K130" t="str">
        <f t="shared" si="53"/>
        <v>5.00</v>
      </c>
      <c r="L130" t="str">
        <f>"0.00"</f>
        <v>0.00</v>
      </c>
      <c r="M130" t="str">
        <f t="shared" si="55"/>
        <v>0.00</v>
      </c>
      <c r="N130" t="str">
        <f t="shared" si="54"/>
        <v>0.00</v>
      </c>
      <c r="O130" t="str">
        <f>"300344"</f>
        <v>300344</v>
      </c>
      <c r="P130" t="str">
        <f t="shared" si="56"/>
        <v>0153613480</v>
      </c>
    </row>
    <row r="131" spans="1:16" x14ac:dyDescent="0.25">
      <c r="A131" t="str">
        <f t="shared" ref="A131:A194" si="57">"人民币"</f>
        <v>人民币</v>
      </c>
      <c r="B131" t="str">
        <f>"合肥城建"</f>
        <v>合肥城建</v>
      </c>
      <c r="C131" t="str">
        <f>"20170622"</f>
        <v>20170622</v>
      </c>
      <c r="D131" t="str">
        <f>"12.390"</f>
        <v>12.390</v>
      </c>
      <c r="E131" t="str">
        <f>"-500.00"</f>
        <v>-500.00</v>
      </c>
      <c r="F131" t="str">
        <f>"6183.80"</f>
        <v>6183.80</v>
      </c>
      <c r="G131" t="str">
        <f>"517.95"</f>
        <v>517.95</v>
      </c>
      <c r="H131" t="str">
        <f>"1300.00"</f>
        <v>1300.00</v>
      </c>
      <c r="I131" t="str">
        <f>"119"</f>
        <v>119</v>
      </c>
      <c r="J131" t="str">
        <f>"证券卖出(合肥城建)"</f>
        <v>证券卖出(合肥城建)</v>
      </c>
      <c r="K131" t="str">
        <f t="shared" si="53"/>
        <v>5.00</v>
      </c>
      <c r="L131" t="str">
        <f>"6.20"</f>
        <v>6.20</v>
      </c>
      <c r="M131" t="str">
        <f t="shared" si="55"/>
        <v>0.00</v>
      </c>
      <c r="N131" t="str">
        <f t="shared" si="54"/>
        <v>0.00</v>
      </c>
      <c r="O131" t="str">
        <f>"002208"</f>
        <v>002208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ref="C132:C139" si="58">"20170623"</f>
        <v>20170623</v>
      </c>
      <c r="D132" t="str">
        <f>"15.800"</f>
        <v>15.800</v>
      </c>
      <c r="E132" t="str">
        <f>"-300.00"</f>
        <v>-300.00</v>
      </c>
      <c r="F132" t="str">
        <f>"4730.26"</f>
        <v>4730.26</v>
      </c>
      <c r="G132" t="str">
        <f>"5248.21"</f>
        <v>5248.21</v>
      </c>
      <c r="H132" t="str">
        <f>"400.00"</f>
        <v>400.00</v>
      </c>
      <c r="I132" t="str">
        <f>"139"</f>
        <v>139</v>
      </c>
      <c r="J132" t="str">
        <f>"证券卖出(冀东水泥)"</f>
        <v>证券卖出(冀东水泥)</v>
      </c>
      <c r="K132" t="str">
        <f t="shared" si="53"/>
        <v>5.00</v>
      </c>
      <c r="L132" t="str">
        <f>"4.74"</f>
        <v>4.74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"15.740"</f>
        <v>15.740</v>
      </c>
      <c r="E133" t="str">
        <f>"-300.00"</f>
        <v>-300.00</v>
      </c>
      <c r="F133" t="str">
        <f>"4712.28"</f>
        <v>4712.28</v>
      </c>
      <c r="G133" t="str">
        <f>"9960.49"</f>
        <v>9960.49</v>
      </c>
      <c r="H133" t="str">
        <f>"100.00"</f>
        <v>100.00</v>
      </c>
      <c r="I133" t="str">
        <f>"145"</f>
        <v>145</v>
      </c>
      <c r="J133" t="str">
        <f>"证券卖出(冀东水泥)"</f>
        <v>证券卖出(冀东水泥)</v>
      </c>
      <c r="K133" t="str">
        <f t="shared" si="53"/>
        <v>5.00</v>
      </c>
      <c r="L133" t="str">
        <f>"4.72"</f>
        <v>4.72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"冀东水泥"</f>
        <v>冀东水泥</v>
      </c>
      <c r="C134" t="str">
        <f t="shared" si="58"/>
        <v>20170623</v>
      </c>
      <c r="D134" t="str">
        <f>"15.700"</f>
        <v>15.700</v>
      </c>
      <c r="E134" t="str">
        <f>"-100.00"</f>
        <v>-100.00</v>
      </c>
      <c r="F134" t="str">
        <f>"1563.43"</f>
        <v>1563.43</v>
      </c>
      <c r="G134" t="str">
        <f>"11523.92"</f>
        <v>11523.92</v>
      </c>
      <c r="H134" t="str">
        <f>"0.00"</f>
        <v>0.00</v>
      </c>
      <c r="I134" t="str">
        <f>"163"</f>
        <v>163</v>
      </c>
      <c r="J134" t="str">
        <f>"证券卖出(冀东水泥)"</f>
        <v>证券卖出(冀东水泥)</v>
      </c>
      <c r="K134" t="str">
        <f t="shared" si="53"/>
        <v>5.00</v>
      </c>
      <c r="L134" t="str">
        <f>"1.57"</f>
        <v>1.57</v>
      </c>
      <c r="M134" t="str">
        <f t="shared" si="55"/>
        <v>0.00</v>
      </c>
      <c r="N134" t="str">
        <f t="shared" si="54"/>
        <v>0.00</v>
      </c>
      <c r="O134" t="str">
        <f>"000401"</f>
        <v>000401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"18.000"</f>
        <v>18.000</v>
      </c>
      <c r="E135" t="str">
        <f>"200.00"</f>
        <v>200.00</v>
      </c>
      <c r="F135" t="str">
        <f>"-3605.00"</f>
        <v>-3605.00</v>
      </c>
      <c r="G135" t="str">
        <f>"7918.92"</f>
        <v>7918.92</v>
      </c>
      <c r="H135" t="str">
        <f>"200.00"</f>
        <v>200.00</v>
      </c>
      <c r="I135" t="str">
        <f>"142"</f>
        <v>142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"17.990"</f>
        <v>17.990</v>
      </c>
      <c r="E136" t="str">
        <f>"100.00"</f>
        <v>100.00</v>
      </c>
      <c r="F136" t="str">
        <f>"-1804.00"</f>
        <v>-1804.00</v>
      </c>
      <c r="G136" t="str">
        <f>"6114.92"</f>
        <v>6114.92</v>
      </c>
      <c r="H136" t="str">
        <f>"300.00"</f>
        <v>300.00</v>
      </c>
      <c r="I136" t="str">
        <f>"154"</f>
        <v>154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"17.980"</f>
        <v>17.980</v>
      </c>
      <c r="E137" t="str">
        <f>"200.00"</f>
        <v>200.00</v>
      </c>
      <c r="F137" t="str">
        <f>"-3601.00"</f>
        <v>-3601.00</v>
      </c>
      <c r="G137" t="str">
        <f>"2513.92"</f>
        <v>2513.92</v>
      </c>
      <c r="H137" t="str">
        <f>"500.00"</f>
        <v>500.00</v>
      </c>
      <c r="I137" t="str">
        <f>"160"</f>
        <v>160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"汉钟精机"</f>
        <v>汉钟精机</v>
      </c>
      <c r="C138" t="str">
        <f t="shared" si="58"/>
        <v>20170623</v>
      </c>
      <c r="D138" t="str">
        <f>"17.930"</f>
        <v>17.930</v>
      </c>
      <c r="E138" t="str">
        <f>"100.00"</f>
        <v>100.00</v>
      </c>
      <c r="F138" t="str">
        <f>"-1798.00"</f>
        <v>-1798.00</v>
      </c>
      <c r="G138" t="str">
        <f>"715.92"</f>
        <v>715.92</v>
      </c>
      <c r="H138" t="str">
        <f>"600.00"</f>
        <v>600.00</v>
      </c>
      <c r="I138" t="str">
        <f>"171"</f>
        <v>171</v>
      </c>
      <c r="J138" t="str">
        <f>"证券买入(汉钟精机)"</f>
        <v>证券买入(汉钟精机)</v>
      </c>
      <c r="K138" t="str">
        <f t="shared" si="53"/>
        <v>5.00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"002158"</f>
        <v>002158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"富满电子"</f>
        <v>富满电子</v>
      </c>
      <c r="C139" t="str">
        <f t="shared" si="58"/>
        <v>20170623</v>
      </c>
      <c r="D139" t="str">
        <f>"0.000"</f>
        <v>0.000</v>
      </c>
      <c r="E139" t="str">
        <f>"10.00"</f>
        <v>10.00</v>
      </c>
      <c r="F139" t="str">
        <f>"0.00"</f>
        <v>0.00</v>
      </c>
      <c r="G139" t="str">
        <f>"715.92"</f>
        <v>715.92</v>
      </c>
      <c r="H139" t="str">
        <f>"0.00"</f>
        <v>0.00</v>
      </c>
      <c r="I139" t="str">
        <f>"168"</f>
        <v>168</v>
      </c>
      <c r="J139" t="str">
        <f>"申购配号(富满电子)"</f>
        <v>申购配号(富满电子)</v>
      </c>
      <c r="K139" t="str">
        <f>"0.00"</f>
        <v>0.00</v>
      </c>
      <c r="L139" t="str">
        <f>"0.00"</f>
        <v>0.00</v>
      </c>
      <c r="M139" t="str">
        <f t="shared" si="55"/>
        <v>0.00</v>
      </c>
      <c r="N139" t="str">
        <f t="shared" si="54"/>
        <v>0.00</v>
      </c>
      <c r="O139" t="str">
        <f>"300671"</f>
        <v>300671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"19.390"</f>
        <v>19.390</v>
      </c>
      <c r="E140" t="str">
        <f>"-500.00"</f>
        <v>-500.00</v>
      </c>
      <c r="F140" t="str">
        <f>"9680.30"</f>
        <v>9680.30</v>
      </c>
      <c r="G140" t="str">
        <f>"10396.22"</f>
        <v>10396.22</v>
      </c>
      <c r="H140" t="str">
        <f>"100.00"</f>
        <v>100.00</v>
      </c>
      <c r="I140" t="str">
        <f>"183"</f>
        <v>183</v>
      </c>
      <c r="J140" t="str">
        <f>"证券卖出(汉钟精机)"</f>
        <v>证券卖出(汉钟精机)</v>
      </c>
      <c r="K140" t="str">
        <f>"5.00"</f>
        <v>5.00</v>
      </c>
      <c r="L140" t="str">
        <f>"9.70"</f>
        <v>9.70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"20170626"</f>
        <v>20170626</v>
      </c>
      <c r="D141" t="str">
        <f>"19.090"</f>
        <v>19.090</v>
      </c>
      <c r="E141" t="str">
        <f>"100.00"</f>
        <v>100.00</v>
      </c>
      <c r="F141" t="str">
        <f>"-1914.00"</f>
        <v>-1914.00</v>
      </c>
      <c r="G141" t="str">
        <f>"8482.22"</f>
        <v>8482.22</v>
      </c>
      <c r="H141" t="str">
        <f>"200.00"</f>
        <v>200.00</v>
      </c>
      <c r="I141" t="str">
        <f>"189"</f>
        <v>189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"18.500"</f>
        <v>18.500</v>
      </c>
      <c r="E142" t="str">
        <f>"200.00"</f>
        <v>200.00</v>
      </c>
      <c r="F142" t="str">
        <f>"-3705.00"</f>
        <v>-3705.00</v>
      </c>
      <c r="G142" t="str">
        <f>"4777.22"</f>
        <v>4777.22</v>
      </c>
      <c r="H142" t="str">
        <f>"400.00"</f>
        <v>400.00</v>
      </c>
      <c r="I142" t="str">
        <f>"202"</f>
        <v>202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"汉钟精机"</f>
        <v>汉钟精机</v>
      </c>
      <c r="C143" t="str">
        <f>"20170627"</f>
        <v>20170627</v>
      </c>
      <c r="D143" t="str">
        <f>"18.300"</f>
        <v>18.300</v>
      </c>
      <c r="E143" t="str">
        <f>"200.00"</f>
        <v>200.00</v>
      </c>
      <c r="F143" t="str">
        <f>"-3665.00"</f>
        <v>-3665.00</v>
      </c>
      <c r="G143" t="str">
        <f>"1112.22"</f>
        <v>1112.22</v>
      </c>
      <c r="H143" t="str">
        <f>"600.00"</f>
        <v>600.00</v>
      </c>
      <c r="I143" t="str">
        <f>"208"</f>
        <v>208</v>
      </c>
      <c r="J143" t="str">
        <f>"证券买入(汉钟精机)"</f>
        <v>证券买入(汉钟精机)</v>
      </c>
      <c r="K143" t="str">
        <f>"5.00"</f>
        <v>5.00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"002158"</f>
        <v>002158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"240.00"</f>
        <v>240.00</v>
      </c>
      <c r="F144" t="str">
        <f>"0.00"</f>
        <v>0.00</v>
      </c>
      <c r="G144" t="str">
        <f>"1112.22"</f>
        <v>1112.22</v>
      </c>
      <c r="H144" t="str">
        <f>"840.00"</f>
        <v>840.00</v>
      </c>
      <c r="I144" t="str">
        <f>""</f>
        <v/>
      </c>
      <c r="J144" t="str">
        <f>"红股入帐(太空板业)"</f>
        <v>红股入帐(太空板业)</v>
      </c>
      <c r="K144" t="str">
        <f>"0.00"</f>
        <v>0.00</v>
      </c>
      <c r="L144" t="str">
        <f>"0.00"</f>
        <v>0.00</v>
      </c>
      <c r="M144" t="str">
        <f t="shared" si="55"/>
        <v>0.00</v>
      </c>
      <c r="N144" t="str">
        <f t="shared" si="54"/>
        <v>0.00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"太空板业"</f>
        <v>太空板业</v>
      </c>
      <c r="C145" t="str">
        <f>"20170627"</f>
        <v>20170627</v>
      </c>
      <c r="D145" t="str">
        <f>"0.000"</f>
        <v>0.000</v>
      </c>
      <c r="E145" t="str">
        <f>"0.00"</f>
        <v>0.00</v>
      </c>
      <c r="F145" t="str">
        <f>"12.00"</f>
        <v>12.00</v>
      </c>
      <c r="G145" t="str">
        <f>"1124.22"</f>
        <v>1124.22</v>
      </c>
      <c r="H145" t="str">
        <f>"840.00"</f>
        <v>840.00</v>
      </c>
      <c r="I145" t="str">
        <f>"---"</f>
        <v>---</v>
      </c>
      <c r="J145" t="str">
        <f>"股息入帐(太空板业)"</f>
        <v>股息入帐(太空板业)</v>
      </c>
      <c r="K145" t="str">
        <f>"---"</f>
        <v>---</v>
      </c>
      <c r="L145" t="str">
        <f>"---"</f>
        <v>---</v>
      </c>
      <c r="M145" t="str">
        <f>"---"</f>
        <v>---</v>
      </c>
      <c r="N145" t="str">
        <f>"---"</f>
        <v>---</v>
      </c>
      <c r="O145" t="str">
        <f>"300344"</f>
        <v>300344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"汉钟精机"</f>
        <v>汉钟精机</v>
      </c>
      <c r="C146" t="str">
        <f>"20170628"</f>
        <v>20170628</v>
      </c>
      <c r="D146" t="str">
        <f>"18.720"</f>
        <v>18.720</v>
      </c>
      <c r="E146" t="str">
        <f>"-200.00"</f>
        <v>-200.00</v>
      </c>
      <c r="F146" t="str">
        <f>"3735.26"</f>
        <v>3735.26</v>
      </c>
      <c r="G146" t="str">
        <f>"4859.48"</f>
        <v>4859.48</v>
      </c>
      <c r="H146" t="str">
        <f>"400.00"</f>
        <v>400.00</v>
      </c>
      <c r="I146" t="str">
        <f>"217"</f>
        <v>217</v>
      </c>
      <c r="J146" t="str">
        <f>"证券卖出(汉钟精机)"</f>
        <v>证券卖出(汉钟精机)</v>
      </c>
      <c r="K146" t="str">
        <f>"5.00"</f>
        <v>5.00</v>
      </c>
      <c r="L146" t="str">
        <f>"3.74"</f>
        <v>3.74</v>
      </c>
      <c r="M146" t="str">
        <f>"0.00"</f>
        <v>0.00</v>
      </c>
      <c r="N146" t="str">
        <f>"0.00"</f>
        <v>0.00</v>
      </c>
      <c r="O146" t="str">
        <f>"002158"</f>
        <v>002158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"国科微"</f>
        <v>国科微</v>
      </c>
      <c r="C147" t="str">
        <f>"20170628"</f>
        <v>20170628</v>
      </c>
      <c r="D147" t="str">
        <f>"0.000"</f>
        <v>0.000</v>
      </c>
      <c r="E147" t="str">
        <f>"9.00"</f>
        <v>9.00</v>
      </c>
      <c r="F147" t="str">
        <f>"0.00"</f>
        <v>0.00</v>
      </c>
      <c r="G147" t="str">
        <f>"4859.48"</f>
        <v>4859.48</v>
      </c>
      <c r="H147" t="str">
        <f>"0.00"</f>
        <v>0.00</v>
      </c>
      <c r="I147" t="str">
        <f>"215"</f>
        <v>215</v>
      </c>
      <c r="J147" t="str">
        <f>"申购配号(国科微)"</f>
        <v>申购配号(国科微)</v>
      </c>
      <c r="K147" t="str">
        <f>"0.00"</f>
        <v>0.00</v>
      </c>
      <c r="L147" t="str">
        <f>"0.00"</f>
        <v>0.00</v>
      </c>
      <c r="M147" t="str">
        <f>"0.00"</f>
        <v>0.00</v>
      </c>
      <c r="N147" t="str">
        <f>"0.00"</f>
        <v>0.00</v>
      </c>
      <c r="O147" t="str">
        <f>"300672"</f>
        <v>300672</v>
      </c>
      <c r="P147" t="str">
        <f t="shared" si="56"/>
        <v>0153613480</v>
      </c>
    </row>
    <row r="148" spans="1:16" x14ac:dyDescent="0.25">
      <c r="A148" t="str">
        <f t="shared" si="57"/>
        <v>人民币</v>
      </c>
      <c r="B148" t="str">
        <f>""</f>
        <v/>
      </c>
      <c r="C148" t="str">
        <f>"20170629"</f>
        <v>20170629</v>
      </c>
      <c r="D148" t="str">
        <f>"---"</f>
        <v>---</v>
      </c>
      <c r="E148" t="str">
        <f>"---"</f>
        <v>---</v>
      </c>
      <c r="F148" t="str">
        <f>"-4800.00"</f>
        <v>-4800.00</v>
      </c>
      <c r="G148" t="str">
        <f>"59.48"</f>
        <v>59.48</v>
      </c>
      <c r="H148" t="str">
        <f>"---"</f>
        <v>---</v>
      </c>
      <c r="I148" t="str">
        <f>"---"</f>
        <v>---</v>
      </c>
      <c r="J148" t="str">
        <f>"银行转取"</f>
        <v>银行转取</v>
      </c>
      <c r="K148" t="str">
        <f t="shared" ref="K148:P148" si="59">"---"</f>
        <v>---</v>
      </c>
      <c r="L148" t="str">
        <f t="shared" si="59"/>
        <v>---</v>
      </c>
      <c r="M148" t="str">
        <f t="shared" si="59"/>
        <v>---</v>
      </c>
      <c r="N148" t="str">
        <f t="shared" si="59"/>
        <v>---</v>
      </c>
      <c r="O148" t="str">
        <f t="shared" si="59"/>
        <v>---</v>
      </c>
      <c r="P148" t="str">
        <f t="shared" si="59"/>
        <v>---</v>
      </c>
    </row>
    <row r="149" spans="1:16" x14ac:dyDescent="0.25">
      <c r="A149" t="str">
        <f t="shared" si="57"/>
        <v>人民币</v>
      </c>
      <c r="B149" t="str">
        <f>"凌霄泵业"</f>
        <v>凌霄泵业</v>
      </c>
      <c r="C149" t="str">
        <f>"20170629"</f>
        <v>20170629</v>
      </c>
      <c r="D149" t="str">
        <f>"0.000"</f>
        <v>0.000</v>
      </c>
      <c r="E149" t="str">
        <f>"9.00"</f>
        <v>9.00</v>
      </c>
      <c r="F149" t="str">
        <f>"0.00"</f>
        <v>0.00</v>
      </c>
      <c r="G149" t="str">
        <f>"59.48"</f>
        <v>59.48</v>
      </c>
      <c r="H149" t="str">
        <f>"0.00"</f>
        <v>0.00</v>
      </c>
      <c r="I149" t="str">
        <f>"230"</f>
        <v>230</v>
      </c>
      <c r="J149" t="str">
        <f>"申购配号(凌霄泵业)"</f>
        <v>申购配号(凌霄泵业)</v>
      </c>
      <c r="K149" t="str">
        <f>"0.00"</f>
        <v>0.00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"002884"</f>
        <v>002884</v>
      </c>
      <c r="P149" t="str">
        <f t="shared" ref="P149:P154" si="60">"0153613480"</f>
        <v>0153613480</v>
      </c>
    </row>
    <row r="150" spans="1:16" x14ac:dyDescent="0.25">
      <c r="A150" t="str">
        <f t="shared" si="57"/>
        <v>人民币</v>
      </c>
      <c r="B150" t="str">
        <f>"汉钟精机"</f>
        <v>汉钟精机</v>
      </c>
      <c r="C150" t="str">
        <f>"20170630"</f>
        <v>20170630</v>
      </c>
      <c r="D150" t="str">
        <f>"17.820"</f>
        <v>17.820</v>
      </c>
      <c r="E150" t="str">
        <f>"200.00"</f>
        <v>200.00</v>
      </c>
      <c r="F150" t="str">
        <f>"-3569.00"</f>
        <v>-3569.00</v>
      </c>
      <c r="G150" t="str">
        <f>"-3509.52"</f>
        <v>-3509.52</v>
      </c>
      <c r="H150" t="str">
        <f>"600.00"</f>
        <v>600.00</v>
      </c>
      <c r="I150" t="str">
        <f>"240"</f>
        <v>240</v>
      </c>
      <c r="J150" t="str">
        <f>"证券买入(汉钟精机)"</f>
        <v>证券买入(汉钟精机)</v>
      </c>
      <c r="K150" t="str">
        <f>"5.00"</f>
        <v>5.00</v>
      </c>
      <c r="L150" t="str">
        <f>"0.00"</f>
        <v>0.00</v>
      </c>
      <c r="M150" t="str">
        <f>"0.00"</f>
        <v>0.00</v>
      </c>
      <c r="N150" t="str">
        <f>"0.00"</f>
        <v>0.00</v>
      </c>
      <c r="O150" t="str">
        <f>"002158"</f>
        <v>002158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"合肥城建"</f>
        <v>合肥城建</v>
      </c>
      <c r="C151" t="str">
        <f>"20170630"</f>
        <v>20170630</v>
      </c>
      <c r="D151" t="str">
        <f>"13.040"</f>
        <v>13.040</v>
      </c>
      <c r="E151" t="str">
        <f>"-500.00"</f>
        <v>-500.00</v>
      </c>
      <c r="F151" t="str">
        <f>"6508.48"</f>
        <v>6508.48</v>
      </c>
      <c r="G151" t="str">
        <f>"2998.96"</f>
        <v>2998.96</v>
      </c>
      <c r="H151" t="str">
        <f>"800.00"</f>
        <v>800.00</v>
      </c>
      <c r="I151" t="str">
        <f>"234"</f>
        <v>234</v>
      </c>
      <c r="J151" t="str">
        <f>"证券卖出(合肥城建)"</f>
        <v>证券卖出(合肥城建)</v>
      </c>
      <c r="K151" t="str">
        <f>"5.00"</f>
        <v>5.00</v>
      </c>
      <c r="L151" t="str">
        <f>"6.52"</f>
        <v>6.52</v>
      </c>
      <c r="M151" t="str">
        <f t="shared" ref="M151:N154" si="61">"0.00"</f>
        <v>0.00</v>
      </c>
      <c r="N151" t="str">
        <f t="shared" si="61"/>
        <v>0.00</v>
      </c>
      <c r="O151" t="str">
        <f>"002208"</f>
        <v>002208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"太空板业"</f>
        <v>太空板业</v>
      </c>
      <c r="C152" t="str">
        <f>"20170703"</f>
        <v>20170703</v>
      </c>
      <c r="D152" t="str">
        <f>"14.150"</f>
        <v>14.150</v>
      </c>
      <c r="E152" t="str">
        <f>"200.00"</f>
        <v>200.00</v>
      </c>
      <c r="F152" t="str">
        <f>"-2835.00"</f>
        <v>-2835.00</v>
      </c>
      <c r="G152" t="str">
        <f>"163.96"</f>
        <v>163.96</v>
      </c>
      <c r="H152" t="str">
        <f>"1040.00"</f>
        <v>1040.00</v>
      </c>
      <c r="I152" t="str">
        <f>"248"</f>
        <v>248</v>
      </c>
      <c r="J152" t="str">
        <f>"证券买入(太空板业)"</f>
        <v>证券买入(太空板业)</v>
      </c>
      <c r="K152" t="str">
        <f>"5.00"</f>
        <v>5.00</v>
      </c>
      <c r="L152" t="str">
        <f>"0.00"</f>
        <v>0.00</v>
      </c>
      <c r="M152" t="str">
        <f t="shared" si="61"/>
        <v>0.00</v>
      </c>
      <c r="N152" t="str">
        <f t="shared" si="61"/>
        <v>0.00</v>
      </c>
      <c r="O152" t="str">
        <f>"300344"</f>
        <v>300344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"20170704"</f>
        <v>20170704</v>
      </c>
      <c r="D153" t="str">
        <f>"18.830"</f>
        <v>18.830</v>
      </c>
      <c r="E153" t="str">
        <f>"-200.00"</f>
        <v>-200.00</v>
      </c>
      <c r="F153" t="str">
        <f>"3757.23"</f>
        <v>3757.23</v>
      </c>
      <c r="G153" t="str">
        <f>"3921.19"</f>
        <v>3921.19</v>
      </c>
      <c r="H153" t="str">
        <f>"400.00"</f>
        <v>400.00</v>
      </c>
      <c r="I153" t="str">
        <f>"3"</f>
        <v>3</v>
      </c>
      <c r="J153" t="str">
        <f>"证券卖出(汉钟精机)"</f>
        <v>证券卖出(汉钟精机)</v>
      </c>
      <c r="K153" t="str">
        <f>"5.00"</f>
        <v>5.00</v>
      </c>
      <c r="L153" t="str">
        <f>"3.77"</f>
        <v>3.77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"汉钟精机"</f>
        <v>汉钟精机</v>
      </c>
      <c r="C154" t="str">
        <f>"20170705"</f>
        <v>20170705</v>
      </c>
      <c r="D154" t="str">
        <f>"18.300"</f>
        <v>18.300</v>
      </c>
      <c r="E154" t="str">
        <f>"-400.00"</f>
        <v>-400.00</v>
      </c>
      <c r="F154" t="str">
        <f>"7307.68"</f>
        <v>7307.68</v>
      </c>
      <c r="G154" t="str">
        <f>"11228.87"</f>
        <v>11228.87</v>
      </c>
      <c r="H154" t="str">
        <f>"0.00"</f>
        <v>0.00</v>
      </c>
      <c r="I154" t="str">
        <f>"8"</f>
        <v>8</v>
      </c>
      <c r="J154" t="str">
        <f>"证券卖出(汉钟精机)"</f>
        <v>证券卖出(汉钟精机)</v>
      </c>
      <c r="K154" t="str">
        <f>"5.00"</f>
        <v>5.00</v>
      </c>
      <c r="L154" t="str">
        <f>"7.32"</f>
        <v>7.32</v>
      </c>
      <c r="M154" t="str">
        <f t="shared" si="61"/>
        <v>0.00</v>
      </c>
      <c r="N154" t="str">
        <f t="shared" si="61"/>
        <v>0.00</v>
      </c>
      <c r="O154" t="str">
        <f>"002158"</f>
        <v>002158</v>
      </c>
      <c r="P154" t="str">
        <f t="shared" si="60"/>
        <v>0153613480</v>
      </c>
    </row>
    <row r="155" spans="1:16" x14ac:dyDescent="0.25">
      <c r="A155" t="str">
        <f t="shared" si="57"/>
        <v>人民币</v>
      </c>
      <c r="B155" t="str">
        <f>""</f>
        <v/>
      </c>
      <c r="C155" t="str">
        <f t="shared" ref="C155:C162" si="62">"20170706"</f>
        <v>20170706</v>
      </c>
      <c r="D155" t="str">
        <f>"---"</f>
        <v>---</v>
      </c>
      <c r="E155" t="str">
        <f>"---"</f>
        <v>---</v>
      </c>
      <c r="F155" t="str">
        <f>"-3200.00"</f>
        <v>-3200.00</v>
      </c>
      <c r="G155" t="str">
        <f>"8028.87"</f>
        <v>8028.87</v>
      </c>
      <c r="H155" t="str">
        <f>"---"</f>
        <v>---</v>
      </c>
      <c r="I155" t="str">
        <f>"---"</f>
        <v>---</v>
      </c>
      <c r="J155" t="str">
        <f>"银行转取"</f>
        <v>银行转取</v>
      </c>
      <c r="K155" t="str">
        <f t="shared" ref="K155:P155" si="63">"---"</f>
        <v>---</v>
      </c>
      <c r="L155" t="str">
        <f t="shared" si="63"/>
        <v>---</v>
      </c>
      <c r="M155" t="str">
        <f t="shared" si="63"/>
        <v>---</v>
      </c>
      <c r="N155" t="str">
        <f t="shared" si="63"/>
        <v>---</v>
      </c>
      <c r="O155" t="str">
        <f t="shared" si="63"/>
        <v>---</v>
      </c>
      <c r="P155" t="str">
        <f t="shared" si="63"/>
        <v>---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"23.570"</f>
        <v>23.570</v>
      </c>
      <c r="E156" t="str">
        <f>"200.00"</f>
        <v>200.00</v>
      </c>
      <c r="F156" t="str">
        <f>"-4719.00"</f>
        <v>-4719.00</v>
      </c>
      <c r="G156" t="str">
        <f>"3309.87"</f>
        <v>3309.87</v>
      </c>
      <c r="H156" t="str">
        <f>"200.00"</f>
        <v>200.00</v>
      </c>
      <c r="I156" t="str">
        <f>"12"</f>
        <v>12</v>
      </c>
      <c r="J156" t="str">
        <f>"证券买入(科大智能)"</f>
        <v>证券买入(科大智能)</v>
      </c>
      <c r="K156" t="str">
        <f t="shared" ref="K156:K162" si="64">"5.00"</f>
        <v>5.00</v>
      </c>
      <c r="L156" t="str">
        <f t="shared" ref="L156:N160" si="65">"0.00"</f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ref="P156:P162" si="66">"0153613480"</f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"23.550"</f>
        <v>23.550</v>
      </c>
      <c r="E157" t="str">
        <f>"200.00"</f>
        <v>200.00</v>
      </c>
      <c r="F157" t="str">
        <f>"-4715.00"</f>
        <v>-4715.00</v>
      </c>
      <c r="G157" t="str">
        <f>"-1405.13"</f>
        <v>-1405.13</v>
      </c>
      <c r="H157" t="str">
        <f>"400.00"</f>
        <v>400.00</v>
      </c>
      <c r="I157" t="str">
        <f>"18"</f>
        <v>18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"22.970"</f>
        <v>22.970</v>
      </c>
      <c r="E158" t="str">
        <f>"100.00"</f>
        <v>100.00</v>
      </c>
      <c r="F158" t="str">
        <f>"-2302.00"</f>
        <v>-2302.00</v>
      </c>
      <c r="G158" t="str">
        <f>"-3707.13"</f>
        <v>-3707.13</v>
      </c>
      <c r="H158" t="str">
        <f>"500.00"</f>
        <v>500.00</v>
      </c>
      <c r="I158" t="str">
        <f>"21"</f>
        <v>21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"22.960"</f>
        <v>22.960</v>
      </c>
      <c r="E159" t="str">
        <f>"100.00"</f>
        <v>100.00</v>
      </c>
      <c r="F159" t="str">
        <f>"-2301.00"</f>
        <v>-2301.00</v>
      </c>
      <c r="G159" t="str">
        <f>"-6008.13"</f>
        <v>-6008.13</v>
      </c>
      <c r="H159" t="str">
        <f>"600.00"</f>
        <v>600.00</v>
      </c>
      <c r="I159" t="str">
        <f>"24"</f>
        <v>24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"科大智能"</f>
        <v>科大智能</v>
      </c>
      <c r="C160" t="str">
        <f t="shared" si="62"/>
        <v>20170706</v>
      </c>
      <c r="D160" t="str">
        <f>"23.040"</f>
        <v>23.040</v>
      </c>
      <c r="E160" t="str">
        <f>"100.00"</f>
        <v>100.00</v>
      </c>
      <c r="F160" t="str">
        <f>"-2309.00"</f>
        <v>-2309.00</v>
      </c>
      <c r="G160" t="str">
        <f>"-8317.13"</f>
        <v>-8317.13</v>
      </c>
      <c r="H160" t="str">
        <f>"700.00"</f>
        <v>700.00</v>
      </c>
      <c r="I160" t="str">
        <f>"31"</f>
        <v>31</v>
      </c>
      <c r="J160" t="str">
        <f>"证券买入(科大智能)"</f>
        <v>证券买入(科大智能)</v>
      </c>
      <c r="K160" t="str">
        <f t="shared" si="64"/>
        <v>5.00</v>
      </c>
      <c r="L160" t="str">
        <f t="shared" si="65"/>
        <v>0.00</v>
      </c>
      <c r="M160" t="str">
        <f t="shared" si="65"/>
        <v>0.00</v>
      </c>
      <c r="N160" t="str">
        <f t="shared" si="65"/>
        <v>0.00</v>
      </c>
      <c r="O160" t="str">
        <f>"300222"</f>
        <v>300222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"12.760"</f>
        <v>12.760</v>
      </c>
      <c r="E161" t="str">
        <f>"-400.00"</f>
        <v>-400.00</v>
      </c>
      <c r="F161" t="str">
        <f>"5093.90"</f>
        <v>5093.90</v>
      </c>
      <c r="G161" t="str">
        <f>"-3223.23"</f>
        <v>-3223.23</v>
      </c>
      <c r="H161" t="str">
        <f>"400.00"</f>
        <v>400.00</v>
      </c>
      <c r="I161" t="str">
        <f>"15"</f>
        <v>15</v>
      </c>
      <c r="J161" t="str">
        <f>"证券卖出(合肥城建)"</f>
        <v>证券卖出(合肥城建)</v>
      </c>
      <c r="K161" t="str">
        <f t="shared" si="64"/>
        <v>5.00</v>
      </c>
      <c r="L161" t="str">
        <f>"5.10"</f>
        <v>5.10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"合肥城建"</f>
        <v>合肥城建</v>
      </c>
      <c r="C162" t="str">
        <f t="shared" si="62"/>
        <v>20170706</v>
      </c>
      <c r="D162" t="str">
        <f>"12.650"</f>
        <v>12.650</v>
      </c>
      <c r="E162" t="str">
        <f>"-300.00"</f>
        <v>-300.00</v>
      </c>
      <c r="F162" t="str">
        <f>"3786.20"</f>
        <v>3786.20</v>
      </c>
      <c r="G162" t="str">
        <f>"562.97"</f>
        <v>562.97</v>
      </c>
      <c r="H162" t="str">
        <f>"100.00"</f>
        <v>100.00</v>
      </c>
      <c r="I162" t="str">
        <f>"28"</f>
        <v>28</v>
      </c>
      <c r="J162" t="str">
        <f>"证券卖出(合肥城建)"</f>
        <v>证券卖出(合肥城建)</v>
      </c>
      <c r="K162" t="str">
        <f t="shared" si="64"/>
        <v>5.00</v>
      </c>
      <c r="L162" t="str">
        <f>"3.80"</f>
        <v>3.80</v>
      </c>
      <c r="M162" t="str">
        <f>"0.00"</f>
        <v>0.00</v>
      </c>
      <c r="N162" t="str">
        <f>"0.00"</f>
        <v>0.00</v>
      </c>
      <c r="O162" t="str">
        <f>"002208"</f>
        <v>002208</v>
      </c>
      <c r="P162" t="str">
        <f t="shared" si="66"/>
        <v>0153613480</v>
      </c>
    </row>
    <row r="163" spans="1:16" x14ac:dyDescent="0.25">
      <c r="A163" t="str">
        <f t="shared" si="57"/>
        <v>人民币</v>
      </c>
      <c r="B163" t="str">
        <f>""</f>
        <v/>
      </c>
      <c r="C163" t="str">
        <f>"20170711"</f>
        <v>20170711</v>
      </c>
      <c r="D163" t="str">
        <f>"---"</f>
        <v>---</v>
      </c>
      <c r="E163" t="str">
        <f>"---"</f>
        <v>---</v>
      </c>
      <c r="F163" t="str">
        <f>"6500.00"</f>
        <v>6500.00</v>
      </c>
      <c r="G163" t="str">
        <f>"7062.97"</f>
        <v>7062.97</v>
      </c>
      <c r="H163" t="str">
        <f>"---"</f>
        <v>---</v>
      </c>
      <c r="I163" t="str">
        <f>"---"</f>
        <v>---</v>
      </c>
      <c r="J163" t="str">
        <f>"银行转存"</f>
        <v>银行转存</v>
      </c>
      <c r="K163" t="str">
        <f t="shared" ref="K163:P163" si="67">"---"</f>
        <v>---</v>
      </c>
      <c r="L163" t="str">
        <f t="shared" si="67"/>
        <v>---</v>
      </c>
      <c r="M163" t="str">
        <f t="shared" si="67"/>
        <v>---</v>
      </c>
      <c r="N163" t="str">
        <f t="shared" si="67"/>
        <v>---</v>
      </c>
      <c r="O163" t="str">
        <f t="shared" si="67"/>
        <v>---</v>
      </c>
      <c r="P163" t="str">
        <f t="shared" si="67"/>
        <v>---</v>
      </c>
    </row>
    <row r="164" spans="1:16" x14ac:dyDescent="0.25">
      <c r="A164" t="str">
        <f t="shared" si="57"/>
        <v>人民币</v>
      </c>
      <c r="B164" t="str">
        <f>"科大智能"</f>
        <v>科大智能</v>
      </c>
      <c r="C164" t="str">
        <f>"20170711"</f>
        <v>20170711</v>
      </c>
      <c r="D164" t="str">
        <f>"21.820"</f>
        <v>21.820</v>
      </c>
      <c r="E164" t="str">
        <f>"200.00"</f>
        <v>200.00</v>
      </c>
      <c r="F164" t="str">
        <f>"-4369.00"</f>
        <v>-4369.00</v>
      </c>
      <c r="G164" t="str">
        <f>"2693.97"</f>
        <v>2693.97</v>
      </c>
      <c r="H164" t="str">
        <f>"900.00"</f>
        <v>900.00</v>
      </c>
      <c r="I164" t="str">
        <f>"43"</f>
        <v>43</v>
      </c>
      <c r="J164" t="str">
        <f>"证券买入(科大智能)"</f>
        <v>证券买入(科大智能)</v>
      </c>
      <c r="K164" t="str">
        <f>"5.00"</f>
        <v>5.00</v>
      </c>
      <c r="L164" t="str">
        <f t="shared" ref="L164:N165" si="68">"0.00"</f>
        <v>0.00</v>
      </c>
      <c r="M164" t="str">
        <f t="shared" si="68"/>
        <v>0.00</v>
      </c>
      <c r="N164" t="str">
        <f t="shared" si="68"/>
        <v>0.00</v>
      </c>
      <c r="O164" t="str">
        <f>"300222"</f>
        <v>300222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"11.690"</f>
        <v>11.690</v>
      </c>
      <c r="E165" t="str">
        <f>"200.00"</f>
        <v>200.00</v>
      </c>
      <c r="F165" t="str">
        <f>"-2343.00"</f>
        <v>-2343.00</v>
      </c>
      <c r="G165" t="str">
        <f>"350.97"</f>
        <v>350.97</v>
      </c>
      <c r="H165" t="str">
        <f>"1240.00"</f>
        <v>1240.00</v>
      </c>
      <c r="I165" t="str">
        <f>"48"</f>
        <v>48</v>
      </c>
      <c r="J165" t="str">
        <f>"证券买入(太空板业)"</f>
        <v>证券买入(太空板业)</v>
      </c>
      <c r="K165" t="str">
        <f>"5.00"</f>
        <v>5.00</v>
      </c>
      <c r="L165" t="str">
        <f t="shared" si="68"/>
        <v>0.00</v>
      </c>
      <c r="M165" t="str">
        <f t="shared" si="68"/>
        <v>0.00</v>
      </c>
      <c r="N165" t="str">
        <f t="shared" si="68"/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"12.150"</f>
        <v>12.150</v>
      </c>
      <c r="E166" t="str">
        <f>"-200.00"</f>
        <v>-200.00</v>
      </c>
      <c r="F166" t="str">
        <f>"2422.57"</f>
        <v>2422.57</v>
      </c>
      <c r="G166" t="str">
        <f>"2773.54"</f>
        <v>2773.54</v>
      </c>
      <c r="H166" t="str">
        <f>"1040.00"</f>
        <v>1040.00</v>
      </c>
      <c r="I166" t="str">
        <f>"52"</f>
        <v>52</v>
      </c>
      <c r="J166" t="str">
        <f>"证券卖出(太空板业)"</f>
        <v>证券卖出(太空板业)</v>
      </c>
      <c r="K166" t="str">
        <f>"5.00"</f>
        <v>5.00</v>
      </c>
      <c r="L166" t="str">
        <f>"2.43"</f>
        <v>2.43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"太空板业"</f>
        <v>太空板业</v>
      </c>
      <c r="C167" t="str">
        <f>"20170712"</f>
        <v>20170712</v>
      </c>
      <c r="D167" t="str">
        <f>"12.650"</f>
        <v>12.650</v>
      </c>
      <c r="E167" t="str">
        <f>"200.00"</f>
        <v>200.00</v>
      </c>
      <c r="F167" t="str">
        <f>"-2535.00"</f>
        <v>-2535.00</v>
      </c>
      <c r="G167" t="str">
        <f>"238.54"</f>
        <v>238.54</v>
      </c>
      <c r="H167" t="str">
        <f>"1240.00"</f>
        <v>1240.00</v>
      </c>
      <c r="I167" t="str">
        <f>"58"</f>
        <v>58</v>
      </c>
      <c r="J167" t="str">
        <f>"证券买入(太空板业)"</f>
        <v>证券买入(太空板业)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"300344"</f>
        <v>300344</v>
      </c>
      <c r="P167" t="str">
        <f>"0153613480"</f>
        <v>0153613480</v>
      </c>
    </row>
    <row r="168" spans="1:16" x14ac:dyDescent="0.25">
      <c r="A168" t="str">
        <f t="shared" si="57"/>
        <v>人民币</v>
      </c>
      <c r="B168" t="str">
        <f>""</f>
        <v/>
      </c>
      <c r="C168" t="str">
        <f>"20170719"</f>
        <v>20170719</v>
      </c>
      <c r="D168" t="str">
        <f>"---"</f>
        <v>---</v>
      </c>
      <c r="E168" t="str">
        <f>"---"</f>
        <v>---</v>
      </c>
      <c r="F168" t="str">
        <f>"9948.00"</f>
        <v>9948.00</v>
      </c>
      <c r="G168" t="str">
        <f>"10186.54"</f>
        <v>10186.54</v>
      </c>
      <c r="H168" t="str">
        <f>"---"</f>
        <v>---</v>
      </c>
      <c r="I168" t="str">
        <f>"---"</f>
        <v>---</v>
      </c>
      <c r="J168" t="str">
        <f>"银行转存"</f>
        <v>银行转存</v>
      </c>
      <c r="K168" t="str">
        <f t="shared" ref="K168:P168" si="69">"---"</f>
        <v>---</v>
      </c>
      <c r="L168" t="str">
        <f t="shared" si="69"/>
        <v>---</v>
      </c>
      <c r="M168" t="str">
        <f t="shared" si="69"/>
        <v>---</v>
      </c>
      <c r="N168" t="str">
        <f t="shared" si="69"/>
        <v>---</v>
      </c>
      <c r="O168" t="str">
        <f t="shared" si="69"/>
        <v>---</v>
      </c>
      <c r="P168" t="str">
        <f t="shared" si="69"/>
        <v>---</v>
      </c>
    </row>
    <row r="169" spans="1:16" x14ac:dyDescent="0.25">
      <c r="A169" t="str">
        <f t="shared" si="57"/>
        <v>人民币</v>
      </c>
      <c r="B169" t="str">
        <f>"科大智能"</f>
        <v>科大智能</v>
      </c>
      <c r="C169" t="str">
        <f>"20170719"</f>
        <v>20170719</v>
      </c>
      <c r="D169" t="str">
        <f>"20.310"</f>
        <v>20.310</v>
      </c>
      <c r="E169" t="str">
        <f>"100.00"</f>
        <v>100.00</v>
      </c>
      <c r="F169" t="str">
        <f>"-2036.00"</f>
        <v>-2036.00</v>
      </c>
      <c r="G169" t="str">
        <f>"8150.54"</f>
        <v>8150.54</v>
      </c>
      <c r="H169" t="str">
        <f>"1000.00"</f>
        <v>1000.00</v>
      </c>
      <c r="I169" t="str">
        <f>"69"</f>
        <v>69</v>
      </c>
      <c r="J169" t="str">
        <f>"证券买入(科大智能)"</f>
        <v>证券买入(科大智能)</v>
      </c>
      <c r="K169" t="str">
        <f>"5.00"</f>
        <v>5.00</v>
      </c>
      <c r="L169" t="str">
        <f t="shared" ref="L169:N170" si="70">"0.00"</f>
        <v>0.00</v>
      </c>
      <c r="M169" t="str">
        <f t="shared" si="70"/>
        <v>0.00</v>
      </c>
      <c r="N169" t="str">
        <f t="shared" si="70"/>
        <v>0.00</v>
      </c>
      <c r="O169" t="str">
        <f>"300222"</f>
        <v>300222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"电连技术"</f>
        <v>电连技术</v>
      </c>
      <c r="C170" t="str">
        <f>"20170719"</f>
        <v>20170719</v>
      </c>
      <c r="D170" t="str">
        <f>"0.000"</f>
        <v>0.000</v>
      </c>
      <c r="E170" t="str">
        <f>"6.00"</f>
        <v>6.00</v>
      </c>
      <c r="F170" t="str">
        <f>"0.00"</f>
        <v>0.00</v>
      </c>
      <c r="G170" t="str">
        <f>"8150.54"</f>
        <v>8150.54</v>
      </c>
      <c r="H170" t="str">
        <f>"0.00"</f>
        <v>0.00</v>
      </c>
      <c r="I170" t="str">
        <f>"64"</f>
        <v>64</v>
      </c>
      <c r="J170" t="str">
        <f>"申购配号(电连技术)"</f>
        <v>申购配号(电连技术)</v>
      </c>
      <c r="K170" t="str">
        <f>"0.00"</f>
        <v>0.00</v>
      </c>
      <c r="L170" t="str">
        <f t="shared" si="70"/>
        <v>0.00</v>
      </c>
      <c r="M170" t="str">
        <f t="shared" si="70"/>
        <v>0.00</v>
      </c>
      <c r="N170" t="str">
        <f t="shared" si="70"/>
        <v>0.00</v>
      </c>
      <c r="O170" t="str">
        <f>"300679"</f>
        <v>300679</v>
      </c>
      <c r="P170" t="str">
        <f>"0153613480"</f>
        <v>0153613480</v>
      </c>
    </row>
    <row r="171" spans="1:16" x14ac:dyDescent="0.25">
      <c r="A171" t="str">
        <f t="shared" si="57"/>
        <v>人民币</v>
      </c>
      <c r="B171" t="str">
        <f>""</f>
        <v/>
      </c>
      <c r="C171" t="str">
        <f t="shared" ref="C171:C177" si="71">"20170720"</f>
        <v>20170720</v>
      </c>
      <c r="D171" t="str">
        <f>"---"</f>
        <v>---</v>
      </c>
      <c r="E171" t="str">
        <f>"---"</f>
        <v>---</v>
      </c>
      <c r="F171" t="str">
        <f>"-2000.00"</f>
        <v>-2000.00</v>
      </c>
      <c r="G171" t="str">
        <f>"6150.54"</f>
        <v>6150.54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ref="K171:P172" si="72">"---"</f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""</f>
        <v/>
      </c>
      <c r="C172" t="str">
        <f t="shared" si="71"/>
        <v>20170720</v>
      </c>
      <c r="D172" t="str">
        <f>"---"</f>
        <v>---</v>
      </c>
      <c r="E172" t="str">
        <f>"---"</f>
        <v>---</v>
      </c>
      <c r="F172" t="str">
        <f>"-2500.00"</f>
        <v>-2500.00</v>
      </c>
      <c r="G172" t="str">
        <f>"3650.54"</f>
        <v>3650.54</v>
      </c>
      <c r="H172" t="str">
        <f>"---"</f>
        <v>---</v>
      </c>
      <c r="I172" t="str">
        <f>"---"</f>
        <v>---</v>
      </c>
      <c r="J172" t="str">
        <f>"银行转取"</f>
        <v>银行转取</v>
      </c>
      <c r="K172" t="str">
        <f t="shared" si="72"/>
        <v>---</v>
      </c>
      <c r="L172" t="str">
        <f t="shared" si="72"/>
        <v>---</v>
      </c>
      <c r="M172" t="str">
        <f t="shared" si="72"/>
        <v>---</v>
      </c>
      <c r="N172" t="str">
        <f t="shared" si="72"/>
        <v>---</v>
      </c>
      <c r="O172" t="str">
        <f t="shared" si="72"/>
        <v>---</v>
      </c>
      <c r="P172" t="str">
        <f t="shared" si="72"/>
        <v>---</v>
      </c>
    </row>
    <row r="173" spans="1:16" x14ac:dyDescent="0.25">
      <c r="A173" t="str">
        <f t="shared" si="57"/>
        <v>人民币</v>
      </c>
      <c r="B173" t="str">
        <f>"银龙股份"</f>
        <v>银龙股份</v>
      </c>
      <c r="C173" t="str">
        <f t="shared" si="71"/>
        <v>20170720</v>
      </c>
      <c r="D173" t="str">
        <f>"16.730"</f>
        <v>16.730</v>
      </c>
      <c r="E173" t="str">
        <f>"200.00"</f>
        <v>200.00</v>
      </c>
      <c r="F173" t="str">
        <f>"-3351.07"</f>
        <v>-3351.07</v>
      </c>
      <c r="G173" t="str">
        <f>"299.47"</f>
        <v>299.47</v>
      </c>
      <c r="H173" t="str">
        <f>"500.00"</f>
        <v>500.00</v>
      </c>
      <c r="I173" t="str">
        <f>"88"</f>
        <v>88</v>
      </c>
      <c r="J173" t="str">
        <f>"证券买入(银龙股份)"</f>
        <v>证券买入(银龙股份)</v>
      </c>
      <c r="K173" t="str">
        <f>"5.00"</f>
        <v>5.00</v>
      </c>
      <c r="L173" t="str">
        <f>"0.00"</f>
        <v>0.00</v>
      </c>
      <c r="M173" t="str">
        <f>"0.07"</f>
        <v>0.07</v>
      </c>
      <c r="N173" t="str">
        <f>"0.00"</f>
        <v>0.00</v>
      </c>
      <c r="O173" t="str">
        <f>"603969"</f>
        <v>603969</v>
      </c>
      <c r="P173" t="str">
        <f>"A400948245"</f>
        <v>A400948245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"21.220"</f>
        <v>21.220</v>
      </c>
      <c r="E174" t="str">
        <f>"-100.00"</f>
        <v>-100.00</v>
      </c>
      <c r="F174" t="str">
        <f>"2114.88"</f>
        <v>2114.88</v>
      </c>
      <c r="G174" t="str">
        <f>"2414.35"</f>
        <v>2414.35</v>
      </c>
      <c r="H174" t="str">
        <f>"900.00"</f>
        <v>900.00</v>
      </c>
      <c r="I174" t="str">
        <f>"78"</f>
        <v>78</v>
      </c>
      <c r="J174" t="str">
        <f>"证券卖出(科大智能)"</f>
        <v>证券卖出(科大智能)</v>
      </c>
      <c r="K174" t="str">
        <f>"5.00"</f>
        <v>5.00</v>
      </c>
      <c r="L174" t="str">
        <f>"2.12"</f>
        <v>2.12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"科大智能"</f>
        <v>科大智能</v>
      </c>
      <c r="C175" t="str">
        <f t="shared" si="71"/>
        <v>20170720</v>
      </c>
      <c r="D175" t="str">
        <f>"21.670"</f>
        <v>21.670</v>
      </c>
      <c r="E175" t="str">
        <f>"100.00"</f>
        <v>100.00</v>
      </c>
      <c r="F175" t="str">
        <f>"-2172.00"</f>
        <v>-2172.00</v>
      </c>
      <c r="G175" t="str">
        <f>"242.35"</f>
        <v>242.35</v>
      </c>
      <c r="H175" t="str">
        <f>"1000.00"</f>
        <v>1000.00</v>
      </c>
      <c r="I175" t="str">
        <f>"81"</f>
        <v>81</v>
      </c>
      <c r="J175" t="str">
        <f>"证券买入(科大智能)"</f>
        <v>证券买入(科大智能)</v>
      </c>
      <c r="K175" t="str">
        <f>"5.00"</f>
        <v>5.00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"300222"</f>
        <v>300222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"绿茵生态"</f>
        <v>绿茵生态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"74"</f>
        <v>74</v>
      </c>
      <c r="J176" t="str">
        <f>"申购配号(绿茵生态)"</f>
        <v>申购配号(绿茵生态)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"002887"</f>
        <v>002887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"朗新科技"</f>
        <v>朗新科技</v>
      </c>
      <c r="C177" t="str">
        <f t="shared" si="71"/>
        <v>20170720</v>
      </c>
      <c r="D177" t="str">
        <f>"0.000"</f>
        <v>0.000</v>
      </c>
      <c r="E177" t="str">
        <f>"6.00"</f>
        <v>6.00</v>
      </c>
      <c r="F177" t="str">
        <f>"0.00"</f>
        <v>0.00</v>
      </c>
      <c r="G177" t="str">
        <f>"242.35"</f>
        <v>242.35</v>
      </c>
      <c r="H177" t="str">
        <f>"0.00"</f>
        <v>0.00</v>
      </c>
      <c r="I177" t="str">
        <f>"76"</f>
        <v>76</v>
      </c>
      <c r="J177" t="str">
        <f>"申购配号(朗新科技)"</f>
        <v>申购配号(朗新科技)</v>
      </c>
      <c r="K177" t="str">
        <f>"0.00"</f>
        <v>0.00</v>
      </c>
      <c r="L177" t="str">
        <f>"0.00"</f>
        <v>0.00</v>
      </c>
      <c r="M177" t="str">
        <f>"0.00"</f>
        <v>0.00</v>
      </c>
      <c r="N177" t="str">
        <f>"0.00"</f>
        <v>0.00</v>
      </c>
      <c r="O177" t="str">
        <f>"300682"</f>
        <v>300682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"合肥城建"</f>
        <v>合肥城建</v>
      </c>
      <c r="C178" t="str">
        <f>"20170724"</f>
        <v>20170724</v>
      </c>
      <c r="D178" t="str">
        <f>"0.000"</f>
        <v>0.000</v>
      </c>
      <c r="E178" t="str">
        <f>"0.00"</f>
        <v>0.00</v>
      </c>
      <c r="F178" t="str">
        <f>"10.00"</f>
        <v>10.00</v>
      </c>
      <c r="G178" t="str">
        <f>"252.35"</f>
        <v>252.35</v>
      </c>
      <c r="H178" t="str">
        <f>"100.00"</f>
        <v>100.00</v>
      </c>
      <c r="I178" t="str">
        <f>"---"</f>
        <v>---</v>
      </c>
      <c r="J178" t="str">
        <f>"股息入帐(合肥城建)"</f>
        <v>股息入帐(合肥城建)</v>
      </c>
      <c r="K178" t="str">
        <f t="shared" ref="K178:N179" si="73">"---"</f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"002208"</f>
        <v>002208</v>
      </c>
      <c r="P178" t="str">
        <f>"0153613480"</f>
        <v>0153613480</v>
      </c>
    </row>
    <row r="179" spans="1:16" x14ac:dyDescent="0.25">
      <c r="A179" t="str">
        <f t="shared" si="57"/>
        <v>人民币</v>
      </c>
      <c r="B179" t="str">
        <f>""</f>
        <v/>
      </c>
      <c r="C179" t="str">
        <f>"20170725"</f>
        <v>20170725</v>
      </c>
      <c r="D179" t="str">
        <f>"---"</f>
        <v>---</v>
      </c>
      <c r="E179" t="str">
        <f>"---"</f>
        <v>---</v>
      </c>
      <c r="F179" t="str">
        <f>"9730.00"</f>
        <v>9730.00</v>
      </c>
      <c r="G179" t="str">
        <f>"9982.35"</f>
        <v>9982.35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si="73"/>
        <v>---</v>
      </c>
      <c r="L179" t="str">
        <f t="shared" si="73"/>
        <v>---</v>
      </c>
      <c r="M179" t="str">
        <f t="shared" si="73"/>
        <v>---</v>
      </c>
      <c r="N179" t="str">
        <f t="shared" si="73"/>
        <v>---</v>
      </c>
      <c r="O179" t="str">
        <f>"---"</f>
        <v>---</v>
      </c>
      <c r="P179" t="str">
        <f>"---"</f>
        <v>---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"25.610"</f>
        <v>25.610</v>
      </c>
      <c r="E180" t="str">
        <f>"100.00"</f>
        <v>100.00</v>
      </c>
      <c r="F180" t="str">
        <f>"-2566.00"</f>
        <v>-2566.00</v>
      </c>
      <c r="G180" t="str">
        <f>"7416.35"</f>
        <v>7416.35</v>
      </c>
      <c r="H180" t="str">
        <f>"100.00"</f>
        <v>100.00</v>
      </c>
      <c r="I180" t="str">
        <f>"105"</f>
        <v>105</v>
      </c>
      <c r="J180" t="str">
        <f>"证券买入(北方国际)"</f>
        <v>证券买入(北方国际)</v>
      </c>
      <c r="K180" t="str">
        <f>"5.00"</f>
        <v>5.00</v>
      </c>
      <c r="L180" t="str">
        <f t="shared" ref="L180:N184" si="74">"0.00"</f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"北方国际"</f>
        <v>北方国际</v>
      </c>
      <c r="C181" t="str">
        <f>"20170725"</f>
        <v>20170725</v>
      </c>
      <c r="D181" t="str">
        <f>"25.410"</f>
        <v>25.410</v>
      </c>
      <c r="E181" t="str">
        <f>"100.00"</f>
        <v>100.00</v>
      </c>
      <c r="F181" t="str">
        <f>"-2546.00"</f>
        <v>-2546.00</v>
      </c>
      <c r="G181" t="str">
        <f>"4870.35"</f>
        <v>4870.35</v>
      </c>
      <c r="H181" t="str">
        <f>"200.00"</f>
        <v>200.00</v>
      </c>
      <c r="I181" t="str">
        <f>"110"</f>
        <v>110</v>
      </c>
      <c r="J181" t="str">
        <f>"证券买入(北方国际)"</f>
        <v>证券买入(北方国际)</v>
      </c>
      <c r="K181" t="str">
        <f>"5.00"</f>
        <v>5.00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"000065"</f>
        <v>000065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"赛意信息"</f>
        <v>赛意信息</v>
      </c>
      <c r="C182" t="str">
        <f>"20170725"</f>
        <v>20170725</v>
      </c>
      <c r="D182" t="str">
        <f>"0.000"</f>
        <v>0.000</v>
      </c>
      <c r="E182" t="str">
        <f>"6.00"</f>
        <v>6.00</v>
      </c>
      <c r="F182" t="str">
        <f>"0.00"</f>
        <v>0.00</v>
      </c>
      <c r="G182" t="str">
        <f>"4870.35"</f>
        <v>4870.35</v>
      </c>
      <c r="H182" t="str">
        <f>"0.00"</f>
        <v>0.00</v>
      </c>
      <c r="I182" t="str">
        <f>"108"</f>
        <v>108</v>
      </c>
      <c r="J182" t="str">
        <f>"申购配号(赛意信息)"</f>
        <v>申购配号(赛意信息)</v>
      </c>
      <c r="K182" t="str">
        <f>"0.00"</f>
        <v>0.00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"300687"</f>
        <v>300687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"北方国际"</f>
        <v>北方国际</v>
      </c>
      <c r="C183" t="str">
        <f>"20170726"</f>
        <v>20170726</v>
      </c>
      <c r="D183" t="str">
        <f>"24.430"</f>
        <v>24.430</v>
      </c>
      <c r="E183" t="str">
        <f>"100.00"</f>
        <v>100.00</v>
      </c>
      <c r="F183" t="str">
        <f>"-2448.00"</f>
        <v>-2448.00</v>
      </c>
      <c r="G183" t="str">
        <f>"2422.35"</f>
        <v>2422.35</v>
      </c>
      <c r="H183" t="str">
        <f>"300.00"</f>
        <v>300.00</v>
      </c>
      <c r="I183" t="str">
        <f>"116"</f>
        <v>116</v>
      </c>
      <c r="J183" t="str">
        <f>"证券买入(北方国际)"</f>
        <v>证券买入(北方国际)</v>
      </c>
      <c r="K183" t="str">
        <f>"5.00"</f>
        <v>5.00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"000065"</f>
        <v>000065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"智动力"</f>
        <v>智动力</v>
      </c>
      <c r="C184" t="str">
        <f>"20170726"</f>
        <v>20170726</v>
      </c>
      <c r="D184" t="str">
        <f>"0.000"</f>
        <v>0.000</v>
      </c>
      <c r="E184" t="str">
        <f>"6.00"</f>
        <v>6.00</v>
      </c>
      <c r="F184" t="str">
        <f>"0.00"</f>
        <v>0.00</v>
      </c>
      <c r="G184" t="str">
        <f>"2422.35"</f>
        <v>2422.35</v>
      </c>
      <c r="H184" t="str">
        <f>"0.00"</f>
        <v>0.00</v>
      </c>
      <c r="I184" t="str">
        <f>"120"</f>
        <v>120</v>
      </c>
      <c r="J184" t="str">
        <f>"申购配号(智动力)"</f>
        <v>申购配号(智动力)</v>
      </c>
      <c r="K184" t="str">
        <f>"0.00"</f>
        <v>0.00</v>
      </c>
      <c r="L184" t="str">
        <f t="shared" si="74"/>
        <v>0.00</v>
      </c>
      <c r="M184" t="str">
        <f t="shared" si="74"/>
        <v>0.00</v>
      </c>
      <c r="N184" t="str">
        <f t="shared" si="74"/>
        <v>0.00</v>
      </c>
      <c r="O184" t="str">
        <f>"300686"</f>
        <v>300686</v>
      </c>
      <c r="P184" t="str">
        <f>"0153613480"</f>
        <v>0153613480</v>
      </c>
    </row>
    <row r="185" spans="1:16" x14ac:dyDescent="0.25">
      <c r="A185" t="str">
        <f t="shared" si="57"/>
        <v>人民币</v>
      </c>
      <c r="B185" t="str">
        <f>"银龙股份"</f>
        <v>银龙股份</v>
      </c>
      <c r="C185" t="str">
        <f>"20170727"</f>
        <v>20170727</v>
      </c>
      <c r="D185" t="str">
        <f>"17.370"</f>
        <v>17.370</v>
      </c>
      <c r="E185" t="str">
        <f>"-100.00"</f>
        <v>-100.00</v>
      </c>
      <c r="F185" t="str">
        <f>"1730.23"</f>
        <v>1730.23</v>
      </c>
      <c r="G185" t="str">
        <f>"4152.58"</f>
        <v>4152.58</v>
      </c>
      <c r="H185" t="str">
        <f>"400.00"</f>
        <v>400.00</v>
      </c>
      <c r="I185" t="str">
        <f>"132"</f>
        <v>132</v>
      </c>
      <c r="J185" t="str">
        <f>"证券卖出(银龙股份)"</f>
        <v>证券卖出(银龙股份)</v>
      </c>
      <c r="K185" t="str">
        <f>"5.00"</f>
        <v>5.00</v>
      </c>
      <c r="L185" t="str">
        <f>"1.74"</f>
        <v>1.74</v>
      </c>
      <c r="M185" t="str">
        <f>"0.03"</f>
        <v>0.03</v>
      </c>
      <c r="N185" t="str">
        <f>"0.00"</f>
        <v>0.00</v>
      </c>
      <c r="O185" t="str">
        <f>"603969"</f>
        <v>603969</v>
      </c>
      <c r="P185" t="str">
        <f>"A400948245"</f>
        <v>A400948245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"23.390"</f>
        <v>23.390</v>
      </c>
      <c r="E186" t="str">
        <f>"-300.00"</f>
        <v>-300.00</v>
      </c>
      <c r="F186" t="str">
        <f>"7004.98"</f>
        <v>7004.98</v>
      </c>
      <c r="G186" t="str">
        <f>"11157.56"</f>
        <v>11157.56</v>
      </c>
      <c r="H186" t="str">
        <f>"700.00"</f>
        <v>700.00</v>
      </c>
      <c r="I186" t="str">
        <f>"135"</f>
        <v>135</v>
      </c>
      <c r="J186" t="str">
        <f>"证券卖出(科大智能)"</f>
        <v>证券卖出(科大智能)</v>
      </c>
      <c r="K186" t="str">
        <f>"5.00"</f>
        <v>5.00</v>
      </c>
      <c r="L186" t="str">
        <f>"7.02"</f>
        <v>7.02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"科大智能"</f>
        <v>科大智能</v>
      </c>
      <c r="C187" t="str">
        <f>"20170727"</f>
        <v>20170727</v>
      </c>
      <c r="D187" t="str">
        <f>"23.460"</f>
        <v>23.460</v>
      </c>
      <c r="E187" t="str">
        <f>"-200.00"</f>
        <v>-200.00</v>
      </c>
      <c r="F187" t="str">
        <f>"4682.31"</f>
        <v>4682.31</v>
      </c>
      <c r="G187" t="str">
        <f>"15839.87"</f>
        <v>15839.87</v>
      </c>
      <c r="H187" t="str">
        <f>"500.00"</f>
        <v>500.00</v>
      </c>
      <c r="I187" t="str">
        <f>"138"</f>
        <v>138</v>
      </c>
      <c r="J187" t="str">
        <f>"证券卖出(科大智能)"</f>
        <v>证券卖出(科大智能)</v>
      </c>
      <c r="K187" t="str">
        <f>"5.00"</f>
        <v>5.00</v>
      </c>
      <c r="L187" t="str">
        <f>"4.69"</f>
        <v>4.69</v>
      </c>
      <c r="M187" t="str">
        <f>"0.00"</f>
        <v>0.00</v>
      </c>
      <c r="N187" t="str">
        <f>"0.00"</f>
        <v>0.00</v>
      </c>
      <c r="O187" t="str">
        <f>"300222"</f>
        <v>300222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"海特生物"</f>
        <v>海特生物</v>
      </c>
      <c r="C188" t="str">
        <f>"20170727"</f>
        <v>20170727</v>
      </c>
      <c r="D188" t="str">
        <f>"0.000"</f>
        <v>0.000</v>
      </c>
      <c r="E188" t="str">
        <f>"6.00"</f>
        <v>6.00</v>
      </c>
      <c r="F188" t="str">
        <f>"0.00"</f>
        <v>0.00</v>
      </c>
      <c r="G188" t="str">
        <f>"15839.87"</f>
        <v>15839.87</v>
      </c>
      <c r="H188" t="str">
        <f>"0.00"</f>
        <v>0.00</v>
      </c>
      <c r="I188" t="str">
        <f>"130"</f>
        <v>130</v>
      </c>
      <c r="J188" t="str">
        <f>"申购配号(海特生物)"</f>
        <v>申购配号(海特生物)</v>
      </c>
      <c r="K188" t="str">
        <f>"0.00"</f>
        <v>0.00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"300683"</f>
        <v>300683</v>
      </c>
      <c r="P188" t="str">
        <f>"0153613480"</f>
        <v>0153613480</v>
      </c>
    </row>
    <row r="189" spans="1:16" x14ac:dyDescent="0.25">
      <c r="A189" t="str">
        <f t="shared" si="57"/>
        <v>人民币</v>
      </c>
      <c r="B189" t="str">
        <f>""</f>
        <v/>
      </c>
      <c r="C189" t="str">
        <f t="shared" ref="C189:C196" si="75">"20170728"</f>
        <v>20170728</v>
      </c>
      <c r="D189" t="str">
        <f>"---"</f>
        <v>---</v>
      </c>
      <c r="E189" t="str">
        <f>"---"</f>
        <v>---</v>
      </c>
      <c r="F189" t="str">
        <f>"-15000.00"</f>
        <v>-15000.00</v>
      </c>
      <c r="G189" t="str">
        <f>"839.87"</f>
        <v>839.87</v>
      </c>
      <c r="H189" t="str">
        <f>"---"</f>
        <v>---</v>
      </c>
      <c r="I189" t="str">
        <f>"---"</f>
        <v>---</v>
      </c>
      <c r="J189" t="str">
        <f>"银行转取"</f>
        <v>银行转取</v>
      </c>
      <c r="K189" t="str">
        <f t="shared" ref="K189:P189" si="76">"---"</f>
        <v>---</v>
      </c>
      <c r="L189" t="str">
        <f t="shared" si="76"/>
        <v>---</v>
      </c>
      <c r="M189" t="str">
        <f t="shared" si="76"/>
        <v>---</v>
      </c>
      <c r="N189" t="str">
        <f t="shared" si="76"/>
        <v>---</v>
      </c>
      <c r="O189" t="str">
        <f t="shared" si="76"/>
        <v>---</v>
      </c>
      <c r="P189" t="str">
        <f t="shared" si="76"/>
        <v>---</v>
      </c>
    </row>
    <row r="190" spans="1:16" x14ac:dyDescent="0.25">
      <c r="A190" t="str">
        <f t="shared" si="57"/>
        <v>人民币</v>
      </c>
      <c r="B190" t="str">
        <f>"北方国际"</f>
        <v>北方国际</v>
      </c>
      <c r="C190" t="str">
        <f t="shared" si="75"/>
        <v>20170728</v>
      </c>
      <c r="D190" t="str">
        <f>"24.510"</f>
        <v>24.510</v>
      </c>
      <c r="E190" t="str">
        <f>"100.00"</f>
        <v>100.00</v>
      </c>
      <c r="F190" t="str">
        <f>"-2456.00"</f>
        <v>-2456.00</v>
      </c>
      <c r="G190" t="str">
        <f>"-1616.13"</f>
        <v>-1616.13</v>
      </c>
      <c r="H190" t="str">
        <f>"400.00"</f>
        <v>400.00</v>
      </c>
      <c r="I190" t="str">
        <f>"156"</f>
        <v>156</v>
      </c>
      <c r="J190" t="str">
        <f>"证券买入(北方国际)"</f>
        <v>证券买入(北方国际)</v>
      </c>
      <c r="K190" t="str">
        <f t="shared" ref="K190:K195" si="77">"5.00"</f>
        <v>5.00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"000065"</f>
        <v>000065</v>
      </c>
      <c r="P190" t="str">
        <f t="shared" ref="P190:P202" si="78">"0153613480"</f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"24.030"</f>
        <v>24.030</v>
      </c>
      <c r="E191" t="str">
        <f>"-300.00"</f>
        <v>-300.00</v>
      </c>
      <c r="F191" t="str">
        <f>"7196.79"</f>
        <v>7196.79</v>
      </c>
      <c r="G191" t="str">
        <f>"5580.66"</f>
        <v>5580.66</v>
      </c>
      <c r="H191" t="str">
        <f>"200.00"</f>
        <v>200.00</v>
      </c>
      <c r="I191" t="str">
        <f>"145"</f>
        <v>145</v>
      </c>
      <c r="J191" t="str">
        <f>"证券卖出(科大智能)"</f>
        <v>证券卖出(科大智能)</v>
      </c>
      <c r="K191" t="str">
        <f t="shared" si="77"/>
        <v>5.00</v>
      </c>
      <c r="L191" t="str">
        <f>"7.21"</f>
        <v>7.21</v>
      </c>
      <c r="M191" t="str">
        <f t="shared" ref="M191:N202" si="79">"0.00"</f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"科大智能"</f>
        <v>科大智能</v>
      </c>
      <c r="C192" t="str">
        <f t="shared" si="75"/>
        <v>20170728</v>
      </c>
      <c r="D192" t="str">
        <f>"24.400"</f>
        <v>24.400</v>
      </c>
      <c r="E192" t="str">
        <f>"-200.00"</f>
        <v>-200.00</v>
      </c>
      <c r="F192" t="str">
        <f>"4870.12"</f>
        <v>4870.12</v>
      </c>
      <c r="G192" t="str">
        <f>"10450.78"</f>
        <v>10450.78</v>
      </c>
      <c r="H192" t="str">
        <f>"0.00"</f>
        <v>0.00</v>
      </c>
      <c r="I192" t="str">
        <f>"148"</f>
        <v>148</v>
      </c>
      <c r="J192" t="str">
        <f>"证券卖出(科大智能)"</f>
        <v>证券卖出(科大智能)</v>
      </c>
      <c r="K192" t="str">
        <f t="shared" si="77"/>
        <v>5.00</v>
      </c>
      <c r="L192" t="str">
        <f>"4.88"</f>
        <v>4.88</v>
      </c>
      <c r="M192" t="str">
        <f t="shared" si="79"/>
        <v>0.00</v>
      </c>
      <c r="N192" t="str">
        <f t="shared" si="79"/>
        <v>0.00</v>
      </c>
      <c r="O192" t="str">
        <f>"300222"</f>
        <v>300222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"23.370"</f>
        <v>23.370</v>
      </c>
      <c r="E193" t="str">
        <f>"100.00"</f>
        <v>100.00</v>
      </c>
      <c r="F193" t="str">
        <f>"-2342.00"</f>
        <v>-2342.00</v>
      </c>
      <c r="G193" t="str">
        <f>"8108.78"</f>
        <v>8108.78</v>
      </c>
      <c r="H193" t="str">
        <f>"100.00"</f>
        <v>100.00</v>
      </c>
      <c r="I193" t="str">
        <f>"151"</f>
        <v>151</v>
      </c>
      <c r="J193" t="str">
        <f>"证券买入(亿纬锂能)"</f>
        <v>证券买入(亿纬锂能)</v>
      </c>
      <c r="K193" t="str">
        <f t="shared" si="77"/>
        <v>5.00</v>
      </c>
      <c r="L193" t="str">
        <f t="shared" ref="L193:L199" si="80">"0.00"</f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si="57"/>
        <v>人民币</v>
      </c>
      <c r="B194" t="str">
        <f>"亿纬锂能"</f>
        <v>亿纬锂能</v>
      </c>
      <c r="C194" t="str">
        <f t="shared" si="75"/>
        <v>20170728</v>
      </c>
      <c r="D194" t="str">
        <f>"23.250"</f>
        <v>23.250</v>
      </c>
      <c r="E194" t="str">
        <f>"100.00"</f>
        <v>100.00</v>
      </c>
      <c r="F194" t="str">
        <f>"-2330.00"</f>
        <v>-2330.00</v>
      </c>
      <c r="G194" t="str">
        <f>"5778.78"</f>
        <v>5778.78</v>
      </c>
      <c r="H194" t="str">
        <f>"200.00"</f>
        <v>200.00</v>
      </c>
      <c r="I194" t="str">
        <f>"159"</f>
        <v>159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ref="A195:A258" si="81">"人民币"</f>
        <v>人民币</v>
      </c>
      <c r="B195" t="str">
        <f>"亿纬锂能"</f>
        <v>亿纬锂能</v>
      </c>
      <c r="C195" t="str">
        <f t="shared" si="75"/>
        <v>20170728</v>
      </c>
      <c r="D195" t="str">
        <f>"23.240"</f>
        <v>23.240</v>
      </c>
      <c r="E195" t="str">
        <f>"100.00"</f>
        <v>100.00</v>
      </c>
      <c r="F195" t="str">
        <f>"-2329.00"</f>
        <v>-2329.00</v>
      </c>
      <c r="G195" t="str">
        <f>"3449.78"</f>
        <v>3449.78</v>
      </c>
      <c r="H195" t="str">
        <f>"300.00"</f>
        <v>300.00</v>
      </c>
      <c r="I195" t="str">
        <f>"162"</f>
        <v>162</v>
      </c>
      <c r="J195" t="str">
        <f>"证券买入(亿纬锂能)"</f>
        <v>证券买入(亿纬锂能)</v>
      </c>
      <c r="K195" t="str">
        <f t="shared" si="77"/>
        <v>5.00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"300014"</f>
        <v>300014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"双一科技"</f>
        <v>双一科技</v>
      </c>
      <c r="C196" t="str">
        <f t="shared" si="75"/>
        <v>20170728</v>
      </c>
      <c r="D196" t="str">
        <f>"0.000"</f>
        <v>0.000</v>
      </c>
      <c r="E196" t="str">
        <f>"6.00"</f>
        <v>6.00</v>
      </c>
      <c r="F196" t="str">
        <f>"0.00"</f>
        <v>0.00</v>
      </c>
      <c r="G196" t="str">
        <f>"3449.78"</f>
        <v>3449.78</v>
      </c>
      <c r="H196" t="str">
        <f>"0.00"</f>
        <v>0.00</v>
      </c>
      <c r="I196" t="str">
        <f>"154"</f>
        <v>154</v>
      </c>
      <c r="J196" t="str">
        <f>"申购配号(双一科技)"</f>
        <v>申购配号(双一科技)</v>
      </c>
      <c r="K196" t="str">
        <f>"0.00"</f>
        <v>0.00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"300690"</f>
        <v>300690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"亿纬锂能"</f>
        <v>亿纬锂能</v>
      </c>
      <c r="C197" t="str">
        <f>"20170731"</f>
        <v>20170731</v>
      </c>
      <c r="D197" t="str">
        <f>"22.810"</f>
        <v>22.810</v>
      </c>
      <c r="E197" t="str">
        <f>"100.00"</f>
        <v>100.00</v>
      </c>
      <c r="F197" t="str">
        <f>"-2286.00"</f>
        <v>-2286.00</v>
      </c>
      <c r="G197" t="str">
        <f>"1163.78"</f>
        <v>1163.78</v>
      </c>
      <c r="H197" t="str">
        <f>"400.00"</f>
        <v>400.00</v>
      </c>
      <c r="I197" t="str">
        <f>"175"</f>
        <v>175</v>
      </c>
      <c r="J197" t="str">
        <f>"证券买入(亿纬锂能)"</f>
        <v>证券买入(亿纬锂能)</v>
      </c>
      <c r="K197" t="str">
        <f>"5.00"</f>
        <v>5.00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"300014"</f>
        <v>300014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"澄天伟业"</f>
        <v>澄天伟业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"180"</f>
        <v>180</v>
      </c>
      <c r="J198" t="str">
        <f>"申购配号(澄天伟业)"</f>
        <v>申购配号(澄天伟业)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"300689"</f>
        <v>300689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"创业黑马"</f>
        <v>创业黑马</v>
      </c>
      <c r="C199" t="str">
        <f>"20170731"</f>
        <v>20170731</v>
      </c>
      <c r="D199" t="str">
        <f>"0.000"</f>
        <v>0.000</v>
      </c>
      <c r="E199" t="str">
        <f>"6.00"</f>
        <v>6.00</v>
      </c>
      <c r="F199" t="str">
        <f>"0.00"</f>
        <v>0.00</v>
      </c>
      <c r="G199" t="str">
        <f>"1163.78"</f>
        <v>1163.78</v>
      </c>
      <c r="H199" t="str">
        <f>"0.00"</f>
        <v>0.00</v>
      </c>
      <c r="I199" t="str">
        <f>"178"</f>
        <v>178</v>
      </c>
      <c r="J199" t="str">
        <f>"申购配号(创业黑马)"</f>
        <v>申购配号(创业黑马)</v>
      </c>
      <c r="K199" t="str">
        <f>"0.00"</f>
        <v>0.00</v>
      </c>
      <c r="L199" t="str">
        <f t="shared" si="80"/>
        <v>0.00</v>
      </c>
      <c r="M199" t="str">
        <f t="shared" si="79"/>
        <v>0.00</v>
      </c>
      <c r="N199" t="str">
        <f t="shared" si="79"/>
        <v>0.00</v>
      </c>
      <c r="O199" t="str">
        <f>"300688"</f>
        <v>300688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"24.550"</f>
        <v>24.550</v>
      </c>
      <c r="E200" t="str">
        <f>"-200.00"</f>
        <v>-200.00</v>
      </c>
      <c r="F200" t="str">
        <f>"4900.09"</f>
        <v>4900.09</v>
      </c>
      <c r="G200" t="str">
        <f>"6063.87"</f>
        <v>6063.87</v>
      </c>
      <c r="H200" t="str">
        <f>"200.00"</f>
        <v>200.00</v>
      </c>
      <c r="I200" t="str">
        <f>"185"</f>
        <v>185</v>
      </c>
      <c r="J200" t="str">
        <f>"证券卖出(亿纬锂能)"</f>
        <v>证券卖出(亿纬锂能)</v>
      </c>
      <c r="K200" t="str">
        <f>"5.00"</f>
        <v>5.00</v>
      </c>
      <c r="L200" t="str">
        <f>"4.91"</f>
        <v>4.91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"亿纬锂能"</f>
        <v>亿纬锂能</v>
      </c>
      <c r="C201" t="str">
        <f>"20170801"</f>
        <v>20170801</v>
      </c>
      <c r="D201" t="str">
        <f>"25.450"</f>
        <v>25.450</v>
      </c>
      <c r="E201" t="str">
        <f>"-200.00"</f>
        <v>-200.00</v>
      </c>
      <c r="F201" t="str">
        <f>"5079.91"</f>
        <v>5079.91</v>
      </c>
      <c r="G201" t="str">
        <f>"11143.78"</f>
        <v>11143.78</v>
      </c>
      <c r="H201" t="str">
        <f>"0.00"</f>
        <v>0.00</v>
      </c>
      <c r="I201" t="str">
        <f>"191"</f>
        <v>191</v>
      </c>
      <c r="J201" t="str">
        <f>"证券卖出(亿纬锂能)"</f>
        <v>证券卖出(亿纬锂能)</v>
      </c>
      <c r="K201" t="str">
        <f>"5.00"</f>
        <v>5.00</v>
      </c>
      <c r="L201" t="str">
        <f>"5.09"</f>
        <v>5.09</v>
      </c>
      <c r="M201" t="str">
        <f t="shared" si="79"/>
        <v>0.00</v>
      </c>
      <c r="N201" t="str">
        <f t="shared" si="79"/>
        <v>0.00</v>
      </c>
      <c r="O201" t="str">
        <f>"300014"</f>
        <v>300014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"北方国际"</f>
        <v>北方国际</v>
      </c>
      <c r="C202" t="str">
        <f>"20170801"</f>
        <v>20170801</v>
      </c>
      <c r="D202" t="str">
        <f>"25.510"</f>
        <v>25.510</v>
      </c>
      <c r="E202" t="str">
        <f>"100.00"</f>
        <v>100.00</v>
      </c>
      <c r="F202" t="str">
        <f>"-2556.00"</f>
        <v>-2556.00</v>
      </c>
      <c r="G202" t="str">
        <f>"8587.78"</f>
        <v>8587.78</v>
      </c>
      <c r="H202" t="str">
        <f>"500.00"</f>
        <v>500.00</v>
      </c>
      <c r="I202" t="str">
        <f>"197"</f>
        <v>197</v>
      </c>
      <c r="J202" t="str">
        <f>"证券买入(北方国际)"</f>
        <v>证券买入(北方国际)</v>
      </c>
      <c r="K202" t="str">
        <f>"5.00"</f>
        <v>5.00</v>
      </c>
      <c r="L202" t="str">
        <f>"0.00"</f>
        <v>0.00</v>
      </c>
      <c r="M202" t="str">
        <f t="shared" si="79"/>
        <v>0.00</v>
      </c>
      <c r="N202" t="str">
        <f t="shared" si="79"/>
        <v>0.00</v>
      </c>
      <c r="O202" t="str">
        <f>"000065"</f>
        <v>000065</v>
      </c>
      <c r="P202" t="str">
        <f t="shared" si="78"/>
        <v>0153613480</v>
      </c>
    </row>
    <row r="203" spans="1:16" x14ac:dyDescent="0.25">
      <c r="A203" t="str">
        <f t="shared" si="81"/>
        <v>人民币</v>
      </c>
      <c r="B203" t="str">
        <f>""</f>
        <v/>
      </c>
      <c r="C203" t="str">
        <f>"20170802"</f>
        <v>20170802</v>
      </c>
      <c r="D203" t="str">
        <f>"---"</f>
        <v>---</v>
      </c>
      <c r="E203" t="str">
        <f>"---"</f>
        <v>---</v>
      </c>
      <c r="F203" t="str">
        <f>"-5000.00"</f>
        <v>-5000.00</v>
      </c>
      <c r="G203" t="str">
        <f>"3587.78"</f>
        <v>3587.78</v>
      </c>
      <c r="H203" t="str">
        <f>"---"</f>
        <v>---</v>
      </c>
      <c r="I203" t="str">
        <f>"---"</f>
        <v>---</v>
      </c>
      <c r="J203" t="str">
        <f>"银行转取"</f>
        <v>银行转取</v>
      </c>
      <c r="K203" t="str">
        <f t="shared" ref="K203:P203" si="82">"---"</f>
        <v>---</v>
      </c>
      <c r="L203" t="str">
        <f t="shared" si="82"/>
        <v>---</v>
      </c>
      <c r="M203" t="str">
        <f t="shared" si="82"/>
        <v>---</v>
      </c>
      <c r="N203" t="str">
        <f t="shared" si="82"/>
        <v>---</v>
      </c>
      <c r="O203" t="str">
        <f t="shared" si="82"/>
        <v>---</v>
      </c>
      <c r="P203" t="str">
        <f t="shared" si="82"/>
        <v>---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"17.660"</f>
        <v>17.660</v>
      </c>
      <c r="E204" t="str">
        <f>"100.00"</f>
        <v>100.00</v>
      </c>
      <c r="F204" t="str">
        <f>"-1771.04"</f>
        <v>-1771.04</v>
      </c>
      <c r="G204" t="str">
        <f>"1816.74"</f>
        <v>1816.74</v>
      </c>
      <c r="H204" t="str">
        <f>"500.00"</f>
        <v>500.00</v>
      </c>
      <c r="I204" t="str">
        <f>"203"</f>
        <v>203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"银龙股份"</f>
        <v>银龙股份</v>
      </c>
      <c r="C205" t="str">
        <f>"20170802"</f>
        <v>20170802</v>
      </c>
      <c r="D205" t="str">
        <f>"17.630"</f>
        <v>17.630</v>
      </c>
      <c r="E205" t="str">
        <f>"100.00"</f>
        <v>100.00</v>
      </c>
      <c r="F205" t="str">
        <f>"-1768.04"</f>
        <v>-1768.04</v>
      </c>
      <c r="G205" t="str">
        <f>"48.70"</f>
        <v>48.70</v>
      </c>
      <c r="H205" t="str">
        <f>"600.00"</f>
        <v>600.00</v>
      </c>
      <c r="I205" t="str">
        <f>"206"</f>
        <v>206</v>
      </c>
      <c r="J205" t="str">
        <f>"证券买入(银龙股份)"</f>
        <v>证券买入(银龙股份)</v>
      </c>
      <c r="K205" t="str">
        <f>"5.00"</f>
        <v>5.00</v>
      </c>
      <c r="L205" t="str">
        <f>"0.00"</f>
        <v>0.00</v>
      </c>
      <c r="M205" t="str">
        <f>"0.04"</f>
        <v>0.04</v>
      </c>
      <c r="N205" t="str">
        <f>"0.00"</f>
        <v>0.00</v>
      </c>
      <c r="O205" t="str">
        <f>"603969"</f>
        <v>603969</v>
      </c>
      <c r="P205" t="str">
        <f>"A400948245"</f>
        <v>A400948245</v>
      </c>
    </row>
    <row r="206" spans="1:16" x14ac:dyDescent="0.25">
      <c r="A206" t="str">
        <f t="shared" si="81"/>
        <v>人民币</v>
      </c>
      <c r="B206" t="str">
        <f>""</f>
        <v/>
      </c>
      <c r="C206" t="str">
        <f t="shared" ref="C206:C214" si="83">"20170808"</f>
        <v>20170808</v>
      </c>
      <c r="D206" t="str">
        <f t="shared" ref="D206:E209" si="84">"---"</f>
        <v>---</v>
      </c>
      <c r="E206" t="str">
        <f t="shared" si="84"/>
        <v>---</v>
      </c>
      <c r="F206" t="str">
        <f>"8800.00"</f>
        <v>8800.00</v>
      </c>
      <c r="G206" t="str">
        <f>"8848.70"</f>
        <v>8848.70</v>
      </c>
      <c r="H206" t="str">
        <f t="shared" ref="H206:I209" si="85">"---"</f>
        <v>---</v>
      </c>
      <c r="I206" t="str">
        <f t="shared" si="85"/>
        <v>---</v>
      </c>
      <c r="J206" t="str">
        <f>"银行转存"</f>
        <v>银行转存</v>
      </c>
      <c r="K206" t="str">
        <f t="shared" ref="K206:P209" si="86">"---"</f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""</f>
        <v/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"-5000.00"</f>
        <v>-5000.00</v>
      </c>
      <c r="G207" t="str">
        <f>"3848.70"</f>
        <v>3848.70</v>
      </c>
      <c r="H207" t="str">
        <f t="shared" si="85"/>
        <v>---</v>
      </c>
      <c r="I207" t="str">
        <f t="shared" si="85"/>
        <v>---</v>
      </c>
      <c r="J207" t="str">
        <f>"银行转取"</f>
        <v>银行转取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""</f>
        <v/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"5000.00"</f>
        <v>5000.00</v>
      </c>
      <c r="G208" t="str">
        <f>"8848.70"</f>
        <v>8848.70</v>
      </c>
      <c r="H208" t="str">
        <f t="shared" si="85"/>
        <v>---</v>
      </c>
      <c r="I208" t="str">
        <f t="shared" si="85"/>
        <v>---</v>
      </c>
      <c r="J208" t="str">
        <f>"银行转存"</f>
        <v>银行转存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""</f>
        <v/>
      </c>
      <c r="C209" t="str">
        <f t="shared" si="83"/>
        <v>20170808</v>
      </c>
      <c r="D209" t="str">
        <f t="shared" si="84"/>
        <v>---</v>
      </c>
      <c r="E209" t="str">
        <f t="shared" si="84"/>
        <v>---</v>
      </c>
      <c r="F209" t="str">
        <f>"-5000.00"</f>
        <v>-5000.00</v>
      </c>
      <c r="G209" t="str">
        <f>"3848.70"</f>
        <v>3848.70</v>
      </c>
      <c r="H209" t="str">
        <f t="shared" si="85"/>
        <v>---</v>
      </c>
      <c r="I209" t="str">
        <f t="shared" si="85"/>
        <v>---</v>
      </c>
      <c r="J209" t="str">
        <f>"银行转取"</f>
        <v>银行转取</v>
      </c>
      <c r="K209" t="str">
        <f t="shared" si="86"/>
        <v>---</v>
      </c>
      <c r="L209" t="str">
        <f t="shared" si="86"/>
        <v>---</v>
      </c>
      <c r="M209" t="str">
        <f t="shared" si="86"/>
        <v>---</v>
      </c>
      <c r="N209" t="str">
        <f t="shared" si="86"/>
        <v>---</v>
      </c>
      <c r="O209" t="str">
        <f t="shared" si="86"/>
        <v>---</v>
      </c>
      <c r="P209" t="str">
        <f t="shared" si="86"/>
        <v>---</v>
      </c>
    </row>
    <row r="210" spans="1:16" x14ac:dyDescent="0.25">
      <c r="A210" t="str">
        <f t="shared" si="81"/>
        <v>人民币</v>
      </c>
      <c r="B210" t="str">
        <f>"银龙股份"</f>
        <v>银龙股份</v>
      </c>
      <c r="C210" t="str">
        <f t="shared" si="83"/>
        <v>20170808</v>
      </c>
      <c r="D210" t="str">
        <f>"18.740"</f>
        <v>18.740</v>
      </c>
      <c r="E210" t="str">
        <f>"-200.00"</f>
        <v>-200.00</v>
      </c>
      <c r="F210" t="str">
        <f>"3739.18"</f>
        <v>3739.18</v>
      </c>
      <c r="G210" t="str">
        <f>"7587.88"</f>
        <v>7587.88</v>
      </c>
      <c r="H210" t="str">
        <f>"400.00"</f>
        <v>400.00</v>
      </c>
      <c r="I210" t="str">
        <f>"223"</f>
        <v>223</v>
      </c>
      <c r="J210" t="str">
        <f>"证券卖出(银龙股份)"</f>
        <v>证券卖出(银龙股份)</v>
      </c>
      <c r="K210" t="str">
        <f>"5.00"</f>
        <v>5.00</v>
      </c>
      <c r="L210" t="str">
        <f>"3.75"</f>
        <v>3.75</v>
      </c>
      <c r="M210" t="str">
        <f>"0.07"</f>
        <v>0.07</v>
      </c>
      <c r="N210" t="str">
        <f>"0.00"</f>
        <v>0.00</v>
      </c>
      <c r="O210" t="str">
        <f>"603969"</f>
        <v>603969</v>
      </c>
      <c r="P210" t="str">
        <f>"A400948245"</f>
        <v>A400948245</v>
      </c>
    </row>
    <row r="211" spans="1:16" x14ac:dyDescent="0.25">
      <c r="A211" t="str">
        <f t="shared" si="81"/>
        <v>人民币</v>
      </c>
      <c r="B211" t="str">
        <f>"合肥城建"</f>
        <v>合肥城建</v>
      </c>
      <c r="C211" t="str">
        <f t="shared" si="83"/>
        <v>20170808</v>
      </c>
      <c r="D211" t="str">
        <f>"11.560"</f>
        <v>11.560</v>
      </c>
      <c r="E211" t="str">
        <f>"-100.00"</f>
        <v>-100.00</v>
      </c>
      <c r="F211" t="str">
        <f>"1149.84"</f>
        <v>1149.84</v>
      </c>
      <c r="G211" t="str">
        <f>"8737.72"</f>
        <v>8737.72</v>
      </c>
      <c r="H211" t="str">
        <f>"0.00"</f>
        <v>0.00</v>
      </c>
      <c r="I211" t="str">
        <f>"229"</f>
        <v>229</v>
      </c>
      <c r="J211" t="str">
        <f>"证券卖出(合肥城建)"</f>
        <v>证券卖出(合肥城建)</v>
      </c>
      <c r="K211" t="str">
        <f>"5.00"</f>
        <v>5.00</v>
      </c>
      <c r="L211" t="str">
        <f>"1.16"</f>
        <v>1.16</v>
      </c>
      <c r="M211" t="str">
        <f>"0.00"</f>
        <v>0.00</v>
      </c>
      <c r="N211" t="str">
        <f>"0.00"</f>
        <v>0.00</v>
      </c>
      <c r="O211" t="str">
        <f>"002208"</f>
        <v>002208</v>
      </c>
      <c r="P211" t="str">
        <f t="shared" ref="P211:P216" si="87">"0153613480"</f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"14.170"</f>
        <v>14.170</v>
      </c>
      <c r="E212" t="str">
        <f>"300.00"</f>
        <v>300.00</v>
      </c>
      <c r="F212" t="str">
        <f>"-4256.00"</f>
        <v>-4256.00</v>
      </c>
      <c r="G212" t="str">
        <f>"4481.72"</f>
        <v>4481.72</v>
      </c>
      <c r="H212" t="str">
        <f>"300.00"</f>
        <v>300.00</v>
      </c>
      <c r="I212" t="str">
        <f>"217"</f>
        <v>217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"太阳鸟"</f>
        <v>太阳鸟</v>
      </c>
      <c r="C213" t="str">
        <f t="shared" si="83"/>
        <v>20170808</v>
      </c>
      <c r="D213" t="str">
        <f>"13.980"</f>
        <v>13.980</v>
      </c>
      <c r="E213" t="str">
        <f>"300.00"</f>
        <v>300.00</v>
      </c>
      <c r="F213" t="str">
        <f>"-4199.00"</f>
        <v>-4199.00</v>
      </c>
      <c r="G213" t="str">
        <f>"282.72"</f>
        <v>282.72</v>
      </c>
      <c r="H213" t="str">
        <f>"600.00"</f>
        <v>600.00</v>
      </c>
      <c r="I213" t="str">
        <f>"220"</f>
        <v>220</v>
      </c>
      <c r="J213" t="str">
        <f>"证券买入(太阳鸟)"</f>
        <v>证券买入(太阳鸟)</v>
      </c>
      <c r="K213" t="str">
        <f>"5.00"</f>
        <v>5.00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"300123"</f>
        <v>300123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"科力尔"</f>
        <v>科力尔</v>
      </c>
      <c r="C214" t="str">
        <f t="shared" si="83"/>
        <v>20170808</v>
      </c>
      <c r="D214" t="str">
        <f>"0.000"</f>
        <v>0.000</v>
      </c>
      <c r="E214" t="str">
        <f>"6.00"</f>
        <v>6.00</v>
      </c>
      <c r="F214" t="str">
        <f>"0.00"</f>
        <v>0.00</v>
      </c>
      <c r="G214" t="str">
        <f>"282.72"</f>
        <v>282.72</v>
      </c>
      <c r="H214" t="str">
        <f>"0.00"</f>
        <v>0.00</v>
      </c>
      <c r="I214" t="str">
        <f>"214"</f>
        <v>214</v>
      </c>
      <c r="J214" t="str">
        <f>"申购配号(科力尔)"</f>
        <v>申购配号(科力尔)</v>
      </c>
      <c r="K214" t="str">
        <f>"0.00"</f>
        <v>0.00</v>
      </c>
      <c r="L214" t="str">
        <f>"0.00"</f>
        <v>0.00</v>
      </c>
      <c r="M214" t="str">
        <f>"0.00"</f>
        <v>0.00</v>
      </c>
      <c r="N214" t="str">
        <f>"0.00"</f>
        <v>0.00</v>
      </c>
      <c r="O214" t="str">
        <f>"002892"</f>
        <v>002892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"合肥城建"</f>
        <v>合肥城建</v>
      </c>
      <c r="C215" t="str">
        <f>"20170809"</f>
        <v>20170809</v>
      </c>
      <c r="D215" t="str">
        <f>"0.000"</f>
        <v>0.000</v>
      </c>
      <c r="E215" t="str">
        <f>"0.00"</f>
        <v>0.00</v>
      </c>
      <c r="F215" t="str">
        <f>"-1.00"</f>
        <v>-1.00</v>
      </c>
      <c r="G215" t="str">
        <f>"281.72"</f>
        <v>281.72</v>
      </c>
      <c r="H215" t="str">
        <f>"0.00"</f>
        <v>0.00</v>
      </c>
      <c r="I215" t="str">
        <f>"---"</f>
        <v>---</v>
      </c>
      <c r="J215" t="str">
        <f>"红利差异税扣税(合肥城建)"</f>
        <v>红利差异税扣税(合肥城建)</v>
      </c>
      <c r="K215" t="str">
        <f>"---"</f>
        <v>---</v>
      </c>
      <c r="L215" t="str">
        <f>"---"</f>
        <v>---</v>
      </c>
      <c r="M215" t="str">
        <f>"---"</f>
        <v>---</v>
      </c>
      <c r="N215" t="str">
        <f>"---"</f>
        <v>---</v>
      </c>
      <c r="O215" t="str">
        <f>"002208"</f>
        <v>002208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"爱乐达"</f>
        <v>爱乐达</v>
      </c>
      <c r="C216" t="str">
        <f>"20170811"</f>
        <v>20170811</v>
      </c>
      <c r="D216" t="str">
        <f>"0.000"</f>
        <v>0.000</v>
      </c>
      <c r="E216" t="str">
        <f>"6.00"</f>
        <v>6.00</v>
      </c>
      <c r="F216" t="str">
        <f>"0.00"</f>
        <v>0.00</v>
      </c>
      <c r="G216" t="str">
        <f>"281.72"</f>
        <v>281.72</v>
      </c>
      <c r="H216" t="str">
        <f>"0.00"</f>
        <v>0.00</v>
      </c>
      <c r="I216" t="str">
        <f>"241"</f>
        <v>241</v>
      </c>
      <c r="J216" t="str">
        <f>"申购配号(爱乐达)"</f>
        <v>申购配号(爱乐达)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"300696"</f>
        <v>300696</v>
      </c>
      <c r="P216" t="str">
        <f t="shared" si="87"/>
        <v>0153613480</v>
      </c>
    </row>
    <row r="217" spans="1:16" x14ac:dyDescent="0.25">
      <c r="A217" t="str">
        <f t="shared" si="81"/>
        <v>人民币</v>
      </c>
      <c r="B217" t="str">
        <f>""</f>
        <v/>
      </c>
      <c r="C217" t="str">
        <f>"20170814"</f>
        <v>20170814</v>
      </c>
      <c r="D217" t="str">
        <f>"---"</f>
        <v>---</v>
      </c>
      <c r="E217" t="str">
        <f>"---"</f>
        <v>---</v>
      </c>
      <c r="F217" t="str">
        <f>"6000.00"</f>
        <v>6000.00</v>
      </c>
      <c r="G217" t="str">
        <f>"6281.72"</f>
        <v>6281.72</v>
      </c>
      <c r="H217" t="str">
        <f>"---"</f>
        <v>---</v>
      </c>
      <c r="I217" t="str">
        <f>"---"</f>
        <v>---</v>
      </c>
      <c r="J217" t="str">
        <f>"银行转存"</f>
        <v>银行转存</v>
      </c>
      <c r="K217" t="str">
        <f t="shared" ref="K217:P217" si="88">"---"</f>
        <v>---</v>
      </c>
      <c r="L217" t="str">
        <f t="shared" si="88"/>
        <v>---</v>
      </c>
      <c r="M217" t="str">
        <f t="shared" si="88"/>
        <v>---</v>
      </c>
      <c r="N217" t="str">
        <f t="shared" si="88"/>
        <v>---</v>
      </c>
      <c r="O217" t="str">
        <f t="shared" si="88"/>
        <v>---</v>
      </c>
      <c r="P217" t="str">
        <f t="shared" si="88"/>
        <v>---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"20170814"</f>
        <v>20170814</v>
      </c>
      <c r="D218" t="str">
        <f>"18.840"</f>
        <v>18.840</v>
      </c>
      <c r="E218" t="str">
        <f>"100.00"</f>
        <v>100.00</v>
      </c>
      <c r="F218" t="str">
        <f>"-1889.04"</f>
        <v>-1889.04</v>
      </c>
      <c r="G218" t="str">
        <f>"4392.68"</f>
        <v>4392.68</v>
      </c>
      <c r="H218" t="str">
        <f>"500.00"</f>
        <v>500.00</v>
      </c>
      <c r="I218" t="str">
        <f>"245"</f>
        <v>245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"0.04"</f>
        <v>0.04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"银龙股份"</f>
        <v>银龙股份</v>
      </c>
      <c r="C219" t="str">
        <f>"20170816"</f>
        <v>20170816</v>
      </c>
      <c r="D219" t="str">
        <f>"19.000"</f>
        <v>19.000</v>
      </c>
      <c r="E219" t="str">
        <f>"200.00"</f>
        <v>200.00</v>
      </c>
      <c r="F219" t="str">
        <f>"-3805.08"</f>
        <v>-3805.08</v>
      </c>
      <c r="G219" t="str">
        <f>"587.60"</f>
        <v>587.60</v>
      </c>
      <c r="H219" t="str">
        <f>"700.00"</f>
        <v>700.00</v>
      </c>
      <c r="I219" t="str">
        <f>"8"</f>
        <v>8</v>
      </c>
      <c r="J219" t="str">
        <f>"证券买入(银龙股份)"</f>
        <v>证券买入(银龙股份)</v>
      </c>
      <c r="K219" t="str">
        <f>"5.00"</f>
        <v>5.00</v>
      </c>
      <c r="L219" t="str">
        <f>"0.00"</f>
        <v>0.00</v>
      </c>
      <c r="M219" t="str">
        <f>"0.08"</f>
        <v>0.08</v>
      </c>
      <c r="N219" t="str">
        <f>"0.00"</f>
        <v>0.00</v>
      </c>
      <c r="O219" t="str">
        <f>"603969"</f>
        <v>603969</v>
      </c>
      <c r="P219" t="str">
        <f>"A400948245"</f>
        <v>A400948245</v>
      </c>
    </row>
    <row r="220" spans="1:16" x14ac:dyDescent="0.25">
      <c r="A220" t="str">
        <f t="shared" si="81"/>
        <v>人民币</v>
      </c>
      <c r="B220" t="str">
        <f>"川恒股份"</f>
        <v>川恒股份</v>
      </c>
      <c r="C220" t="str">
        <f>"20170816"</f>
        <v>20170816</v>
      </c>
      <c r="D220" t="str">
        <f>"0.000"</f>
        <v>0.000</v>
      </c>
      <c r="E220" t="str">
        <f>"6.00"</f>
        <v>6.00</v>
      </c>
      <c r="F220" t="str">
        <f>"0.00"</f>
        <v>0.00</v>
      </c>
      <c r="G220" t="str">
        <f>"587.60"</f>
        <v>587.60</v>
      </c>
      <c r="H220" t="str">
        <f>"0.00"</f>
        <v>0.00</v>
      </c>
      <c r="I220" t="str">
        <f>"1"</f>
        <v>1</v>
      </c>
      <c r="J220" t="str">
        <f>"申购配号(川恒股份)"</f>
        <v>申购配号(川恒股份)</v>
      </c>
      <c r="K220" t="str">
        <f>"0.00"</f>
        <v>0.00</v>
      </c>
      <c r="L220" t="str">
        <f>"0.00"</f>
        <v>0.00</v>
      </c>
      <c r="M220" t="str">
        <f>"0.00"</f>
        <v>0.00</v>
      </c>
      <c r="N220" t="str">
        <f>"0.00"</f>
        <v>0.00</v>
      </c>
      <c r="O220" t="str">
        <f>"002895"</f>
        <v>002895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"太阳鸟"</f>
        <v>太阳鸟</v>
      </c>
      <c r="C221" t="str">
        <f>"20170817"</f>
        <v>20170817</v>
      </c>
      <c r="D221" t="str">
        <f>"14.810"</f>
        <v>14.810</v>
      </c>
      <c r="E221" t="str">
        <f>"-600.00"</f>
        <v>-600.00</v>
      </c>
      <c r="F221" t="str">
        <f>"8872.11"</f>
        <v>8872.11</v>
      </c>
      <c r="G221" t="str">
        <f>"9459.71"</f>
        <v>9459.71</v>
      </c>
      <c r="H221" t="str">
        <f>"0.00"</f>
        <v>0.00</v>
      </c>
      <c r="I221" t="str">
        <f>"13"</f>
        <v>13</v>
      </c>
      <c r="J221" t="str">
        <f>"证券卖出(太阳鸟)"</f>
        <v>证券卖出(太阳鸟)</v>
      </c>
      <c r="K221" t="str">
        <f>"5.00"</f>
        <v>5.00</v>
      </c>
      <c r="L221" t="str">
        <f>"8.89"</f>
        <v>8.89</v>
      </c>
      <c r="M221" t="str">
        <f>"0.00"</f>
        <v>0.00</v>
      </c>
      <c r="N221" t="str">
        <f>"0.00"</f>
        <v>0.00</v>
      </c>
      <c r="O221" t="str">
        <f>"300123"</f>
        <v>300123</v>
      </c>
      <c r="P221" t="str">
        <f>"0153613480"</f>
        <v>0153613480</v>
      </c>
    </row>
    <row r="222" spans="1:16" x14ac:dyDescent="0.25">
      <c r="A222" t="str">
        <f t="shared" si="81"/>
        <v>人民币</v>
      </c>
      <c r="B222" t="str">
        <f>""</f>
        <v/>
      </c>
      <c r="C222" t="str">
        <f>"20170818"</f>
        <v>20170818</v>
      </c>
      <c r="D222" t="str">
        <f>"---"</f>
        <v>---</v>
      </c>
      <c r="E222" t="str">
        <f>"---"</f>
        <v>---</v>
      </c>
      <c r="F222" t="str">
        <f>"-6000.00"</f>
        <v>-6000.00</v>
      </c>
      <c r="G222" t="str">
        <f>"3459.71"</f>
        <v>3459.71</v>
      </c>
      <c r="H222" t="str">
        <f>"---"</f>
        <v>---</v>
      </c>
      <c r="I222" t="str">
        <f>"---"</f>
        <v>---</v>
      </c>
      <c r="J222" t="str">
        <f>"银行转取"</f>
        <v>银行转取</v>
      </c>
      <c r="K222" t="str">
        <f t="shared" ref="K222:P222" si="89">"---"</f>
        <v>---</v>
      </c>
      <c r="L222" t="str">
        <f t="shared" si="89"/>
        <v>---</v>
      </c>
      <c r="M222" t="str">
        <f t="shared" si="89"/>
        <v>---</v>
      </c>
      <c r="N222" t="str">
        <f t="shared" si="89"/>
        <v>---</v>
      </c>
      <c r="O222" t="str">
        <f t="shared" si="89"/>
        <v>---</v>
      </c>
      <c r="P222" t="str">
        <f t="shared" si="89"/>
        <v>---</v>
      </c>
    </row>
    <row r="223" spans="1:16" x14ac:dyDescent="0.25">
      <c r="A223" t="str">
        <f t="shared" si="81"/>
        <v>人民币</v>
      </c>
      <c r="B223" t="str">
        <f>"银龙股份"</f>
        <v>银龙股份</v>
      </c>
      <c r="C223" t="str">
        <f>"20170818"</f>
        <v>20170818</v>
      </c>
      <c r="D223" t="str">
        <f>"19.280"</f>
        <v>19.280</v>
      </c>
      <c r="E223" t="str">
        <f>"-200.00"</f>
        <v>-200.00</v>
      </c>
      <c r="F223" t="str">
        <f>"3847.06"</f>
        <v>3847.06</v>
      </c>
      <c r="G223" t="str">
        <f>"7306.77"</f>
        <v>7306.77</v>
      </c>
      <c r="H223" t="str">
        <f>"500.00"</f>
        <v>500.00</v>
      </c>
      <c r="I223" t="str">
        <f>"27"</f>
        <v>27</v>
      </c>
      <c r="J223" t="str">
        <f>"证券卖出(银龙股份)"</f>
        <v>证券卖出(银龙股份)</v>
      </c>
      <c r="K223" t="str">
        <f>"5.00"</f>
        <v>5.00</v>
      </c>
      <c r="L223" t="str">
        <f>"3.86"</f>
        <v>3.86</v>
      </c>
      <c r="M223" t="str">
        <f>"0.08"</f>
        <v>0.08</v>
      </c>
      <c r="N223" t="str">
        <f>"0.00"</f>
        <v>0.00</v>
      </c>
      <c r="O223" t="str">
        <f>"603969"</f>
        <v>603969</v>
      </c>
      <c r="P223" t="str">
        <f>"A400948245"</f>
        <v>A400948245</v>
      </c>
    </row>
    <row r="224" spans="1:16" x14ac:dyDescent="0.25">
      <c r="A224" t="str">
        <f t="shared" si="81"/>
        <v>人民币</v>
      </c>
      <c r="B224" t="str">
        <f>"太空板业"</f>
        <v>太空板业</v>
      </c>
      <c r="C224" t="str">
        <f>"20170818"</f>
        <v>20170818</v>
      </c>
      <c r="D224" t="str">
        <f>"15.310"</f>
        <v>15.310</v>
      </c>
      <c r="E224" t="str">
        <f>"-540.00"</f>
        <v>-540.00</v>
      </c>
      <c r="F224" t="str">
        <f>"8254.14"</f>
        <v>8254.14</v>
      </c>
      <c r="G224" t="str">
        <f>"15560.91"</f>
        <v>15560.91</v>
      </c>
      <c r="H224" t="str">
        <f>"700.00"</f>
        <v>700.00</v>
      </c>
      <c r="I224" t="str">
        <f>"18"</f>
        <v>18</v>
      </c>
      <c r="J224" t="str">
        <f>"证券卖出(太空板业)"</f>
        <v>证券卖出(太空板业)</v>
      </c>
      <c r="K224" t="str">
        <f>"5.00"</f>
        <v>5.00</v>
      </c>
      <c r="L224" t="str">
        <f>"8.26"</f>
        <v>8.26</v>
      </c>
      <c r="M224" t="str">
        <f>"0.00"</f>
        <v>0.00</v>
      </c>
      <c r="N224" t="str">
        <f>"0.00"</f>
        <v>0.00</v>
      </c>
      <c r="O224" t="str">
        <f>"300344"</f>
        <v>300344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"中大力德"</f>
        <v>中大力德</v>
      </c>
      <c r="C225" t="str">
        <f>"20170818"</f>
        <v>20170818</v>
      </c>
      <c r="D225" t="str">
        <f>"0.000"</f>
        <v>0.000</v>
      </c>
      <c r="E225" t="str">
        <f>"7.00"</f>
        <v>7.00</v>
      </c>
      <c r="F225" t="str">
        <f>"0.00"</f>
        <v>0.00</v>
      </c>
      <c r="G225" t="str">
        <f>"15560.91"</f>
        <v>15560.91</v>
      </c>
      <c r="H225" t="str">
        <f>"0.00"</f>
        <v>0.00</v>
      </c>
      <c r="I225" t="str">
        <f>"25"</f>
        <v>25</v>
      </c>
      <c r="J225" t="str">
        <f>"申购配号(中大力德)"</f>
        <v>申购配号(中大力德)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>"0.00"</f>
        <v>0.00</v>
      </c>
      <c r="O225" t="str">
        <f>"002896"</f>
        <v>002896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"太空板业"</f>
        <v>太空板业</v>
      </c>
      <c r="C226" t="str">
        <f>"20170821"</f>
        <v>20170821</v>
      </c>
      <c r="D226" t="str">
        <f>"0.000"</f>
        <v>0.000</v>
      </c>
      <c r="E226" t="str">
        <f>"0.00"</f>
        <v>0.00</v>
      </c>
      <c r="F226" t="str">
        <f>"-1.08"</f>
        <v>-1.08</v>
      </c>
      <c r="G226" t="str">
        <f>"15559.83"</f>
        <v>15559.83</v>
      </c>
      <c r="H226" t="str">
        <f>"700.00"</f>
        <v>700.00</v>
      </c>
      <c r="I226" t="str">
        <f>"---"</f>
        <v>---</v>
      </c>
      <c r="J226" t="str">
        <f>"红利差异税扣税(太空板业)"</f>
        <v>红利差异税扣税(太空板业)</v>
      </c>
      <c r="K226" t="str">
        <f>"---"</f>
        <v>---</v>
      </c>
      <c r="L226" t="str">
        <f>"---"</f>
        <v>---</v>
      </c>
      <c r="M226" t="str">
        <f>"---"</f>
        <v>---</v>
      </c>
      <c r="N226" t="str">
        <f>"---"</f>
        <v>---</v>
      </c>
      <c r="O226" t="str">
        <f>"300344"</f>
        <v>300344</v>
      </c>
      <c r="P226" t="str">
        <f>"0153613480"</f>
        <v>0153613480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"18.470"</f>
        <v>18.470</v>
      </c>
      <c r="E227" t="str">
        <f>"200.00"</f>
        <v>200.00</v>
      </c>
      <c r="F227" t="str">
        <f>"-3699.07"</f>
        <v>-3699.07</v>
      </c>
      <c r="G227" t="str">
        <f>"11860.76"</f>
        <v>11860.76</v>
      </c>
      <c r="H227" t="str">
        <f>"200.00"</f>
        <v>200.00</v>
      </c>
      <c r="I227" t="str">
        <f>"41"</f>
        <v>41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"北方稀土"</f>
        <v>北方稀土</v>
      </c>
      <c r="C228" t="str">
        <f>"20170821"</f>
        <v>20170821</v>
      </c>
      <c r="D228" t="str">
        <f>"18.310"</f>
        <v>18.310</v>
      </c>
      <c r="E228" t="str">
        <f>"200.00"</f>
        <v>200.00</v>
      </c>
      <c r="F228" t="str">
        <f>"-3667.07"</f>
        <v>-3667.07</v>
      </c>
      <c r="G228" t="str">
        <f>"8193.69"</f>
        <v>8193.69</v>
      </c>
      <c r="H228" t="str">
        <f>"400.00"</f>
        <v>400.00</v>
      </c>
      <c r="I228" t="str">
        <f>"50"</f>
        <v>50</v>
      </c>
      <c r="J228" t="str">
        <f>"证券买入(北方稀土)"</f>
        <v>证券买入(北方稀土)</v>
      </c>
      <c r="K228" t="str">
        <f>"5.00"</f>
        <v>5.00</v>
      </c>
      <c r="L228" t="str">
        <f>"0.00"</f>
        <v>0.00</v>
      </c>
      <c r="M228" t="str">
        <f>"0.07"</f>
        <v>0.07</v>
      </c>
      <c r="N228" t="str">
        <f>"0.00"</f>
        <v>0.00</v>
      </c>
      <c r="O228" t="str">
        <f>"600111"</f>
        <v>600111</v>
      </c>
      <c r="P228" t="str">
        <f>"A400948245"</f>
        <v>A400948245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"-300.00"</f>
        <v>-300.00</v>
      </c>
      <c r="F229" t="str">
        <f>"4340.65"</f>
        <v>4340.65</v>
      </c>
      <c r="G229" t="str">
        <f>"12534.34"</f>
        <v>12534.34</v>
      </c>
      <c r="H229" t="str">
        <f>"400.00"</f>
        <v>400.00</v>
      </c>
      <c r="I229" t="str">
        <f>"44"</f>
        <v>44</v>
      </c>
      <c r="J229" t="str">
        <f>"证券卖出(太空板业)"</f>
        <v>证券卖出(太空板业)</v>
      </c>
      <c r="K229" t="str">
        <f>"5.00"</f>
        <v>5.00</v>
      </c>
      <c r="L229" t="str">
        <f>"4.35"</f>
        <v>4.35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"20170821"</f>
        <v>20170821</v>
      </c>
      <c r="D230" t="str">
        <f>"14.500"</f>
        <v>14.500</v>
      </c>
      <c r="E230" t="str">
        <f>"-400.00"</f>
        <v>-400.00</v>
      </c>
      <c r="F230" t="str">
        <f>"5789.20"</f>
        <v>5789.20</v>
      </c>
      <c r="G230" t="str">
        <f>"18323.54"</f>
        <v>18323.54</v>
      </c>
      <c r="H230" t="str">
        <f>"0.00"</f>
        <v>0.00</v>
      </c>
      <c r="I230" t="str">
        <f>"47"</f>
        <v>47</v>
      </c>
      <c r="J230" t="str">
        <f>"证券卖出(太空板业)"</f>
        <v>证券卖出(太空板业)</v>
      </c>
      <c r="K230" t="str">
        <f>"5.00"</f>
        <v>5.00</v>
      </c>
      <c r="L230" t="str">
        <f>"5.80"</f>
        <v>5.80</v>
      </c>
      <c r="M230" t="str">
        <f>"0.00"</f>
        <v>0.00</v>
      </c>
      <c r="N230" t="str">
        <f>"0.00"</f>
        <v>0.00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"太空板业"</f>
        <v>太空板业</v>
      </c>
      <c r="C231" t="str">
        <f>"20170822"</f>
        <v>20170822</v>
      </c>
      <c r="D231" t="str">
        <f>"0.000"</f>
        <v>0.000</v>
      </c>
      <c r="E231" t="str">
        <f>"0.00"</f>
        <v>0.00</v>
      </c>
      <c r="F231" t="str">
        <f>"-0.12"</f>
        <v>-0.12</v>
      </c>
      <c r="G231" t="str">
        <f>"18323.42"</f>
        <v>18323.42</v>
      </c>
      <c r="H231" t="str">
        <f>"0.00"</f>
        <v>0.00</v>
      </c>
      <c r="I231" t="str">
        <f>"---"</f>
        <v>---</v>
      </c>
      <c r="J231" t="str">
        <f>"红利差异税扣税(太空板业)"</f>
        <v>红利差异税扣税(太空板业)</v>
      </c>
      <c r="K231" t="str">
        <f t="shared" ref="K231:N232" si="90">"---"</f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"300344"</f>
        <v>300344</v>
      </c>
      <c r="P231" t="str">
        <f>"0153613480"</f>
        <v>0153613480</v>
      </c>
    </row>
    <row r="232" spans="1:16" x14ac:dyDescent="0.25">
      <c r="A232" t="str">
        <f t="shared" si="81"/>
        <v>人民币</v>
      </c>
      <c r="B232" t="str">
        <f>""</f>
        <v/>
      </c>
      <c r="C232" t="str">
        <f>"20170822"</f>
        <v>20170822</v>
      </c>
      <c r="D232" t="str">
        <f>"---"</f>
        <v>---</v>
      </c>
      <c r="E232" t="str">
        <f>"---"</f>
        <v>---</v>
      </c>
      <c r="F232" t="str">
        <f>"-3468.00"</f>
        <v>-3468.00</v>
      </c>
      <c r="G232" t="str">
        <f>"14855.42"</f>
        <v>14855.42</v>
      </c>
      <c r="H232" t="str">
        <f>"---"</f>
        <v>---</v>
      </c>
      <c r="I232" t="str">
        <f>"---"</f>
        <v>---</v>
      </c>
      <c r="J232" t="str">
        <f>"银行转取"</f>
        <v>银行转取</v>
      </c>
      <c r="K232" t="str">
        <f t="shared" si="90"/>
        <v>---</v>
      </c>
      <c r="L232" t="str">
        <f t="shared" si="90"/>
        <v>---</v>
      </c>
      <c r="M232" t="str">
        <f t="shared" si="90"/>
        <v>---</v>
      </c>
      <c r="N232" t="str">
        <f t="shared" si="90"/>
        <v>---</v>
      </c>
      <c r="O232" t="str">
        <f>"---"</f>
        <v>---</v>
      </c>
      <c r="P232" t="str">
        <f>"---"</f>
        <v>---</v>
      </c>
    </row>
    <row r="233" spans="1:16" x14ac:dyDescent="0.25">
      <c r="A233" t="str">
        <f t="shared" si="81"/>
        <v>人民币</v>
      </c>
      <c r="B233" t="str">
        <f>"北方稀土"</f>
        <v>北方稀土</v>
      </c>
      <c r="C233" t="str">
        <f>"20170822"</f>
        <v>20170822</v>
      </c>
      <c r="D233" t="str">
        <f>"18.210"</f>
        <v>18.210</v>
      </c>
      <c r="E233" t="str">
        <f>"200.00"</f>
        <v>200.00</v>
      </c>
      <c r="F233" t="str">
        <f>"-3647.07"</f>
        <v>-3647.07</v>
      </c>
      <c r="G233" t="str">
        <f>"11208.35"</f>
        <v>11208.35</v>
      </c>
      <c r="H233" t="str">
        <f>"600.00"</f>
        <v>600.00</v>
      </c>
      <c r="I233" t="str">
        <f>"58"</f>
        <v>58</v>
      </c>
      <c r="J233" t="str">
        <f>"证券买入(北方稀土)"</f>
        <v>证券买入(北方稀土)</v>
      </c>
      <c r="K233" t="str">
        <f>"5.00"</f>
        <v>5.00</v>
      </c>
      <c r="L233" t="str">
        <f>"0.00"</f>
        <v>0.00</v>
      </c>
      <c r="M233" t="str">
        <f>"0.07"</f>
        <v>0.07</v>
      </c>
      <c r="N233" t="str">
        <f>"0.00"</f>
        <v>0.00</v>
      </c>
      <c r="O233" t="str">
        <f>"600111"</f>
        <v>600111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"银龙股份"</f>
        <v>银龙股份</v>
      </c>
      <c r="C234" t="str">
        <f>"20170822"</f>
        <v>20170822</v>
      </c>
      <c r="D234" t="str">
        <f>"19.000"</f>
        <v>19.000</v>
      </c>
      <c r="E234" t="str">
        <f>"200.00"</f>
        <v>200.00</v>
      </c>
      <c r="F234" t="str">
        <f>"-3805.08"</f>
        <v>-3805.08</v>
      </c>
      <c r="G234" t="str">
        <f>"7403.27"</f>
        <v>7403.27</v>
      </c>
      <c r="H234" t="str">
        <f>"700.00"</f>
        <v>700.00</v>
      </c>
      <c r="I234" t="str">
        <f>"64"</f>
        <v>64</v>
      </c>
      <c r="J234" t="str">
        <f>"证券买入(银龙股份)"</f>
        <v>证券买入(银龙股份)</v>
      </c>
      <c r="K234" t="str">
        <f>"5.00"</f>
        <v>5.00</v>
      </c>
      <c r="L234" t="str">
        <f>"0.00"</f>
        <v>0.00</v>
      </c>
      <c r="M234" t="str">
        <f>"0.08"</f>
        <v>0.08</v>
      </c>
      <c r="N234" t="str">
        <f>"0.00"</f>
        <v>0.00</v>
      </c>
      <c r="O234" t="str">
        <f>"603969"</f>
        <v>603969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"北方稀土"</f>
        <v>北方稀土</v>
      </c>
      <c r="C235" t="str">
        <f>"20170823"</f>
        <v>20170823</v>
      </c>
      <c r="D235" t="str">
        <f>"17.560"</f>
        <v>17.560</v>
      </c>
      <c r="E235" t="str">
        <f>"200.00"</f>
        <v>200.00</v>
      </c>
      <c r="F235" t="str">
        <f>"-3517.07"</f>
        <v>-3517.07</v>
      </c>
      <c r="G235" t="str">
        <f>"3886.20"</f>
        <v>3886.20</v>
      </c>
      <c r="H235" t="str">
        <f>"800.00"</f>
        <v>800.00</v>
      </c>
      <c r="I235" t="str">
        <f>"81"</f>
        <v>81</v>
      </c>
      <c r="J235" t="str">
        <f>"证券买入(北方稀土)"</f>
        <v>证券买入(北方稀土)</v>
      </c>
      <c r="K235" t="str">
        <f>"5.00"</f>
        <v>5.00</v>
      </c>
      <c r="L235" t="str">
        <f>"0.00"</f>
        <v>0.00</v>
      </c>
      <c r="M235" t="str">
        <f>"0.07"</f>
        <v>0.07</v>
      </c>
      <c r="N235" t="str">
        <f>"0.00"</f>
        <v>0.00</v>
      </c>
      <c r="O235" t="str">
        <f>"600111"</f>
        <v>600111</v>
      </c>
      <c r="P235" t="str">
        <f>"A400948245"</f>
        <v>A400948245</v>
      </c>
    </row>
    <row r="236" spans="1:16" x14ac:dyDescent="0.25">
      <c r="A236" t="str">
        <f t="shared" si="81"/>
        <v>人民币</v>
      </c>
      <c r="B236" t="str">
        <f>"太空板业"</f>
        <v>太空板业</v>
      </c>
      <c r="C236" t="str">
        <f>"20170823"</f>
        <v>20170823</v>
      </c>
      <c r="D236" t="str">
        <f>"14.000"</f>
        <v>14.000</v>
      </c>
      <c r="E236" t="str">
        <f>"200.00"</f>
        <v>200.00</v>
      </c>
      <c r="F236" t="str">
        <f>"-2805.00"</f>
        <v>-2805.00</v>
      </c>
      <c r="G236" t="str">
        <f>"1081.20"</f>
        <v>1081.20</v>
      </c>
      <c r="H236" t="str">
        <f>"200.00"</f>
        <v>200.00</v>
      </c>
      <c r="I236" t="str">
        <f>"78"</f>
        <v>78</v>
      </c>
      <c r="J236" t="str">
        <f>"证券买入(太空板业)"</f>
        <v>证券买入(太空板业)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"300344"</f>
        <v>300344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"光威复材"</f>
        <v>光威复材</v>
      </c>
      <c r="C237" t="str">
        <f>"20170823"</f>
        <v>20170823</v>
      </c>
      <c r="D237" t="str">
        <f>"0.000"</f>
        <v>0.000</v>
      </c>
      <c r="E237" t="str">
        <f>"6.00"</f>
        <v>6.00</v>
      </c>
      <c r="F237" t="str">
        <f>"0.00"</f>
        <v>0.00</v>
      </c>
      <c r="G237" t="str">
        <f>"1081.20"</f>
        <v>1081.20</v>
      </c>
      <c r="H237" t="str">
        <f>"0.00"</f>
        <v>0.00</v>
      </c>
      <c r="I237" t="str">
        <f>"70"</f>
        <v>70</v>
      </c>
      <c r="J237" t="str">
        <f>"申购配号(光威复材)"</f>
        <v>申购配号(光威复材)</v>
      </c>
      <c r="K237" t="str">
        <f>"0.00"</f>
        <v>0.00</v>
      </c>
      <c r="L237" t="str">
        <f>"0.00"</f>
        <v>0.00</v>
      </c>
      <c r="M237" t="str">
        <f>"0.00"</f>
        <v>0.00</v>
      </c>
      <c r="N237" t="str">
        <f>"0.00"</f>
        <v>0.00</v>
      </c>
      <c r="O237" t="str">
        <f>"300699"</f>
        <v>300699</v>
      </c>
      <c r="P237" t="str">
        <f>"0153613480"</f>
        <v>0153613480</v>
      </c>
    </row>
    <row r="238" spans="1:16" x14ac:dyDescent="0.25">
      <c r="A238" t="str">
        <f t="shared" si="81"/>
        <v>人民币</v>
      </c>
      <c r="B238" t="str">
        <f>""</f>
        <v/>
      </c>
      <c r="C238" t="str">
        <f>"20170824"</f>
        <v>20170824</v>
      </c>
      <c r="D238" t="str">
        <f>"---"</f>
        <v>---</v>
      </c>
      <c r="E238" t="str">
        <f>"---"</f>
        <v>---</v>
      </c>
      <c r="F238" t="str">
        <f>"2000.00"</f>
        <v>2000.00</v>
      </c>
      <c r="G238" t="str">
        <f>"3081.20"</f>
        <v>3081.20</v>
      </c>
      <c r="H238" t="str">
        <f>"---"</f>
        <v>---</v>
      </c>
      <c r="I238" t="str">
        <f>"---"</f>
        <v>---</v>
      </c>
      <c r="J238" t="str">
        <f>"银行转存"</f>
        <v>银行转存</v>
      </c>
      <c r="K238" t="str">
        <f t="shared" ref="K238:P238" si="91">"---"</f>
        <v>---</v>
      </c>
      <c r="L238" t="str">
        <f t="shared" si="91"/>
        <v>---</v>
      </c>
      <c r="M238" t="str">
        <f t="shared" si="91"/>
        <v>---</v>
      </c>
      <c r="N238" t="str">
        <f t="shared" si="91"/>
        <v>---</v>
      </c>
      <c r="O238" t="str">
        <f t="shared" si="91"/>
        <v>---</v>
      </c>
      <c r="P238" t="str">
        <f t="shared" si="91"/>
        <v>---</v>
      </c>
    </row>
    <row r="239" spans="1:16" x14ac:dyDescent="0.25">
      <c r="A239" t="str">
        <f t="shared" si="81"/>
        <v>人民币</v>
      </c>
      <c r="B239" t="str">
        <f>"建研配号"</f>
        <v>建研配号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"87"</f>
        <v>87</v>
      </c>
      <c r="J239" t="str">
        <f>"申购配号(建研配号)"</f>
        <v>申购配号(建研配号)</v>
      </c>
      <c r="K239" t="str">
        <f t="shared" ref="K239:N240" si="92">"0.00"</f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"736183"</f>
        <v>736183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"众源配号"</f>
        <v>众源配号</v>
      </c>
      <c r="C240" t="str">
        <f>"20170824"</f>
        <v>20170824</v>
      </c>
      <c r="D240" t="str">
        <f>"0.000"</f>
        <v>0.000</v>
      </c>
      <c r="E240" t="str">
        <f>"1.00"</f>
        <v>1.00</v>
      </c>
      <c r="F240" t="str">
        <f>"0.00"</f>
        <v>0.00</v>
      </c>
      <c r="G240" t="str">
        <f>"3081.20"</f>
        <v>3081.20</v>
      </c>
      <c r="H240" t="str">
        <f>"0.00"</f>
        <v>0.00</v>
      </c>
      <c r="I240" t="str">
        <f>"89"</f>
        <v>89</v>
      </c>
      <c r="J240" t="str">
        <f>"申购配号(众源配号)"</f>
        <v>申购配号(众源配号)</v>
      </c>
      <c r="K240" t="str">
        <f t="shared" si="92"/>
        <v>0.00</v>
      </c>
      <c r="L240" t="str">
        <f t="shared" si="92"/>
        <v>0.00</v>
      </c>
      <c r="M240" t="str">
        <f t="shared" si="92"/>
        <v>0.00</v>
      </c>
      <c r="N240" t="str">
        <f t="shared" si="92"/>
        <v>0.00</v>
      </c>
      <c r="O240" t="str">
        <f>"736527"</f>
        <v>736527</v>
      </c>
      <c r="P240" t="str">
        <f>"A400948245"</f>
        <v>A400948245</v>
      </c>
    </row>
    <row r="241" spans="1:16" x14ac:dyDescent="0.25">
      <c r="A241" t="str">
        <f t="shared" si="81"/>
        <v>人民币</v>
      </c>
      <c r="B241" t="str">
        <f>"太空板业"</f>
        <v>太空板业</v>
      </c>
      <c r="C241" t="str">
        <f>"20170824"</f>
        <v>20170824</v>
      </c>
      <c r="D241" t="str">
        <f>"14.280"</f>
        <v>14.280</v>
      </c>
      <c r="E241" t="str">
        <f>"200.00"</f>
        <v>200.00</v>
      </c>
      <c r="F241" t="str">
        <f>"-2861.00"</f>
        <v>-2861.00</v>
      </c>
      <c r="G241" t="str">
        <f>"220.20"</f>
        <v>220.20</v>
      </c>
      <c r="H241" t="str">
        <f>"400.00"</f>
        <v>400.00</v>
      </c>
      <c r="I241" t="str">
        <f>"94"</f>
        <v>94</v>
      </c>
      <c r="J241" t="str">
        <f>"证券买入(太空板业)"</f>
        <v>证券买入(太空板业)</v>
      </c>
      <c r="K241" t="str">
        <f>"5.00"</f>
        <v>5.00</v>
      </c>
      <c r="L241" t="str">
        <f t="shared" ref="L241:N242" si="93">"0.00"</f>
        <v>0.00</v>
      </c>
      <c r="M241" t="str">
        <f t="shared" si="93"/>
        <v>0.00</v>
      </c>
      <c r="N241" t="str">
        <f t="shared" si="93"/>
        <v>0.00</v>
      </c>
      <c r="O241" t="str">
        <f>"300344"</f>
        <v>300344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"电工合金"</f>
        <v>电工合金</v>
      </c>
      <c r="C242" t="str">
        <f>"20170824"</f>
        <v>20170824</v>
      </c>
      <c r="D242" t="str">
        <f>"0.000"</f>
        <v>0.000</v>
      </c>
      <c r="E242" t="str">
        <f>"6.00"</f>
        <v>6.00</v>
      </c>
      <c r="F242" t="str">
        <f>"0.00"</f>
        <v>0.00</v>
      </c>
      <c r="G242" t="str">
        <f>"220.20"</f>
        <v>220.20</v>
      </c>
      <c r="H242" t="str">
        <f>"0.00"</f>
        <v>0.00</v>
      </c>
      <c r="I242" t="str">
        <f>"91"</f>
        <v>91</v>
      </c>
      <c r="J242" t="str">
        <f>"申购配号(电工合金)"</f>
        <v>申购配号(电工合金)</v>
      </c>
      <c r="K242" t="str">
        <f>"0.00"</f>
        <v>0.00</v>
      </c>
      <c r="L242" t="str">
        <f t="shared" si="93"/>
        <v>0.00</v>
      </c>
      <c r="M242" t="str">
        <f t="shared" si="93"/>
        <v>0.00</v>
      </c>
      <c r="N242" t="str">
        <f t="shared" si="93"/>
        <v>0.00</v>
      </c>
      <c r="O242" t="str">
        <f>"300697"</f>
        <v>300697</v>
      </c>
      <c r="P242" t="str">
        <f>"0153613480"</f>
        <v>0153613480</v>
      </c>
    </row>
    <row r="243" spans="1:16" x14ac:dyDescent="0.25">
      <c r="A243" t="str">
        <f t="shared" si="81"/>
        <v>人民币</v>
      </c>
      <c r="B243" t="str">
        <f>""</f>
        <v/>
      </c>
      <c r="C243" t="str">
        <f>"20170825"</f>
        <v>20170825</v>
      </c>
      <c r="D243" t="str">
        <f>"---"</f>
        <v>---</v>
      </c>
      <c r="E243" t="str">
        <f>"---"</f>
        <v>---</v>
      </c>
      <c r="F243" t="str">
        <f>"8000.00"</f>
        <v>8000.00</v>
      </c>
      <c r="G243" t="str">
        <f>"8220.20"</f>
        <v>8220.20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94">"---"</f>
        <v>---</v>
      </c>
      <c r="L243" t="str">
        <f t="shared" si="94"/>
        <v>---</v>
      </c>
      <c r="M243" t="str">
        <f t="shared" si="94"/>
        <v>---</v>
      </c>
      <c r="N243" t="str">
        <f t="shared" si="94"/>
        <v>---</v>
      </c>
      <c r="O243" t="str">
        <f t="shared" si="94"/>
        <v>---</v>
      </c>
      <c r="P243" t="str">
        <f t="shared" si="94"/>
        <v>---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"17.720"</f>
        <v>17.720</v>
      </c>
      <c r="E244" t="str">
        <f>"100.00"</f>
        <v>100.00</v>
      </c>
      <c r="F244" t="str">
        <f>"-1777.04"</f>
        <v>-1777.04</v>
      </c>
      <c r="G244" t="str">
        <f>"6443.16"</f>
        <v>6443.16</v>
      </c>
      <c r="H244" t="str">
        <f>"900.00"</f>
        <v>900.00</v>
      </c>
      <c r="I244" t="str">
        <f>"102"</f>
        <v>102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"北方稀土"</f>
        <v>北方稀土</v>
      </c>
      <c r="C245" t="str">
        <f>"20170825"</f>
        <v>20170825</v>
      </c>
      <c r="D245" t="str">
        <f>"17.660"</f>
        <v>17.660</v>
      </c>
      <c r="E245" t="str">
        <f>"100.00"</f>
        <v>100.00</v>
      </c>
      <c r="F245" t="str">
        <f>"-1771.04"</f>
        <v>-1771.04</v>
      </c>
      <c r="G245" t="str">
        <f>"4672.12"</f>
        <v>4672.12</v>
      </c>
      <c r="H245" t="str">
        <f>"1000.00"</f>
        <v>1000.00</v>
      </c>
      <c r="I245" t="str">
        <f>"105"</f>
        <v>105</v>
      </c>
      <c r="J245" t="str">
        <f>"证券买入(北方稀土)"</f>
        <v>证券买入(北方稀土)</v>
      </c>
      <c r="K245" t="str">
        <f>"5.00"</f>
        <v>5.00</v>
      </c>
      <c r="L245" t="str">
        <f>"0.00"</f>
        <v>0.00</v>
      </c>
      <c r="M245" t="str">
        <f>"0.04"</f>
        <v>0.04</v>
      </c>
      <c r="N245" t="str">
        <f>"0.00"</f>
        <v>0.00</v>
      </c>
      <c r="O245" t="str">
        <f>"600111"</f>
        <v>600111</v>
      </c>
      <c r="P245" t="str">
        <f>"A400948245"</f>
        <v>A400948245</v>
      </c>
    </row>
    <row r="246" spans="1:16" x14ac:dyDescent="0.25">
      <c r="A246" t="str">
        <f t="shared" si="81"/>
        <v>人民币</v>
      </c>
      <c r="B246" t="str">
        <f>"太空板业"</f>
        <v>太空板业</v>
      </c>
      <c r="C246" t="str">
        <f>"20170825"</f>
        <v>20170825</v>
      </c>
      <c r="D246" t="str">
        <f>"14.610"</f>
        <v>14.610</v>
      </c>
      <c r="E246" t="str">
        <f>"-400.00"</f>
        <v>-400.00</v>
      </c>
      <c r="F246" t="str">
        <f>"5833.16"</f>
        <v>5833.16</v>
      </c>
      <c r="G246" t="str">
        <f>"10505.28"</f>
        <v>10505.28</v>
      </c>
      <c r="H246" t="str">
        <f>"0.00"</f>
        <v>0.00</v>
      </c>
      <c r="I246" t="str">
        <f>"111"</f>
        <v>111</v>
      </c>
      <c r="J246" t="str">
        <f>"证券卖出(太空板业)"</f>
        <v>证券卖出(太空板业)</v>
      </c>
      <c r="K246" t="str">
        <f>"5.00"</f>
        <v>5.00</v>
      </c>
      <c r="L246" t="str">
        <f>"5.84"</f>
        <v>5.84</v>
      </c>
      <c r="M246" t="str">
        <f>"0.00"</f>
        <v>0.00</v>
      </c>
      <c r="N246" t="str">
        <f>"0.00"</f>
        <v>0.00</v>
      </c>
      <c r="O246" t="str">
        <f>"300344"</f>
        <v>300344</v>
      </c>
      <c r="P246" t="str">
        <f>"0153613480"</f>
        <v>0153613480</v>
      </c>
    </row>
    <row r="247" spans="1:16" x14ac:dyDescent="0.25">
      <c r="A247" t="str">
        <f t="shared" si="81"/>
        <v>人民币</v>
      </c>
      <c r="B247" t="str">
        <f>""</f>
        <v/>
      </c>
      <c r="C247" t="str">
        <f>"20170828"</f>
        <v>20170828</v>
      </c>
      <c r="D247" t="str">
        <f>"---"</f>
        <v>---</v>
      </c>
      <c r="E247" t="str">
        <f>"---"</f>
        <v>---</v>
      </c>
      <c r="F247" t="str">
        <f>"-10000.00"</f>
        <v>-10000.00</v>
      </c>
      <c r="G247" t="str">
        <f>"505.28"</f>
        <v>505.28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95">"---"</f>
        <v>---</v>
      </c>
      <c r="L247" t="str">
        <f t="shared" si="95"/>
        <v>---</v>
      </c>
      <c r="M247" t="str">
        <f t="shared" si="95"/>
        <v>---</v>
      </c>
      <c r="N247" t="str">
        <f t="shared" si="95"/>
        <v>---</v>
      </c>
      <c r="O247" t="str">
        <f t="shared" si="95"/>
        <v>---</v>
      </c>
      <c r="P247" t="str">
        <f t="shared" si="95"/>
        <v>---</v>
      </c>
    </row>
    <row r="248" spans="1:16" x14ac:dyDescent="0.25">
      <c r="A248" t="str">
        <f t="shared" si="81"/>
        <v>人民币</v>
      </c>
      <c r="B248" t="str">
        <f>"兆丰股份"</f>
        <v>兆丰股份</v>
      </c>
      <c r="C248" t="str">
        <f>"20170828"</f>
        <v>20170828</v>
      </c>
      <c r="D248" t="str">
        <f>"0.000"</f>
        <v>0.000</v>
      </c>
      <c r="E248" t="str">
        <f>"5.00"</f>
        <v>5.00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"117"</f>
        <v>117</v>
      </c>
      <c r="J248" t="str">
        <f>"申购配号(兆丰股份)"</f>
        <v>申购配号(兆丰股份)</v>
      </c>
      <c r="K248" t="str">
        <f t="shared" ref="K248:N251" si="96">"0.00"</f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"300695"</f>
        <v>300695</v>
      </c>
      <c r="P248" t="str">
        <f>"0153613480"</f>
        <v>0153613480</v>
      </c>
    </row>
    <row r="249" spans="1:16" x14ac:dyDescent="0.25">
      <c r="A249" t="str">
        <f t="shared" si="81"/>
        <v>人民币</v>
      </c>
      <c r="B249" t="str">
        <f>"金域配号"</f>
        <v>金域配号</v>
      </c>
      <c r="C249" t="str">
        <f>"20170829"</f>
        <v>20170829</v>
      </c>
      <c r="D249" t="str">
        <f>"0.000"</f>
        <v>0.000</v>
      </c>
      <c r="E249" t="str">
        <f>"1.00"</f>
        <v>1.00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"121"</f>
        <v>121</v>
      </c>
      <c r="J249" t="str">
        <f>"申购配号(金域配号)"</f>
        <v>申购配号(金域配号)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"736882"</f>
        <v>736882</v>
      </c>
      <c r="P249" t="str">
        <f>"A400948245"</f>
        <v>A400948245</v>
      </c>
    </row>
    <row r="250" spans="1:16" x14ac:dyDescent="0.25">
      <c r="A250" t="str">
        <f t="shared" si="81"/>
        <v>人民币</v>
      </c>
      <c r="B250" t="str">
        <f>"意华股份"</f>
        <v>意华股份</v>
      </c>
      <c r="C250" t="str">
        <f>"20170829"</f>
        <v>20170829</v>
      </c>
      <c r="D250" t="str">
        <f>"0.000"</f>
        <v>0.000</v>
      </c>
      <c r="E250" t="str">
        <f>"5.00"</f>
        <v>5.00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"123"</f>
        <v>123</v>
      </c>
      <c r="J250" t="str">
        <f>"申购配号(意华股份)"</f>
        <v>申购配号(意华股份)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"002897"</f>
        <v>002897</v>
      </c>
      <c r="P250" t="str">
        <f>"0153613480"</f>
        <v>0153613480</v>
      </c>
    </row>
    <row r="251" spans="1:16" x14ac:dyDescent="0.25">
      <c r="A251" t="str">
        <f t="shared" si="81"/>
        <v>人民币</v>
      </c>
      <c r="B251" t="str">
        <f>"银都配号"</f>
        <v>银都配号</v>
      </c>
      <c r="C251" t="str">
        <f t="shared" ref="C251:C257" si="97">"20170830"</f>
        <v>20170830</v>
      </c>
      <c r="D251" t="str">
        <f>"0.000"</f>
        <v>0.000</v>
      </c>
      <c r="E251" t="str">
        <f>"1.00"</f>
        <v>1.00</v>
      </c>
      <c r="F251" t="str">
        <f>"0.00"</f>
        <v>0.00</v>
      </c>
      <c r="G251" t="str">
        <f>"505.28"</f>
        <v>505.28</v>
      </c>
      <c r="H251" t="str">
        <f>"0.00"</f>
        <v>0.00</v>
      </c>
      <c r="I251" t="str">
        <f>"127"</f>
        <v>127</v>
      </c>
      <c r="J251" t="str">
        <f>"申购配号(银都配号)"</f>
        <v>申购配号(银都配号)</v>
      </c>
      <c r="K251" t="str">
        <f t="shared" si="96"/>
        <v>0.00</v>
      </c>
      <c r="L251" t="str">
        <f t="shared" si="96"/>
        <v>0.00</v>
      </c>
      <c r="M251" t="str">
        <f t="shared" si="96"/>
        <v>0.00</v>
      </c>
      <c r="N251" t="str">
        <f t="shared" si="96"/>
        <v>0.00</v>
      </c>
      <c r="O251" t="str">
        <f>"736277"</f>
        <v>736277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"-300.00"</f>
        <v>-300.00</v>
      </c>
      <c r="F252" t="str">
        <f>"5958.91"</f>
        <v>5958.91</v>
      </c>
      <c r="G252" t="str">
        <f>"6464.19"</f>
        <v>6464.19</v>
      </c>
      <c r="H252" t="str">
        <f>"400.00"</f>
        <v>400.00</v>
      </c>
      <c r="I252" t="str">
        <f>"131"</f>
        <v>131</v>
      </c>
      <c r="J252" t="str">
        <f>"证券卖出(银龙股份)"</f>
        <v>证券卖出(银龙股份)</v>
      </c>
      <c r="K252" t="str">
        <f>"5.00"</f>
        <v>5.00</v>
      </c>
      <c r="L252" t="str">
        <f>"5.97"</f>
        <v>5.97</v>
      </c>
      <c r="M252" t="str">
        <f>"0.12"</f>
        <v>0.12</v>
      </c>
      <c r="N252" t="str">
        <f t="shared" ref="N252:N257" si="98">"0.00"</f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"19.900"</f>
        <v>19.900</v>
      </c>
      <c r="E253" t="str">
        <f>"-200.00"</f>
        <v>-200.00</v>
      </c>
      <c r="F253" t="str">
        <f>"3970.94"</f>
        <v>3970.94</v>
      </c>
      <c r="G253" t="str">
        <f>"10435.13"</f>
        <v>10435.13</v>
      </c>
      <c r="H253" t="str">
        <f>"200.00"</f>
        <v>200.00</v>
      </c>
      <c r="I253" t="str">
        <f>"136"</f>
        <v>136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"银龙股份"</f>
        <v>银龙股份</v>
      </c>
      <c r="C254" t="str">
        <f t="shared" si="97"/>
        <v>20170830</v>
      </c>
      <c r="D254" t="str">
        <f>"19.910"</f>
        <v>19.910</v>
      </c>
      <c r="E254" t="str">
        <f>"-200.00"</f>
        <v>-200.00</v>
      </c>
      <c r="F254" t="str">
        <f>"3972.94"</f>
        <v>3972.94</v>
      </c>
      <c r="G254" t="str">
        <f>"14408.07"</f>
        <v>14408.07</v>
      </c>
      <c r="H254" t="str">
        <f>"0.00"</f>
        <v>0.00</v>
      </c>
      <c r="I254" t="str">
        <f>"140"</f>
        <v>140</v>
      </c>
      <c r="J254" t="str">
        <f>"证券卖出(银龙股份)"</f>
        <v>证券卖出(银龙股份)</v>
      </c>
      <c r="K254" t="str">
        <f>"5.00"</f>
        <v>5.00</v>
      </c>
      <c r="L254" t="str">
        <f>"3.98"</f>
        <v>3.98</v>
      </c>
      <c r="M254" t="str">
        <f>"0.08"</f>
        <v>0.08</v>
      </c>
      <c r="N254" t="str">
        <f t="shared" si="98"/>
        <v>0.00</v>
      </c>
      <c r="O254" t="str">
        <f>"603969"</f>
        <v>603969</v>
      </c>
      <c r="P254" t="str">
        <f>"A400948245"</f>
        <v>A400948245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"21.810"</f>
        <v>21.810</v>
      </c>
      <c r="E255" t="str">
        <f>"200.00"</f>
        <v>200.00</v>
      </c>
      <c r="F255" t="str">
        <f>"-4367.00"</f>
        <v>-4367.00</v>
      </c>
      <c r="G255" t="str">
        <f>"10041.07"</f>
        <v>10041.07</v>
      </c>
      <c r="H255" t="str">
        <f>"200.00"</f>
        <v>200.00</v>
      </c>
      <c r="I255" t="str">
        <f>"143"</f>
        <v>143</v>
      </c>
      <c r="J255" t="str">
        <f>"证券买入(西部建设)"</f>
        <v>证券买入(西部建设)</v>
      </c>
      <c r="K255" t="str">
        <f>"5.00"</f>
        <v>5.00</v>
      </c>
      <c r="L255" t="str">
        <f t="shared" ref="L255:M257" si="99">"0.00"</f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"西部建设"</f>
        <v>西部建设</v>
      </c>
      <c r="C256" t="str">
        <f t="shared" si="97"/>
        <v>20170830</v>
      </c>
      <c r="D256" t="str">
        <f>"21.760"</f>
        <v>21.760</v>
      </c>
      <c r="E256" t="str">
        <f>"200.00"</f>
        <v>200.00</v>
      </c>
      <c r="F256" t="str">
        <f>"-4357.00"</f>
        <v>-4357.00</v>
      </c>
      <c r="G256" t="str">
        <f>"5684.07"</f>
        <v>5684.07</v>
      </c>
      <c r="H256" t="str">
        <f>"400.00"</f>
        <v>400.00</v>
      </c>
      <c r="I256" t="str">
        <f>"146"</f>
        <v>146</v>
      </c>
      <c r="J256" t="str">
        <f>"证券买入(西部建设)"</f>
        <v>证券买入(西部建设)</v>
      </c>
      <c r="K256" t="str">
        <f>"5.00"</f>
        <v>5.00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"002302"</f>
        <v>002302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"赛隆药业"</f>
        <v>赛隆药业</v>
      </c>
      <c r="C257" t="str">
        <f t="shared" si="97"/>
        <v>20170830</v>
      </c>
      <c r="D257" t="str">
        <f>"0.000"</f>
        <v>0.000</v>
      </c>
      <c r="E257" t="str">
        <f>"5.00"</f>
        <v>5.00</v>
      </c>
      <c r="F257" t="str">
        <f>"0.00"</f>
        <v>0.00</v>
      </c>
      <c r="G257" t="str">
        <f>"5684.07"</f>
        <v>5684.07</v>
      </c>
      <c r="H257" t="str">
        <f>"0.00"</f>
        <v>0.00</v>
      </c>
      <c r="I257" t="str">
        <f>"129"</f>
        <v>129</v>
      </c>
      <c r="J257" t="str">
        <f>"申购配号(赛隆药业)"</f>
        <v>申购配号(赛隆药业)</v>
      </c>
      <c r="K257" t="str">
        <f>"0.00"</f>
        <v>0.00</v>
      </c>
      <c r="L257" t="str">
        <f t="shared" si="99"/>
        <v>0.00</v>
      </c>
      <c r="M257" t="str">
        <f t="shared" si="99"/>
        <v>0.00</v>
      </c>
      <c r="N257" t="str">
        <f t="shared" si="98"/>
        <v>0.00</v>
      </c>
      <c r="O257" t="str">
        <f>"002898"</f>
        <v>002898</v>
      </c>
      <c r="P257" t="str">
        <f>"0153613480"</f>
        <v>0153613480</v>
      </c>
    </row>
    <row r="258" spans="1:16" x14ac:dyDescent="0.25">
      <c r="A258" t="str">
        <f t="shared" si="81"/>
        <v>人民币</v>
      </c>
      <c r="B258" t="str">
        <f>""</f>
        <v/>
      </c>
      <c r="C258" t="str">
        <f>"20170901"</f>
        <v>20170901</v>
      </c>
      <c r="D258" t="str">
        <f>"---"</f>
        <v>---</v>
      </c>
      <c r="E258" t="str">
        <f>"---"</f>
        <v>---</v>
      </c>
      <c r="F258" t="str">
        <f>"-1356.00"</f>
        <v>-1356.00</v>
      </c>
      <c r="G258" t="str">
        <f>"4328.07"</f>
        <v>4328.07</v>
      </c>
      <c r="H258" t="str">
        <f>"---"</f>
        <v>---</v>
      </c>
      <c r="I258" t="str">
        <f>"---"</f>
        <v>---</v>
      </c>
      <c r="J258" t="str">
        <f>"银行转取"</f>
        <v>银行转取</v>
      </c>
      <c r="K258" t="str">
        <f t="shared" ref="K258:P258" si="100">"---"</f>
        <v>---</v>
      </c>
      <c r="L258" t="str">
        <f t="shared" si="100"/>
        <v>---</v>
      </c>
      <c r="M258" t="str">
        <f t="shared" si="100"/>
        <v>---</v>
      </c>
      <c r="N258" t="str">
        <f t="shared" si="100"/>
        <v>---</v>
      </c>
      <c r="O258" t="str">
        <f t="shared" si="100"/>
        <v>---</v>
      </c>
      <c r="P258" t="str">
        <f t="shared" si="100"/>
        <v>---</v>
      </c>
    </row>
    <row r="259" spans="1:16" x14ac:dyDescent="0.25">
      <c r="A259" t="str">
        <f t="shared" ref="A259:A322" si="101">"人民币"</f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"1.00"</f>
        <v>1.00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"156"</f>
        <v>156</v>
      </c>
      <c r="J259" t="str">
        <f>"申购配号(畅联配号)"</f>
        <v>申购配号(畅联配号)</v>
      </c>
      <c r="K259" t="str">
        <f t="shared" ref="K259:N260" si="102">"0.00"</f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"畅联配号"</f>
        <v>畅联配号</v>
      </c>
      <c r="C260" t="str">
        <f>"20170901"</f>
        <v>20170901</v>
      </c>
      <c r="D260" t="str">
        <f>"0.000"</f>
        <v>0.000</v>
      </c>
      <c r="E260" t="str">
        <f>"0.00"</f>
        <v>0.00</v>
      </c>
      <c r="F260" t="str">
        <f>"0.00"</f>
        <v>0.00</v>
      </c>
      <c r="G260" t="str">
        <f>"4328.07"</f>
        <v>4328.07</v>
      </c>
      <c r="H260" t="str">
        <f>"0.00"</f>
        <v>0.00</v>
      </c>
      <c r="I260" t="str">
        <f>"158"</f>
        <v>158</v>
      </c>
      <c r="J260" t="str">
        <f>"申购配号(畅联配号)"</f>
        <v>申购配号(畅联配号)</v>
      </c>
      <c r="K260" t="str">
        <f t="shared" si="102"/>
        <v>0.00</v>
      </c>
      <c r="L260" t="str">
        <f t="shared" si="102"/>
        <v>0.00</v>
      </c>
      <c r="M260" t="str">
        <f t="shared" si="102"/>
        <v>0.00</v>
      </c>
      <c r="N260" t="str">
        <f t="shared" si="102"/>
        <v>0.00</v>
      </c>
      <c r="O260" t="str">
        <f>"736648"</f>
        <v>736648</v>
      </c>
      <c r="P260" t="str">
        <f>"A400948245"</f>
        <v>A400948245</v>
      </c>
    </row>
    <row r="261" spans="1:16" x14ac:dyDescent="0.25">
      <c r="A261" t="str">
        <f t="shared" si="101"/>
        <v>人民币</v>
      </c>
      <c r="B261" t="str">
        <f>"西部建设"</f>
        <v>西部建设</v>
      </c>
      <c r="C261" t="str">
        <f>"20170901"</f>
        <v>20170901</v>
      </c>
      <c r="D261" t="str">
        <f>"21.610"</f>
        <v>21.610</v>
      </c>
      <c r="E261" t="str">
        <f>"200.00"</f>
        <v>200.00</v>
      </c>
      <c r="F261" t="str">
        <f>"-4327.00"</f>
        <v>-4327.00</v>
      </c>
      <c r="G261" t="str">
        <f>"1.07"</f>
        <v>1.07</v>
      </c>
      <c r="H261" t="str">
        <f>"600.00"</f>
        <v>600.00</v>
      </c>
      <c r="I261" t="str">
        <f>"160"</f>
        <v>160</v>
      </c>
      <c r="J261" t="str">
        <f>"证券买入(西部建设)"</f>
        <v>证券买入(西部建设)</v>
      </c>
      <c r="K261" t="str">
        <f>"5.00"</f>
        <v>5.00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"002302"</f>
        <v>002302</v>
      </c>
      <c r="P261" t="str">
        <f>"0153613480"</f>
        <v>0153613480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"9486.38"</f>
        <v>9486.38</v>
      </c>
      <c r="H262" t="str">
        <f>"500.00"</f>
        <v>500.00</v>
      </c>
      <c r="I262" t="str">
        <f>"167"</f>
        <v>167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ref="N262:N296" si="103">"0.00"</f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"北方稀土"</f>
        <v>北方稀土</v>
      </c>
      <c r="C263" t="str">
        <f>"20170904"</f>
        <v>20170904</v>
      </c>
      <c r="D263" t="str">
        <f>"19.000"</f>
        <v>19.000</v>
      </c>
      <c r="E263" t="str">
        <f>"-500.00"</f>
        <v>-500.00</v>
      </c>
      <c r="F263" t="str">
        <f>"9485.31"</f>
        <v>9485.31</v>
      </c>
      <c r="G263" t="str">
        <f>"18971.69"</f>
        <v>18971.69</v>
      </c>
      <c r="H263" t="str">
        <f>"0.00"</f>
        <v>0.00</v>
      </c>
      <c r="I263" t="str">
        <f>"170"</f>
        <v>170</v>
      </c>
      <c r="J263" t="str">
        <f>"证券卖出(北方稀土)"</f>
        <v>证券卖出(北方稀土)</v>
      </c>
      <c r="K263" t="str">
        <f>"5.00"</f>
        <v>5.00</v>
      </c>
      <c r="L263" t="str">
        <f>"9.50"</f>
        <v>9.50</v>
      </c>
      <c r="M263" t="str">
        <f>"0.19"</f>
        <v>0.19</v>
      </c>
      <c r="N263" t="str">
        <f t="shared" si="103"/>
        <v>0.00</v>
      </c>
      <c r="O263" t="str">
        <f>"600111"</f>
        <v>600111</v>
      </c>
      <c r="P263" t="str">
        <f>"A400948245"</f>
        <v>A400948245</v>
      </c>
    </row>
    <row r="264" spans="1:16" x14ac:dyDescent="0.25">
      <c r="A264" t="str">
        <f t="shared" si="101"/>
        <v>人民币</v>
      </c>
      <c r="B264" t="str">
        <f>"森霸股份"</f>
        <v>森霸股份</v>
      </c>
      <c r="C264" t="str">
        <f>"20170904"</f>
        <v>20170904</v>
      </c>
      <c r="D264" t="str">
        <f>"0.000"</f>
        <v>0.000</v>
      </c>
      <c r="E264" t="str">
        <f>"5.00"</f>
        <v>5.00</v>
      </c>
      <c r="F264" t="str">
        <f>"0.00"</f>
        <v>0.00</v>
      </c>
      <c r="G264" t="str">
        <f>"18971.69"</f>
        <v>18971.69</v>
      </c>
      <c r="H264" t="str">
        <f>"0.00"</f>
        <v>0.00</v>
      </c>
      <c r="I264" t="str">
        <f>"173"</f>
        <v>173</v>
      </c>
      <c r="J264" t="str">
        <f>"申购配号(森霸股份)"</f>
        <v>申购配号(森霸股份)</v>
      </c>
      <c r="K264" t="str">
        <f>"0.00"</f>
        <v>0.00</v>
      </c>
      <c r="L264" t="str">
        <f>"0.00"</f>
        <v>0.00</v>
      </c>
      <c r="M264" t="str">
        <f>"0.00"</f>
        <v>0.00</v>
      </c>
      <c r="N264" t="str">
        <f t="shared" si="103"/>
        <v>0.00</v>
      </c>
      <c r="O264" t="str">
        <f>"300701"</f>
        <v>300701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"初灵信息"</f>
        <v>初灵信息</v>
      </c>
      <c r="C265" t="str">
        <f>"20170905"</f>
        <v>20170905</v>
      </c>
      <c r="D265" t="str">
        <f>"17.650"</f>
        <v>17.650</v>
      </c>
      <c r="E265" t="str">
        <f>"400.00"</f>
        <v>400.00</v>
      </c>
      <c r="F265" t="str">
        <f>"-7065.00"</f>
        <v>-7065.00</v>
      </c>
      <c r="G265" t="str">
        <f>"11906.69"</f>
        <v>11906.69</v>
      </c>
      <c r="H265" t="str">
        <f>"400.00"</f>
        <v>400.00</v>
      </c>
      <c r="I265" t="str">
        <f>"180"</f>
        <v>180</v>
      </c>
      <c r="J265" t="str">
        <f>"证券买入(初灵信息)"</f>
        <v>证券买入(初灵信息)</v>
      </c>
      <c r="K265" t="str">
        <f>"5.00"</f>
        <v>5.00</v>
      </c>
      <c r="L265" t="str">
        <f t="shared" ref="L265:M269" si="104">"0.00"</f>
        <v>0.00</v>
      </c>
      <c r="M265" t="str">
        <f t="shared" si="104"/>
        <v>0.00</v>
      </c>
      <c r="N265" t="str">
        <f t="shared" si="103"/>
        <v>0.00</v>
      </c>
      <c r="O265" t="str">
        <f>"300250"</f>
        <v>300250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"西部建设"</f>
        <v>西部建设</v>
      </c>
      <c r="C266" t="str">
        <f>"20170905"</f>
        <v>20170905</v>
      </c>
      <c r="D266" t="str">
        <f>"21.400"</f>
        <v>21.400</v>
      </c>
      <c r="E266" t="str">
        <f>"200.00"</f>
        <v>200.00</v>
      </c>
      <c r="F266" t="str">
        <f>"-4285.00"</f>
        <v>-4285.00</v>
      </c>
      <c r="G266" t="str">
        <f>"7621.69"</f>
        <v>7621.69</v>
      </c>
      <c r="H266" t="str">
        <f>"800.00"</f>
        <v>800.00</v>
      </c>
      <c r="I266" t="str">
        <f>"185"</f>
        <v>185</v>
      </c>
      <c r="J266" t="str">
        <f>"证券买入(西部建设)"</f>
        <v>证券买入(西部建设)</v>
      </c>
      <c r="K266" t="str">
        <f>"5.00"</f>
        <v>5.00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"002302"</f>
        <v>002302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"英派斯"</f>
        <v>英派斯</v>
      </c>
      <c r="C267" t="str">
        <f>"20170905"</f>
        <v>20170905</v>
      </c>
      <c r="D267" t="str">
        <f>"0.000"</f>
        <v>0.000</v>
      </c>
      <c r="E267" t="str">
        <f>"5.00"</f>
        <v>5.00</v>
      </c>
      <c r="F267" t="str">
        <f>"0.00"</f>
        <v>0.00</v>
      </c>
      <c r="G267" t="str">
        <f>"7621.69"</f>
        <v>7621.69</v>
      </c>
      <c r="H267" t="str">
        <f t="shared" ref="H267:H272" si="105">"0.00"</f>
        <v>0.00</v>
      </c>
      <c r="I267" t="str">
        <f>"178"</f>
        <v>178</v>
      </c>
      <c r="J267" t="str">
        <f>"申购配号(英派斯)"</f>
        <v>申购配号(英派斯)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"002899"</f>
        <v>002899</v>
      </c>
      <c r="P267" t="str">
        <f>"0153613480"</f>
        <v>0153613480</v>
      </c>
    </row>
    <row r="268" spans="1:16" x14ac:dyDescent="0.25">
      <c r="A268" t="str">
        <f t="shared" si="101"/>
        <v>人民币</v>
      </c>
      <c r="B268" t="str">
        <f>"原尚配号"</f>
        <v>原尚配号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"193"</f>
        <v>193</v>
      </c>
      <c r="J268" t="str">
        <f>"申购配号(原尚配号)"</f>
        <v>申购配号(原尚配号)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"736813"</f>
        <v>736813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"梅轮配号"</f>
        <v>梅轮配号</v>
      </c>
      <c r="C269" t="str">
        <f>"20170906"</f>
        <v>20170906</v>
      </c>
      <c r="D269" t="str">
        <f>"0.000"</f>
        <v>0.000</v>
      </c>
      <c r="E269" t="str">
        <f>"1.00"</f>
        <v>1.00</v>
      </c>
      <c r="F269" t="str">
        <f>"0.00"</f>
        <v>0.00</v>
      </c>
      <c r="G269" t="str">
        <f>"7621.69"</f>
        <v>7621.69</v>
      </c>
      <c r="H269" t="str">
        <f t="shared" si="105"/>
        <v>0.00</v>
      </c>
      <c r="I269" t="str">
        <f>"191"</f>
        <v>191</v>
      </c>
      <c r="J269" t="str">
        <f>"申购配号(梅轮配号)"</f>
        <v>申购配号(梅轮配号)</v>
      </c>
      <c r="K269" t="str">
        <f>"0.00"</f>
        <v>0.00</v>
      </c>
      <c r="L269" t="str">
        <f t="shared" si="104"/>
        <v>0.00</v>
      </c>
      <c r="M269" t="str">
        <f t="shared" si="104"/>
        <v>0.00</v>
      </c>
      <c r="N269" t="str">
        <f t="shared" si="103"/>
        <v>0.00</v>
      </c>
      <c r="O269" t="str">
        <f>"736321"</f>
        <v>736321</v>
      </c>
      <c r="P269" t="str">
        <f>"A400948245"</f>
        <v>A400948245</v>
      </c>
    </row>
    <row r="270" spans="1:16" x14ac:dyDescent="0.25">
      <c r="A270" t="str">
        <f t="shared" si="101"/>
        <v>人民币</v>
      </c>
      <c r="B270" t="str">
        <f>"初灵信息"</f>
        <v>初灵信息</v>
      </c>
      <c r="C270" t="str">
        <f>"20170906"</f>
        <v>20170906</v>
      </c>
      <c r="D270" t="str">
        <f>"17.970"</f>
        <v>17.970</v>
      </c>
      <c r="E270" t="str">
        <f>"-400.00"</f>
        <v>-400.00</v>
      </c>
      <c r="F270" t="str">
        <f>"7175.81"</f>
        <v>7175.81</v>
      </c>
      <c r="G270" t="str">
        <f>"14797.50"</f>
        <v>14797.50</v>
      </c>
      <c r="H270" t="str">
        <f t="shared" si="105"/>
        <v>0.00</v>
      </c>
      <c r="I270" t="str">
        <f>"197"</f>
        <v>197</v>
      </c>
      <c r="J270" t="str">
        <f>"证券卖出(初灵信息)"</f>
        <v>证券卖出(初灵信息)</v>
      </c>
      <c r="K270" t="str">
        <f>"5.00"</f>
        <v>5.00</v>
      </c>
      <c r="L270" t="str">
        <f>"7.19"</f>
        <v>7.19</v>
      </c>
      <c r="M270" t="str">
        <f>"0.00"</f>
        <v>0.00</v>
      </c>
      <c r="N270" t="str">
        <f t="shared" si="103"/>
        <v>0.00</v>
      </c>
      <c r="O270" t="str">
        <f>"300250"</f>
        <v>300250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"华通热力"</f>
        <v>华通热力</v>
      </c>
      <c r="C271" t="str">
        <f>"20170906"</f>
        <v>20170906</v>
      </c>
      <c r="D271" t="str">
        <f>"0.000"</f>
        <v>0.000</v>
      </c>
      <c r="E271" t="str">
        <f>"5.00"</f>
        <v>5.00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"195"</f>
        <v>195</v>
      </c>
      <c r="J271" t="str">
        <f>"申购配号(华通热力)"</f>
        <v>申购配号(华通热力)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"002893"</f>
        <v>002893</v>
      </c>
      <c r="P271" t="str">
        <f>"0153613480"</f>
        <v>0153613480</v>
      </c>
    </row>
    <row r="272" spans="1:16" x14ac:dyDescent="0.25">
      <c r="A272" t="str">
        <f t="shared" si="101"/>
        <v>人民币</v>
      </c>
      <c r="B272" t="str">
        <f>"掌阅配号"</f>
        <v>掌阅配号</v>
      </c>
      <c r="C272" t="str">
        <f>"20170907"</f>
        <v>20170907</v>
      </c>
      <c r="D272" t="str">
        <f>"0.000"</f>
        <v>0.000</v>
      </c>
      <c r="E272" t="str">
        <f>"1.00"</f>
        <v>1.00</v>
      </c>
      <c r="F272" t="str">
        <f>"0.00"</f>
        <v>0.00</v>
      </c>
      <c r="G272" t="str">
        <f>"14797.50"</f>
        <v>14797.50</v>
      </c>
      <c r="H272" t="str">
        <f t="shared" si="105"/>
        <v>0.00</v>
      </c>
      <c r="I272" t="str">
        <f>"204"</f>
        <v>204</v>
      </c>
      <c r="J272" t="str">
        <f>"申购配号(掌阅配号)"</f>
        <v>申购配号(掌阅配号)</v>
      </c>
      <c r="K272" t="str">
        <f>"0.00"</f>
        <v>0.00</v>
      </c>
      <c r="L272" t="str">
        <f>"0.00"</f>
        <v>0.00</v>
      </c>
      <c r="M272" t="str">
        <f>"0.00"</f>
        <v>0.00</v>
      </c>
      <c r="N272" t="str">
        <f t="shared" si="103"/>
        <v>0.00</v>
      </c>
      <c r="O272" t="str">
        <f>"736533"</f>
        <v>736533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"方大特钢"</f>
        <v>方大特钢</v>
      </c>
      <c r="C273" t="str">
        <f>"20170907"</f>
        <v>20170907</v>
      </c>
      <c r="D273" t="str">
        <f>"14.350"</f>
        <v>14.350</v>
      </c>
      <c r="E273" t="str">
        <f>"400.00"</f>
        <v>400.00</v>
      </c>
      <c r="F273" t="str">
        <f>"-5745.11"</f>
        <v>-5745.11</v>
      </c>
      <c r="G273" t="str">
        <f>"9052.39"</f>
        <v>9052.39</v>
      </c>
      <c r="H273" t="str">
        <f>"400.00"</f>
        <v>400.00</v>
      </c>
      <c r="I273" t="str">
        <f>"208"</f>
        <v>208</v>
      </c>
      <c r="J273" t="str">
        <f>"证券买入(方大特钢)"</f>
        <v>证券买入(方大特钢)</v>
      </c>
      <c r="K273" t="str">
        <f>"5.00"</f>
        <v>5.00</v>
      </c>
      <c r="L273" t="str">
        <f>"0.00"</f>
        <v>0.00</v>
      </c>
      <c r="M273" t="str">
        <f>"0.11"</f>
        <v>0.11</v>
      </c>
      <c r="N273" t="str">
        <f t="shared" si="103"/>
        <v>0.00</v>
      </c>
      <c r="O273" t="str">
        <f>"600507"</f>
        <v>600507</v>
      </c>
      <c r="P273" t="str">
        <f>"A400948245"</f>
        <v>A400948245</v>
      </c>
    </row>
    <row r="274" spans="1:16" x14ac:dyDescent="0.25">
      <c r="A274" t="str">
        <f t="shared" si="101"/>
        <v>人民币</v>
      </c>
      <c r="B274" t="str">
        <f>"西部建设"</f>
        <v>西部建设</v>
      </c>
      <c r="C274" t="str">
        <f>"20170907"</f>
        <v>20170907</v>
      </c>
      <c r="D274" t="str">
        <f>"21.390"</f>
        <v>21.390</v>
      </c>
      <c r="E274" t="str">
        <f>"200.00"</f>
        <v>200.00</v>
      </c>
      <c r="F274" t="str">
        <f>"-4283.00"</f>
        <v>-4283.00</v>
      </c>
      <c r="G274" t="str">
        <f>"4769.39"</f>
        <v>4769.39</v>
      </c>
      <c r="H274" t="str">
        <f>"1000.00"</f>
        <v>1000.00</v>
      </c>
      <c r="I274" t="str">
        <f>"211"</f>
        <v>211</v>
      </c>
      <c r="J274" t="str">
        <f>"证券买入(西部建设)"</f>
        <v>证券买入(西部建设)</v>
      </c>
      <c r="K274" t="str">
        <f>"5.00"</f>
        <v>5.00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"002302"</f>
        <v>002302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"天宇股份"</f>
        <v>天宇股份</v>
      </c>
      <c r="C275" t="str">
        <f>"20170907"</f>
        <v>20170907</v>
      </c>
      <c r="D275" t="str">
        <f>"0.000"</f>
        <v>0.000</v>
      </c>
      <c r="E275" t="str">
        <f>"5.00"</f>
        <v>5.00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"206"</f>
        <v>206</v>
      </c>
      <c r="J275" t="str">
        <f>"申购配号(天宇股份)"</f>
        <v>申购配号(天宇股份)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"300702"</f>
        <v>300702</v>
      </c>
      <c r="P275" t="str">
        <f>"0153613480"</f>
        <v>0153613480</v>
      </c>
    </row>
    <row r="276" spans="1:16" x14ac:dyDescent="0.25">
      <c r="A276" t="str">
        <f t="shared" si="101"/>
        <v>人民币</v>
      </c>
      <c r="B276" t="str">
        <f>"恒银配号"</f>
        <v>恒银配号</v>
      </c>
      <c r="C276" t="str">
        <f t="shared" ref="C276:C287" si="106">"20170908"</f>
        <v>20170908</v>
      </c>
      <c r="D276" t="str">
        <f>"0.000"</f>
        <v>0.000</v>
      </c>
      <c r="E276" t="str">
        <f>"1.00"</f>
        <v>1.00</v>
      </c>
      <c r="F276" t="str">
        <f>"0.00"</f>
        <v>0.00</v>
      </c>
      <c r="G276" t="str">
        <f>"4769.39"</f>
        <v>4769.39</v>
      </c>
      <c r="H276" t="str">
        <f>"0.00"</f>
        <v>0.00</v>
      </c>
      <c r="I276" t="str">
        <f>"220"</f>
        <v>220</v>
      </c>
      <c r="J276" t="str">
        <f>"申购配号(恒银配号)"</f>
        <v>申购配号(恒银配号)</v>
      </c>
      <c r="K276" t="str">
        <f>"0.00"</f>
        <v>0.00</v>
      </c>
      <c r="L276" t="str">
        <f>"0.00"</f>
        <v>0.00</v>
      </c>
      <c r="M276" t="str">
        <f>"0.00"</f>
        <v>0.00</v>
      </c>
      <c r="N276" t="str">
        <f t="shared" si="103"/>
        <v>0.00</v>
      </c>
      <c r="O276" t="str">
        <f>"736106"</f>
        <v>736106</v>
      </c>
      <c r="P276" t="str">
        <f t="shared" ref="P276:P286" si="107">"A400948245"</f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"7781.31"</f>
        <v>7781.31</v>
      </c>
      <c r="H277" t="str">
        <f>"200.00"</f>
        <v>200.00</v>
      </c>
      <c r="I277" t="str">
        <f>"237"</f>
        <v>237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"方大特钢"</f>
        <v>方大特钢</v>
      </c>
      <c r="C278" t="str">
        <f t="shared" si="106"/>
        <v>20170908</v>
      </c>
      <c r="D278" t="str">
        <f>"15.100"</f>
        <v>15.100</v>
      </c>
      <c r="E278" t="str">
        <f>"-200.00"</f>
        <v>-200.00</v>
      </c>
      <c r="F278" t="str">
        <f>"3011.92"</f>
        <v>3011.92</v>
      </c>
      <c r="G278" t="str">
        <f>"10793.23"</f>
        <v>10793.23</v>
      </c>
      <c r="H278" t="str">
        <f>"0.00"</f>
        <v>0.00</v>
      </c>
      <c r="I278" t="str">
        <f>"240"</f>
        <v>240</v>
      </c>
      <c r="J278" t="str">
        <f>"证券卖出(方大特钢)"</f>
        <v>证券卖出(方大特钢)</v>
      </c>
      <c r="K278" t="str">
        <f>"5.00"</f>
        <v>5.00</v>
      </c>
      <c r="L278" t="str">
        <f>"3.02"</f>
        <v>3.02</v>
      </c>
      <c r="M278" t="str">
        <f>"0.06"</f>
        <v>0.06</v>
      </c>
      <c r="N278" t="str">
        <f t="shared" si="103"/>
        <v>0.00</v>
      </c>
      <c r="O278" t="str">
        <f>"600507"</f>
        <v>600507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"25.890"</f>
        <v>25.890</v>
      </c>
      <c r="E279" t="str">
        <f>"200.00"</f>
        <v>200.00</v>
      </c>
      <c r="F279" t="str">
        <f>"-5183.10"</f>
        <v>-5183.10</v>
      </c>
      <c r="G279" t="str">
        <f>"5610.13"</f>
        <v>5610.13</v>
      </c>
      <c r="H279" t="str">
        <f>"200.00"</f>
        <v>200.00</v>
      </c>
      <c r="I279" t="str">
        <f>"243"</f>
        <v>243</v>
      </c>
      <c r="J279" t="str">
        <f>"证券买入(盛和资源)"</f>
        <v>证券买入(盛和资源)</v>
      </c>
      <c r="K279" t="str">
        <f>"5.00"</f>
        <v>5.00</v>
      </c>
      <c r="L279" t="str">
        <f t="shared" ref="L279:L287" si="108">"0.00"</f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>"盛和资源"</f>
        <v>盛和资源</v>
      </c>
      <c r="C280" t="str">
        <f t="shared" si="106"/>
        <v>20170908</v>
      </c>
      <c r="D280" t="str">
        <f>"25.650"</f>
        <v>25.650</v>
      </c>
      <c r="E280" t="str">
        <f>"200.00"</f>
        <v>200.00</v>
      </c>
      <c r="F280" t="str">
        <f>"-5135.10"</f>
        <v>-5135.10</v>
      </c>
      <c r="G280" t="str">
        <f t="shared" ref="G280:G287" si="109">"475.03"</f>
        <v>475.03</v>
      </c>
      <c r="H280" t="str">
        <f>"400.00"</f>
        <v>400.00</v>
      </c>
      <c r="I280" t="str">
        <f>"258"</f>
        <v>258</v>
      </c>
      <c r="J280" t="str">
        <f>"证券买入(盛和资源)"</f>
        <v>证券买入(盛和资源)</v>
      </c>
      <c r="K280" t="str">
        <f>"5.00"</f>
        <v>5.00</v>
      </c>
      <c r="L280" t="str">
        <f t="shared" si="108"/>
        <v>0.00</v>
      </c>
      <c r="M280" t="str">
        <f>"0.10"</f>
        <v>0.10</v>
      </c>
      <c r="N280" t="str">
        <f t="shared" si="103"/>
        <v>0.00</v>
      </c>
      <c r="O280" t="str">
        <f>"600392"</f>
        <v>600392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ref="B281:B286" si="110">"恒银配号"</f>
        <v>恒银配号</v>
      </c>
      <c r="C281" t="str">
        <f t="shared" si="106"/>
        <v>20170908</v>
      </c>
      <c r="D281" t="str">
        <f t="shared" ref="D281:D287" si="111">"0.000"</f>
        <v>0.000</v>
      </c>
      <c r="E281" t="str">
        <f t="shared" ref="E281:F286" si="112">"0.00"</f>
        <v>0.00</v>
      </c>
      <c r="F281" t="str">
        <f t="shared" si="112"/>
        <v>0.00</v>
      </c>
      <c r="G281" t="str">
        <f t="shared" si="109"/>
        <v>475.03</v>
      </c>
      <c r="H281" t="str">
        <f t="shared" ref="H281:H289" si="113">"0.00"</f>
        <v>0.00</v>
      </c>
      <c r="I281" t="str">
        <f>"224"</f>
        <v>224</v>
      </c>
      <c r="J281" t="str">
        <f t="shared" ref="J281:J286" si="114">"申购配号(恒银配号)"</f>
        <v>申购配号(恒银配号)</v>
      </c>
      <c r="K281" t="str">
        <f t="shared" ref="K281:K287" si="115">"0.00"</f>
        <v>0.00</v>
      </c>
      <c r="L281" t="str">
        <f t="shared" si="108"/>
        <v>0.00</v>
      </c>
      <c r="M281" t="str">
        <f t="shared" ref="M281:M287" si="116">"0.00"</f>
        <v>0.00</v>
      </c>
      <c r="N281" t="str">
        <f t="shared" si="103"/>
        <v>0.00</v>
      </c>
      <c r="O281" t="str">
        <f t="shared" ref="O281:O286" si="117">"736106"</f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"228"</f>
        <v>228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"232"</f>
        <v>232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"246"</f>
        <v>246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"250"</f>
        <v>250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 t="shared" si="110"/>
        <v>恒银配号</v>
      </c>
      <c r="C286" t="str">
        <f t="shared" si="106"/>
        <v>20170908</v>
      </c>
      <c r="D286" t="str">
        <f t="shared" si="111"/>
        <v>0.000</v>
      </c>
      <c r="E286" t="str">
        <f t="shared" si="112"/>
        <v>0.00</v>
      </c>
      <c r="F286" t="str">
        <f t="shared" si="112"/>
        <v>0.00</v>
      </c>
      <c r="G286" t="str">
        <f t="shared" si="109"/>
        <v>475.03</v>
      </c>
      <c r="H286" t="str">
        <f t="shared" si="113"/>
        <v>0.00</v>
      </c>
      <c r="I286" t="str">
        <f>"254"</f>
        <v>254</v>
      </c>
      <c r="J286" t="str">
        <f t="shared" si="114"/>
        <v>申购配号(恒银配号)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 t="shared" si="117"/>
        <v>736106</v>
      </c>
      <c r="P286" t="str">
        <f t="shared" si="107"/>
        <v>A400948245</v>
      </c>
    </row>
    <row r="287" spans="1:16" x14ac:dyDescent="0.25">
      <c r="A287" t="str">
        <f t="shared" si="101"/>
        <v>人民币</v>
      </c>
      <c r="B287" t="str">
        <f>"创源文化"</f>
        <v>创源文化</v>
      </c>
      <c r="C287" t="str">
        <f t="shared" si="106"/>
        <v>20170908</v>
      </c>
      <c r="D287" t="str">
        <f t="shared" si="111"/>
        <v>0.000</v>
      </c>
      <c r="E287" t="str">
        <f>"4.00"</f>
        <v>4.00</v>
      </c>
      <c r="F287" t="str">
        <f>"0.00"</f>
        <v>0.00</v>
      </c>
      <c r="G287" t="str">
        <f t="shared" si="109"/>
        <v>475.03</v>
      </c>
      <c r="H287" t="str">
        <f t="shared" si="113"/>
        <v>0.00</v>
      </c>
      <c r="I287" t="str">
        <f>"222"</f>
        <v>222</v>
      </c>
      <c r="J287" t="str">
        <f>"申购配号(创源文化)"</f>
        <v>申购配号(创源文化)</v>
      </c>
      <c r="K287" t="str">
        <f t="shared" si="115"/>
        <v>0.00</v>
      </c>
      <c r="L287" t="str">
        <f t="shared" si="108"/>
        <v>0.00</v>
      </c>
      <c r="M287" t="str">
        <f t="shared" si="116"/>
        <v>0.00</v>
      </c>
      <c r="N287" t="str">
        <f t="shared" si="103"/>
        <v>0.00</v>
      </c>
      <c r="O287" t="str">
        <f>"300703"</f>
        <v>300703</v>
      </c>
      <c r="P287" t="str">
        <f>"0153613480"</f>
        <v>0153613480</v>
      </c>
    </row>
    <row r="288" spans="1:16" x14ac:dyDescent="0.25">
      <c r="A288" t="str">
        <f t="shared" si="101"/>
        <v>人民币</v>
      </c>
      <c r="B288" t="str">
        <f>"盛和资源"</f>
        <v>盛和资源</v>
      </c>
      <c r="C288" t="str">
        <f>"20170912"</f>
        <v>20170912</v>
      </c>
      <c r="D288" t="str">
        <f>"26.890"</f>
        <v>26.890</v>
      </c>
      <c r="E288" t="str">
        <f>"-400.00"</f>
        <v>-400.00</v>
      </c>
      <c r="F288" t="str">
        <f>"10740.02"</f>
        <v>10740.02</v>
      </c>
      <c r="G288" t="str">
        <f>"11215.05"</f>
        <v>11215.05</v>
      </c>
      <c r="H288" t="str">
        <f t="shared" si="113"/>
        <v>0.00</v>
      </c>
      <c r="I288" t="str">
        <f>"273"</f>
        <v>273</v>
      </c>
      <c r="J288" t="str">
        <f>"证券卖出(盛和资源)"</f>
        <v>证券卖出(盛和资源)</v>
      </c>
      <c r="K288" t="str">
        <f>"5.00"</f>
        <v>5.00</v>
      </c>
      <c r="L288" t="str">
        <f>"10.76"</f>
        <v>10.76</v>
      </c>
      <c r="M288" t="str">
        <f>"0.22"</f>
        <v>0.22</v>
      </c>
      <c r="N288" t="str">
        <f t="shared" si="103"/>
        <v>0.00</v>
      </c>
      <c r="O288" t="str">
        <f>"600392"</f>
        <v>600392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"理药配号"</f>
        <v>理药配号</v>
      </c>
      <c r="C289" t="str">
        <f>"20170912"</f>
        <v>20170912</v>
      </c>
      <c r="D289" t="str">
        <f>"0.000"</f>
        <v>0.000</v>
      </c>
      <c r="E289" t="str">
        <f>"1.00"</f>
        <v>1.00</v>
      </c>
      <c r="F289" t="str">
        <f>"0.00"</f>
        <v>0.00</v>
      </c>
      <c r="G289" t="str">
        <f>"11215.05"</f>
        <v>11215.05</v>
      </c>
      <c r="H289" t="str">
        <f t="shared" si="113"/>
        <v>0.00</v>
      </c>
      <c r="I289" t="str">
        <f>"277"</f>
        <v>277</v>
      </c>
      <c r="J289" t="str">
        <f>"申购配号(理药配号)"</f>
        <v>申购配号(理药配号)</v>
      </c>
      <c r="K289" t="str">
        <f>"0.00"</f>
        <v>0.00</v>
      </c>
      <c r="L289" t="str">
        <f>"0.00"</f>
        <v>0.00</v>
      </c>
      <c r="M289" t="str">
        <f>"0.00"</f>
        <v>0.00</v>
      </c>
      <c r="N289" t="str">
        <f t="shared" si="103"/>
        <v>0.00</v>
      </c>
      <c r="O289" t="str">
        <f>"736963"</f>
        <v>736963</v>
      </c>
      <c r="P289" t="str">
        <f>"A400948245"</f>
        <v>A400948245</v>
      </c>
    </row>
    <row r="290" spans="1:16" x14ac:dyDescent="0.25">
      <c r="A290" t="str">
        <f t="shared" si="101"/>
        <v>人民币</v>
      </c>
      <c r="B290" t="str">
        <f>"西部建设"</f>
        <v>西部建设</v>
      </c>
      <c r="C290" t="str">
        <f>"20170912"</f>
        <v>20170912</v>
      </c>
      <c r="D290" t="str">
        <f>"20.810"</f>
        <v>20.810</v>
      </c>
      <c r="E290" t="str">
        <f>"300.00"</f>
        <v>300.00</v>
      </c>
      <c r="F290" t="str">
        <f>"-6248.00"</f>
        <v>-6248.00</v>
      </c>
      <c r="G290" t="str">
        <f>"4967.05"</f>
        <v>4967.05</v>
      </c>
      <c r="H290" t="str">
        <f>"1300.00"</f>
        <v>1300.00</v>
      </c>
      <c r="I290" t="str">
        <f>"281"</f>
        <v>281</v>
      </c>
      <c r="J290" t="str">
        <f>"证券买入(西部建设)"</f>
        <v>证券买入(西部建设)</v>
      </c>
      <c r="K290" t="str">
        <f>"5.00"</f>
        <v>5.00</v>
      </c>
      <c r="L290" t="str">
        <f t="shared" ref="L290:M296" si="118">"0.00"</f>
        <v>0.00</v>
      </c>
      <c r="M290" t="str">
        <f t="shared" si="118"/>
        <v>0.00</v>
      </c>
      <c r="N290" t="str">
        <f t="shared" si="103"/>
        <v>0.00</v>
      </c>
      <c r="O290" t="str">
        <f>"002302"</f>
        <v>002302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"哈三联"</f>
        <v>哈三联</v>
      </c>
      <c r="C291" t="str">
        <f>"20170912"</f>
        <v>20170912</v>
      </c>
      <c r="D291" t="str">
        <f>"0.000"</f>
        <v>0.000</v>
      </c>
      <c r="E291" t="str">
        <f>"4.00"</f>
        <v>4.00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"279"</f>
        <v>279</v>
      </c>
      <c r="J291" t="str">
        <f>"申购配号(哈三联)"</f>
        <v>申购配号(哈三联)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"002900"</f>
        <v>002900</v>
      </c>
      <c r="P291" t="str">
        <f>"0153613480"</f>
        <v>0153613480</v>
      </c>
    </row>
    <row r="292" spans="1:16" x14ac:dyDescent="0.25">
      <c r="A292" t="str">
        <f t="shared" si="101"/>
        <v>人民币</v>
      </c>
      <c r="B292" t="str">
        <f>"拉夏配号"</f>
        <v>拉夏配号</v>
      </c>
      <c r="C292" t="str">
        <f>"20170913"</f>
        <v>20170913</v>
      </c>
      <c r="D292" t="str">
        <f>"0.000"</f>
        <v>0.000</v>
      </c>
      <c r="E292" t="str">
        <f>"1.00"</f>
        <v>1.00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"288"</f>
        <v>288</v>
      </c>
      <c r="J292" t="str">
        <f>"申购配号(拉夏配号)"</f>
        <v>申购配号(拉夏配号)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"736157"</f>
        <v>736157</v>
      </c>
      <c r="P292" t="str">
        <f>"A400948245"</f>
        <v>A400948245</v>
      </c>
    </row>
    <row r="293" spans="1:16" x14ac:dyDescent="0.25">
      <c r="A293" t="str">
        <f t="shared" si="101"/>
        <v>人民币</v>
      </c>
      <c r="B293" t="str">
        <f>"大博医疗"</f>
        <v>大博医疗</v>
      </c>
      <c r="C293" t="str">
        <f>"20170913"</f>
        <v>20170913</v>
      </c>
      <c r="D293" t="str">
        <f>"0.000"</f>
        <v>0.000</v>
      </c>
      <c r="E293" t="str">
        <f>"4.00"</f>
        <v>4.00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"290"</f>
        <v>290</v>
      </c>
      <c r="J293" t="str">
        <f>"申购配号(大博医疗)"</f>
        <v>申购配号(大博医疗)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"002901"</f>
        <v>002901</v>
      </c>
      <c r="P293" t="str">
        <f>"0153613480"</f>
        <v>0153613480</v>
      </c>
    </row>
    <row r="294" spans="1:16" x14ac:dyDescent="0.25">
      <c r="A294" t="str">
        <f t="shared" si="101"/>
        <v>人民币</v>
      </c>
      <c r="B294" t="str">
        <f>"傲农配号"</f>
        <v>傲农配号</v>
      </c>
      <c r="C294" t="str">
        <f>"20170914"</f>
        <v>20170914</v>
      </c>
      <c r="D294" t="str">
        <f>"0.000"</f>
        <v>0.000</v>
      </c>
      <c r="E294" t="str">
        <f>"1.00"</f>
        <v>1.00</v>
      </c>
      <c r="F294" t="str">
        <f>"0.00"</f>
        <v>0.00</v>
      </c>
      <c r="G294" t="str">
        <f>"4967.05"</f>
        <v>4967.05</v>
      </c>
      <c r="H294" t="str">
        <f>"0.00"</f>
        <v>0.00</v>
      </c>
      <c r="I294" t="str">
        <f>"297"</f>
        <v>297</v>
      </c>
      <c r="J294" t="str">
        <f>"申购配号(傲农配号)"</f>
        <v>申购配号(傲农配号)</v>
      </c>
      <c r="K294" t="str">
        <f>"0.00"</f>
        <v>0.00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"736363"</f>
        <v>736363</v>
      </c>
      <c r="P294" t="str">
        <f>"A400948245"</f>
        <v>A400948245</v>
      </c>
    </row>
    <row r="295" spans="1:16" x14ac:dyDescent="0.25">
      <c r="A295" t="str">
        <f t="shared" si="101"/>
        <v>人民币</v>
      </c>
      <c r="B295" t="str">
        <f>"赛为智能"</f>
        <v>赛为智能</v>
      </c>
      <c r="C295" t="str">
        <f>"20170914"</f>
        <v>20170914</v>
      </c>
      <c r="D295" t="str">
        <f>"21.390"</f>
        <v>21.390</v>
      </c>
      <c r="E295" t="str">
        <f>"200.00"</f>
        <v>200.00</v>
      </c>
      <c r="F295" t="str">
        <f>"-4283.00"</f>
        <v>-4283.00</v>
      </c>
      <c r="G295" t="str">
        <f>"684.05"</f>
        <v>684.05</v>
      </c>
      <c r="H295" t="str">
        <f>"200.00"</f>
        <v>200.00</v>
      </c>
      <c r="I295" t="str">
        <f>"294"</f>
        <v>294</v>
      </c>
      <c r="J295" t="str">
        <f>"证券买入(赛为智能)"</f>
        <v>证券买入(赛为智能)</v>
      </c>
      <c r="K295" t="str">
        <f>"5.00"</f>
        <v>5.00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"300044"</f>
        <v>300044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"世纪天鸿"</f>
        <v>世纪天鸿</v>
      </c>
      <c r="C296" t="str">
        <f>"20170914"</f>
        <v>20170914</v>
      </c>
      <c r="D296" t="str">
        <f>"0.000"</f>
        <v>0.000</v>
      </c>
      <c r="E296" t="str">
        <f>"4.00"</f>
        <v>4.00</v>
      </c>
      <c r="F296" t="str">
        <f>"0.00"</f>
        <v>0.00</v>
      </c>
      <c r="G296" t="str">
        <f>"684.05"</f>
        <v>684.05</v>
      </c>
      <c r="H296" t="str">
        <f>"0.00"</f>
        <v>0.00</v>
      </c>
      <c r="I296" t="str">
        <f>"299"</f>
        <v>299</v>
      </c>
      <c r="J296" t="str">
        <f>"申购配号(世纪天鸿)"</f>
        <v>申购配号(世纪天鸿)</v>
      </c>
      <c r="K296" t="str">
        <f>"0.00"</f>
        <v>0.00</v>
      </c>
      <c r="L296" t="str">
        <f t="shared" si="118"/>
        <v>0.00</v>
      </c>
      <c r="M296" t="str">
        <f t="shared" si="118"/>
        <v>0.00</v>
      </c>
      <c r="N296" t="str">
        <f t="shared" si="103"/>
        <v>0.00</v>
      </c>
      <c r="O296" t="str">
        <f>"300654"</f>
        <v>300654</v>
      </c>
      <c r="P296" t="str">
        <f>"0153613480"</f>
        <v>0153613480</v>
      </c>
    </row>
    <row r="297" spans="1:16" x14ac:dyDescent="0.25">
      <c r="A297" t="str">
        <f t="shared" si="101"/>
        <v>人民币</v>
      </c>
      <c r="B297" t="str">
        <f>""</f>
        <v/>
      </c>
      <c r="C297" t="str">
        <f>"20170915"</f>
        <v>20170915</v>
      </c>
      <c r="D297" t="str">
        <f>"---"</f>
        <v>---</v>
      </c>
      <c r="E297" t="str">
        <f>"---"</f>
        <v>---</v>
      </c>
      <c r="F297" t="str">
        <f>"5000.00"</f>
        <v>5000.00</v>
      </c>
      <c r="G297" t="str">
        <f>"5684.05"</f>
        <v>5684.05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19">"---"</f>
        <v>---</v>
      </c>
      <c r="L297" t="str">
        <f t="shared" si="119"/>
        <v>---</v>
      </c>
      <c r="M297" t="str">
        <f t="shared" si="119"/>
        <v>---</v>
      </c>
      <c r="N297" t="str">
        <f t="shared" si="119"/>
        <v>---</v>
      </c>
      <c r="O297" t="str">
        <f t="shared" si="119"/>
        <v>---</v>
      </c>
      <c r="P297" t="str">
        <f t="shared" si="119"/>
        <v>---</v>
      </c>
    </row>
    <row r="298" spans="1:16" x14ac:dyDescent="0.25">
      <c r="A298" t="str">
        <f t="shared" si="101"/>
        <v>人民币</v>
      </c>
      <c r="B298" t="str">
        <f>"天目配号"</f>
        <v>天目配号</v>
      </c>
      <c r="C298" t="str">
        <f>"20170915"</f>
        <v>20170915</v>
      </c>
      <c r="D298" t="str">
        <f>"0.000"</f>
        <v>0.000</v>
      </c>
      <c r="E298" t="str">
        <f>"1.00"</f>
        <v>1.00</v>
      </c>
      <c r="F298" t="str">
        <f>"0.00"</f>
        <v>0.00</v>
      </c>
      <c r="G298" t="str">
        <f>"5684.05"</f>
        <v>5684.05</v>
      </c>
      <c r="H298" t="str">
        <f>"0.00"</f>
        <v>0.00</v>
      </c>
      <c r="I298" t="str">
        <f>"309"</f>
        <v>309</v>
      </c>
      <c r="J298" t="str">
        <f>"申购配号(天目配号)"</f>
        <v>申购配号(天目配号)</v>
      </c>
      <c r="K298" t="str">
        <f>"0.00"</f>
        <v>0.00</v>
      </c>
      <c r="L298" t="str">
        <f>"0.00"</f>
        <v>0.00</v>
      </c>
      <c r="M298" t="str">
        <f>"0.00"</f>
        <v>0.00</v>
      </c>
      <c r="N298" t="str">
        <f>"0.00"</f>
        <v>0.00</v>
      </c>
      <c r="O298" t="str">
        <f>"736136"</f>
        <v>736136</v>
      </c>
      <c r="P298" t="str">
        <f>"A400948245"</f>
        <v>A400948245</v>
      </c>
    </row>
    <row r="299" spans="1:16" x14ac:dyDescent="0.25">
      <c r="A299" t="str">
        <f t="shared" si="101"/>
        <v>人民币</v>
      </c>
      <c r="B299" t="str">
        <f>"赛为智能"</f>
        <v>赛为智能</v>
      </c>
      <c r="C299" t="str">
        <f>"20170915"</f>
        <v>20170915</v>
      </c>
      <c r="D299" t="str">
        <f>"20.610"</f>
        <v>20.610</v>
      </c>
      <c r="E299" t="str">
        <f>"100.00"</f>
        <v>100.00</v>
      </c>
      <c r="F299" t="str">
        <f>"-2066.00"</f>
        <v>-2066.00</v>
      </c>
      <c r="G299" t="str">
        <f>"3618.05"</f>
        <v>3618.05</v>
      </c>
      <c r="H299" t="str">
        <f>"300.00"</f>
        <v>300.00</v>
      </c>
      <c r="I299" t="str">
        <f>"313"</f>
        <v>313</v>
      </c>
      <c r="J299" t="str">
        <f>"证券买入(赛为智能)"</f>
        <v>证券买入(赛为智能)</v>
      </c>
      <c r="K299" t="str">
        <f>"5.00"</f>
        <v>5.00</v>
      </c>
      <c r="L299" t="str">
        <f t="shared" ref="L299:N301" si="120">"0.00"</f>
        <v>0.00</v>
      </c>
      <c r="M299" t="str">
        <f t="shared" si="120"/>
        <v>0.00</v>
      </c>
      <c r="N299" t="str">
        <f t="shared" si="120"/>
        <v>0.00</v>
      </c>
      <c r="O299" t="str">
        <f>"300044"</f>
        <v>300044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"北方国际"</f>
        <v>北方国际</v>
      </c>
      <c r="C300" t="str">
        <f>"20170915"</f>
        <v>20170915</v>
      </c>
      <c r="D300" t="str">
        <f>"23.000"</f>
        <v>23.000</v>
      </c>
      <c r="E300" t="str">
        <f>"100.00"</f>
        <v>100.00</v>
      </c>
      <c r="F300" t="str">
        <f>"-2305.00"</f>
        <v>-2305.00</v>
      </c>
      <c r="G300" t="str">
        <f>"1313.05"</f>
        <v>1313.05</v>
      </c>
      <c r="H300" t="str">
        <f>"600.00"</f>
        <v>600.00</v>
      </c>
      <c r="I300" t="str">
        <f>"305"</f>
        <v>305</v>
      </c>
      <c r="J300" t="str">
        <f>"证券买入(北方国际)"</f>
        <v>证券买入(北方国际)</v>
      </c>
      <c r="K300" t="str">
        <f>"5.00"</f>
        <v>5.00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"000065"</f>
        <v>000065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"阿石创"</f>
        <v>阿石创</v>
      </c>
      <c r="C301" t="str">
        <f>"20170915"</f>
        <v>20170915</v>
      </c>
      <c r="D301" t="str">
        <f>"0.000"</f>
        <v>0.000</v>
      </c>
      <c r="E301" t="str">
        <f>"4.00"</f>
        <v>4.00</v>
      </c>
      <c r="F301" t="str">
        <f>"0.00"</f>
        <v>0.00</v>
      </c>
      <c r="G301" t="str">
        <f>"1313.05"</f>
        <v>1313.05</v>
      </c>
      <c r="H301" t="str">
        <f>"0.00"</f>
        <v>0.00</v>
      </c>
      <c r="I301" t="str">
        <f>"311"</f>
        <v>311</v>
      </c>
      <c r="J301" t="str">
        <f>"申购配号(阿石创)"</f>
        <v>申购配号(阿石创)</v>
      </c>
      <c r="K301" t="str">
        <f>"0.00"</f>
        <v>0.00</v>
      </c>
      <c r="L301" t="str">
        <f t="shared" si="120"/>
        <v>0.00</v>
      </c>
      <c r="M301" t="str">
        <f t="shared" si="120"/>
        <v>0.00</v>
      </c>
      <c r="N301" t="str">
        <f t="shared" si="120"/>
        <v>0.00</v>
      </c>
      <c r="O301" t="str">
        <f>"300706"</f>
        <v>300706</v>
      </c>
      <c r="P301" t="str">
        <f>"0153613480"</f>
        <v>0153613480</v>
      </c>
    </row>
    <row r="302" spans="1:16" x14ac:dyDescent="0.25">
      <c r="A302" t="str">
        <f t="shared" si="101"/>
        <v>人民币</v>
      </c>
      <c r="B302" t="str">
        <f>""</f>
        <v/>
      </c>
      <c r="C302" t="str">
        <f>"20170919"</f>
        <v>20170919</v>
      </c>
      <c r="D302" t="str">
        <f>"---"</f>
        <v>---</v>
      </c>
      <c r="E302" t="str">
        <f>"---"</f>
        <v>---</v>
      </c>
      <c r="F302" t="str">
        <f>"7000.00"</f>
        <v>7000.00</v>
      </c>
      <c r="G302" t="str">
        <f>"8313.05"</f>
        <v>8313.05</v>
      </c>
      <c r="H302" t="str">
        <f>"---"</f>
        <v>---</v>
      </c>
      <c r="I302" t="str">
        <f>"---"</f>
        <v>---</v>
      </c>
      <c r="J302" t="str">
        <f>"银行转存"</f>
        <v>银行转存</v>
      </c>
      <c r="K302" t="str">
        <f t="shared" ref="K302:P302" si="121">"---"</f>
        <v>---</v>
      </c>
      <c r="L302" t="str">
        <f t="shared" si="121"/>
        <v>---</v>
      </c>
      <c r="M302" t="str">
        <f t="shared" si="121"/>
        <v>---</v>
      </c>
      <c r="N302" t="str">
        <f t="shared" si="121"/>
        <v>---</v>
      </c>
      <c r="O302" t="str">
        <f t="shared" si="121"/>
        <v>---</v>
      </c>
      <c r="P302" t="str">
        <f t="shared" si="121"/>
        <v>---</v>
      </c>
    </row>
    <row r="303" spans="1:16" x14ac:dyDescent="0.25">
      <c r="A303" t="str">
        <f t="shared" si="101"/>
        <v>人民币</v>
      </c>
      <c r="B303" t="str">
        <f>"亚士配号"</f>
        <v>亚士配号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"322"</f>
        <v>322</v>
      </c>
      <c r="J303" t="str">
        <f>"申购配号(亚士配号)"</f>
        <v>申购配号(亚士配号)</v>
      </c>
      <c r="K303" t="str">
        <f t="shared" ref="K303:N304" si="122">"0.00"</f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"736378"</f>
        <v>736378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"辰欣配号"</f>
        <v>辰欣配号</v>
      </c>
      <c r="C304" t="str">
        <f>"20170919"</f>
        <v>20170919</v>
      </c>
      <c r="D304" t="str">
        <f>"0.000"</f>
        <v>0.000</v>
      </c>
      <c r="E304" t="str">
        <f>"1.00"</f>
        <v>1.00</v>
      </c>
      <c r="F304" t="str">
        <f>"0.00"</f>
        <v>0.00</v>
      </c>
      <c r="G304" t="str">
        <f>"8313.05"</f>
        <v>8313.05</v>
      </c>
      <c r="H304" t="str">
        <f>"0.00"</f>
        <v>0.00</v>
      </c>
      <c r="I304" t="str">
        <f>"320"</f>
        <v>320</v>
      </c>
      <c r="J304" t="str">
        <f>"申购配号(辰欣配号)"</f>
        <v>申购配号(辰欣配号)</v>
      </c>
      <c r="K304" t="str">
        <f t="shared" si="122"/>
        <v>0.00</v>
      </c>
      <c r="L304" t="str">
        <f t="shared" si="122"/>
        <v>0.00</v>
      </c>
      <c r="M304" t="str">
        <f t="shared" si="122"/>
        <v>0.00</v>
      </c>
      <c r="N304" t="str">
        <f t="shared" si="122"/>
        <v>0.00</v>
      </c>
      <c r="O304" t="str">
        <f>"736367"</f>
        <v>736367</v>
      </c>
      <c r="P304" t="str">
        <f>"A400948245"</f>
        <v>A400948245</v>
      </c>
    </row>
    <row r="305" spans="1:16" x14ac:dyDescent="0.25">
      <c r="A305" t="str">
        <f t="shared" si="101"/>
        <v>人民币</v>
      </c>
      <c r="B305" t="str">
        <f>"西部建设"</f>
        <v>西部建设</v>
      </c>
      <c r="C305" t="str">
        <f>"20170919"</f>
        <v>20170919</v>
      </c>
      <c r="D305" t="str">
        <f>"19.820"</f>
        <v>19.820</v>
      </c>
      <c r="E305" t="str">
        <f>"400.00"</f>
        <v>400.00</v>
      </c>
      <c r="F305" t="str">
        <f>"-7933.00"</f>
        <v>-7933.00</v>
      </c>
      <c r="G305" t="str">
        <f>"380.05"</f>
        <v>380.05</v>
      </c>
      <c r="H305" t="str">
        <f>"1700.00"</f>
        <v>1700.00</v>
      </c>
      <c r="I305" t="str">
        <f>"325"</f>
        <v>325</v>
      </c>
      <c r="J305" t="str">
        <f>"证券买入(西部建设)"</f>
        <v>证券买入(西部建设)</v>
      </c>
      <c r="K305" t="str">
        <f>"5.00"</f>
        <v>5.00</v>
      </c>
      <c r="L305" t="str">
        <f>"0.00"</f>
        <v>0.00</v>
      </c>
      <c r="M305" t="str">
        <f>"0.00"</f>
        <v>0.00</v>
      </c>
      <c r="N305" t="str">
        <f>"0.00"</f>
        <v>0.00</v>
      </c>
      <c r="O305" t="str">
        <f>"002302"</f>
        <v>002302</v>
      </c>
      <c r="P305" t="str">
        <f>"0153613480"</f>
        <v>0153613480</v>
      </c>
    </row>
    <row r="306" spans="1:16" x14ac:dyDescent="0.25">
      <c r="A306" t="str">
        <f t="shared" si="101"/>
        <v>人民币</v>
      </c>
      <c r="B306" t="str">
        <f>""</f>
        <v/>
      </c>
      <c r="C306" t="str">
        <f>"20170920"</f>
        <v>20170920</v>
      </c>
      <c r="D306" t="str">
        <f>"---"</f>
        <v>---</v>
      </c>
      <c r="E306" t="str">
        <f>"---"</f>
        <v>---</v>
      </c>
      <c r="F306" t="str">
        <f>"3.17"</f>
        <v>3.17</v>
      </c>
      <c r="G306" t="str">
        <f>"383.22"</f>
        <v>383.22</v>
      </c>
      <c r="H306" t="str">
        <f>"---"</f>
        <v>---</v>
      </c>
      <c r="I306" t="str">
        <f>"---"</f>
        <v>---</v>
      </c>
      <c r="J306" t="str">
        <f>"批量利息归本"</f>
        <v>批量利息归本</v>
      </c>
      <c r="K306" t="str">
        <f t="shared" ref="K306:P306" si="123">"---"</f>
        <v>---</v>
      </c>
      <c r="L306" t="str">
        <f t="shared" si="123"/>
        <v>---</v>
      </c>
      <c r="M306" t="str">
        <f t="shared" si="123"/>
        <v>---</v>
      </c>
      <c r="N306" t="str">
        <f t="shared" si="123"/>
        <v>---</v>
      </c>
      <c r="O306" t="str">
        <f t="shared" si="123"/>
        <v>---</v>
      </c>
      <c r="P306" t="str">
        <f t="shared" si="123"/>
        <v>---</v>
      </c>
    </row>
    <row r="307" spans="1:16" x14ac:dyDescent="0.25">
      <c r="A307" t="str">
        <f t="shared" si="101"/>
        <v>人民币</v>
      </c>
      <c r="B307" t="str">
        <f>"国芳配号"</f>
        <v>国芳配号</v>
      </c>
      <c r="C307" t="str">
        <f>"20170920"</f>
        <v>20170920</v>
      </c>
      <c r="D307" t="str">
        <f>"0.000"</f>
        <v>0.000</v>
      </c>
      <c r="E307" t="str">
        <f>"1.00"</f>
        <v>1.00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"331"</f>
        <v>331</v>
      </c>
      <c r="J307" t="str">
        <f>"申购配号(国芳配号)"</f>
        <v>申购配号(国芳配号)</v>
      </c>
      <c r="K307" t="str">
        <f t="shared" ref="K307:N308" si="124">"0.00"</f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"791086"</f>
        <v>791086</v>
      </c>
      <c r="P307" t="str">
        <f>"A400948245"</f>
        <v>A400948245</v>
      </c>
    </row>
    <row r="308" spans="1:16" x14ac:dyDescent="0.25">
      <c r="A308" t="str">
        <f t="shared" si="101"/>
        <v>人民币</v>
      </c>
      <c r="B308" t="str">
        <f>"铭普光磁"</f>
        <v>铭普光磁</v>
      </c>
      <c r="C308" t="str">
        <f>"20170920"</f>
        <v>20170920</v>
      </c>
      <c r="D308" t="str">
        <f>"0.000"</f>
        <v>0.000</v>
      </c>
      <c r="E308" t="str">
        <f>"5.00"</f>
        <v>5.00</v>
      </c>
      <c r="F308" t="str">
        <f>"0.00"</f>
        <v>0.00</v>
      </c>
      <c r="G308" t="str">
        <f>"383.22"</f>
        <v>383.22</v>
      </c>
      <c r="H308" t="str">
        <f>"0.00"</f>
        <v>0.00</v>
      </c>
      <c r="I308" t="str">
        <f>"333"</f>
        <v>333</v>
      </c>
      <c r="J308" t="str">
        <f>"申购配号(铭普光磁)"</f>
        <v>申购配号(铭普光磁)</v>
      </c>
      <c r="K308" t="str">
        <f t="shared" si="124"/>
        <v>0.00</v>
      </c>
      <c r="L308" t="str">
        <f t="shared" si="124"/>
        <v>0.00</v>
      </c>
      <c r="M308" t="str">
        <f t="shared" si="124"/>
        <v>0.00</v>
      </c>
      <c r="N308" t="str">
        <f t="shared" si="124"/>
        <v>0.00</v>
      </c>
      <c r="O308" t="str">
        <f>"002902"</f>
        <v>002902</v>
      </c>
      <c r="P308" t="str">
        <f>"0153613480"</f>
        <v>0153613480</v>
      </c>
    </row>
    <row r="309" spans="1:16" x14ac:dyDescent="0.25">
      <c r="A309" t="str">
        <f t="shared" si="101"/>
        <v>人民币</v>
      </c>
      <c r="B309" t="str">
        <f>""</f>
        <v/>
      </c>
      <c r="C309" t="str">
        <f>"20170925"</f>
        <v>20170925</v>
      </c>
      <c r="D309" t="str">
        <f>"---"</f>
        <v>---</v>
      </c>
      <c r="E309" t="str">
        <f>"---"</f>
        <v>---</v>
      </c>
      <c r="F309" t="str">
        <f>"-344.00"</f>
        <v>-344.00</v>
      </c>
      <c r="G309" t="str">
        <f>"39.22"</f>
        <v>39.22</v>
      </c>
      <c r="H309" t="str">
        <f>"---"</f>
        <v>---</v>
      </c>
      <c r="I309" t="str">
        <f>"---"</f>
        <v>---</v>
      </c>
      <c r="J309" t="str">
        <f>"银行转取"</f>
        <v>银行转取</v>
      </c>
      <c r="K309" t="str">
        <f t="shared" ref="K309:P309" si="125">"---"</f>
        <v>---</v>
      </c>
      <c r="L309" t="str">
        <f t="shared" si="125"/>
        <v>---</v>
      </c>
      <c r="M309" t="str">
        <f t="shared" si="125"/>
        <v>---</v>
      </c>
      <c r="N309" t="str">
        <f t="shared" si="125"/>
        <v>---</v>
      </c>
      <c r="O309" t="str">
        <f t="shared" si="125"/>
        <v>---</v>
      </c>
      <c r="P309" t="str">
        <f t="shared" si="125"/>
        <v>---</v>
      </c>
    </row>
    <row r="310" spans="1:16" x14ac:dyDescent="0.25">
      <c r="A310" t="str">
        <f t="shared" si="101"/>
        <v>人民币</v>
      </c>
      <c r="B310" t="str">
        <f>"北方国际"</f>
        <v>北方国际</v>
      </c>
      <c r="C310" t="str">
        <f>"20170925"</f>
        <v>20170925</v>
      </c>
      <c r="D310" t="str">
        <f>"22.240"</f>
        <v>22.240</v>
      </c>
      <c r="E310" t="str">
        <f>"-300.00"</f>
        <v>-300.00</v>
      </c>
      <c r="F310" t="str">
        <f>"6660.33"</f>
        <v>6660.33</v>
      </c>
      <c r="G310" t="str">
        <f>"6699.55"</f>
        <v>6699.55</v>
      </c>
      <c r="H310" t="str">
        <f>"300.00"</f>
        <v>300.00</v>
      </c>
      <c r="I310" t="str">
        <f>"338"</f>
        <v>338</v>
      </c>
      <c r="J310" t="str">
        <f>"证券卖出(北方国际)"</f>
        <v>证券卖出(北方国际)</v>
      </c>
      <c r="K310" t="str">
        <f>"5.00"</f>
        <v>5.00</v>
      </c>
      <c r="L310" t="str">
        <f>"6.67"</f>
        <v>6.67</v>
      </c>
      <c r="M310" t="str">
        <f t="shared" ref="M310:N314" si="126">"0.00"</f>
        <v>0.00</v>
      </c>
      <c r="N310" t="str">
        <f t="shared" si="126"/>
        <v>0.00</v>
      </c>
      <c r="O310" t="str">
        <f>"000065"</f>
        <v>000065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"赛为智能"</f>
        <v>赛为智能</v>
      </c>
      <c r="C311" t="str">
        <f>"20170925"</f>
        <v>20170925</v>
      </c>
      <c r="D311" t="str">
        <f>"20.450"</f>
        <v>20.450</v>
      </c>
      <c r="E311" t="str">
        <f>"300.00"</f>
        <v>300.00</v>
      </c>
      <c r="F311" t="str">
        <f>"-6140.00"</f>
        <v>-6140.00</v>
      </c>
      <c r="G311" t="str">
        <f>"559.55"</f>
        <v>559.55</v>
      </c>
      <c r="H311" t="str">
        <f>"600.00"</f>
        <v>600.00</v>
      </c>
      <c r="I311" t="str">
        <f>"341"</f>
        <v>341</v>
      </c>
      <c r="J311" t="str">
        <f>"证券买入(赛为智能)"</f>
        <v>证券买入(赛为智能)</v>
      </c>
      <c r="K311" t="str">
        <f>"5.00"</f>
        <v>5.00</v>
      </c>
      <c r="L311" t="str">
        <f>"0.00"</f>
        <v>0.00</v>
      </c>
      <c r="M311" t="str">
        <f t="shared" si="126"/>
        <v>0.00</v>
      </c>
      <c r="N311" t="str">
        <f t="shared" si="126"/>
        <v>0.00</v>
      </c>
      <c r="O311" t="str">
        <f>"300044"</f>
        <v>300044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"北方国际"</f>
        <v>北方国际</v>
      </c>
      <c r="C312" t="str">
        <f>"20170925"</f>
        <v>20170925</v>
      </c>
      <c r="D312" t="str">
        <f>"22.250"</f>
        <v>22.250</v>
      </c>
      <c r="E312" t="str">
        <f>"-300.00"</f>
        <v>-300.00</v>
      </c>
      <c r="F312" t="str">
        <f>"6663.32"</f>
        <v>6663.32</v>
      </c>
      <c r="G312" t="str">
        <f>"7222.87"</f>
        <v>7222.87</v>
      </c>
      <c r="H312" t="str">
        <f>"0.00"</f>
        <v>0.00</v>
      </c>
      <c r="I312" t="str">
        <f>"344"</f>
        <v>344</v>
      </c>
      <c r="J312" t="str">
        <f>"证券卖出(北方国际)"</f>
        <v>证券卖出(北方国际)</v>
      </c>
      <c r="K312" t="str">
        <f>"5.00"</f>
        <v>5.00</v>
      </c>
      <c r="L312" t="str">
        <f>"6.68"</f>
        <v>6.68</v>
      </c>
      <c r="M312" t="str">
        <f t="shared" si="126"/>
        <v>0.00</v>
      </c>
      <c r="N312" t="str">
        <f t="shared" si="126"/>
        <v>0.00</v>
      </c>
      <c r="O312" t="str">
        <f>"000065"</f>
        <v>000065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"赛为智能"</f>
        <v>赛为智能</v>
      </c>
      <c r="C313" t="str">
        <f>"20170925"</f>
        <v>20170925</v>
      </c>
      <c r="D313" t="str">
        <f>"20.380"</f>
        <v>20.380</v>
      </c>
      <c r="E313" t="str">
        <f>"300.00"</f>
        <v>300.00</v>
      </c>
      <c r="F313" t="str">
        <f>"-6119.00"</f>
        <v>-6119.00</v>
      </c>
      <c r="G313" t="str">
        <f>"1103.87"</f>
        <v>1103.87</v>
      </c>
      <c r="H313" t="str">
        <f>"900.00"</f>
        <v>900.00</v>
      </c>
      <c r="I313" t="str">
        <f>"347"</f>
        <v>347</v>
      </c>
      <c r="J313" t="str">
        <f>"证券买入(赛为智能)"</f>
        <v>证券买入(赛为智能)</v>
      </c>
      <c r="K313" t="str">
        <f>"5.00"</f>
        <v>5.00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"300044"</f>
        <v>300044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"宇环数控"</f>
        <v>宇环数控</v>
      </c>
      <c r="C314" t="str">
        <f>"20170926"</f>
        <v>20170926</v>
      </c>
      <c r="D314" t="str">
        <f>"0.000"</f>
        <v>0.000</v>
      </c>
      <c r="E314" t="str">
        <f>"6.00"</f>
        <v>6.00</v>
      </c>
      <c r="F314" t="str">
        <f>"0.00"</f>
        <v>0.00</v>
      </c>
      <c r="G314" t="str">
        <f>"1103.87"</f>
        <v>1103.87</v>
      </c>
      <c r="H314" t="str">
        <f>"0.00"</f>
        <v>0.00</v>
      </c>
      <c r="I314" t="str">
        <f>"1"</f>
        <v>1</v>
      </c>
      <c r="J314" t="str">
        <f>"申购配号(宇环数控)"</f>
        <v>申购配号(宇环数控)</v>
      </c>
      <c r="K314" t="str">
        <f>"0.00"</f>
        <v>0.00</v>
      </c>
      <c r="L314" t="str">
        <f>"0.00"</f>
        <v>0.00</v>
      </c>
      <c r="M314" t="str">
        <f t="shared" si="126"/>
        <v>0.00</v>
      </c>
      <c r="N314" t="str">
        <f t="shared" si="126"/>
        <v>0.00</v>
      </c>
      <c r="O314" t="str">
        <f>"002903"</f>
        <v>002903</v>
      </c>
      <c r="P314" t="str">
        <f>"0153613480"</f>
        <v>0153613480</v>
      </c>
    </row>
    <row r="315" spans="1:16" x14ac:dyDescent="0.25">
      <c r="A315" t="str">
        <f t="shared" si="101"/>
        <v>人民币</v>
      </c>
      <c r="B315" t="str">
        <f>""</f>
        <v/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"11103.87"</f>
        <v>11103.87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6" si="127">"---"</f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""</f>
        <v/>
      </c>
      <c r="C316" t="str">
        <f>"20170927"</f>
        <v>20170927</v>
      </c>
      <c r="D316" t="str">
        <f>"---"</f>
        <v>---</v>
      </c>
      <c r="E316" t="str">
        <f>"---"</f>
        <v>---</v>
      </c>
      <c r="F316" t="str">
        <f>"-5000.00"</f>
        <v>-5000.00</v>
      </c>
      <c r="G316" t="str">
        <f>"6103.87"</f>
        <v>6103.87</v>
      </c>
      <c r="H316" t="str">
        <f>"---"</f>
        <v>---</v>
      </c>
      <c r="I316" t="str">
        <f>"---"</f>
        <v>---</v>
      </c>
      <c r="J316" t="str">
        <f>"银行转取"</f>
        <v>银行转取</v>
      </c>
      <c r="K316" t="str">
        <f t="shared" si="127"/>
        <v>---</v>
      </c>
      <c r="L316" t="str">
        <f t="shared" si="127"/>
        <v>---</v>
      </c>
      <c r="M316" t="str">
        <f t="shared" si="127"/>
        <v>---</v>
      </c>
      <c r="N316" t="str">
        <f t="shared" si="127"/>
        <v>---</v>
      </c>
      <c r="O316" t="str">
        <f t="shared" si="127"/>
        <v>---</v>
      </c>
      <c r="P316" t="str">
        <f t="shared" si="127"/>
        <v>---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"200.00"</f>
        <v>200.00</v>
      </c>
      <c r="F317" t="str">
        <f>"-3845.00"</f>
        <v>-3845.00</v>
      </c>
      <c r="G317" t="str">
        <f>"2258.87"</f>
        <v>2258.87</v>
      </c>
      <c r="H317" t="str">
        <f>"1900.00"</f>
        <v>1900.00</v>
      </c>
      <c r="I317" t="str">
        <f>"10"</f>
        <v>10</v>
      </c>
      <c r="J317" t="str">
        <f>"证券买入(西部建设)"</f>
        <v>证券买入(西部建设)</v>
      </c>
      <c r="K317" t="str">
        <f>"5.00"</f>
        <v>5.00</v>
      </c>
      <c r="L317" t="str">
        <f t="shared" ref="L317:N325" si="128">"0.00"</f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ref="P317:P325" si="129">"0153613480"</f>
        <v>0153613480</v>
      </c>
    </row>
    <row r="318" spans="1:16" x14ac:dyDescent="0.25">
      <c r="A318" t="str">
        <f t="shared" si="101"/>
        <v>人民币</v>
      </c>
      <c r="B318" t="str">
        <f>"西部建设"</f>
        <v>西部建设</v>
      </c>
      <c r="C318" t="str">
        <f>"20170927"</f>
        <v>20170927</v>
      </c>
      <c r="D318" t="str">
        <f>"19.200"</f>
        <v>19.200</v>
      </c>
      <c r="E318" t="str">
        <f>"100.00"</f>
        <v>100.00</v>
      </c>
      <c r="F318" t="str">
        <f>"-1925.00"</f>
        <v>-1925.00</v>
      </c>
      <c r="G318" t="str">
        <f t="shared" ref="G318:G325" si="130">"333.87"</f>
        <v>333.87</v>
      </c>
      <c r="H318" t="str">
        <f>"2000.00"</f>
        <v>2000.00</v>
      </c>
      <c r="I318" t="str">
        <f>"17"</f>
        <v>17</v>
      </c>
      <c r="J318" t="str">
        <f>"证券买入(西部建设)"</f>
        <v>证券买入(西部建设)</v>
      </c>
      <c r="K318" t="str">
        <f>"5.00"</f>
        <v>5.00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"002302"</f>
        <v>002302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"华阳集团"</f>
        <v>华阳集团</v>
      </c>
      <c r="C319" t="str">
        <f>"20170927"</f>
        <v>20170927</v>
      </c>
      <c r="D319" t="str">
        <f t="shared" ref="D319:D325" si="131">"0.000"</f>
        <v>0.000</v>
      </c>
      <c r="E319" t="str">
        <f>"7.00"</f>
        <v>7.00</v>
      </c>
      <c r="F319" t="str">
        <f t="shared" ref="F319:F325" si="132">"0.00"</f>
        <v>0.00</v>
      </c>
      <c r="G319" t="str">
        <f t="shared" si="130"/>
        <v>333.87</v>
      </c>
      <c r="H319" t="str">
        <f t="shared" ref="H319:H325" si="133">"0.00"</f>
        <v>0.00</v>
      </c>
      <c r="I319" t="str">
        <f>"8"</f>
        <v>8</v>
      </c>
      <c r="J319" t="str">
        <f>"申购配号(华阳集团)"</f>
        <v>申购配号(华阳集团)</v>
      </c>
      <c r="K319" t="str">
        <f t="shared" ref="K319:K325" si="134">"0.00"</f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"002906"</f>
        <v>002906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"德生科技"</f>
        <v>德生科技</v>
      </c>
      <c r="C320" t="str">
        <f>"20171010"</f>
        <v>20171010</v>
      </c>
      <c r="D320" t="str">
        <f t="shared" si="131"/>
        <v>0.000</v>
      </c>
      <c r="E320" t="str">
        <f>"8.00"</f>
        <v>8.00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"23"</f>
        <v>23</v>
      </c>
      <c r="J320" t="str">
        <f>"申购配号(德生科技)"</f>
        <v>申购配号(德生科技)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"002908"</f>
        <v>002908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"华森制药"</f>
        <v>华森制药</v>
      </c>
      <c r="C321" t="str">
        <f>"20171011"</f>
        <v>20171011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"26"</f>
        <v>26</v>
      </c>
      <c r="J321" t="str">
        <f>"申购配号(华森制药)"</f>
        <v>申购配号(华森制药)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"002907"</f>
        <v>002907</v>
      </c>
      <c r="P321" t="str">
        <f t="shared" si="129"/>
        <v>0153613480</v>
      </c>
    </row>
    <row r="322" spans="1:16" x14ac:dyDescent="0.25">
      <c r="A322" t="str">
        <f t="shared" si="101"/>
        <v>人民币</v>
      </c>
      <c r="B322" t="str">
        <f>"凯伦股份"</f>
        <v>凯伦股份</v>
      </c>
      <c r="C322" t="str">
        <f>"20171012"</f>
        <v>20171012</v>
      </c>
      <c r="D322" t="str">
        <f t="shared" si="131"/>
        <v>0.000</v>
      </c>
      <c r="E322" t="str">
        <f>"9.00"</f>
        <v>9.00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"29"</f>
        <v>29</v>
      </c>
      <c r="J322" t="str">
        <f>"申购配号(凯伦股份)"</f>
        <v>申购配号(凯伦股份)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"300715"</f>
        <v>300715</v>
      </c>
      <c r="P322" t="str">
        <f t="shared" si="129"/>
        <v>0153613480</v>
      </c>
    </row>
    <row r="323" spans="1:16" x14ac:dyDescent="0.25">
      <c r="A323" t="str">
        <f t="shared" ref="A323:A390" si="135">"人民币"</f>
        <v>人民币</v>
      </c>
      <c r="B323" t="str">
        <f>"庄园牧场"</f>
        <v>庄园牧场</v>
      </c>
      <c r="C323" t="str">
        <f>"20171018"</f>
        <v>20171018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"32"</f>
        <v>32</v>
      </c>
      <c r="J323" t="str">
        <f>"申购配号(庄园牧场)"</f>
        <v>申购配号(庄园牧场)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"002910"</f>
        <v>002910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"永福股份"</f>
        <v>永福股份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"35"</f>
        <v>35</v>
      </c>
      <c r="J324" t="str">
        <f>"申购配号(永福股份)"</f>
        <v>申购配号(永福股份)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"300712"</f>
        <v>300712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"英可瑞"</f>
        <v>英可瑞</v>
      </c>
      <c r="C325" t="str">
        <f>"20171019"</f>
        <v>20171019</v>
      </c>
      <c r="D325" t="str">
        <f t="shared" si="131"/>
        <v>0.000</v>
      </c>
      <c r="E325" t="str">
        <f>"10.00"</f>
        <v>10.00</v>
      </c>
      <c r="F325" t="str">
        <f t="shared" si="132"/>
        <v>0.00</v>
      </c>
      <c r="G325" t="str">
        <f t="shared" si="130"/>
        <v>333.87</v>
      </c>
      <c r="H325" t="str">
        <f t="shared" si="133"/>
        <v>0.00</v>
      </c>
      <c r="I325" t="str">
        <f>"37"</f>
        <v>37</v>
      </c>
      <c r="J325" t="str">
        <f>"申购配号(英可瑞)"</f>
        <v>申购配号(英可瑞)</v>
      </c>
      <c r="K325" t="str">
        <f t="shared" si="134"/>
        <v>0.00</v>
      </c>
      <c r="L325" t="str">
        <f t="shared" si="128"/>
        <v>0.00</v>
      </c>
      <c r="M325" t="str">
        <f t="shared" si="128"/>
        <v>0.00</v>
      </c>
      <c r="N325" t="str">
        <f t="shared" si="128"/>
        <v>0.00</v>
      </c>
      <c r="O325" t="str">
        <f>"300713"</f>
        <v>300713</v>
      </c>
      <c r="P325" t="str">
        <f t="shared" si="129"/>
        <v>0153613480</v>
      </c>
    </row>
    <row r="326" spans="1:16" x14ac:dyDescent="0.25">
      <c r="A326" t="str">
        <f t="shared" si="135"/>
        <v>人民币</v>
      </c>
      <c r="B326" t="str">
        <f>""</f>
        <v/>
      </c>
      <c r="C326" t="str">
        <f>"20171024"</f>
        <v>20171024</v>
      </c>
      <c r="D326" t="str">
        <f>"---"</f>
        <v>---</v>
      </c>
      <c r="E326" t="str">
        <f>"---"</f>
        <v>---</v>
      </c>
      <c r="F326" t="str">
        <f>"6800.00"</f>
        <v>6800.00</v>
      </c>
      <c r="G326" t="str">
        <f>"7133.87"</f>
        <v>7133.87</v>
      </c>
      <c r="H326" t="str">
        <f>"---"</f>
        <v>---</v>
      </c>
      <c r="I326" t="str">
        <f>"---"</f>
        <v>---</v>
      </c>
      <c r="J326" t="str">
        <f>"银行转存"</f>
        <v>银行转存</v>
      </c>
      <c r="K326" t="str">
        <f t="shared" ref="K326:P326" si="136">"---"</f>
        <v>---</v>
      </c>
      <c r="L326" t="str">
        <f t="shared" si="136"/>
        <v>---</v>
      </c>
      <c r="M326" t="str">
        <f t="shared" si="136"/>
        <v>---</v>
      </c>
      <c r="N326" t="str">
        <f t="shared" si="136"/>
        <v>---</v>
      </c>
      <c r="O326" t="str">
        <f t="shared" si="136"/>
        <v>---</v>
      </c>
      <c r="P326" t="str">
        <f t="shared" si="136"/>
        <v>---</v>
      </c>
    </row>
    <row r="327" spans="1:16" x14ac:dyDescent="0.25">
      <c r="A327" t="str">
        <f t="shared" si="135"/>
        <v>人民币</v>
      </c>
      <c r="B327" t="str">
        <f>"西部建设"</f>
        <v>西部建设</v>
      </c>
      <c r="C327" t="str">
        <f>"20171024"</f>
        <v>20171024</v>
      </c>
      <c r="D327" t="str">
        <f>"18.500"</f>
        <v>18.500</v>
      </c>
      <c r="E327" t="str">
        <f>"300.00"</f>
        <v>300.00</v>
      </c>
      <c r="F327" t="str">
        <f>"-5555.00"</f>
        <v>-5555.00</v>
      </c>
      <c r="G327" t="str">
        <f>"1578.87"</f>
        <v>1578.87</v>
      </c>
      <c r="H327" t="str">
        <f>"2300.00"</f>
        <v>2300.00</v>
      </c>
      <c r="I327" t="str">
        <f>"42"</f>
        <v>42</v>
      </c>
      <c r="J327" t="str">
        <f>"证券买入(西部建设)"</f>
        <v>证券买入(西部建设)</v>
      </c>
      <c r="K327" t="str">
        <f>"5.00"</f>
        <v>5.00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"002302"</f>
        <v>002302</v>
      </c>
      <c r="P327" t="str">
        <f>"0153613480"</f>
        <v>0153613480</v>
      </c>
    </row>
    <row r="328" spans="1:16" x14ac:dyDescent="0.25">
      <c r="A328" t="str">
        <f t="shared" si="135"/>
        <v>人民币</v>
      </c>
      <c r="B328" t="str">
        <f>""</f>
        <v/>
      </c>
      <c r="C328" t="str">
        <f>"20171025"</f>
        <v>20171025</v>
      </c>
      <c r="D328" t="str">
        <f>"---"</f>
        <v>---</v>
      </c>
      <c r="E328" t="str">
        <f>"---"</f>
        <v>---</v>
      </c>
      <c r="F328" t="str">
        <f>"6764.00"</f>
        <v>6764.00</v>
      </c>
      <c r="G328" t="str">
        <f>"8342.87"</f>
        <v>8342.87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37">"---"</f>
        <v>---</v>
      </c>
      <c r="L328" t="str">
        <f t="shared" si="137"/>
        <v>---</v>
      </c>
      <c r="M328" t="str">
        <f t="shared" si="137"/>
        <v>---</v>
      </c>
      <c r="N328" t="str">
        <f t="shared" si="137"/>
        <v>---</v>
      </c>
      <c r="O328" t="str">
        <f t="shared" si="137"/>
        <v>---</v>
      </c>
      <c r="P328" t="str">
        <f t="shared" si="137"/>
        <v>---</v>
      </c>
    </row>
    <row r="329" spans="1:16" x14ac:dyDescent="0.25">
      <c r="A329" t="str">
        <f t="shared" si="135"/>
        <v>人民币</v>
      </c>
      <c r="B329" t="str">
        <f>"西部建设"</f>
        <v>西部建设</v>
      </c>
      <c r="C329" t="str">
        <f>"20171025"</f>
        <v>20171025</v>
      </c>
      <c r="D329" t="str">
        <f>"18.200"</f>
        <v>18.200</v>
      </c>
      <c r="E329" t="str">
        <f>"200.00"</f>
        <v>200.00</v>
      </c>
      <c r="F329" t="str">
        <f>"-3645.00"</f>
        <v>-3645.00</v>
      </c>
      <c r="G329" t="str">
        <f>"4697.87"</f>
        <v>4697.87</v>
      </c>
      <c r="H329" t="str">
        <f>"2500.00"</f>
        <v>2500.00</v>
      </c>
      <c r="I329" t="str">
        <f>"49"</f>
        <v>49</v>
      </c>
      <c r="J329" t="str">
        <f>"证券买入(西部建设)"</f>
        <v>证券买入(西部建设)</v>
      </c>
      <c r="K329" t="str">
        <f>"5.00"</f>
        <v>5.00</v>
      </c>
      <c r="L329" t="str">
        <f t="shared" ref="L329:N330" si="138">"0.00"</f>
        <v>0.00</v>
      </c>
      <c r="M329" t="str">
        <f t="shared" si="138"/>
        <v>0.00</v>
      </c>
      <c r="N329" t="str">
        <f t="shared" si="138"/>
        <v>0.00</v>
      </c>
      <c r="O329" t="str">
        <f>"002302"</f>
        <v>002302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"长盛轴承"</f>
        <v>长盛轴承</v>
      </c>
      <c r="C330" t="str">
        <f>"20171025"</f>
        <v>20171025</v>
      </c>
      <c r="D330" t="str">
        <f>"0.000"</f>
        <v>0.000</v>
      </c>
      <c r="E330" t="str">
        <f>"10.00"</f>
        <v>10.00</v>
      </c>
      <c r="F330" t="str">
        <f>"0.00"</f>
        <v>0.00</v>
      </c>
      <c r="G330" t="str">
        <f>"4697.87"</f>
        <v>4697.87</v>
      </c>
      <c r="H330" t="str">
        <f>"0.00"</f>
        <v>0.00</v>
      </c>
      <c r="I330" t="str">
        <f>"46"</f>
        <v>46</v>
      </c>
      <c r="J330" t="str">
        <f>"申购配号(长盛轴承)"</f>
        <v>申购配号(长盛轴承)</v>
      </c>
      <c r="K330" t="str">
        <f>"0.00"</f>
        <v>0.00</v>
      </c>
      <c r="L330" t="str">
        <f t="shared" si="138"/>
        <v>0.00</v>
      </c>
      <c r="M330" t="str">
        <f t="shared" si="138"/>
        <v>0.00</v>
      </c>
      <c r="N330" t="str">
        <f t="shared" si="138"/>
        <v>0.00</v>
      </c>
      <c r="O330" t="str">
        <f>"300718"</f>
        <v>300718</v>
      </c>
      <c r="P330" t="str">
        <f>"0153613480"</f>
        <v>0153613480</v>
      </c>
    </row>
    <row r="331" spans="1:16" x14ac:dyDescent="0.25">
      <c r="A331" t="str">
        <f t="shared" si="135"/>
        <v>人民币</v>
      </c>
      <c r="B331" t="str">
        <f>""</f>
        <v/>
      </c>
      <c r="C331" t="str">
        <f>"20171026"</f>
        <v>20171026</v>
      </c>
      <c r="D331" t="str">
        <f>"---"</f>
        <v>---</v>
      </c>
      <c r="E331" t="str">
        <f>"---"</f>
        <v>---</v>
      </c>
      <c r="F331" t="str">
        <f>"-3000.00"</f>
        <v>-3000.00</v>
      </c>
      <c r="G331" t="str">
        <f>"1697.87"</f>
        <v>1697.87</v>
      </c>
      <c r="H331" t="str">
        <f>"---"</f>
        <v>---</v>
      </c>
      <c r="I331" t="str">
        <f>"---"</f>
        <v>---</v>
      </c>
      <c r="J331" t="str">
        <f>"银行转取"</f>
        <v>银行转取</v>
      </c>
      <c r="K331" t="str">
        <f t="shared" ref="K331:P331" si="139">"---"</f>
        <v>---</v>
      </c>
      <c r="L331" t="str">
        <f t="shared" si="139"/>
        <v>---</v>
      </c>
      <c r="M331" t="str">
        <f t="shared" si="139"/>
        <v>---</v>
      </c>
      <c r="N331" t="str">
        <f t="shared" si="139"/>
        <v>---</v>
      </c>
      <c r="O331" t="str">
        <f t="shared" si="139"/>
        <v>---</v>
      </c>
      <c r="P331" t="str">
        <f t="shared" si="139"/>
        <v>---</v>
      </c>
    </row>
    <row r="332" spans="1:16" x14ac:dyDescent="0.25">
      <c r="A332" t="str">
        <f t="shared" si="135"/>
        <v>人民币</v>
      </c>
      <c r="B332" t="str">
        <f>"华信新材"</f>
        <v>华信新材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"55"</f>
        <v>55</v>
      </c>
      <c r="J332" t="str">
        <f>"申购配号(华信新材)"</f>
        <v>申购配号(华信新材)</v>
      </c>
      <c r="K332" t="str">
        <f t="shared" ref="K332:N333" si="140">"0.00"</f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"300717"</f>
        <v>300717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"海川智能"</f>
        <v>海川智能</v>
      </c>
      <c r="C333" t="str">
        <f>"20171026"</f>
        <v>20171026</v>
      </c>
      <c r="D333" t="str">
        <f>"0.000"</f>
        <v>0.000</v>
      </c>
      <c r="E333" t="str">
        <f>"11.00"</f>
        <v>11.00</v>
      </c>
      <c r="F333" t="str">
        <f>"0.00"</f>
        <v>0.00</v>
      </c>
      <c r="G333" t="str">
        <f>"1697.87"</f>
        <v>1697.87</v>
      </c>
      <c r="H333" t="str">
        <f>"0.00"</f>
        <v>0.00</v>
      </c>
      <c r="I333" t="str">
        <f>"57"</f>
        <v>57</v>
      </c>
      <c r="J333" t="str">
        <f>"申购配号(海川智能)"</f>
        <v>申购配号(海川智能)</v>
      </c>
      <c r="K333" t="str">
        <f t="shared" si="140"/>
        <v>0.00</v>
      </c>
      <c r="L333" t="str">
        <f t="shared" si="140"/>
        <v>0.00</v>
      </c>
      <c r="M333" t="str">
        <f t="shared" si="140"/>
        <v>0.00</v>
      </c>
      <c r="N333" t="str">
        <f t="shared" si="140"/>
        <v>0.00</v>
      </c>
      <c r="O333" t="str">
        <f>"300720"</f>
        <v>300720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"西部建设"</f>
        <v>西部建设</v>
      </c>
      <c r="C334" t="str">
        <f>"20171102"</f>
        <v>20171102</v>
      </c>
      <c r="D334" t="str">
        <f>"16.870"</f>
        <v>16.870</v>
      </c>
      <c r="E334" t="str">
        <f>"100.00"</f>
        <v>100.00</v>
      </c>
      <c r="F334" t="str">
        <f>"-1692.00"</f>
        <v>-1692.00</v>
      </c>
      <c r="G334" t="str">
        <f t="shared" ref="G334:G339" si="141">"5.87"</f>
        <v>5.87</v>
      </c>
      <c r="H334" t="str">
        <f>"2600.00"</f>
        <v>2600.00</v>
      </c>
      <c r="I334" t="str">
        <f>"68"</f>
        <v>68</v>
      </c>
      <c r="J334" t="str">
        <f>"证券买入(西部建设)"</f>
        <v>证券买入(西部建设)</v>
      </c>
      <c r="K334" t="str">
        <f>"5.00"</f>
        <v>5.00</v>
      </c>
      <c r="L334" t="str">
        <f t="shared" ref="L334:N339" si="142">"0.00"</f>
        <v>0.00</v>
      </c>
      <c r="M334" t="str">
        <f t="shared" si="142"/>
        <v>0.00</v>
      </c>
      <c r="N334" t="str">
        <f t="shared" si="142"/>
        <v>0.00</v>
      </c>
      <c r="O334" t="str">
        <f>"002302"</f>
        <v>002302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"怡达股份"</f>
        <v>怡达股份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"66"</f>
        <v>66</v>
      </c>
      <c r="J335" t="str">
        <f>"申购配号(怡达股份)"</f>
        <v>申购配号(怡达股份)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"300721"</f>
        <v>300721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"盘龙药业"</f>
        <v>盘龙药业</v>
      </c>
      <c r="C336" t="str">
        <f>"20171102"</f>
        <v>20171102</v>
      </c>
      <c r="D336" t="str">
        <f>"0.000"</f>
        <v>0.000</v>
      </c>
      <c r="E336" t="str">
        <f>"11.00"</f>
        <v>11.00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"64"</f>
        <v>64</v>
      </c>
      <c r="J336" t="str">
        <f>"申购配号(盘龙药业)"</f>
        <v>申购配号(盘龙药业)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"002864"</f>
        <v>002864</v>
      </c>
      <c r="P336" t="str">
        <f>"0153613480"</f>
        <v>0153613480</v>
      </c>
    </row>
    <row r="337" spans="1:16" x14ac:dyDescent="0.25">
      <c r="A337" t="str">
        <f t="shared" si="135"/>
        <v>人民币</v>
      </c>
      <c r="B337" t="str">
        <f>"小康配号"</f>
        <v>小康配号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"74"</f>
        <v>74</v>
      </c>
      <c r="J337" t="str">
        <f>"申购配号(小康配号)"</f>
        <v>申购配号(小康配号)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"794127"</f>
        <v>794127</v>
      </c>
      <c r="P337" t="str">
        <f>"A400948245"</f>
        <v>A400948245</v>
      </c>
    </row>
    <row r="338" spans="1:16" x14ac:dyDescent="0.25">
      <c r="A338" t="str">
        <f t="shared" si="135"/>
        <v>人民币</v>
      </c>
      <c r="B338" t="str">
        <f>"时达发债"</f>
        <v>时达发债</v>
      </c>
      <c r="C338" t="str">
        <f>"20171106"</f>
        <v>20171106</v>
      </c>
      <c r="D338" t="str">
        <f>"0.000"</f>
        <v>0.000</v>
      </c>
      <c r="E338" t="str">
        <f>"1000.00"</f>
        <v>1000.00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"76"</f>
        <v>76</v>
      </c>
      <c r="J338" t="str">
        <f>"申购配号(时达发债)"</f>
        <v>申购配号(时达发债)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"072527"</f>
        <v>072527</v>
      </c>
      <c r="P338" t="str">
        <f t="shared" ref="P338:P343" si="143">"0153613480"</f>
        <v>0153613480</v>
      </c>
    </row>
    <row r="339" spans="1:16" x14ac:dyDescent="0.25">
      <c r="A339" t="str">
        <f t="shared" si="135"/>
        <v>人民币</v>
      </c>
      <c r="B339" t="str">
        <f>"一品红"</f>
        <v>一品红</v>
      </c>
      <c r="C339" t="str">
        <f>"20171107"</f>
        <v>20171107</v>
      </c>
      <c r="D339" t="str">
        <f>"0.000"</f>
        <v>0.000</v>
      </c>
      <c r="E339" t="str">
        <f>"11.00"</f>
        <v>11.00</v>
      </c>
      <c r="F339" t="str">
        <f>"0.00"</f>
        <v>0.00</v>
      </c>
      <c r="G339" t="str">
        <f t="shared" si="141"/>
        <v>5.87</v>
      </c>
      <c r="H339" t="str">
        <f>"0.00"</f>
        <v>0.00</v>
      </c>
      <c r="I339" t="str">
        <f>"1"</f>
        <v>1</v>
      </c>
      <c r="J339" t="str">
        <f>"申购配号(一品红)"</f>
        <v>申购配号(一品红)</v>
      </c>
      <c r="K339" t="str">
        <f>"0.00"</f>
        <v>0.00</v>
      </c>
      <c r="L339" t="str">
        <f t="shared" si="142"/>
        <v>0.00</v>
      </c>
      <c r="M339" t="str">
        <f t="shared" si="142"/>
        <v>0.00</v>
      </c>
      <c r="N339" t="str">
        <f t="shared" si="142"/>
        <v>0.00</v>
      </c>
      <c r="O339" t="str">
        <f>"300723"</f>
        <v>300723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"西部建设"</f>
        <v>西部建设</v>
      </c>
      <c r="C340" t="str">
        <f>"20171110"</f>
        <v>20171110</v>
      </c>
      <c r="D340" t="str">
        <f>"16.250"</f>
        <v>16.250</v>
      </c>
      <c r="E340" t="str">
        <f>"-1300.00"</f>
        <v>-1300.00</v>
      </c>
      <c r="F340" t="str">
        <f>"21097.32"</f>
        <v>21097.32</v>
      </c>
      <c r="G340" t="str">
        <f>"21103.19"</f>
        <v>21103.19</v>
      </c>
      <c r="H340" t="str">
        <f>"1300.00"</f>
        <v>1300.00</v>
      </c>
      <c r="I340" t="str">
        <f>"6"</f>
        <v>6</v>
      </c>
      <c r="J340" t="str">
        <f>"证券卖出(西部建设)"</f>
        <v>证券卖出(西部建设)</v>
      </c>
      <c r="K340" t="str">
        <f>"6.55"</f>
        <v>6.55</v>
      </c>
      <c r="L340" t="str">
        <f>"21.13"</f>
        <v>21.13</v>
      </c>
      <c r="M340" t="str">
        <f t="shared" ref="M340:N344" si="144">"0.00"</f>
        <v>0.00</v>
      </c>
      <c r="N340" t="str">
        <f t="shared" si="144"/>
        <v>0.00</v>
      </c>
      <c r="O340" t="str">
        <f>"002302"</f>
        <v>002302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"宏达电子"</f>
        <v>宏达电子</v>
      </c>
      <c r="C341" t="str">
        <f>"20171110"</f>
        <v>20171110</v>
      </c>
      <c r="D341" t="str">
        <f>"0.000"</f>
        <v>0.000</v>
      </c>
      <c r="E341" t="str">
        <f>"11.00"</f>
        <v>11.00</v>
      </c>
      <c r="F341" t="str">
        <f>"0.00"</f>
        <v>0.00</v>
      </c>
      <c r="G341" t="str">
        <f>"21103.19"</f>
        <v>21103.19</v>
      </c>
      <c r="H341" t="str">
        <f>"0.00"</f>
        <v>0.00</v>
      </c>
      <c r="I341" t="str">
        <f>"10"</f>
        <v>10</v>
      </c>
      <c r="J341" t="str">
        <f>"申购配号(宏达电子)"</f>
        <v>申购配号(宏达电子)</v>
      </c>
      <c r="K341" t="str">
        <f>"0.00"</f>
        <v>0.00</v>
      </c>
      <c r="L341" t="str">
        <f>"0.00"</f>
        <v>0.00</v>
      </c>
      <c r="M341" t="str">
        <f t="shared" si="144"/>
        <v>0.00</v>
      </c>
      <c r="N341" t="str">
        <f t="shared" si="144"/>
        <v>0.00</v>
      </c>
      <c r="O341" t="str">
        <f>"300726"</f>
        <v>300726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"西部建设"</f>
        <v>西部建设</v>
      </c>
      <c r="C342" t="str">
        <f>"20171113"</f>
        <v>20171113</v>
      </c>
      <c r="D342" t="str">
        <f>"16.220"</f>
        <v>16.220</v>
      </c>
      <c r="E342" t="str">
        <f>"-1300.00"</f>
        <v>-1300.00</v>
      </c>
      <c r="F342" t="str">
        <f>"21058.37"</f>
        <v>21058.37</v>
      </c>
      <c r="G342" t="str">
        <f>"42161.56"</f>
        <v>42161.56</v>
      </c>
      <c r="H342" t="str">
        <f>"0.00"</f>
        <v>0.00</v>
      </c>
      <c r="I342" t="str">
        <f>"20"</f>
        <v>20</v>
      </c>
      <c r="J342" t="str">
        <f>"证券卖出(西部建设)"</f>
        <v>证券卖出(西部建设)</v>
      </c>
      <c r="K342" t="str">
        <f>"6.54"</f>
        <v>6.54</v>
      </c>
      <c r="L342" t="str">
        <f>"21.09"</f>
        <v>21.09</v>
      </c>
      <c r="M342" t="str">
        <f t="shared" si="144"/>
        <v>0.00</v>
      </c>
      <c r="N342" t="str">
        <f t="shared" si="144"/>
        <v>0.00</v>
      </c>
      <c r="O342" t="str">
        <f>"002302"</f>
        <v>002302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"赛为智能"</f>
        <v>赛为智能</v>
      </c>
      <c r="C343" t="str">
        <f>"20171113"</f>
        <v>20171113</v>
      </c>
      <c r="D343" t="str">
        <f>"19.600"</f>
        <v>19.600</v>
      </c>
      <c r="E343" t="str">
        <f>"-900.00"</f>
        <v>-900.00</v>
      </c>
      <c r="F343" t="str">
        <f>"17616.89"</f>
        <v>17616.89</v>
      </c>
      <c r="G343" t="str">
        <f>"59778.45"</f>
        <v>59778.45</v>
      </c>
      <c r="H343" t="str">
        <f>"0.00"</f>
        <v>0.00</v>
      </c>
      <c r="I343" t="str">
        <f>"14"</f>
        <v>14</v>
      </c>
      <c r="J343" t="str">
        <f>"证券卖出(赛为智能)"</f>
        <v>证券卖出(赛为智能)</v>
      </c>
      <c r="K343" t="str">
        <f>"5.47"</f>
        <v>5.47</v>
      </c>
      <c r="L343" t="str">
        <f>"17.64"</f>
        <v>17.64</v>
      </c>
      <c r="M343" t="str">
        <f t="shared" si="144"/>
        <v>0.00</v>
      </c>
      <c r="N343" t="str">
        <f t="shared" si="144"/>
        <v>0.00</v>
      </c>
      <c r="O343" t="str">
        <f>"300044"</f>
        <v>300044</v>
      </c>
      <c r="P343" t="str">
        <f t="shared" si="143"/>
        <v>0153613480</v>
      </c>
    </row>
    <row r="344" spans="1:16" x14ac:dyDescent="0.25">
      <c r="A344" t="str">
        <f t="shared" si="135"/>
        <v>人民币</v>
      </c>
      <c r="B344" t="str">
        <f>"天添利"</f>
        <v>天添利</v>
      </c>
      <c r="C344" t="str">
        <f>"20171113"</f>
        <v>20171113</v>
      </c>
      <c r="D344" t="str">
        <f>"1.000"</f>
        <v>1.000</v>
      </c>
      <c r="E344" t="str">
        <f>"59777.45"</f>
        <v>59777.45</v>
      </c>
      <c r="F344" t="str">
        <f>"-59777.45"</f>
        <v>-59777.45</v>
      </c>
      <c r="G344" t="str">
        <f>"1.00"</f>
        <v>1.00</v>
      </c>
      <c r="H344" t="str">
        <f>"59777.45"</f>
        <v>59777.45</v>
      </c>
      <c r="I344" t="str">
        <f>""</f>
        <v/>
      </c>
      <c r="J344" t="str">
        <f>"保证金产品申购(天添利)"</f>
        <v>保证金产品申购(天添利)</v>
      </c>
      <c r="K344" t="str">
        <f>"0.00"</f>
        <v>0.00</v>
      </c>
      <c r="L344" t="str">
        <f>"0.00"</f>
        <v>0.00</v>
      </c>
      <c r="M344" t="str">
        <f t="shared" si="144"/>
        <v>0.00</v>
      </c>
      <c r="N344" t="str">
        <f t="shared" si="144"/>
        <v>0.00</v>
      </c>
      <c r="O344" t="str">
        <f>"880013"</f>
        <v>880013</v>
      </c>
      <c r="P344" t="str">
        <f>"980518091676"</f>
        <v>980518091676</v>
      </c>
    </row>
    <row r="345" spans="1:16" x14ac:dyDescent="0.25">
      <c r="A345" t="str">
        <f t="shared" si="135"/>
        <v>人民币</v>
      </c>
      <c r="B345" t="str">
        <f>""</f>
        <v/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"59777.00"</f>
        <v>59777.00</v>
      </c>
      <c r="G345" t="str">
        <f>"59778.00"</f>
        <v>59778.00</v>
      </c>
      <c r="H345" t="str">
        <f>"---"</f>
        <v>---</v>
      </c>
      <c r="I345" t="str">
        <f>"---"</f>
        <v>---</v>
      </c>
      <c r="J345" t="str">
        <f>"保证金产品快速取款"</f>
        <v>保证金产品快速取款</v>
      </c>
      <c r="K345" t="str">
        <f t="shared" ref="K345:P346" si="145">"---"</f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""</f>
        <v/>
      </c>
      <c r="C346" t="str">
        <f>"20171114"</f>
        <v>20171114</v>
      </c>
      <c r="D346" t="str">
        <f>"---"</f>
        <v>---</v>
      </c>
      <c r="E346" t="str">
        <f>"---"</f>
        <v>---</v>
      </c>
      <c r="F346" t="str">
        <f>"-59777.00"</f>
        <v>-59777.00</v>
      </c>
      <c r="G346" t="str">
        <f>"1.00"</f>
        <v>1.00</v>
      </c>
      <c r="H346" t="str">
        <f>"---"</f>
        <v>---</v>
      </c>
      <c r="I346" t="str">
        <f>"---"</f>
        <v>---</v>
      </c>
      <c r="J346" t="str">
        <f>"银行转取"</f>
        <v>银行转取</v>
      </c>
      <c r="K346" t="str">
        <f t="shared" si="145"/>
        <v>---</v>
      </c>
      <c r="L346" t="str">
        <f t="shared" si="145"/>
        <v>---</v>
      </c>
      <c r="M346" t="str">
        <f t="shared" si="145"/>
        <v>---</v>
      </c>
      <c r="N346" t="str">
        <f t="shared" si="145"/>
        <v>---</v>
      </c>
      <c r="O346" t="str">
        <f t="shared" si="145"/>
        <v>---</v>
      </c>
      <c r="P346" t="str">
        <f t="shared" si="145"/>
        <v>---</v>
      </c>
    </row>
    <row r="347" spans="1:16" x14ac:dyDescent="0.25">
      <c r="A347" t="str">
        <f t="shared" si="135"/>
        <v>人民币</v>
      </c>
      <c r="B347" t="str">
        <f>"天添利"</f>
        <v>天添利</v>
      </c>
      <c r="C347" t="str">
        <f>"20171114"</f>
        <v>20171114</v>
      </c>
      <c r="D347" t="str">
        <f>"1.000"</f>
        <v>1.000</v>
      </c>
      <c r="E347" t="str">
        <f>"-59777.00"</f>
        <v>-59777.00</v>
      </c>
      <c r="F347" t="str">
        <f>"0.00"</f>
        <v>0.00</v>
      </c>
      <c r="G347" t="str">
        <f>"1.00"</f>
        <v>1.00</v>
      </c>
      <c r="H347" t="str">
        <f>"0.45"</f>
        <v>0.45</v>
      </c>
      <c r="I347" t="str">
        <f>""</f>
        <v/>
      </c>
      <c r="J347" t="str">
        <f>"保证金份额转让划出(天添利)"</f>
        <v>保证金份额转让划出(天添利)</v>
      </c>
      <c r="K347" t="str">
        <f>"0.00"</f>
        <v>0.00</v>
      </c>
      <c r="L347" t="str">
        <f>"0.00"</f>
        <v>0.00</v>
      </c>
      <c r="M347" t="str">
        <f>"0.00"</f>
        <v>0.00</v>
      </c>
      <c r="N347" t="str">
        <f>"0.00"</f>
        <v>0.00</v>
      </c>
      <c r="O347" t="str">
        <f>"880013"</f>
        <v>880013</v>
      </c>
      <c r="P347" t="str">
        <f>"980518091676"</f>
        <v>980518091676</v>
      </c>
    </row>
    <row r="348" spans="1:16" x14ac:dyDescent="0.25">
      <c r="A348" t="str">
        <f t="shared" si="135"/>
        <v>人民币</v>
      </c>
      <c r="B348" t="str">
        <f>""</f>
        <v/>
      </c>
      <c r="C348" t="str">
        <f>"20171115"</f>
        <v>20171115</v>
      </c>
      <c r="D348" t="str">
        <f>"---"</f>
        <v>---</v>
      </c>
      <c r="E348" t="str">
        <f>"---"</f>
        <v>---</v>
      </c>
      <c r="F348" t="str">
        <f>"9942.00"</f>
        <v>9942.00</v>
      </c>
      <c r="G348" t="str">
        <f>"9943.00"</f>
        <v>9943.00</v>
      </c>
      <c r="H348" t="str">
        <f>"---"</f>
        <v>---</v>
      </c>
      <c r="I348" t="str">
        <f>"---"</f>
        <v>---</v>
      </c>
      <c r="J348" t="str">
        <f>"银行转存"</f>
        <v>银行转存</v>
      </c>
      <c r="K348" t="str">
        <f t="shared" ref="K348:P348" si="146">"---"</f>
        <v>---</v>
      </c>
      <c r="L348" t="str">
        <f t="shared" si="146"/>
        <v>---</v>
      </c>
      <c r="M348" t="str">
        <f t="shared" si="146"/>
        <v>---</v>
      </c>
      <c r="N348" t="str">
        <f t="shared" si="146"/>
        <v>---</v>
      </c>
      <c r="O348" t="str">
        <f t="shared" si="146"/>
        <v>---</v>
      </c>
      <c r="P348" t="str">
        <f t="shared" si="146"/>
        <v>---</v>
      </c>
    </row>
    <row r="349" spans="1:16" x14ac:dyDescent="0.25">
      <c r="A349" t="str">
        <f t="shared" si="135"/>
        <v>人民币</v>
      </c>
      <c r="B349" t="str">
        <f>"武汉凡谷"</f>
        <v>武汉凡谷</v>
      </c>
      <c r="C349" t="str">
        <f>"20171115"</f>
        <v>20171115</v>
      </c>
      <c r="D349" t="str">
        <f>"13.880"</f>
        <v>13.880</v>
      </c>
      <c r="E349" t="str">
        <f>"300.00"</f>
        <v>300.00</v>
      </c>
      <c r="F349" t="str">
        <f>"-4169.00"</f>
        <v>-4169.00</v>
      </c>
      <c r="G349" t="str">
        <f>"5774.00"</f>
        <v>5774.00</v>
      </c>
      <c r="H349" t="str">
        <f>"300.00"</f>
        <v>300.00</v>
      </c>
      <c r="I349" t="str">
        <f>"36"</f>
        <v>36</v>
      </c>
      <c r="J349" t="str">
        <f>"证券买入(武汉凡谷)"</f>
        <v>证券买入(武汉凡谷)</v>
      </c>
      <c r="K349" t="str">
        <f>"5.00"</f>
        <v>5.00</v>
      </c>
      <c r="L349" t="str">
        <f t="shared" ref="L349:N351" si="147">"0.00"</f>
        <v>0.00</v>
      </c>
      <c r="M349" t="str">
        <f t="shared" si="147"/>
        <v>0.00</v>
      </c>
      <c r="N349" t="str">
        <f t="shared" si="147"/>
        <v>0.00</v>
      </c>
      <c r="O349" t="str">
        <f>"002194"</f>
        <v>002194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"润禾材料"</f>
        <v>润禾材料</v>
      </c>
      <c r="C350" t="str">
        <f>"20171115"</f>
        <v>20171115</v>
      </c>
      <c r="D350" t="str">
        <f>"0.000"</f>
        <v>0.000</v>
      </c>
      <c r="E350" t="str">
        <f>"10.00"</f>
        <v>10.00</v>
      </c>
      <c r="F350" t="str">
        <f>"0.00"</f>
        <v>0.00</v>
      </c>
      <c r="G350" t="str">
        <f>"5774.00"</f>
        <v>5774.00</v>
      </c>
      <c r="H350" t="str">
        <f>"0.00"</f>
        <v>0.00</v>
      </c>
      <c r="I350" t="str">
        <f>"34"</f>
        <v>34</v>
      </c>
      <c r="J350" t="str">
        <f>"申购配号(润禾材料)"</f>
        <v>申购配号(润禾材料)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"300727"</f>
        <v>300727</v>
      </c>
      <c r="P350" t="str">
        <f>"0153613480"</f>
        <v>0153613480</v>
      </c>
    </row>
    <row r="351" spans="1:16" x14ac:dyDescent="0.25">
      <c r="A351" t="str">
        <f t="shared" si="135"/>
        <v>人民币</v>
      </c>
      <c r="B351" t="str">
        <f>"天添利"</f>
        <v>天添利</v>
      </c>
      <c r="C351" t="str">
        <f>"20171115"</f>
        <v>20171115</v>
      </c>
      <c r="D351" t="str">
        <f>"1.000"</f>
        <v>1.000</v>
      </c>
      <c r="E351" t="str">
        <f>"5773.00"</f>
        <v>5773.00</v>
      </c>
      <c r="F351" t="str">
        <f>"-5773.00"</f>
        <v>-5773.00</v>
      </c>
      <c r="G351" t="str">
        <f>"1.00"</f>
        <v>1.00</v>
      </c>
      <c r="H351" t="str">
        <f>"5773.45"</f>
        <v>5773.45</v>
      </c>
      <c r="I351" t="str">
        <f>""</f>
        <v/>
      </c>
      <c r="J351" t="str">
        <f>"保证金产品申购(天添利)"</f>
        <v>保证金产品申购(天添利)</v>
      </c>
      <c r="K351" t="str">
        <f>"0.00"</f>
        <v>0.00</v>
      </c>
      <c r="L351" t="str">
        <f t="shared" si="147"/>
        <v>0.00</v>
      </c>
      <c r="M351" t="str">
        <f t="shared" si="147"/>
        <v>0.00</v>
      </c>
      <c r="N351" t="str">
        <f t="shared" si="147"/>
        <v>0.00</v>
      </c>
      <c r="O351" t="str">
        <f>"880013"</f>
        <v>880013</v>
      </c>
      <c r="P351" t="str">
        <f>"980518091676"</f>
        <v>980518091676</v>
      </c>
    </row>
    <row r="352" spans="1:16" x14ac:dyDescent="0.25">
      <c r="A352" t="str">
        <f t="shared" si="135"/>
        <v>人民币</v>
      </c>
      <c r="B352" t="str">
        <f>"武汉凡谷"</f>
        <v>武汉凡谷</v>
      </c>
      <c r="C352" t="str">
        <f>"20171116"</f>
        <v>20171116</v>
      </c>
      <c r="D352" t="str">
        <f>"15.260"</f>
        <v>15.260</v>
      </c>
      <c r="E352" t="str">
        <f>"-300.00"</f>
        <v>-300.00</v>
      </c>
      <c r="F352" t="str">
        <f>"4568.42"</f>
        <v>4568.42</v>
      </c>
      <c r="G352" t="str">
        <f>"4569.42"</f>
        <v>4569.42</v>
      </c>
      <c r="H352" t="str">
        <f>"0.00"</f>
        <v>0.00</v>
      </c>
      <c r="I352" t="str">
        <f>"45"</f>
        <v>45</v>
      </c>
      <c r="J352" t="str">
        <f>"证券卖出(武汉凡谷)"</f>
        <v>证券卖出(武汉凡谷)</v>
      </c>
      <c r="K352" t="str">
        <f>"5.00"</f>
        <v>5.00</v>
      </c>
      <c r="L352" t="str">
        <f>"4.58"</f>
        <v>4.58</v>
      </c>
      <c r="M352" t="str">
        <f t="shared" ref="M352:N355" si="148">"0.00"</f>
        <v>0.00</v>
      </c>
      <c r="N352" t="str">
        <f t="shared" si="148"/>
        <v>0.00</v>
      </c>
      <c r="O352" t="str">
        <f>"002194"</f>
        <v>002194</v>
      </c>
      <c r="P352" t="str">
        <f>"0153613480"</f>
        <v>0153613480</v>
      </c>
    </row>
    <row r="353" spans="1:16" x14ac:dyDescent="0.25">
      <c r="A353" t="str">
        <f t="shared" si="135"/>
        <v>人民币</v>
      </c>
      <c r="B353" t="str">
        <f>"天添利"</f>
        <v>天添利</v>
      </c>
      <c r="C353" t="str">
        <f>"20171116"</f>
        <v>20171116</v>
      </c>
      <c r="D353" t="str">
        <f>"1.000"</f>
        <v>1.000</v>
      </c>
      <c r="E353" t="str">
        <f>"4568.42"</f>
        <v>4568.42</v>
      </c>
      <c r="F353" t="str">
        <f>"-4568.42"</f>
        <v>-4568.42</v>
      </c>
      <c r="G353" t="str">
        <f>"1.00"</f>
        <v>1.00</v>
      </c>
      <c r="H353" t="str">
        <f>"10341.87"</f>
        <v>10341.87</v>
      </c>
      <c r="I353" t="str">
        <f>""</f>
        <v/>
      </c>
      <c r="J353" t="str">
        <f>"保证金产品申购(天添利)"</f>
        <v>保证金产品申购(天添利)</v>
      </c>
      <c r="K353" t="str">
        <f>"0.00"</f>
        <v>0.00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"880013"</f>
        <v>880013</v>
      </c>
      <c r="P353" t="str">
        <f>"980518091676"</f>
        <v>980518091676</v>
      </c>
    </row>
    <row r="354" spans="1:16" x14ac:dyDescent="0.25">
      <c r="A354" t="str">
        <f t="shared" si="135"/>
        <v>人民币</v>
      </c>
      <c r="B354" t="str">
        <f>"汉王科技"</f>
        <v>汉王科技</v>
      </c>
      <c r="C354" t="str">
        <f>"20171117"</f>
        <v>20171117</v>
      </c>
      <c r="D354" t="str">
        <f>"33.300"</f>
        <v>33.300</v>
      </c>
      <c r="E354" t="str">
        <f>"100.00"</f>
        <v>100.00</v>
      </c>
      <c r="F354" t="str">
        <f>"-3335.00"</f>
        <v>-3335.00</v>
      </c>
      <c r="G354" t="str">
        <f>"-3334.00"</f>
        <v>-3334.00</v>
      </c>
      <c r="H354" t="str">
        <f>"100.00"</f>
        <v>100.00</v>
      </c>
      <c r="I354" t="str">
        <f>"52"</f>
        <v>52</v>
      </c>
      <c r="J354" t="str">
        <f>"证券买入(汉王科技)"</f>
        <v>证券买入(汉王科技)</v>
      </c>
      <c r="K354" t="str">
        <f>"5.00"</f>
        <v>5.00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"002362"</f>
        <v>002362</v>
      </c>
      <c r="P354" t="str">
        <f>"0153613480"</f>
        <v>0153613480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"1.000"</f>
        <v>1.000</v>
      </c>
      <c r="E355" t="str">
        <f>"-3335.00"</f>
        <v>-3335.00</v>
      </c>
      <c r="F355" t="str">
        <f>"3335.00"</f>
        <v>3335.00</v>
      </c>
      <c r="G355" t="str">
        <f>"-3334.00"</f>
        <v>-3334.00</v>
      </c>
      <c r="H355" t="str">
        <f>"7006.87"</f>
        <v>7006.87</v>
      </c>
      <c r="I355" t="str">
        <f>""</f>
        <v/>
      </c>
      <c r="J355" t="str">
        <f>"保证金产品赎回(天添利)"</f>
        <v>保证金产品赎回(天添利)</v>
      </c>
      <c r="K355" t="str">
        <f>"0.00"</f>
        <v>0.00</v>
      </c>
      <c r="L355" t="str">
        <f>"0.00"</f>
        <v>0.00</v>
      </c>
      <c r="M355" t="str">
        <f t="shared" si="148"/>
        <v>0.00</v>
      </c>
      <c r="N355" t="str">
        <f t="shared" si="148"/>
        <v>0.00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"天添利"</f>
        <v>天添利</v>
      </c>
      <c r="C356" t="str">
        <f>"20171117"</f>
        <v>20171117</v>
      </c>
      <c r="D356" t="str">
        <f>"0.000"</f>
        <v>0.000</v>
      </c>
      <c r="E356" t="str">
        <f>"0.00"</f>
        <v>0.00</v>
      </c>
      <c r="F356" t="str">
        <f>"3335.00"</f>
        <v>3335.00</v>
      </c>
      <c r="G356" t="str">
        <f>"1.00"</f>
        <v>1.00</v>
      </c>
      <c r="H356" t="str">
        <f>"7006.87"</f>
        <v>7006.87</v>
      </c>
      <c r="I356" t="str">
        <f>"---"</f>
        <v>---</v>
      </c>
      <c r="J356" t="str">
        <f>"赎回到帐(天添利)"</f>
        <v>赎回到帐(天添利)</v>
      </c>
      <c r="K356" t="str">
        <f t="shared" ref="K356:N358" si="149">"---"</f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"880013"</f>
        <v>880013</v>
      </c>
      <c r="P356" t="str">
        <f>"980518091676"</f>
        <v>980518091676</v>
      </c>
    </row>
    <row r="357" spans="1:16" x14ac:dyDescent="0.25">
      <c r="A357" t="str">
        <f t="shared" si="135"/>
        <v>人民币</v>
      </c>
      <c r="B357" t="str">
        <f>""</f>
        <v/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"7006.00"</f>
        <v>7006.00</v>
      </c>
      <c r="G357" t="str">
        <f>"7007.00"</f>
        <v>7007.00</v>
      </c>
      <c r="H357" t="str">
        <f>"---"</f>
        <v>---</v>
      </c>
      <c r="I357" t="str">
        <f>"---"</f>
        <v>---</v>
      </c>
      <c r="J357" t="str">
        <f>"保证金产品快速取款"</f>
        <v>保证金产品快速取款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""</f>
        <v/>
      </c>
      <c r="C358" t="str">
        <f>"20171120"</f>
        <v>20171120</v>
      </c>
      <c r="D358" t="str">
        <f>"---"</f>
        <v>---</v>
      </c>
      <c r="E358" t="str">
        <f>"---"</f>
        <v>---</v>
      </c>
      <c r="F358" t="str">
        <f>"-7006.00"</f>
        <v>-7006.00</v>
      </c>
      <c r="G358" t="str">
        <f>"1.00"</f>
        <v>1.00</v>
      </c>
      <c r="H358" t="str">
        <f>"---"</f>
        <v>---</v>
      </c>
      <c r="I358" t="str">
        <f>"---"</f>
        <v>---</v>
      </c>
      <c r="J358" t="str">
        <f>"银行转取"</f>
        <v>银行转取</v>
      </c>
      <c r="K358" t="str">
        <f t="shared" si="149"/>
        <v>---</v>
      </c>
      <c r="L358" t="str">
        <f t="shared" si="149"/>
        <v>---</v>
      </c>
      <c r="M358" t="str">
        <f t="shared" si="149"/>
        <v>---</v>
      </c>
      <c r="N358" t="str">
        <f t="shared" si="149"/>
        <v>---</v>
      </c>
      <c r="O358" t="str">
        <f>"---"</f>
        <v>---</v>
      </c>
      <c r="P358" t="str">
        <f>"---"</f>
        <v>---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"-7006.00"</f>
        <v>-7006.00</v>
      </c>
      <c r="F359" t="str">
        <f>"0.00"</f>
        <v>0.00</v>
      </c>
      <c r="G359" t="str">
        <f>"1.00"</f>
        <v>1.00</v>
      </c>
      <c r="H359" t="str">
        <f>"0.87"</f>
        <v>0.87</v>
      </c>
      <c r="I359" t="str">
        <f>""</f>
        <v/>
      </c>
      <c r="J359" t="str">
        <f>"保证金份额转让划出(天添利)"</f>
        <v>保证金份额转让划出(天添利)</v>
      </c>
      <c r="K359" t="str">
        <f t="shared" ref="K359:N360" si="150">"0.00"</f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"1.000"</f>
        <v>1.000</v>
      </c>
      <c r="E360" t="str">
        <f>"-0.87"</f>
        <v>-0.87</v>
      </c>
      <c r="F360" t="str">
        <f>"0.87"</f>
        <v>0.87</v>
      </c>
      <c r="G360" t="str">
        <f>"1.00"</f>
        <v>1.00</v>
      </c>
      <c r="H360" t="str">
        <f>"0.00"</f>
        <v>0.00</v>
      </c>
      <c r="I360" t="str">
        <f>""</f>
        <v/>
      </c>
      <c r="J360" t="str">
        <f>"保证金产品赎回(天添利)"</f>
        <v>保证金产品赎回(天添利)</v>
      </c>
      <c r="K360" t="str">
        <f t="shared" si="150"/>
        <v>0.00</v>
      </c>
      <c r="L360" t="str">
        <f t="shared" si="150"/>
        <v>0.00</v>
      </c>
      <c r="M360" t="str">
        <f t="shared" si="150"/>
        <v>0.00</v>
      </c>
      <c r="N360" t="str">
        <f t="shared" si="150"/>
        <v>0.00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"天添利"</f>
        <v>天添利</v>
      </c>
      <c r="C361" t="str">
        <f>"20171120"</f>
        <v>20171120</v>
      </c>
      <c r="D361" t="str">
        <f>"0.000"</f>
        <v>0.000</v>
      </c>
      <c r="E361" t="str">
        <f>"0.00"</f>
        <v>0.00</v>
      </c>
      <c r="F361" t="str">
        <f>"0.87"</f>
        <v>0.87</v>
      </c>
      <c r="G361" t="str">
        <f>"1.87"</f>
        <v>1.87</v>
      </c>
      <c r="H361" t="str">
        <f>"0.00"</f>
        <v>0.00</v>
      </c>
      <c r="I361" t="str">
        <f>"---"</f>
        <v>---</v>
      </c>
      <c r="J361" t="str">
        <f>"赎回到帐(天添利)"</f>
        <v>赎回到帐(天添利)</v>
      </c>
      <c r="K361" t="str">
        <f t="shared" ref="K361:N362" si="151">"---"</f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"880013"</f>
        <v>880013</v>
      </c>
      <c r="P361" t="str">
        <f>"980518091676"</f>
        <v>980518091676</v>
      </c>
    </row>
    <row r="362" spans="1:16" x14ac:dyDescent="0.25">
      <c r="A362" t="str">
        <f t="shared" si="135"/>
        <v>人民币</v>
      </c>
      <c r="B362" t="str">
        <f>""</f>
        <v/>
      </c>
      <c r="C362" t="str">
        <f>"20171121"</f>
        <v>20171121</v>
      </c>
      <c r="D362" t="str">
        <f>"---"</f>
        <v>---</v>
      </c>
      <c r="E362" t="str">
        <f>"---"</f>
        <v>---</v>
      </c>
      <c r="F362" t="str">
        <f>"6006.00"</f>
        <v>6006.00</v>
      </c>
      <c r="G362" t="str">
        <f>"6007.87"</f>
        <v>6007.87</v>
      </c>
      <c r="H362" t="str">
        <f>"---"</f>
        <v>---</v>
      </c>
      <c r="I362" t="str">
        <f>"---"</f>
        <v>---</v>
      </c>
      <c r="J362" t="str">
        <f>"银行转存"</f>
        <v>银行转存</v>
      </c>
      <c r="K362" t="str">
        <f t="shared" si="151"/>
        <v>---</v>
      </c>
      <c r="L362" t="str">
        <f t="shared" si="151"/>
        <v>---</v>
      </c>
      <c r="M362" t="str">
        <f t="shared" si="151"/>
        <v>---</v>
      </c>
      <c r="N362" t="str">
        <f t="shared" si="151"/>
        <v>---</v>
      </c>
      <c r="O362" t="str">
        <f>"---"</f>
        <v>---</v>
      </c>
      <c r="P362" t="str">
        <f>"---"</f>
        <v>---</v>
      </c>
    </row>
    <row r="363" spans="1:16" x14ac:dyDescent="0.25">
      <c r="A363" t="str">
        <f t="shared" si="135"/>
        <v>人民币</v>
      </c>
      <c r="B363" t="str">
        <f>"汉王科技"</f>
        <v>汉王科技</v>
      </c>
      <c r="C363" t="str">
        <f>"20171121"</f>
        <v>20171121</v>
      </c>
      <c r="D363" t="str">
        <f>"33.150"</f>
        <v>33.150</v>
      </c>
      <c r="E363" t="str">
        <f>"100.00"</f>
        <v>100.00</v>
      </c>
      <c r="F363" t="str">
        <f>"-3320.00"</f>
        <v>-3320.00</v>
      </c>
      <c r="G363" t="str">
        <f>"2687.87"</f>
        <v>2687.87</v>
      </c>
      <c r="H363" t="str">
        <f>"200.00"</f>
        <v>200.00</v>
      </c>
      <c r="I363" t="str">
        <f>"71"</f>
        <v>71</v>
      </c>
      <c r="J363" t="str">
        <f>"证券买入(汉王科技)"</f>
        <v>证券买入(汉王科技)</v>
      </c>
      <c r="K363" t="str">
        <f>"5.00"</f>
        <v>5.00</v>
      </c>
      <c r="L363" t="str">
        <f t="shared" ref="L363:N365" si="152">"0.00"</f>
        <v>0.00</v>
      </c>
      <c r="M363" t="str">
        <f t="shared" si="152"/>
        <v>0.00</v>
      </c>
      <c r="N363" t="str">
        <f t="shared" si="152"/>
        <v>0.00</v>
      </c>
      <c r="O363" t="str">
        <f>"002362"</f>
        <v>002362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"奥士康"</f>
        <v>奥士康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"75"</f>
        <v>75</v>
      </c>
      <c r="J364" t="str">
        <f>"申购配号(奥士康)"</f>
        <v>申购配号(奥士康)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"002913"</f>
        <v>002913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"乐歌股份"</f>
        <v>乐歌股份</v>
      </c>
      <c r="C365" t="str">
        <f>"20171122"</f>
        <v>20171122</v>
      </c>
      <c r="D365" t="str">
        <f>"0.000"</f>
        <v>0.000</v>
      </c>
      <c r="E365" t="str">
        <f>"8.00"</f>
        <v>8.00</v>
      </c>
      <c r="F365" t="str">
        <f>"0.00"</f>
        <v>0.00</v>
      </c>
      <c r="G365" t="str">
        <f>"2687.87"</f>
        <v>2687.87</v>
      </c>
      <c r="H365" t="str">
        <f>"0.00"</f>
        <v>0.00</v>
      </c>
      <c r="I365" t="str">
        <f>"77"</f>
        <v>77</v>
      </c>
      <c r="J365" t="str">
        <f>"申购配号(乐歌股份)"</f>
        <v>申购配号(乐歌股份)</v>
      </c>
      <c r="K365" t="str">
        <f>"0.00"</f>
        <v>0.00</v>
      </c>
      <c r="L365" t="str">
        <f t="shared" si="152"/>
        <v>0.00</v>
      </c>
      <c r="M365" t="str">
        <f t="shared" si="152"/>
        <v>0.00</v>
      </c>
      <c r="N365" t="str">
        <f t="shared" si="152"/>
        <v>0.00</v>
      </c>
      <c r="O365" t="str">
        <f>"300729"</f>
        <v>300729</v>
      </c>
      <c r="P365" t="str">
        <f>"0153613480"</f>
        <v>0153613480</v>
      </c>
    </row>
    <row r="366" spans="1:16" x14ac:dyDescent="0.25">
      <c r="A366" t="str">
        <f t="shared" si="135"/>
        <v>人民币</v>
      </c>
      <c r="B366" t="str">
        <f>""</f>
        <v/>
      </c>
      <c r="C366" t="str">
        <f>"20171123"</f>
        <v>20171123</v>
      </c>
      <c r="D366" t="str">
        <f>"---"</f>
        <v>---</v>
      </c>
      <c r="E366" t="str">
        <f>"---"</f>
        <v>---</v>
      </c>
      <c r="F366" t="str">
        <f>"500.00"</f>
        <v>500.00</v>
      </c>
      <c r="G366" t="str">
        <f>"3187.87"</f>
        <v>3187.87</v>
      </c>
      <c r="H366" t="str">
        <f>"---"</f>
        <v>---</v>
      </c>
      <c r="I366" t="str">
        <f>"---"</f>
        <v>---</v>
      </c>
      <c r="J366" t="str">
        <f>"银行转存"</f>
        <v>银行转存</v>
      </c>
      <c r="K366" t="str">
        <f t="shared" ref="K366:P366" si="153">"---"</f>
        <v>---</v>
      </c>
      <c r="L366" t="str">
        <f t="shared" si="153"/>
        <v>---</v>
      </c>
      <c r="M366" t="str">
        <f t="shared" si="153"/>
        <v>---</v>
      </c>
      <c r="N366" t="str">
        <f t="shared" si="153"/>
        <v>---</v>
      </c>
      <c r="O366" t="str">
        <f t="shared" si="153"/>
        <v>---</v>
      </c>
      <c r="P366" t="str">
        <f t="shared" si="153"/>
        <v>---</v>
      </c>
    </row>
    <row r="367" spans="1:16" x14ac:dyDescent="0.25">
      <c r="A367" t="str">
        <f t="shared" si="135"/>
        <v>人民币</v>
      </c>
      <c r="B367" t="str">
        <f>"汉王科技"</f>
        <v>汉王科技</v>
      </c>
      <c r="C367" t="str">
        <f>"20171123"</f>
        <v>20171123</v>
      </c>
      <c r="D367" t="str">
        <f>"29.410"</f>
        <v>29.410</v>
      </c>
      <c r="E367" t="str">
        <f>"100.00"</f>
        <v>100.00</v>
      </c>
      <c r="F367" t="str">
        <f>"-2946.00"</f>
        <v>-2946.00</v>
      </c>
      <c r="G367" t="str">
        <f>"241.87"</f>
        <v>241.87</v>
      </c>
      <c r="H367" t="str">
        <f>"300.00"</f>
        <v>300.00</v>
      </c>
      <c r="I367" t="str">
        <f>"82"</f>
        <v>82</v>
      </c>
      <c r="J367" t="str">
        <f>"证券买入(汉王科技)"</f>
        <v>证券买入(汉王科技)</v>
      </c>
      <c r="K367" t="str">
        <f>"5.00"</f>
        <v>5.00</v>
      </c>
      <c r="L367" t="str">
        <f t="shared" ref="L367:N369" si="154">"0.00"</f>
        <v>0.00</v>
      </c>
      <c r="M367" t="str">
        <f t="shared" si="154"/>
        <v>0.00</v>
      </c>
      <c r="N367" t="str">
        <f t="shared" si="154"/>
        <v>0.00</v>
      </c>
      <c r="O367" t="str">
        <f>"002362"</f>
        <v>002362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"中欣氟材"</f>
        <v>中欣氟材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"85"</f>
        <v>85</v>
      </c>
      <c r="J368" t="str">
        <f>"申购配号(中欣氟材)"</f>
        <v>申购配号(中欣氟材)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"002915"</f>
        <v>002915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"科创信息"</f>
        <v>科创信息</v>
      </c>
      <c r="C369" t="str">
        <f>"20171123"</f>
        <v>20171123</v>
      </c>
      <c r="D369" t="str">
        <f>"0.000"</f>
        <v>0.000</v>
      </c>
      <c r="E369" t="str">
        <f>"7.00"</f>
        <v>7.00</v>
      </c>
      <c r="F369" t="str">
        <f>"0.00"</f>
        <v>0.00</v>
      </c>
      <c r="G369" t="str">
        <f>"241.87"</f>
        <v>241.87</v>
      </c>
      <c r="H369" t="str">
        <f>"0.00"</f>
        <v>0.00</v>
      </c>
      <c r="I369" t="str">
        <f>"87"</f>
        <v>87</v>
      </c>
      <c r="J369" t="str">
        <f>"申购配号(科创信息)"</f>
        <v>申购配号(科创信息)</v>
      </c>
      <c r="K369" t="str">
        <f>"0.00"</f>
        <v>0.00</v>
      </c>
      <c r="L369" t="str">
        <f t="shared" si="154"/>
        <v>0.00</v>
      </c>
      <c r="M369" t="str">
        <f t="shared" si="154"/>
        <v>0.00</v>
      </c>
      <c r="N369" t="str">
        <f t="shared" si="154"/>
        <v>0.00</v>
      </c>
      <c r="O369" t="str">
        <f>"300730"</f>
        <v>300730</v>
      </c>
      <c r="P369" t="str">
        <f>"0153613480"</f>
        <v>0153613480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ref="C370:C376" si="155">"20171129"</f>
        <v>20171129</v>
      </c>
      <c r="D370" t="str">
        <f>"25.390"</f>
        <v>25.390</v>
      </c>
      <c r="E370" t="str">
        <f>"100.00"</f>
        <v>100.00</v>
      </c>
      <c r="F370" t="str">
        <f>"-2544.05"</f>
        <v>-2544.05</v>
      </c>
      <c r="G370" t="str">
        <f>"-2302.18"</f>
        <v>-2302.18</v>
      </c>
      <c r="H370" t="str">
        <f>"100.00"</f>
        <v>100.00</v>
      </c>
      <c r="I370" t="str">
        <f>"99"</f>
        <v>99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"0.05"</f>
        <v>0.05</v>
      </c>
      <c r="N370" t="str">
        <f t="shared" ref="N370:N378" si="156">"0.00"</f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"西水股份"</f>
        <v>西水股份</v>
      </c>
      <c r="C371" t="str">
        <f t="shared" si="155"/>
        <v>20171129</v>
      </c>
      <c r="D371" t="str">
        <f>"25.290"</f>
        <v>25.290</v>
      </c>
      <c r="E371" t="str">
        <f>"200.00"</f>
        <v>200.00</v>
      </c>
      <c r="F371" t="str">
        <f>"-5063.10"</f>
        <v>-5063.10</v>
      </c>
      <c r="G371" t="str">
        <f>"-7365.28"</f>
        <v>-7365.28</v>
      </c>
      <c r="H371" t="str">
        <f>"300.00"</f>
        <v>300.00</v>
      </c>
      <c r="I371" t="str">
        <f>"111"</f>
        <v>111</v>
      </c>
      <c r="J371" t="str">
        <f>"证券买入(西水股份)"</f>
        <v>证券买入(西水股份)</v>
      </c>
      <c r="K371" t="str">
        <f>"5.00"</f>
        <v>5.00</v>
      </c>
      <c r="L371" t="str">
        <f>"0.00"</f>
        <v>0.00</v>
      </c>
      <c r="M371" t="str">
        <f>"0.10"</f>
        <v>0.10</v>
      </c>
      <c r="N371" t="str">
        <f t="shared" si="156"/>
        <v>0.00</v>
      </c>
      <c r="O371" t="str">
        <f>"600291"</f>
        <v>600291</v>
      </c>
      <c r="P371" t="str">
        <f>"A400948245"</f>
        <v>A400948245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"25.390"</f>
        <v>25.390</v>
      </c>
      <c r="E372" t="str">
        <f>"-100.00"</f>
        <v>-100.00</v>
      </c>
      <c r="F372" t="str">
        <f>"2531.46"</f>
        <v>2531.46</v>
      </c>
      <c r="G372" t="str">
        <f>"-4833.82"</f>
        <v>-4833.82</v>
      </c>
      <c r="H372" t="str">
        <f>"200.00"</f>
        <v>200.00</v>
      </c>
      <c r="I372" t="str">
        <f>"96"</f>
        <v>96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ref="M372:M378" si="157">"0.00"</f>
        <v>0.00</v>
      </c>
      <c r="N372" t="str">
        <f t="shared" si="156"/>
        <v>0.00</v>
      </c>
      <c r="O372" t="str">
        <f>"002362"</f>
        <v>002362</v>
      </c>
      <c r="P372" t="str">
        <f t="shared" ref="P372:P378" si="158">"0153613480"</f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"25.370"</f>
        <v>25.370</v>
      </c>
      <c r="E373" t="str">
        <f>"-100.00"</f>
        <v>-100.00</v>
      </c>
      <c r="F373" t="str">
        <f>"2529.46"</f>
        <v>2529.46</v>
      </c>
      <c r="G373" t="str">
        <f>"-2304.36"</f>
        <v>-2304.36</v>
      </c>
      <c r="H373" t="str">
        <f>"100.00"</f>
        <v>100.00</v>
      </c>
      <c r="I373" t="str">
        <f>"105"</f>
        <v>105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"汉王科技"</f>
        <v>汉王科技</v>
      </c>
      <c r="C374" t="str">
        <f t="shared" si="155"/>
        <v>20171129</v>
      </c>
      <c r="D374" t="str">
        <f>"25.380"</f>
        <v>25.380</v>
      </c>
      <c r="E374" t="str">
        <f>"-100.00"</f>
        <v>-100.00</v>
      </c>
      <c r="F374" t="str">
        <f>"2530.46"</f>
        <v>2530.46</v>
      </c>
      <c r="G374" t="str">
        <f>"226.10"</f>
        <v>226.10</v>
      </c>
      <c r="H374" t="str">
        <f>"0.00"</f>
        <v>0.00</v>
      </c>
      <c r="I374" t="str">
        <f>"108"</f>
        <v>108</v>
      </c>
      <c r="J374" t="str">
        <f>"证券卖出(汉王科技)"</f>
        <v>证券卖出(汉王科技)</v>
      </c>
      <c r="K374" t="str">
        <f>"5.00"</f>
        <v>5.00</v>
      </c>
      <c r="L374" t="str">
        <f>"2.54"</f>
        <v>2.54</v>
      </c>
      <c r="M374" t="str">
        <f t="shared" si="157"/>
        <v>0.00</v>
      </c>
      <c r="N374" t="str">
        <f t="shared" si="156"/>
        <v>0.00</v>
      </c>
      <c r="O374" t="str">
        <f>"002362"</f>
        <v>002362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"金奥博"</f>
        <v>金奥博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"92"</f>
        <v>92</v>
      </c>
      <c r="J375" t="str">
        <f>"申购配号(金奥博)"</f>
        <v>申购配号(金奥博)</v>
      </c>
      <c r="K375" t="str">
        <f t="shared" ref="K375:L378" si="159">"0.00"</f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"002917"</f>
        <v>002917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"科创新源"</f>
        <v>科创新源</v>
      </c>
      <c r="C376" t="str">
        <f t="shared" si="155"/>
        <v>20171129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"94"</f>
        <v>94</v>
      </c>
      <c r="J376" t="str">
        <f>"申购配号(科创新源)"</f>
        <v>申购配号(科创新源)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"300731"</f>
        <v>300731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"设研院"</f>
        <v>设研院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"124"</f>
        <v>124</v>
      </c>
      <c r="J377" t="str">
        <f>"申购配号(设研院)"</f>
        <v>申购配号(设研院)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"300732"</f>
        <v>300732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"深南电路"</f>
        <v>深南电路</v>
      </c>
      <c r="C378" t="str">
        <f>"20171130"</f>
        <v>20171130</v>
      </c>
      <c r="D378" t="str">
        <f>"0.000"</f>
        <v>0.000</v>
      </c>
      <c r="E378" t="str">
        <f>"5.00"</f>
        <v>5.00</v>
      </c>
      <c r="F378" t="str">
        <f>"0.00"</f>
        <v>0.00</v>
      </c>
      <c r="G378" t="str">
        <f>"226.10"</f>
        <v>226.10</v>
      </c>
      <c r="H378" t="str">
        <f>"0.00"</f>
        <v>0.00</v>
      </c>
      <c r="I378" t="str">
        <f>"122"</f>
        <v>122</v>
      </c>
      <c r="J378" t="str">
        <f>"申购配号(深南电路)"</f>
        <v>申购配号(深南电路)</v>
      </c>
      <c r="K378" t="str">
        <f t="shared" si="159"/>
        <v>0.00</v>
      </c>
      <c r="L378" t="str">
        <f t="shared" si="159"/>
        <v>0.00</v>
      </c>
      <c r="M378" t="str">
        <f t="shared" si="157"/>
        <v>0.00</v>
      </c>
      <c r="N378" t="str">
        <f t="shared" si="156"/>
        <v>0.00</v>
      </c>
      <c r="O378" t="str">
        <f>"002916"</f>
        <v>002916</v>
      </c>
      <c r="P378" t="str">
        <f t="shared" si="158"/>
        <v>0153613480</v>
      </c>
    </row>
    <row r="379" spans="1:16" x14ac:dyDescent="0.25">
      <c r="A379" t="str">
        <f t="shared" si="135"/>
        <v>人民币</v>
      </c>
      <c r="B379" t="str">
        <f>""</f>
        <v/>
      </c>
      <c r="C379" t="str">
        <f>"20171205"</f>
        <v>20171205</v>
      </c>
      <c r="D379" t="str">
        <f>"---"</f>
        <v>---</v>
      </c>
      <c r="E379" t="str">
        <f>"---"</f>
        <v>---</v>
      </c>
      <c r="F379" t="str">
        <f>"8500.00"</f>
        <v>8500.00</v>
      </c>
      <c r="G379" t="str">
        <f>"8726.10"</f>
        <v>8726.10</v>
      </c>
      <c r="H379" t="str">
        <f>"---"</f>
        <v>---</v>
      </c>
      <c r="I379" t="str">
        <f>"---"</f>
        <v>---</v>
      </c>
      <c r="J379" t="str">
        <f>"银行转存"</f>
        <v>银行转存</v>
      </c>
      <c r="K379" t="str">
        <f t="shared" ref="K379:P379" si="160">"---"</f>
        <v>---</v>
      </c>
      <c r="L379" t="str">
        <f t="shared" si="160"/>
        <v>---</v>
      </c>
      <c r="M379" t="str">
        <f t="shared" si="160"/>
        <v>---</v>
      </c>
      <c r="N379" t="str">
        <f t="shared" si="160"/>
        <v>---</v>
      </c>
      <c r="O379" t="str">
        <f t="shared" si="160"/>
        <v>---</v>
      </c>
      <c r="P379" t="str">
        <f t="shared" si="160"/>
        <v>---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"25.290"</f>
        <v>25.290</v>
      </c>
      <c r="E380" t="str">
        <f>"200.00"</f>
        <v>200.00</v>
      </c>
      <c r="F380" t="str">
        <f>"-5063.10"</f>
        <v>-5063.10</v>
      </c>
      <c r="G380" t="str">
        <f>"3663.00"</f>
        <v>3663.00</v>
      </c>
      <c r="H380" t="str">
        <f>"500.00"</f>
        <v>500.00</v>
      </c>
      <c r="I380" t="str">
        <f>"129"</f>
        <v>129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"0.10"</f>
        <v>0.10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"西水股份"</f>
        <v>西水股份</v>
      </c>
      <c r="C381" t="str">
        <f>"20171205"</f>
        <v>20171205</v>
      </c>
      <c r="D381" t="str">
        <f>"24.560"</f>
        <v>24.560</v>
      </c>
      <c r="E381" t="str">
        <f>"100.00"</f>
        <v>100.00</v>
      </c>
      <c r="F381" t="str">
        <f>"-2461.05"</f>
        <v>-2461.05</v>
      </c>
      <c r="G381" t="str">
        <f>"1201.95"</f>
        <v>1201.95</v>
      </c>
      <c r="H381" t="str">
        <f>"600.00"</f>
        <v>600.00</v>
      </c>
      <c r="I381" t="str">
        <f>"132"</f>
        <v>132</v>
      </c>
      <c r="J381" t="str">
        <f>"证券买入(西水股份)"</f>
        <v>证券买入(西水股份)</v>
      </c>
      <c r="K381" t="str">
        <f>"5.00"</f>
        <v>5.00</v>
      </c>
      <c r="L381" t="str">
        <f>"0.00"</f>
        <v>0.00</v>
      </c>
      <c r="M381" t="str">
        <f>"0.05"</f>
        <v>0.05</v>
      </c>
      <c r="N381" t="str">
        <f>"0.00"</f>
        <v>0.00</v>
      </c>
      <c r="O381" t="str">
        <f>"600291"</f>
        <v>600291</v>
      </c>
      <c r="P381" t="str">
        <f>"A400948245"</f>
        <v>A400948245</v>
      </c>
    </row>
    <row r="382" spans="1:16" x14ac:dyDescent="0.25">
      <c r="A382" t="str">
        <f t="shared" si="135"/>
        <v>人民币</v>
      </c>
      <c r="B382" t="str">
        <f>"天添利"</f>
        <v>天添利</v>
      </c>
      <c r="C382" t="str">
        <f>"20171207"</f>
        <v>20171207</v>
      </c>
      <c r="D382" t="str">
        <f>"0.000"</f>
        <v>0.000</v>
      </c>
      <c r="E382" t="str">
        <f>"0.00"</f>
        <v>0.00</v>
      </c>
      <c r="F382" t="str">
        <f>"1.52"</f>
        <v>1.52</v>
      </c>
      <c r="G382" t="str">
        <f>"1203.47"</f>
        <v>1203.47</v>
      </c>
      <c r="H382" t="str">
        <f>"0.00"</f>
        <v>0.00</v>
      </c>
      <c r="I382" t="str">
        <f>"---"</f>
        <v>---</v>
      </c>
      <c r="J382" t="str">
        <f>"股息入帐(天添利)"</f>
        <v>股息入帐(天添利)</v>
      </c>
      <c r="K382" t="str">
        <f t="shared" ref="K382:N383" si="161">"---"</f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"880013"</f>
        <v>880013</v>
      </c>
      <c r="P382" t="str">
        <f>"980518091676"</f>
        <v>980518091676</v>
      </c>
    </row>
    <row r="383" spans="1:16" x14ac:dyDescent="0.25">
      <c r="A383" t="str">
        <f t="shared" si="135"/>
        <v>人民币</v>
      </c>
      <c r="B383" t="str">
        <f>""</f>
        <v/>
      </c>
      <c r="C383" t="str">
        <f>"20171211"</f>
        <v>20171211</v>
      </c>
      <c r="D383" t="str">
        <f>"---"</f>
        <v>---</v>
      </c>
      <c r="E383" t="str">
        <f>"---"</f>
        <v>---</v>
      </c>
      <c r="F383" t="str">
        <f>"-1000.00"</f>
        <v>-1000.00</v>
      </c>
      <c r="G383" t="str">
        <f>"203.47"</f>
        <v>203.47</v>
      </c>
      <c r="H383" t="str">
        <f>"---"</f>
        <v>---</v>
      </c>
      <c r="I383" t="str">
        <f>"---"</f>
        <v>---</v>
      </c>
      <c r="J383" t="str">
        <f>"银行转取"</f>
        <v>银行转取</v>
      </c>
      <c r="K383" t="str">
        <f t="shared" si="161"/>
        <v>---</v>
      </c>
      <c r="L383" t="str">
        <f t="shared" si="161"/>
        <v>---</v>
      </c>
      <c r="M383" t="str">
        <f t="shared" si="161"/>
        <v>---</v>
      </c>
      <c r="N383" t="str">
        <f t="shared" si="161"/>
        <v>---</v>
      </c>
      <c r="O383" t="str">
        <f>"---"</f>
        <v>---</v>
      </c>
      <c r="P383" t="str">
        <f>"---"</f>
        <v>---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"23.290"</f>
        <v>23.290</v>
      </c>
      <c r="E384" t="str">
        <f>"-300.00"</f>
        <v>-300.00</v>
      </c>
      <c r="F384" t="str">
        <f>"6974.87"</f>
        <v>6974.87</v>
      </c>
      <c r="G384" t="str">
        <f>"7178.34"</f>
        <v>7178.34</v>
      </c>
      <c r="H384" t="str">
        <f>"300.00"</f>
        <v>300.00</v>
      </c>
      <c r="I384" t="str">
        <f>"141"</f>
        <v>141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"西水股份"</f>
        <v>西水股份</v>
      </c>
      <c r="C385" t="str">
        <f>"20171218"</f>
        <v>20171218</v>
      </c>
      <c r="D385" t="str">
        <f>"23.310"</f>
        <v>23.310</v>
      </c>
      <c r="E385" t="str">
        <f>"-300.00"</f>
        <v>-300.00</v>
      </c>
      <c r="F385" t="str">
        <f>"6980.87"</f>
        <v>6980.87</v>
      </c>
      <c r="G385" t="str">
        <f>"14159.21"</f>
        <v>14159.21</v>
      </c>
      <c r="H385" t="str">
        <f>"0.00"</f>
        <v>0.00</v>
      </c>
      <c r="I385" t="str">
        <f>"148"</f>
        <v>148</v>
      </c>
      <c r="J385" t="str">
        <f>"证券卖出(西水股份)"</f>
        <v>证券卖出(西水股份)</v>
      </c>
      <c r="K385" t="str">
        <f>"5.00"</f>
        <v>5.00</v>
      </c>
      <c r="L385" t="str">
        <f>"6.99"</f>
        <v>6.99</v>
      </c>
      <c r="M385" t="str">
        <f>"0.14"</f>
        <v>0.14</v>
      </c>
      <c r="N385" t="str">
        <f>"0.00"</f>
        <v>0.00</v>
      </c>
      <c r="O385" t="str">
        <f>"600291"</f>
        <v>600291</v>
      </c>
      <c r="P385" t="str">
        <f>"A400948245"</f>
        <v>A400948245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"20.767"</f>
        <v>20.767</v>
      </c>
      <c r="E386" t="str">
        <f>"300.00"</f>
        <v>300.00</v>
      </c>
      <c r="F386" t="str">
        <f>"-6235.00"</f>
        <v>-6235.00</v>
      </c>
      <c r="G386" t="str">
        <f>"7924.21"</f>
        <v>7924.21</v>
      </c>
      <c r="H386" t="str">
        <f>"300.00"</f>
        <v>300.00</v>
      </c>
      <c r="I386" t="str">
        <f>"144"</f>
        <v>144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"东软载波"</f>
        <v>东软载波</v>
      </c>
      <c r="C387" t="str">
        <f>"20171218"</f>
        <v>20171218</v>
      </c>
      <c r="D387" t="str">
        <f>"20.710"</f>
        <v>20.710</v>
      </c>
      <c r="E387" t="str">
        <f>"300.00"</f>
        <v>300.00</v>
      </c>
      <c r="F387" t="str">
        <f>"-6218.00"</f>
        <v>-6218.00</v>
      </c>
      <c r="G387" t="str">
        <f>"1706.21"</f>
        <v>1706.21</v>
      </c>
      <c r="H387" t="str">
        <f>"600.00"</f>
        <v>600.00</v>
      </c>
      <c r="I387" t="str">
        <f>"151"</f>
        <v>151</v>
      </c>
      <c r="J387" t="str">
        <f>"证券买入(东软载波)"</f>
        <v>证券买入(东软载波)</v>
      </c>
      <c r="K387" t="str">
        <f>"5.00"</f>
        <v>5.00</v>
      </c>
      <c r="L387" t="str">
        <f>"0.00"</f>
        <v>0.00</v>
      </c>
      <c r="M387" t="str">
        <f>"0.00"</f>
        <v>0.00</v>
      </c>
      <c r="N387" t="str">
        <f>"0.00"</f>
        <v>0.00</v>
      </c>
      <c r="O387" t="str">
        <f>"300183"</f>
        <v>300183</v>
      </c>
      <c r="P387" t="str">
        <f>"0153613480"</f>
        <v>0153613480</v>
      </c>
    </row>
    <row r="388" spans="1:16" x14ac:dyDescent="0.25">
      <c r="A388" t="str">
        <f t="shared" si="135"/>
        <v>人民币</v>
      </c>
      <c r="B388" t="str">
        <f>""</f>
        <v/>
      </c>
      <c r="C388" t="str">
        <f>"20171220"</f>
        <v>20171220</v>
      </c>
      <c r="D388" t="str">
        <f>"---"</f>
        <v>---</v>
      </c>
      <c r="E388" t="str">
        <f>"---"</f>
        <v>---</v>
      </c>
      <c r="F388" t="str">
        <f>"1.12"</f>
        <v>1.12</v>
      </c>
      <c r="G388" t="str">
        <f>"1707.33"</f>
        <v>1707.33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9" si="162">"---"</f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""</f>
        <v/>
      </c>
      <c r="C389" t="str">
        <f>"20171225"</f>
        <v>20171225</v>
      </c>
      <c r="D389" t="str">
        <f>"---"</f>
        <v>---</v>
      </c>
      <c r="E389" t="str">
        <f>"---"</f>
        <v>---</v>
      </c>
      <c r="F389" t="str">
        <f>"300.00"</f>
        <v>300.00</v>
      </c>
      <c r="G389" t="str">
        <f>"2007.33"</f>
        <v>2007.33</v>
      </c>
      <c r="H389" t="str">
        <f>"---"</f>
        <v>---</v>
      </c>
      <c r="I389" t="str">
        <f>"---"</f>
        <v>---</v>
      </c>
      <c r="J389" t="str">
        <f>"银行转存"</f>
        <v>银行转存</v>
      </c>
      <c r="K389" t="str">
        <f t="shared" si="162"/>
        <v>---</v>
      </c>
      <c r="L389" t="str">
        <f t="shared" si="162"/>
        <v>---</v>
      </c>
      <c r="M389" t="str">
        <f t="shared" si="162"/>
        <v>---</v>
      </c>
      <c r="N389" t="str">
        <f t="shared" si="162"/>
        <v>---</v>
      </c>
      <c r="O389" t="str">
        <f t="shared" si="162"/>
        <v>---</v>
      </c>
      <c r="P389" t="str">
        <f t="shared" si="162"/>
        <v>---</v>
      </c>
    </row>
    <row r="390" spans="1:16" x14ac:dyDescent="0.25">
      <c r="A390" t="str">
        <f t="shared" si="135"/>
        <v>人民币</v>
      </c>
      <c r="B390" t="str">
        <f>"东软载波"</f>
        <v>东软载波</v>
      </c>
      <c r="C390" t="str">
        <f>"20171225"</f>
        <v>20171225</v>
      </c>
      <c r="D390" t="str">
        <f>"19.560"</f>
        <v>19.560</v>
      </c>
      <c r="E390" t="str">
        <f>"100.00"</f>
        <v>100.00</v>
      </c>
      <c r="F390" t="str">
        <f>"-1961.00"</f>
        <v>-1961.00</v>
      </c>
      <c r="G390" t="str">
        <f>"46.33"</f>
        <v>46.33</v>
      </c>
      <c r="H390" t="str">
        <f>"700.00"</f>
        <v>700.00</v>
      </c>
      <c r="I390" t="str">
        <f>"3"</f>
        <v>3</v>
      </c>
      <c r="J390" t="str">
        <f>"证券买入(东软载波)"</f>
        <v>证券买入(东软载波)</v>
      </c>
      <c r="K390" t="str">
        <f>"5.00"</f>
        <v>5.00</v>
      </c>
      <c r="L390" t="str">
        <f>"0.00"</f>
        <v>0.00</v>
      </c>
      <c r="M390" t="str">
        <f>"0.00"</f>
        <v>0.00</v>
      </c>
      <c r="N390" t="str">
        <f>"0.00"</f>
        <v>0.00</v>
      </c>
      <c r="O390" t="str">
        <f>"300183"</f>
        <v>300183</v>
      </c>
      <c r="P390" t="str">
        <f>"0153613480"</f>
        <v>0153613480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Renzhong</dc:creator>
  <cp:lastModifiedBy>Wang, Renzhong</cp:lastModifiedBy>
  <dcterms:created xsi:type="dcterms:W3CDTF">2019-11-10T02:34:38Z</dcterms:created>
  <dcterms:modified xsi:type="dcterms:W3CDTF">2019-11-10T02:34:38Z</dcterms:modified>
</cp:coreProperties>
</file>