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60"/>
  </bookViews>
  <sheets>
    <sheet name="2019" sheetId="1" r:id="rId1"/>
  </sheets>
  <calcPr calcId="171027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9"/>
  <sheetViews>
    <sheetView tabSelected="1" workbookViewId="0">
      <selection activeCell="J13" sqref="A1:P499"/>
    </sheetView>
  </sheetViews>
  <sheetFormatPr defaultRowHeight="13.8" x14ac:dyDescent="0.25"/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L38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ref="M33:M41" si="21">"0.00"</f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21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21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21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21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21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21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21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21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2">"---"</f>
        <v>---</v>
      </c>
      <c r="L45" t="str">
        <f t="shared" si="22"/>
        <v>---</v>
      </c>
      <c r="M45" t="str">
        <f t="shared" si="22"/>
        <v>---</v>
      </c>
      <c r="N45" t="str">
        <f t="shared" si="22"/>
        <v>---</v>
      </c>
      <c r="O45" t="str">
        <f t="shared" si="22"/>
        <v>---</v>
      </c>
      <c r="P45" t="str">
        <f t="shared" si="22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3">"---"</f>
        <v>---</v>
      </c>
      <c r="L49" t="str">
        <f t="shared" si="23"/>
        <v>---</v>
      </c>
      <c r="M49" t="str">
        <f t="shared" si="23"/>
        <v>---</v>
      </c>
      <c r="N49" t="str">
        <f t="shared" si="23"/>
        <v>---</v>
      </c>
      <c r="O49" t="str">
        <f t="shared" si="23"/>
        <v>---</v>
      </c>
      <c r="P49" t="str">
        <f t="shared" si="23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3"/>
        <v>---</v>
      </c>
      <c r="L50" t="str">
        <f t="shared" si="23"/>
        <v>---</v>
      </c>
      <c r="M50" t="str">
        <f t="shared" si="23"/>
        <v>---</v>
      </c>
      <c r="N50" t="str">
        <f t="shared" si="23"/>
        <v>---</v>
      </c>
      <c r="O50" t="str">
        <f t="shared" si="23"/>
        <v>---</v>
      </c>
      <c r="P50" t="str">
        <f t="shared" si="23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4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4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4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5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4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5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4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5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4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5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4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5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4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5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6">"---"</f>
        <v>---</v>
      </c>
      <c r="L59" t="str">
        <f t="shared" si="26"/>
        <v>---</v>
      </c>
      <c r="M59" t="str">
        <f t="shared" si="26"/>
        <v>---</v>
      </c>
      <c r="N59" t="str">
        <f t="shared" si="26"/>
        <v>---</v>
      </c>
      <c r="O59" t="str">
        <f t="shared" si="26"/>
        <v>---</v>
      </c>
      <c r="P59" t="str">
        <f t="shared" si="26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7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7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7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8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7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8"/>
        <v>人民币</v>
      </c>
      <c r="B67" t="str">
        <f>"信立泰"</f>
        <v>信立泰</v>
      </c>
      <c r="C67" t="str">
        <f t="shared" ref="C67:C72" si="29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7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8"/>
        <v>人民币</v>
      </c>
      <c r="B68" t="str">
        <f>"中通国脉"</f>
        <v>中通国脉</v>
      </c>
      <c r="C68" t="str">
        <f t="shared" si="29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7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8"/>
        <v>人民币</v>
      </c>
      <c r="B69" t="str">
        <f>"七一二"</f>
        <v>七一二</v>
      </c>
      <c r="C69" t="str">
        <f t="shared" si="29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7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8"/>
        <v>人民币</v>
      </c>
      <c r="B70" t="str">
        <f>"七一二"</f>
        <v>七一二</v>
      </c>
      <c r="C70" t="str">
        <f t="shared" si="29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7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8"/>
        <v>人民币</v>
      </c>
      <c r="B71" t="str">
        <f>"中通国脉"</f>
        <v>中通国脉</v>
      </c>
      <c r="C71" t="str">
        <f t="shared" si="29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7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8"/>
        <v>人民币</v>
      </c>
      <c r="B72" t="str">
        <f>""</f>
        <v/>
      </c>
      <c r="C72" t="str">
        <f t="shared" si="29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30">"---"</f>
        <v>---</v>
      </c>
      <c r="L72" t="str">
        <f t="shared" si="30"/>
        <v>---</v>
      </c>
      <c r="M72" t="str">
        <f t="shared" si="30"/>
        <v>---</v>
      </c>
      <c r="N72" t="str">
        <f t="shared" si="30"/>
        <v>---</v>
      </c>
      <c r="O72" t="str">
        <f t="shared" si="30"/>
        <v>---</v>
      </c>
      <c r="P72" t="str">
        <f t="shared" si="30"/>
        <v>---</v>
      </c>
    </row>
    <row r="73" spans="1:16" x14ac:dyDescent="0.25">
      <c r="A73" t="str">
        <f t="shared" si="28"/>
        <v>人民币</v>
      </c>
      <c r="B73" t="str">
        <f>"锦浪科技"</f>
        <v>锦浪科技</v>
      </c>
      <c r="C73" t="str">
        <f t="shared" ref="C73:C78" si="31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8"/>
        <v>人民币</v>
      </c>
      <c r="B74" t="str">
        <f>"白银有色"</f>
        <v>白银有色</v>
      </c>
      <c r="C74" t="str">
        <f t="shared" si="31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8"/>
        <v>人民币</v>
      </c>
      <c r="B75" t="str">
        <f>"中通国脉"</f>
        <v>中通国脉</v>
      </c>
      <c r="C75" t="str">
        <f t="shared" si="31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8"/>
        <v>人民币</v>
      </c>
      <c r="B76" t="str">
        <f>"七一二"</f>
        <v>七一二</v>
      </c>
      <c r="C76" t="str">
        <f t="shared" si="31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8"/>
        <v>人民币</v>
      </c>
      <c r="B77" t="str">
        <f>"白银有色"</f>
        <v>白银有色</v>
      </c>
      <c r="C77" t="str">
        <f t="shared" si="31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8"/>
        <v>人民币</v>
      </c>
      <c r="B78" t="str">
        <f>""</f>
        <v/>
      </c>
      <c r="C78" t="str">
        <f t="shared" si="31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2">"---"</f>
        <v>---</v>
      </c>
      <c r="L78" t="str">
        <f t="shared" si="32"/>
        <v>---</v>
      </c>
      <c r="M78" t="str">
        <f t="shared" si="32"/>
        <v>---</v>
      </c>
      <c r="N78" t="str">
        <f t="shared" si="32"/>
        <v>---</v>
      </c>
      <c r="O78" t="str">
        <f t="shared" si="32"/>
        <v>---</v>
      </c>
      <c r="P78" t="str">
        <f t="shared" si="32"/>
        <v>---</v>
      </c>
    </row>
    <row r="79" spans="1:16" x14ac:dyDescent="0.25">
      <c r="A79" t="str">
        <f t="shared" si="28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1" si="33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8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3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8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3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8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3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8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3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8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3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8"/>
        <v>人民币</v>
      </c>
      <c r="B85" t="str">
        <f>"新诺威"</f>
        <v>新诺威</v>
      </c>
      <c r="C85" t="str">
        <f t="shared" ref="C85:C92" si="34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6" si="35">"0.00"</f>
        <v>0.00</v>
      </c>
      <c r="L85" t="str">
        <f t="shared" si="35"/>
        <v>0.00</v>
      </c>
      <c r="M85" t="str">
        <f t="shared" si="35"/>
        <v>0.00</v>
      </c>
      <c r="N85" t="str">
        <f t="shared" si="33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8"/>
        <v>人民币</v>
      </c>
      <c r="B86" t="str">
        <f>"青农商行"</f>
        <v>青农商行</v>
      </c>
      <c r="C86" t="str">
        <f t="shared" si="34"/>
        <v>20190313</v>
      </c>
      <c r="D86" t="str">
        <f>"0.000"</f>
        <v>0.000</v>
      </c>
      <c r="E86" t="str">
        <f>"10.00"</f>
        <v>10.00</v>
      </c>
      <c r="F86" t="str">
        <f>"0.00"</f>
        <v>0.00</v>
      </c>
      <c r="G86" t="str">
        <f>"125.52"</f>
        <v>125.52</v>
      </c>
      <c r="H86" t="str">
        <f>"0.00"</f>
        <v>0.00</v>
      </c>
      <c r="I86" t="str">
        <f>"236"</f>
        <v>236</v>
      </c>
      <c r="J86" t="str">
        <f>"申购配号(青农商行)"</f>
        <v>申购配号(青农商行)</v>
      </c>
      <c r="K86" t="str">
        <f t="shared" si="35"/>
        <v>0.00</v>
      </c>
      <c r="L86" t="str">
        <f t="shared" si="35"/>
        <v>0.00</v>
      </c>
      <c r="M86" t="str">
        <f t="shared" si="35"/>
        <v>0.00</v>
      </c>
      <c r="N86" t="str">
        <f t="shared" si="33"/>
        <v>0.00</v>
      </c>
      <c r="O86" t="str">
        <f>"002958"</f>
        <v>002958</v>
      </c>
      <c r="P86" t="str">
        <f>"0153613480"</f>
        <v>0153613480</v>
      </c>
    </row>
    <row r="87" spans="1:16" x14ac:dyDescent="0.25">
      <c r="A87" t="str">
        <f t="shared" si="28"/>
        <v>人民币</v>
      </c>
      <c r="B87" t="str">
        <f>"蓝思科技"</f>
        <v>蓝思科技</v>
      </c>
      <c r="C87" t="str">
        <f t="shared" si="34"/>
        <v>20190313</v>
      </c>
      <c r="D87" t="str">
        <f>"8.990"</f>
        <v>8.990</v>
      </c>
      <c r="E87" t="str">
        <f>"800.00"</f>
        <v>800.00</v>
      </c>
      <c r="F87" t="str">
        <f>"-7199.19"</f>
        <v>-7199.19</v>
      </c>
      <c r="G87" t="str">
        <f>"125.52"</f>
        <v>125.52</v>
      </c>
      <c r="H87" t="str">
        <f>"1800.00"</f>
        <v>1800.00</v>
      </c>
      <c r="I87" t="str">
        <f>"249"</f>
        <v>249</v>
      </c>
      <c r="J87" t="str">
        <f>"证券买入(蓝思科技)"</f>
        <v>证券买入(蓝思科技)</v>
      </c>
      <c r="K87" t="str">
        <f>"7.19"</f>
        <v>7.19</v>
      </c>
      <c r="L87" t="str">
        <f t="shared" ref="L87:M89" si="36">"0.00"</f>
        <v>0.00</v>
      </c>
      <c r="M87" t="str">
        <f t="shared" si="36"/>
        <v>0.00</v>
      </c>
      <c r="N87" t="str">
        <f t="shared" si="33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8"/>
        <v>人民币</v>
      </c>
      <c r="B88" t="str">
        <f>"蓝思科技"</f>
        <v>蓝思科技</v>
      </c>
      <c r="C88" t="str">
        <f t="shared" si="34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"7324.71"</f>
        <v>7324.71</v>
      </c>
      <c r="H88" t="str">
        <f>"1000.00"</f>
        <v>1000.00</v>
      </c>
      <c r="I88" t="str">
        <f>"233"</f>
        <v>233</v>
      </c>
      <c r="J88" t="str">
        <f>"证券买入(蓝思科技)"</f>
        <v>证券买入(蓝思科技)</v>
      </c>
      <c r="K88" t="str">
        <f>"5.00"</f>
        <v>5.00</v>
      </c>
      <c r="L88" t="str">
        <f t="shared" si="36"/>
        <v>0.00</v>
      </c>
      <c r="M88" t="str">
        <f t="shared" si="36"/>
        <v>0.00</v>
      </c>
      <c r="N88" t="str">
        <f t="shared" si="33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8"/>
        <v>人民币</v>
      </c>
      <c r="B89" t="str">
        <f>"蓝思科技"</f>
        <v>蓝思科技</v>
      </c>
      <c r="C89" t="str">
        <f t="shared" si="34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"11984.71"</f>
        <v>11984.71</v>
      </c>
      <c r="H89" t="str">
        <f>"500.00"</f>
        <v>500.00</v>
      </c>
      <c r="I89" t="str">
        <f>"230"</f>
        <v>230</v>
      </c>
      <c r="J89" t="str">
        <f>"证券买入(蓝思科技)"</f>
        <v>证券买入(蓝思科技)</v>
      </c>
      <c r="K89" t="str">
        <f>"5.00"</f>
        <v>5.00</v>
      </c>
      <c r="L89" t="str">
        <f t="shared" si="36"/>
        <v>0.00</v>
      </c>
      <c r="M89" t="str">
        <f t="shared" si="36"/>
        <v>0.00</v>
      </c>
      <c r="N89" t="str">
        <f t="shared" si="33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8"/>
        <v>人民币</v>
      </c>
      <c r="B90" t="str">
        <f>"中通国脉"</f>
        <v>中通国脉</v>
      </c>
      <c r="C90" t="str">
        <f t="shared" si="34"/>
        <v>20190313</v>
      </c>
      <c r="D90" t="str">
        <f>"26.490"</f>
        <v>26.490</v>
      </c>
      <c r="E90" t="str">
        <f>"300.00"</f>
        <v>300.00</v>
      </c>
      <c r="F90" t="str">
        <f>"-7955.11"</f>
        <v>-7955.11</v>
      </c>
      <c r="G90" t="str">
        <f>"16644.71"</f>
        <v>16644.71</v>
      </c>
      <c r="H90" t="str">
        <f>"1300.00"</f>
        <v>1300.00</v>
      </c>
      <c r="I90" t="str">
        <f>"246"</f>
        <v>246</v>
      </c>
      <c r="J90" t="str">
        <f>"证券买入(中通国脉)"</f>
        <v>证券买入(中通国脉)</v>
      </c>
      <c r="K90" t="str">
        <f>"7.95"</f>
        <v>7.95</v>
      </c>
      <c r="L90" t="str">
        <f>"0.00"</f>
        <v>0.00</v>
      </c>
      <c r="M90" t="str">
        <f>"0.16"</f>
        <v>0.16</v>
      </c>
      <c r="N90" t="str">
        <f t="shared" si="33"/>
        <v>0.00</v>
      </c>
      <c r="O90" t="str">
        <f>"603559"</f>
        <v>603559</v>
      </c>
      <c r="P90" t="str">
        <f>"A400948245"</f>
        <v>A400948245</v>
      </c>
    </row>
    <row r="91" spans="1:16" x14ac:dyDescent="0.25">
      <c r="A91" t="str">
        <f t="shared" si="28"/>
        <v>人民币</v>
      </c>
      <c r="B91" t="str">
        <f>"白银有色"</f>
        <v>白银有色</v>
      </c>
      <c r="C91" t="str">
        <f t="shared" si="34"/>
        <v>20190313</v>
      </c>
      <c r="D91" t="str">
        <f>"5.220"</f>
        <v>5.220</v>
      </c>
      <c r="E91" t="str">
        <f>"-2800.00"</f>
        <v>-2800.00</v>
      </c>
      <c r="F91" t="str">
        <f>"14586.47"</f>
        <v>14586.47</v>
      </c>
      <c r="G91" t="str">
        <f>"24599.82"</f>
        <v>24599.82</v>
      </c>
      <c r="H91" t="str">
        <f>"0.00"</f>
        <v>0.00</v>
      </c>
      <c r="I91" t="str">
        <f>"240"</f>
        <v>240</v>
      </c>
      <c r="J91" t="str">
        <f>"证券卖出(白银有色)"</f>
        <v>证券卖出(白银有色)</v>
      </c>
      <c r="K91" t="str">
        <f>"14.62"</f>
        <v>14.62</v>
      </c>
      <c r="L91" t="str">
        <f>"14.62"</f>
        <v>14.62</v>
      </c>
      <c r="M91" t="str">
        <f>"0.29"</f>
        <v>0.29</v>
      </c>
      <c r="N91" t="str">
        <f t="shared" si="33"/>
        <v>0.00</v>
      </c>
      <c r="O91" t="str">
        <f>"601212"</f>
        <v>601212</v>
      </c>
      <c r="P91" t="str">
        <f>"A400948245"</f>
        <v>A400948245</v>
      </c>
    </row>
    <row r="92" spans="1:16" x14ac:dyDescent="0.25">
      <c r="A92" t="str">
        <f t="shared" si="28"/>
        <v>人民币</v>
      </c>
      <c r="B92" t="str">
        <f>""</f>
        <v/>
      </c>
      <c r="C92" t="str">
        <f t="shared" si="34"/>
        <v>20190313</v>
      </c>
      <c r="D92" t="str">
        <f>"---"</f>
        <v>---</v>
      </c>
      <c r="E92" t="str">
        <f>"---"</f>
        <v>---</v>
      </c>
      <c r="F92" t="str">
        <f>"10000.00"</f>
        <v>10000.00</v>
      </c>
      <c r="G92" t="str">
        <f>"10013.35"</f>
        <v>10013.35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37">"---"</f>
        <v>---</v>
      </c>
      <c r="L92" t="str">
        <f t="shared" si="37"/>
        <v>---</v>
      </c>
      <c r="M92" t="str">
        <f t="shared" si="37"/>
        <v>---</v>
      </c>
      <c r="N92" t="str">
        <f t="shared" si="37"/>
        <v>---</v>
      </c>
      <c r="O92" t="str">
        <f t="shared" si="37"/>
        <v>---</v>
      </c>
      <c r="P92" t="str">
        <f t="shared" si="37"/>
        <v>---</v>
      </c>
    </row>
    <row r="93" spans="1:16" x14ac:dyDescent="0.25">
      <c r="A93" t="str">
        <f t="shared" si="28"/>
        <v>人民币</v>
      </c>
      <c r="B93" t="str">
        <f>"青农商行"</f>
        <v>青农商行</v>
      </c>
      <c r="C93" t="str">
        <f t="shared" ref="C93:C98" si="38">"20190314"</f>
        <v>20190314</v>
      </c>
      <c r="D93" t="str">
        <f>"3.960"</f>
        <v>3.960</v>
      </c>
      <c r="E93" t="str">
        <f>"500.00"</f>
        <v>500.00</v>
      </c>
      <c r="F93" t="str">
        <f>"0.00"</f>
        <v>0.00</v>
      </c>
      <c r="G93" t="str">
        <f>"2144.21"</f>
        <v>2144.21</v>
      </c>
      <c r="H93" t="str">
        <f>"500.00"</f>
        <v>500.00</v>
      </c>
      <c r="I93" t="str">
        <f>""</f>
        <v/>
      </c>
      <c r="J93" t="str">
        <f>"配售中签(青农商行)"</f>
        <v>配售中签(青农商行)</v>
      </c>
      <c r="K93" t="str">
        <f t="shared" ref="K93:N95" si="39">"0.00"</f>
        <v>0.00</v>
      </c>
      <c r="L93" t="str">
        <f t="shared" si="39"/>
        <v>0.00</v>
      </c>
      <c r="M93" t="str">
        <f t="shared" si="39"/>
        <v>0.00</v>
      </c>
      <c r="N93" t="str">
        <f t="shared" si="39"/>
        <v>0.00</v>
      </c>
      <c r="O93" t="str">
        <f>"002958"</f>
        <v>002958</v>
      </c>
      <c r="P93" t="str">
        <f>"0153613480"</f>
        <v>0153613480</v>
      </c>
    </row>
    <row r="94" spans="1:16" x14ac:dyDescent="0.25">
      <c r="A94" t="str">
        <f t="shared" si="28"/>
        <v>人民币</v>
      </c>
      <c r="B94" t="str">
        <f>"震安科技"</f>
        <v>震安科技</v>
      </c>
      <c r="C94" t="str">
        <f t="shared" si="38"/>
        <v>20190314</v>
      </c>
      <c r="D94" t="str">
        <f>"0.000"</f>
        <v>0.000</v>
      </c>
      <c r="E94" t="str">
        <f>"9.00"</f>
        <v>9.00</v>
      </c>
      <c r="F94" t="str">
        <f>"0.00"</f>
        <v>0.00</v>
      </c>
      <c r="G94" t="str">
        <f>"2144.21"</f>
        <v>2144.21</v>
      </c>
      <c r="H94" t="str">
        <f>"0.00"</f>
        <v>0.00</v>
      </c>
      <c r="I94" t="str">
        <f>"266"</f>
        <v>266</v>
      </c>
      <c r="J94" t="str">
        <f>"申购配号(震安科技)"</f>
        <v>申购配号(震安科技)</v>
      </c>
      <c r="K94" t="str">
        <f t="shared" si="39"/>
        <v>0.00</v>
      </c>
      <c r="L94" t="str">
        <f t="shared" si="39"/>
        <v>0.00</v>
      </c>
      <c r="M94" t="str">
        <f t="shared" si="39"/>
        <v>0.00</v>
      </c>
      <c r="N94" t="str">
        <f t="shared" si="39"/>
        <v>0.00</v>
      </c>
      <c r="O94" t="str">
        <f>"300767"</f>
        <v>300767</v>
      </c>
      <c r="P94" t="str">
        <f>"0153613480"</f>
        <v>0153613480</v>
      </c>
    </row>
    <row r="95" spans="1:16" x14ac:dyDescent="0.25">
      <c r="A95" t="str">
        <f t="shared" si="28"/>
        <v>人民币</v>
      </c>
      <c r="B95" t="str">
        <f>"永冠配号"</f>
        <v>永冠配号</v>
      </c>
      <c r="C95" t="str">
        <f t="shared" si="38"/>
        <v>20190314</v>
      </c>
      <c r="D95" t="str">
        <f>"0.000"</f>
        <v>0.000</v>
      </c>
      <c r="E95" t="str">
        <f>"6.00"</f>
        <v>6.00</v>
      </c>
      <c r="F95" t="str">
        <f>"0.00"</f>
        <v>0.00</v>
      </c>
      <c r="G95" t="str">
        <f>"12374.63"</f>
        <v>12374.63</v>
      </c>
      <c r="H95" t="str">
        <f>"0.00"</f>
        <v>0.00</v>
      </c>
      <c r="I95" t="str">
        <f>"264"</f>
        <v>264</v>
      </c>
      <c r="J95" t="str">
        <f>"申购配号(永冠配号)"</f>
        <v>申购配号(永冠配号)</v>
      </c>
      <c r="K95" t="str">
        <f t="shared" si="39"/>
        <v>0.00</v>
      </c>
      <c r="L95" t="str">
        <f t="shared" si="39"/>
        <v>0.00</v>
      </c>
      <c r="M95" t="str">
        <f t="shared" si="39"/>
        <v>0.00</v>
      </c>
      <c r="N95" t="str">
        <f t="shared" si="39"/>
        <v>0.00</v>
      </c>
      <c r="O95" t="str">
        <f>"736681"</f>
        <v>736681</v>
      </c>
      <c r="P95" t="str">
        <f>"A400948245"</f>
        <v>A400948245</v>
      </c>
    </row>
    <row r="96" spans="1:16" x14ac:dyDescent="0.25">
      <c r="A96" t="str">
        <f t="shared" si="28"/>
        <v>人民币</v>
      </c>
      <c r="B96" t="str">
        <f>"中通国脉"</f>
        <v>中通国脉</v>
      </c>
      <c r="C96" t="str">
        <f t="shared" si="38"/>
        <v>20190314</v>
      </c>
      <c r="D96" t="str">
        <f>"25.550"</f>
        <v>25.550</v>
      </c>
      <c r="E96" t="str">
        <f>"400.00"</f>
        <v>400.00</v>
      </c>
      <c r="F96" t="str">
        <f>"-10230.42"</f>
        <v>-10230.42</v>
      </c>
      <c r="G96" t="str">
        <f>"2144.21"</f>
        <v>2144.21</v>
      </c>
      <c r="H96" t="str">
        <f>"2000.00"</f>
        <v>2000.00</v>
      </c>
      <c r="I96" t="str">
        <f>"268"</f>
        <v>268</v>
      </c>
      <c r="J96" t="str">
        <f>"证券买入(中通国脉)"</f>
        <v>证券买入(中通国脉)</v>
      </c>
      <c r="K96" t="str">
        <f>"10.22"</f>
        <v>10.22</v>
      </c>
      <c r="L96" t="str">
        <f>"0.00"</f>
        <v>0.00</v>
      </c>
      <c r="M96" t="str">
        <f>"0.20"</f>
        <v>0.20</v>
      </c>
      <c r="N96" t="str">
        <f>"0.00"</f>
        <v>0.00</v>
      </c>
      <c r="O96" t="str">
        <f>"603559"</f>
        <v>603559</v>
      </c>
      <c r="P96" t="str">
        <f>"A400948245"</f>
        <v>A400948245</v>
      </c>
    </row>
    <row r="97" spans="1:16" x14ac:dyDescent="0.25">
      <c r="A97" t="str">
        <f t="shared" si="28"/>
        <v>人民币</v>
      </c>
      <c r="B97" t="str">
        <f>"中通国脉"</f>
        <v>中通国脉</v>
      </c>
      <c r="C97" t="str">
        <f t="shared" si="38"/>
        <v>20190314</v>
      </c>
      <c r="D97" t="str">
        <f>"25.810"</f>
        <v>25.810</v>
      </c>
      <c r="E97" t="str">
        <f>"300.00"</f>
        <v>300.00</v>
      </c>
      <c r="F97" t="str">
        <f>"-7750.89"</f>
        <v>-7750.89</v>
      </c>
      <c r="G97" t="str">
        <f>"12374.63"</f>
        <v>12374.63</v>
      </c>
      <c r="H97" t="str">
        <f>"1600.00"</f>
        <v>1600.00</v>
      </c>
      <c r="I97" t="str">
        <f>"260"</f>
        <v>260</v>
      </c>
      <c r="J97" t="str">
        <f>"证券买入(中通国脉)"</f>
        <v>证券买入(中通国脉)</v>
      </c>
      <c r="K97" t="str">
        <f>"7.74"</f>
        <v>7.74</v>
      </c>
      <c r="L97" t="str">
        <f>"0.00"</f>
        <v>0.00</v>
      </c>
      <c r="M97" t="str">
        <f>"0.15"</f>
        <v>0.15</v>
      </c>
      <c r="N97" t="str">
        <f>"0.00"</f>
        <v>0.00</v>
      </c>
      <c r="O97" t="str">
        <f>"603559"</f>
        <v>603559</v>
      </c>
      <c r="P97" t="str">
        <f>"A400948245"</f>
        <v>A400948245</v>
      </c>
    </row>
    <row r="98" spans="1:16" x14ac:dyDescent="0.25">
      <c r="A98" t="str">
        <f t="shared" si="28"/>
        <v>人民币</v>
      </c>
      <c r="B98" t="str">
        <f>""</f>
        <v/>
      </c>
      <c r="C98" t="str">
        <f t="shared" si="38"/>
        <v>20190314</v>
      </c>
      <c r="D98" t="str">
        <f>"---"</f>
        <v>---</v>
      </c>
      <c r="E98" t="str">
        <f>"---"</f>
        <v>---</v>
      </c>
      <c r="F98" t="str">
        <f>"20000.00"</f>
        <v>20000.00</v>
      </c>
      <c r="G98" t="str">
        <f>"20125.52"</f>
        <v>20125.52</v>
      </c>
      <c r="H98" t="str">
        <f>"---"</f>
        <v>---</v>
      </c>
      <c r="I98" t="str">
        <f>"---"</f>
        <v>---</v>
      </c>
      <c r="J98" t="str">
        <f>"银行转存"</f>
        <v>银行转存</v>
      </c>
      <c r="K98" t="str">
        <f t="shared" ref="K98:P98" si="40">"---"</f>
        <v>---</v>
      </c>
      <c r="L98" t="str">
        <f t="shared" si="40"/>
        <v>---</v>
      </c>
      <c r="M98" t="str">
        <f t="shared" si="40"/>
        <v>---</v>
      </c>
      <c r="N98" t="str">
        <f t="shared" si="40"/>
        <v>---</v>
      </c>
      <c r="O98" t="str">
        <f t="shared" si="40"/>
        <v>---</v>
      </c>
      <c r="P98" t="str">
        <f t="shared" si="40"/>
        <v>---</v>
      </c>
    </row>
    <row r="99" spans="1:16" x14ac:dyDescent="0.25">
      <c r="A99" t="str">
        <f t="shared" si="28"/>
        <v>人民币</v>
      </c>
      <c r="B99" t="str">
        <f>"青农商行"</f>
        <v>青农商行</v>
      </c>
      <c r="C99" t="str">
        <f>"20190315"</f>
        <v>20190315</v>
      </c>
      <c r="D99" t="str">
        <f>"0.000"</f>
        <v>0.000</v>
      </c>
      <c r="E99" t="str">
        <f>"0.00"</f>
        <v>0.00</v>
      </c>
      <c r="F99" t="str">
        <f>"-1980.00"</f>
        <v>-1980.00</v>
      </c>
      <c r="G99" t="str">
        <f>"164.21"</f>
        <v>164.21</v>
      </c>
      <c r="H99" t="str">
        <f>"500.00"</f>
        <v>500.00</v>
      </c>
      <c r="I99" t="str">
        <f>"---"</f>
        <v>---</v>
      </c>
      <c r="J99" t="str">
        <f>"申购中签缴款(青农商行)"</f>
        <v>申购中签缴款(青农商行)</v>
      </c>
      <c r="K99" t="str">
        <f>"---"</f>
        <v>---</v>
      </c>
      <c r="L99" t="str">
        <f>"---"</f>
        <v>---</v>
      </c>
      <c r="M99" t="str">
        <f>"---"</f>
        <v>---</v>
      </c>
      <c r="N99" t="str">
        <f>"---"</f>
        <v>---</v>
      </c>
      <c r="O99" t="str">
        <f>"002958"</f>
        <v>002958</v>
      </c>
      <c r="P99" t="str">
        <f t="shared" ref="P99:P105" si="41">"0153613480"</f>
        <v>0153613480</v>
      </c>
    </row>
    <row r="100" spans="1:16" x14ac:dyDescent="0.25">
      <c r="A100" t="str">
        <f t="shared" si="28"/>
        <v>人民币</v>
      </c>
      <c r="B100" t="str">
        <f>"青农商行"</f>
        <v>青农商行</v>
      </c>
      <c r="C100" t="str">
        <f>"20190318"</f>
        <v>20190318</v>
      </c>
      <c r="D100" t="str">
        <f>"3.960"</f>
        <v>3.960</v>
      </c>
      <c r="E100" t="str">
        <f>"500.00"</f>
        <v>500.00</v>
      </c>
      <c r="F100" t="str">
        <f>"0.00"</f>
        <v>0.00</v>
      </c>
      <c r="G100" t="str">
        <f>"164.21"</f>
        <v>164.21</v>
      </c>
      <c r="H100" t="str">
        <f>"500.00"</f>
        <v>500.00</v>
      </c>
      <c r="I100" t="str">
        <f>""</f>
        <v/>
      </c>
      <c r="J100" t="str">
        <f>"配售认购(青农商行)"</f>
        <v>配售认购(青农商行)</v>
      </c>
      <c r="K100" t="str">
        <f t="shared" ref="K100:N101" si="42"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"002958"</f>
        <v>002958</v>
      </c>
      <c r="P100" t="str">
        <f t="shared" si="41"/>
        <v>0153613480</v>
      </c>
    </row>
    <row r="101" spans="1:16" x14ac:dyDescent="0.25">
      <c r="A101" t="str">
        <f t="shared" si="28"/>
        <v>人民币</v>
      </c>
      <c r="B101" t="str">
        <f>"亚世光电"</f>
        <v>亚世光电</v>
      </c>
      <c r="C101" t="str">
        <f>"20190318"</f>
        <v>20190318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"164.21"</f>
        <v>164.21</v>
      </c>
      <c r="H101" t="str">
        <f>"0.00"</f>
        <v>0.00</v>
      </c>
      <c r="I101" t="str">
        <f>"278"</f>
        <v>278</v>
      </c>
      <c r="J101" t="str">
        <f>"申购配号(亚世光电)"</f>
        <v>申购配号(亚世光电)</v>
      </c>
      <c r="K101" t="str">
        <f t="shared" si="42"/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"002952"</f>
        <v>002952</v>
      </c>
      <c r="P101" t="str">
        <f t="shared" si="41"/>
        <v>0153613480</v>
      </c>
    </row>
    <row r="102" spans="1:16" x14ac:dyDescent="0.25">
      <c r="A102" t="str">
        <f t="shared" si="28"/>
        <v>人民币</v>
      </c>
      <c r="B102" t="str">
        <f>"青农商行"</f>
        <v>青农商行</v>
      </c>
      <c r="C102" t="str">
        <f>"20190319"</f>
        <v>20190319</v>
      </c>
      <c r="D102" t="str">
        <f>"0.000"</f>
        <v>0.000</v>
      </c>
      <c r="E102" t="str">
        <f>"0.00"</f>
        <v>0.00</v>
      </c>
      <c r="F102" t="str">
        <f>"0.00"</f>
        <v>0.00</v>
      </c>
      <c r="G102" t="str">
        <f>"20970.16"</f>
        <v>20970.16</v>
      </c>
      <c r="H102" t="str">
        <f>"500.00"</f>
        <v>500.00</v>
      </c>
      <c r="I102" t="str">
        <f>"---"</f>
        <v>---</v>
      </c>
      <c r="J102" t="str">
        <f>"余额更新(青农商行)"</f>
        <v>余额更新(青农商行)</v>
      </c>
      <c r="K102" t="str">
        <f>"---"</f>
        <v>---</v>
      </c>
      <c r="L102" t="str">
        <f>"---"</f>
        <v>---</v>
      </c>
      <c r="M102" t="str">
        <f>"---"</f>
        <v>---</v>
      </c>
      <c r="N102" t="str">
        <f>"---"</f>
        <v>---</v>
      </c>
      <c r="O102" t="str">
        <f>"002958"</f>
        <v>002958</v>
      </c>
      <c r="P102" t="str">
        <f t="shared" si="41"/>
        <v>0153613480</v>
      </c>
    </row>
    <row r="103" spans="1:16" x14ac:dyDescent="0.25">
      <c r="A103" t="str">
        <f t="shared" si="28"/>
        <v>人民币</v>
      </c>
      <c r="B103" t="str">
        <f>"长城证券"</f>
        <v>长城证券</v>
      </c>
      <c r="C103" t="str">
        <f>"20190319"</f>
        <v>20190319</v>
      </c>
      <c r="D103" t="str">
        <f>"14.690"</f>
        <v>14.690</v>
      </c>
      <c r="E103" t="str">
        <f>"400.00"</f>
        <v>400.00</v>
      </c>
      <c r="F103" t="str">
        <f>"-5881.88"</f>
        <v>-5881.88</v>
      </c>
      <c r="G103" t="str">
        <f>"20970.16"</f>
        <v>20970.16</v>
      </c>
      <c r="H103" t="str">
        <f>"1000.00"</f>
        <v>1000.00</v>
      </c>
      <c r="I103" t="str">
        <f>"293"</f>
        <v>293</v>
      </c>
      <c r="J103" t="str">
        <f>"证券买入(长城证券)"</f>
        <v>证券买入(长城证券)</v>
      </c>
      <c r="K103" t="str">
        <f>"5.88"</f>
        <v>5.88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 t="shared" si="41"/>
        <v>0153613480</v>
      </c>
    </row>
    <row r="104" spans="1:16" x14ac:dyDescent="0.25">
      <c r="A104" t="str">
        <f t="shared" si="28"/>
        <v>人民币</v>
      </c>
      <c r="B104" t="str">
        <f>"长城证券"</f>
        <v>长城证券</v>
      </c>
      <c r="C104" t="str">
        <f>"20190319"</f>
        <v>20190319</v>
      </c>
      <c r="D104" t="str">
        <f>"14.820"</f>
        <v>14.820</v>
      </c>
      <c r="E104" t="str">
        <f>"600.00"</f>
        <v>600.00</v>
      </c>
      <c r="F104" t="str">
        <f>"-8900.89"</f>
        <v>-8900.89</v>
      </c>
      <c r="G104" t="str">
        <f>"26852.04"</f>
        <v>26852.04</v>
      </c>
      <c r="H104" t="str">
        <f>"600.00"</f>
        <v>600.00</v>
      </c>
      <c r="I104" t="str">
        <f>"283"</f>
        <v>283</v>
      </c>
      <c r="J104" t="str">
        <f>"证券买入(长城证券)"</f>
        <v>证券买入(长城证券)</v>
      </c>
      <c r="K104" t="str">
        <f>"8.89"</f>
        <v>8.89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 t="shared" si="41"/>
        <v>0153613480</v>
      </c>
    </row>
    <row r="105" spans="1:16" x14ac:dyDescent="0.25">
      <c r="A105" t="str">
        <f t="shared" si="28"/>
        <v>人民币</v>
      </c>
      <c r="B105" t="str">
        <f>"信立泰"</f>
        <v>信立泰</v>
      </c>
      <c r="C105" t="str">
        <f>"20190319"</f>
        <v>20190319</v>
      </c>
      <c r="D105" t="str">
        <f>"25.640"</f>
        <v>25.640</v>
      </c>
      <c r="E105" t="str">
        <f>"-1000.00"</f>
        <v>-1000.00</v>
      </c>
      <c r="F105" t="str">
        <f>"25588.72"</f>
        <v>25588.72</v>
      </c>
      <c r="G105" t="str">
        <f>"35752.93"</f>
        <v>35752.93</v>
      </c>
      <c r="H105" t="str">
        <f>"0.00"</f>
        <v>0.00</v>
      </c>
      <c r="I105" t="str">
        <f>"289"</f>
        <v>289</v>
      </c>
      <c r="J105" t="str">
        <f>"证券卖出(信立泰)"</f>
        <v>证券卖出(信立泰)</v>
      </c>
      <c r="K105" t="str">
        <f>"25.64"</f>
        <v>25.64</v>
      </c>
      <c r="L105" t="str">
        <f>"25.64"</f>
        <v>25.64</v>
      </c>
      <c r="M105" t="str">
        <f>"0.00"</f>
        <v>0.00</v>
      </c>
      <c r="N105" t="str">
        <f>"0.00"</f>
        <v>0.00</v>
      </c>
      <c r="O105" t="str">
        <f>"002294"</f>
        <v>002294</v>
      </c>
      <c r="P105" t="str">
        <f t="shared" si="41"/>
        <v>0153613480</v>
      </c>
    </row>
    <row r="106" spans="1:16" x14ac:dyDescent="0.25">
      <c r="A106" t="str">
        <f t="shared" si="28"/>
        <v>人民币</v>
      </c>
      <c r="B106" t="str">
        <f>""</f>
        <v/>
      </c>
      <c r="C106" t="str">
        <f>"20190319"</f>
        <v>20190319</v>
      </c>
      <c r="D106" t="str">
        <f>"---"</f>
        <v>---</v>
      </c>
      <c r="E106" t="str">
        <f>"---"</f>
        <v>---</v>
      </c>
      <c r="F106" t="str">
        <f>"10000.00"</f>
        <v>10000.00</v>
      </c>
      <c r="G106" t="str">
        <f>"10164.21"</f>
        <v>10164.21</v>
      </c>
      <c r="H106" t="str">
        <f>"---"</f>
        <v>---</v>
      </c>
      <c r="I106" t="str">
        <f>"---"</f>
        <v>---</v>
      </c>
      <c r="J106" t="str">
        <f>"银行转存"</f>
        <v>银行转存</v>
      </c>
      <c r="K106" t="str">
        <f t="shared" ref="K106:P106" si="44">"---"</f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8"/>
        <v>人民币</v>
      </c>
      <c r="B107" t="str">
        <f>"长城证券"</f>
        <v>长城证券</v>
      </c>
      <c r="C107" t="str">
        <f>"20190320"</f>
        <v>20190320</v>
      </c>
      <c r="D107" t="str">
        <f>"14.660"</f>
        <v>14.660</v>
      </c>
      <c r="E107" t="str">
        <f>"500.00"</f>
        <v>500.00</v>
      </c>
      <c r="F107" t="str">
        <f>"-7337.33"</f>
        <v>-7337.33</v>
      </c>
      <c r="G107" t="str">
        <f>"1280.45"</f>
        <v>1280.45</v>
      </c>
      <c r="H107" t="str">
        <f>"2000.00"</f>
        <v>2000.00</v>
      </c>
      <c r="I107" t="str">
        <f>"307"</f>
        <v>307</v>
      </c>
      <c r="J107" t="str">
        <f>"证券买入(长城证券)"</f>
        <v>证券买入(长城证券)</v>
      </c>
      <c r="K107" t="str">
        <f>"7.33"</f>
        <v>7.33</v>
      </c>
      <c r="L107" t="str">
        <f t="shared" ref="L107:N108" si="45">"0.00"</f>
        <v>0.00</v>
      </c>
      <c r="M107" t="str">
        <f t="shared" si="45"/>
        <v>0.00</v>
      </c>
      <c r="N107" t="str">
        <f t="shared" si="45"/>
        <v>0.00</v>
      </c>
      <c r="O107" t="str">
        <f>"002939"</f>
        <v>002939</v>
      </c>
      <c r="P107" t="str">
        <f>"0153613480"</f>
        <v>0153613480</v>
      </c>
    </row>
    <row r="108" spans="1:16" x14ac:dyDescent="0.25">
      <c r="A108" t="str">
        <f t="shared" si="28"/>
        <v>人民币</v>
      </c>
      <c r="B108" t="str">
        <f>"长城证券"</f>
        <v>长城证券</v>
      </c>
      <c r="C108" t="str">
        <f>"20190320"</f>
        <v>20190320</v>
      </c>
      <c r="D108" t="str">
        <f>"14.700"</f>
        <v>14.700</v>
      </c>
      <c r="E108" t="str">
        <f>"500.00"</f>
        <v>500.00</v>
      </c>
      <c r="F108" t="str">
        <f>"-7357.35"</f>
        <v>-7357.35</v>
      </c>
      <c r="G108" t="str">
        <f>"8617.78"</f>
        <v>8617.78</v>
      </c>
      <c r="H108" t="str">
        <f>"1500.00"</f>
        <v>1500.00</v>
      </c>
      <c r="I108" t="str">
        <f>"301"</f>
        <v>301</v>
      </c>
      <c r="J108" t="str">
        <f>"证券买入(长城证券)"</f>
        <v>证券买入(长城证券)</v>
      </c>
      <c r="K108" t="str">
        <f>"7.35"</f>
        <v>7.35</v>
      </c>
      <c r="L108" t="str">
        <f t="shared" si="45"/>
        <v>0.00</v>
      </c>
      <c r="M108" t="str">
        <f t="shared" si="45"/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8"/>
        <v>人民币</v>
      </c>
      <c r="B109" t="str">
        <f>""</f>
        <v/>
      </c>
      <c r="C109" t="str">
        <f>"20190320"</f>
        <v>20190320</v>
      </c>
      <c r="D109" t="str">
        <f>"---"</f>
        <v>---</v>
      </c>
      <c r="E109" t="str">
        <f>"---"</f>
        <v>---</v>
      </c>
      <c r="F109" t="str">
        <f>"4.97"</f>
        <v>4.97</v>
      </c>
      <c r="G109" t="str">
        <f>"15975.13"</f>
        <v>15975.13</v>
      </c>
      <c r="H109" t="str">
        <f>"---"</f>
        <v>---</v>
      </c>
      <c r="I109" t="str">
        <f>"---"</f>
        <v>---</v>
      </c>
      <c r="J109" t="str">
        <f>"批量利息归本"</f>
        <v>批量利息归本</v>
      </c>
      <c r="K109" t="str">
        <f t="shared" ref="K109:P110" si="46">"---"</f>
        <v>---</v>
      </c>
      <c r="L109" t="str">
        <f t="shared" si="46"/>
        <v>---</v>
      </c>
      <c r="M109" t="str">
        <f t="shared" si="46"/>
        <v>---</v>
      </c>
      <c r="N109" t="str">
        <f t="shared" si="46"/>
        <v>---</v>
      </c>
      <c r="O109" t="str">
        <f t="shared" si="46"/>
        <v>---</v>
      </c>
      <c r="P109" t="str">
        <f t="shared" si="46"/>
        <v>---</v>
      </c>
    </row>
    <row r="110" spans="1:16" x14ac:dyDescent="0.25">
      <c r="A110" t="str">
        <f t="shared" si="28"/>
        <v>人民币</v>
      </c>
      <c r="B110" t="str">
        <f>""</f>
        <v/>
      </c>
      <c r="C110" t="str">
        <f>"20190320"</f>
        <v>20190320</v>
      </c>
      <c r="D110" t="str">
        <f>"---"</f>
        <v>---</v>
      </c>
      <c r="E110" t="str">
        <f>"---"</f>
        <v>---</v>
      </c>
      <c r="F110" t="str">
        <f>"-5000.00"</f>
        <v>-5000.00</v>
      </c>
      <c r="G110" t="str">
        <f>"15970.16"</f>
        <v>15970.16</v>
      </c>
      <c r="H110" t="str">
        <f>"---"</f>
        <v>---</v>
      </c>
      <c r="I110" t="str">
        <f>"---"</f>
        <v>---</v>
      </c>
      <c r="J110" t="str">
        <f>"银行转取"</f>
        <v>银行转取</v>
      </c>
      <c r="K110" t="str">
        <f t="shared" si="46"/>
        <v>---</v>
      </c>
      <c r="L110" t="str">
        <f t="shared" si="46"/>
        <v>---</v>
      </c>
      <c r="M110" t="str">
        <f t="shared" si="46"/>
        <v>---</v>
      </c>
      <c r="N110" t="str">
        <f t="shared" si="46"/>
        <v>---</v>
      </c>
      <c r="O110" t="str">
        <f t="shared" si="46"/>
        <v>---</v>
      </c>
      <c r="P110" t="str">
        <f t="shared" si="46"/>
        <v>---</v>
      </c>
    </row>
    <row r="111" spans="1:16" x14ac:dyDescent="0.25">
      <c r="A111" t="str">
        <f t="shared" si="28"/>
        <v>人民币</v>
      </c>
      <c r="B111" t="str">
        <f>"蓝思科技"</f>
        <v>蓝思科技</v>
      </c>
      <c r="C111" t="str">
        <f>"20190321"</f>
        <v>20190321</v>
      </c>
      <c r="D111" t="str">
        <f>"8.910"</f>
        <v>8.910</v>
      </c>
      <c r="E111" t="str">
        <f>"500.00"</f>
        <v>500.00</v>
      </c>
      <c r="F111" t="str">
        <f>"-4460.00"</f>
        <v>-4460.00</v>
      </c>
      <c r="G111" t="str">
        <f>"28327.31"</f>
        <v>28327.31</v>
      </c>
      <c r="H111" t="str">
        <f>"2300.00"</f>
        <v>2300.00</v>
      </c>
      <c r="I111" t="str">
        <f>"323"</f>
        <v>323</v>
      </c>
      <c r="J111" t="str">
        <f>"证券买入(蓝思科技)"</f>
        <v>证券买入(蓝思科技)</v>
      </c>
      <c r="K111" t="str">
        <f>"5.00"</f>
        <v>5.00</v>
      </c>
      <c r="L111" t="str">
        <f>"0.00"</f>
        <v>0.00</v>
      </c>
      <c r="M111" t="str">
        <f>"0.00"</f>
        <v>0.00</v>
      </c>
      <c r="N111" t="str">
        <f>"0.00"</f>
        <v>0.00</v>
      </c>
      <c r="O111" t="str">
        <f>"300433"</f>
        <v>300433</v>
      </c>
      <c r="P111" t="str">
        <f>"0153613480"</f>
        <v>0153613480</v>
      </c>
    </row>
    <row r="112" spans="1:16" x14ac:dyDescent="0.25">
      <c r="A112" t="str">
        <f t="shared" si="28"/>
        <v>人民币</v>
      </c>
      <c r="B112" t="str">
        <f>"长城证券"</f>
        <v>长城证券</v>
      </c>
      <c r="C112" t="str">
        <f>"20190321"</f>
        <v>20190321</v>
      </c>
      <c r="D112" t="str">
        <f>"15.790"</f>
        <v>15.790</v>
      </c>
      <c r="E112" t="str">
        <f>"-1000.00"</f>
        <v>-1000.00</v>
      </c>
      <c r="F112" t="str">
        <f>"15758.42"</f>
        <v>15758.42</v>
      </c>
      <c r="G112" t="str">
        <f>"32787.31"</f>
        <v>32787.31</v>
      </c>
      <c r="H112" t="str">
        <f>"0.00"</f>
        <v>0.00</v>
      </c>
      <c r="I112" t="str">
        <f>"320"</f>
        <v>320</v>
      </c>
      <c r="J112" t="str">
        <f>"证券卖出(长城证券)"</f>
        <v>证券卖出(长城证券)</v>
      </c>
      <c r="K112" t="str">
        <f>"15.79"</f>
        <v>15.79</v>
      </c>
      <c r="L112" t="str">
        <f>"15.79"</f>
        <v>15.79</v>
      </c>
      <c r="M112" t="str">
        <f t="shared" ref="M112:N117" si="47">"0.00"</f>
        <v>0.00</v>
      </c>
      <c r="N112" t="str">
        <f t="shared" si="47"/>
        <v>0.00</v>
      </c>
      <c r="O112" t="str">
        <f>"002939"</f>
        <v>002939</v>
      </c>
      <c r="P112" t="str">
        <f>"0153613480"</f>
        <v>0153613480</v>
      </c>
    </row>
    <row r="113" spans="1:16" x14ac:dyDescent="0.25">
      <c r="A113" t="str">
        <f t="shared" si="28"/>
        <v>人民币</v>
      </c>
      <c r="B113" t="str">
        <f>"长城证券"</f>
        <v>长城证券</v>
      </c>
      <c r="C113" t="str">
        <f>"20190321"</f>
        <v>20190321</v>
      </c>
      <c r="D113" t="str">
        <f>"15.780"</f>
        <v>15.780</v>
      </c>
      <c r="E113" t="str">
        <f>"-1000.00"</f>
        <v>-1000.00</v>
      </c>
      <c r="F113" t="str">
        <f>"15748.44"</f>
        <v>15748.44</v>
      </c>
      <c r="G113" t="str">
        <f>"17028.89"</f>
        <v>17028.89</v>
      </c>
      <c r="H113" t="str">
        <f>"1000.00"</f>
        <v>1000.00</v>
      </c>
      <c r="I113" t="str">
        <f>"315"</f>
        <v>315</v>
      </c>
      <c r="J113" t="str">
        <f>"证券卖出(长城证券)"</f>
        <v>证券卖出(长城证券)</v>
      </c>
      <c r="K113" t="str">
        <f>"15.78"</f>
        <v>15.78</v>
      </c>
      <c r="L113" t="str">
        <f>"15.78"</f>
        <v>15.78</v>
      </c>
      <c r="M113" t="str">
        <f t="shared" si="47"/>
        <v>0.00</v>
      </c>
      <c r="N113" t="str">
        <f t="shared" si="47"/>
        <v>0.00</v>
      </c>
      <c r="O113" t="str">
        <f>"002939"</f>
        <v>002939</v>
      </c>
      <c r="P113" t="str">
        <f>"0153613480"</f>
        <v>0153613480</v>
      </c>
    </row>
    <row r="114" spans="1:16" x14ac:dyDescent="0.25">
      <c r="A114" t="str">
        <f t="shared" si="28"/>
        <v>人民币</v>
      </c>
      <c r="B114" t="str">
        <f>"三美配号"</f>
        <v>三美配号</v>
      </c>
      <c r="C114" t="str">
        <f>"20190321"</f>
        <v>20190321</v>
      </c>
      <c r="D114" t="str">
        <f>"0.000"</f>
        <v>0.000</v>
      </c>
      <c r="E114" t="str">
        <f>"6.00"</f>
        <v>6.00</v>
      </c>
      <c r="F114" t="str">
        <f>"0.00"</f>
        <v>0.00</v>
      </c>
      <c r="G114" t="str">
        <f>"1280.45"</f>
        <v>1280.45</v>
      </c>
      <c r="H114" t="str">
        <f>"0.00"</f>
        <v>0.00</v>
      </c>
      <c r="I114" t="str">
        <f>"313"</f>
        <v>313</v>
      </c>
      <c r="J114" t="str">
        <f>"申购配号(三美配号)"</f>
        <v>申购配号(三美配号)</v>
      </c>
      <c r="K114" t="str">
        <f>"0.00"</f>
        <v>0.00</v>
      </c>
      <c r="L114" t="str">
        <f>"0.00"</f>
        <v>0.00</v>
      </c>
      <c r="M114" t="str">
        <f t="shared" si="47"/>
        <v>0.00</v>
      </c>
      <c r="N114" t="str">
        <f t="shared" si="47"/>
        <v>0.00</v>
      </c>
      <c r="O114" t="str">
        <f>"736379"</f>
        <v>736379</v>
      </c>
      <c r="P114" t="str">
        <f>"A400948245"</f>
        <v>A400948245</v>
      </c>
    </row>
    <row r="115" spans="1:16" x14ac:dyDescent="0.25">
      <c r="A115" t="str">
        <f t="shared" si="28"/>
        <v>人民币</v>
      </c>
      <c r="B115" t="str">
        <f>"银之杰"</f>
        <v>银之杰</v>
      </c>
      <c r="C115" t="str">
        <f>"20190322"</f>
        <v>20190322</v>
      </c>
      <c r="D115" t="str">
        <f>"17.950"</f>
        <v>17.950</v>
      </c>
      <c r="E115" t="str">
        <f>"200.00"</f>
        <v>200.00</v>
      </c>
      <c r="F115" t="str">
        <f>"-3595.00"</f>
        <v>-3595.00</v>
      </c>
      <c r="G115" t="str">
        <f>"4326.80"</f>
        <v>4326.80</v>
      </c>
      <c r="H115" t="str">
        <f>"1000.00"</f>
        <v>1000.00</v>
      </c>
      <c r="I115" t="str">
        <f>"336"</f>
        <v>336</v>
      </c>
      <c r="J115" t="str">
        <f>"证券买入(银之杰)"</f>
        <v>证券买入(银之杰)</v>
      </c>
      <c r="K115" t="str">
        <f>"5.00"</f>
        <v>5.00</v>
      </c>
      <c r="L115" t="str">
        <f t="shared" ref="L115:L120" si="48">"0.00"</f>
        <v>0.00</v>
      </c>
      <c r="M115" t="str">
        <f t="shared" si="47"/>
        <v>0.00</v>
      </c>
      <c r="N115" t="str">
        <f t="shared" si="47"/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8"/>
        <v>人民币</v>
      </c>
      <c r="B116" t="str">
        <f>"银之杰"</f>
        <v>银之杰</v>
      </c>
      <c r="C116" t="str">
        <f>"20190322"</f>
        <v>20190322</v>
      </c>
      <c r="D116" t="str">
        <f>"18.350"</f>
        <v>18.350</v>
      </c>
      <c r="E116" t="str">
        <f>"300.00"</f>
        <v>300.00</v>
      </c>
      <c r="F116" t="str">
        <f>"-5510.51"</f>
        <v>-5510.51</v>
      </c>
      <c r="G116" t="str">
        <f>"7921.80"</f>
        <v>7921.80</v>
      </c>
      <c r="H116" t="str">
        <f>"800.00"</f>
        <v>800.00</v>
      </c>
      <c r="I116" t="str">
        <f>"333"</f>
        <v>333</v>
      </c>
      <c r="J116" t="str">
        <f>"证券买入(银之杰)"</f>
        <v>证券买入(银之杰)</v>
      </c>
      <c r="K116" t="str">
        <f>"5.51"</f>
        <v>5.51</v>
      </c>
      <c r="L116" t="str">
        <f t="shared" si="48"/>
        <v>0.00</v>
      </c>
      <c r="M116" t="str">
        <f t="shared" si="47"/>
        <v>0.00</v>
      </c>
      <c r="N116" t="str">
        <f t="shared" si="47"/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8"/>
        <v>人民币</v>
      </c>
      <c r="B117" t="str">
        <f>"银之杰"</f>
        <v>银之杰</v>
      </c>
      <c r="C117" t="str">
        <f>"20190322"</f>
        <v>20190322</v>
      </c>
      <c r="D117" t="str">
        <f>"18.570"</f>
        <v>18.570</v>
      </c>
      <c r="E117" t="str">
        <f>"500.00"</f>
        <v>500.00</v>
      </c>
      <c r="F117" t="str">
        <f>"-9294.29"</f>
        <v>-9294.29</v>
      </c>
      <c r="G117" t="str">
        <f>"13432.31"</f>
        <v>13432.31</v>
      </c>
      <c r="H117" t="str">
        <f>"500.00"</f>
        <v>500.00</v>
      </c>
      <c r="I117" t="str">
        <f>"330"</f>
        <v>330</v>
      </c>
      <c r="J117" t="str">
        <f>"证券买入(银之杰)"</f>
        <v>证券买入(银之杰)</v>
      </c>
      <c r="K117" t="str">
        <f>"9.29"</f>
        <v>9.29</v>
      </c>
      <c r="L117" t="str">
        <f t="shared" si="48"/>
        <v>0.00</v>
      </c>
      <c r="M117" t="str">
        <f t="shared" si="47"/>
        <v>0.00</v>
      </c>
      <c r="N117" t="str">
        <f t="shared" si="47"/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8"/>
        <v>人民币</v>
      </c>
      <c r="B118" t="str">
        <f>"七一二"</f>
        <v>七一二</v>
      </c>
      <c r="C118" t="str">
        <f>"20190322"</f>
        <v>20190322</v>
      </c>
      <c r="D118" t="str">
        <f>"18.650"</f>
        <v>18.650</v>
      </c>
      <c r="E118" t="str">
        <f>"300.00"</f>
        <v>300.00</v>
      </c>
      <c r="F118" t="str">
        <f>"-5600.71"</f>
        <v>-5600.71</v>
      </c>
      <c r="G118" t="str">
        <f>"22726.60"</f>
        <v>22726.60</v>
      </c>
      <c r="H118" t="str">
        <f>"2300.00"</f>
        <v>2300.00</v>
      </c>
      <c r="I118" t="str">
        <f>"339"</f>
        <v>339</v>
      </c>
      <c r="J118" t="str">
        <f>"证券买入(七一二)"</f>
        <v>证券买入(七一二)</v>
      </c>
      <c r="K118" t="str">
        <f>"5.60"</f>
        <v>5.60</v>
      </c>
      <c r="L118" t="str">
        <f t="shared" si="48"/>
        <v>0.00</v>
      </c>
      <c r="M118" t="str">
        <f>"0.11"</f>
        <v>0.11</v>
      </c>
      <c r="N118" t="str">
        <f>"0.00"</f>
        <v>0.00</v>
      </c>
      <c r="O118" t="str">
        <f>"603712"</f>
        <v>603712</v>
      </c>
      <c r="P118" t="str">
        <f>"A400948245"</f>
        <v>A400948245</v>
      </c>
    </row>
    <row r="119" spans="1:16" x14ac:dyDescent="0.25">
      <c r="A119" t="str">
        <f t="shared" si="28"/>
        <v>人民币</v>
      </c>
      <c r="B119" t="str">
        <f>"银之杰"</f>
        <v>银之杰</v>
      </c>
      <c r="C119" t="str">
        <f>"20190325"</f>
        <v>20190325</v>
      </c>
      <c r="D119" t="str">
        <f>"17.850"</f>
        <v>17.850</v>
      </c>
      <c r="E119" t="str">
        <f>"200.00"</f>
        <v>200.00</v>
      </c>
      <c r="F119" t="str">
        <f>"-3575.00"</f>
        <v>-3575.00</v>
      </c>
      <c r="G119" t="str">
        <f>"751.80"</f>
        <v>751.80</v>
      </c>
      <c r="H119" t="str">
        <f>"1200.00"</f>
        <v>1200.00</v>
      </c>
      <c r="I119" t="str">
        <f>"352"</f>
        <v>352</v>
      </c>
      <c r="J119" t="str">
        <f>"证券买入(银之杰)"</f>
        <v>证券买入(银之杰)</v>
      </c>
      <c r="K119" t="str">
        <f>"5.00"</f>
        <v>5.00</v>
      </c>
      <c r="L119" t="str">
        <f t="shared" si="48"/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8"/>
        <v>人民币</v>
      </c>
      <c r="B120" t="str">
        <f>"银之杰"</f>
        <v>银之杰</v>
      </c>
      <c r="C120" t="str">
        <f>"20190326"</f>
        <v>20190326</v>
      </c>
      <c r="D120" t="str">
        <f>"17.180"</f>
        <v>17.180</v>
      </c>
      <c r="E120" t="str">
        <f>"600.00"</f>
        <v>600.00</v>
      </c>
      <c r="F120" t="str">
        <f>"-10318.31"</f>
        <v>-10318.31</v>
      </c>
      <c r="G120" t="str">
        <f>"433.49"</f>
        <v>433.49</v>
      </c>
      <c r="H120" t="str">
        <f>"1800.00"</f>
        <v>1800.00</v>
      </c>
      <c r="I120" t="str">
        <f>"2"</f>
        <v>2</v>
      </c>
      <c r="J120" t="str">
        <f>"证券买入(银之杰)"</f>
        <v>证券买入(银之杰)</v>
      </c>
      <c r="K120" t="str">
        <f>"10.31"</f>
        <v>10.31</v>
      </c>
      <c r="L120" t="str">
        <f t="shared" si="48"/>
        <v>0.00</v>
      </c>
      <c r="M120" t="str">
        <f>"0.00"</f>
        <v>0.00</v>
      </c>
      <c r="N120" t="str">
        <f>"0.00"</f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8"/>
        <v>人民币</v>
      </c>
      <c r="B121" t="str">
        <f>""</f>
        <v/>
      </c>
      <c r="C121" t="str">
        <f>"20190326"</f>
        <v>20190326</v>
      </c>
      <c r="D121" t="str">
        <f>"---"</f>
        <v>---</v>
      </c>
      <c r="E121" t="str">
        <f>"---"</f>
        <v>---</v>
      </c>
      <c r="F121" t="str">
        <f>"10000.00"</f>
        <v>10000.00</v>
      </c>
      <c r="G121" t="str">
        <f>"10751.80"</f>
        <v>10751.80</v>
      </c>
      <c r="H121" t="str">
        <f>"---"</f>
        <v>---</v>
      </c>
      <c r="I121" t="str">
        <f>"---"</f>
        <v>---</v>
      </c>
      <c r="J121" t="str">
        <f>"银行转存"</f>
        <v>银行转存</v>
      </c>
      <c r="K121" t="str">
        <f t="shared" ref="K121:P121" si="49">"---"</f>
        <v>---</v>
      </c>
      <c r="L121" t="str">
        <f t="shared" si="49"/>
        <v>---</v>
      </c>
      <c r="M121" t="str">
        <f t="shared" si="49"/>
        <v>---</v>
      </c>
      <c r="N121" t="str">
        <f t="shared" si="49"/>
        <v>---</v>
      </c>
      <c r="O121" t="str">
        <f t="shared" si="49"/>
        <v>---</v>
      </c>
      <c r="P121" t="str">
        <f t="shared" si="49"/>
        <v>---</v>
      </c>
    </row>
    <row r="122" spans="1:16" x14ac:dyDescent="0.25">
      <c r="A122" t="str">
        <f t="shared" si="28"/>
        <v>人民币</v>
      </c>
      <c r="B122" t="str">
        <f>"银之杰"</f>
        <v>银之杰</v>
      </c>
      <c r="C122" t="str">
        <f>"20190327"</f>
        <v>20190327</v>
      </c>
      <c r="D122" t="str">
        <f>"16.360"</f>
        <v>16.360</v>
      </c>
      <c r="E122" t="str">
        <f>"600.00"</f>
        <v>600.00</v>
      </c>
      <c r="F122" t="str">
        <f>"-9825.82"</f>
        <v>-9825.82</v>
      </c>
      <c r="G122" t="str">
        <f>"607.67"</f>
        <v>607.67</v>
      </c>
      <c r="H122" t="str">
        <f>"2400.00"</f>
        <v>2400.00</v>
      </c>
      <c r="I122" t="str">
        <f>"7"</f>
        <v>7</v>
      </c>
      <c r="J122" t="str">
        <f>"证券买入(银之杰)"</f>
        <v>证券买入(银之杰)</v>
      </c>
      <c r="K122" t="str">
        <f>"9.82"</f>
        <v>9.82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8"/>
        <v>人民币</v>
      </c>
      <c r="B123" t="str">
        <f>""</f>
        <v/>
      </c>
      <c r="C123" t="str">
        <f>"20190327"</f>
        <v>20190327</v>
      </c>
      <c r="D123" t="str">
        <f>"---"</f>
        <v>---</v>
      </c>
      <c r="E123" t="str">
        <f>"---"</f>
        <v>---</v>
      </c>
      <c r="F123" t="str">
        <f>"10000.00"</f>
        <v>10000.00</v>
      </c>
      <c r="G123" t="str">
        <f>"10433.49"</f>
        <v>10433.49</v>
      </c>
      <c r="H123" t="str">
        <f>"---"</f>
        <v>---</v>
      </c>
      <c r="I123" t="str">
        <f>"---"</f>
        <v>---</v>
      </c>
      <c r="J123" t="str">
        <f>"银行转存"</f>
        <v>银行转存</v>
      </c>
      <c r="K123" t="str">
        <f t="shared" ref="K123:P123" si="50">"---"</f>
        <v>---</v>
      </c>
      <c r="L123" t="str">
        <f t="shared" si="50"/>
        <v>---</v>
      </c>
      <c r="M123" t="str">
        <f t="shared" si="50"/>
        <v>---</v>
      </c>
      <c r="N123" t="str">
        <f t="shared" si="50"/>
        <v>---</v>
      </c>
      <c r="O123" t="str">
        <f t="shared" si="50"/>
        <v>---</v>
      </c>
      <c r="P123" t="str">
        <f t="shared" si="50"/>
        <v>---</v>
      </c>
    </row>
    <row r="124" spans="1:16" x14ac:dyDescent="0.25">
      <c r="A124" t="str">
        <f t="shared" si="28"/>
        <v>人民币</v>
      </c>
      <c r="B124" t="str">
        <f>"安硕信息"</f>
        <v>安硕信息</v>
      </c>
      <c r="C124" t="str">
        <f>"20190401"</f>
        <v>20190401</v>
      </c>
      <c r="D124" t="str">
        <f>"26.450"</f>
        <v>26.450</v>
      </c>
      <c r="E124" t="str">
        <f>"400.00"</f>
        <v>400.00</v>
      </c>
      <c r="F124" t="str">
        <f>"-10590.58"</f>
        <v>-10590.58</v>
      </c>
      <c r="G124" t="str">
        <f>"35169.48"</f>
        <v>35169.48</v>
      </c>
      <c r="H124" t="str">
        <f>"400.00"</f>
        <v>400.00</v>
      </c>
      <c r="I124" t="str">
        <f>"20"</f>
        <v>20</v>
      </c>
      <c r="J124" t="str">
        <f>"证券买入(安硕信息)"</f>
        <v>证券买入(安硕信息)</v>
      </c>
      <c r="K124" t="str">
        <f>"10.58"</f>
        <v>10.58</v>
      </c>
      <c r="L124" t="str">
        <f>"0.00"</f>
        <v>0.00</v>
      </c>
      <c r="M124" t="str">
        <f>"0.00"</f>
        <v>0.00</v>
      </c>
      <c r="N124" t="str">
        <f>"0.00"</f>
        <v>0.00</v>
      </c>
      <c r="O124" t="str">
        <f>"300380"</f>
        <v>300380</v>
      </c>
      <c r="P124" t="str">
        <f t="shared" ref="P124:P129" si="51">"0153613480"</f>
        <v>0153613480</v>
      </c>
    </row>
    <row r="125" spans="1:16" x14ac:dyDescent="0.25">
      <c r="A125" t="str">
        <f t="shared" si="28"/>
        <v>人民币</v>
      </c>
      <c r="B125" t="str">
        <f>"银之杰"</f>
        <v>银之杰</v>
      </c>
      <c r="C125" t="str">
        <f>"20190401"</f>
        <v>20190401</v>
      </c>
      <c r="D125" t="str">
        <f>"18.910"</f>
        <v>18.910</v>
      </c>
      <c r="E125" t="str">
        <f>"-100.00"</f>
        <v>-100.00</v>
      </c>
      <c r="F125" t="str">
        <f>"1884.11"</f>
        <v>1884.11</v>
      </c>
      <c r="G125" t="str">
        <f>"45760.06"</f>
        <v>45760.06</v>
      </c>
      <c r="H125" t="str">
        <f>"0.00"</f>
        <v>0.00</v>
      </c>
      <c r="I125" t="str">
        <f>"17"</f>
        <v>17</v>
      </c>
      <c r="J125" t="str">
        <f>"证券卖出(银之杰)"</f>
        <v>证券卖出(银之杰)</v>
      </c>
      <c r="K125" t="str">
        <f>"5.00"</f>
        <v>5.00</v>
      </c>
      <c r="L125" t="str">
        <f>"1.89"</f>
        <v>1.89</v>
      </c>
      <c r="M125" t="str">
        <f t="shared" ref="M125:N136" si="52">"0.00"</f>
        <v>0.00</v>
      </c>
      <c r="N125" t="str">
        <f t="shared" si="52"/>
        <v>0.00</v>
      </c>
      <c r="O125" t="str">
        <f>"300085"</f>
        <v>300085</v>
      </c>
      <c r="P125" t="str">
        <f t="shared" si="51"/>
        <v>0153613480</v>
      </c>
    </row>
    <row r="126" spans="1:16" x14ac:dyDescent="0.25">
      <c r="A126" t="str">
        <f t="shared" si="28"/>
        <v>人民币</v>
      </c>
      <c r="B126" t="str">
        <f>"银之杰"</f>
        <v>银之杰</v>
      </c>
      <c r="C126" t="str">
        <f>"20190401"</f>
        <v>20190401</v>
      </c>
      <c r="D126" t="str">
        <f>"18.850"</f>
        <v>18.850</v>
      </c>
      <c r="E126" t="str">
        <f>"-1500.00"</f>
        <v>-1500.00</v>
      </c>
      <c r="F126" t="str">
        <f>"28218.44"</f>
        <v>28218.44</v>
      </c>
      <c r="G126" t="str">
        <f>"43875.95"</f>
        <v>43875.95</v>
      </c>
      <c r="H126" t="str">
        <f>"100.00"</f>
        <v>100.00</v>
      </c>
      <c r="I126" t="str">
        <f>"14"</f>
        <v>14</v>
      </c>
      <c r="J126" t="str">
        <f>"证券卖出(银之杰)"</f>
        <v>证券卖出(银之杰)</v>
      </c>
      <c r="K126" t="str">
        <f>"28.28"</f>
        <v>28.28</v>
      </c>
      <c r="L126" t="str">
        <f>"28.28"</f>
        <v>28.28</v>
      </c>
      <c r="M126" t="str">
        <f t="shared" si="52"/>
        <v>0.00</v>
      </c>
      <c r="N126" t="str">
        <f t="shared" si="52"/>
        <v>0.00</v>
      </c>
      <c r="O126" t="str">
        <f>"300085"</f>
        <v>300085</v>
      </c>
      <c r="P126" t="str">
        <f t="shared" si="51"/>
        <v>0153613480</v>
      </c>
    </row>
    <row r="127" spans="1:16" x14ac:dyDescent="0.25">
      <c r="A127" t="str">
        <f t="shared" si="28"/>
        <v>人民币</v>
      </c>
      <c r="B127" t="str">
        <f>"银之杰"</f>
        <v>银之杰</v>
      </c>
      <c r="C127" t="str">
        <f>"20190401"</f>
        <v>20190401</v>
      </c>
      <c r="D127" t="str">
        <f>"18.850"</f>
        <v>18.850</v>
      </c>
      <c r="E127" t="str">
        <f>"-800.00"</f>
        <v>-800.00</v>
      </c>
      <c r="F127" t="str">
        <f>"15049.84"</f>
        <v>15049.84</v>
      </c>
      <c r="G127" t="str">
        <f>"15657.51"</f>
        <v>15657.51</v>
      </c>
      <c r="H127" t="str">
        <f>"1600.00"</f>
        <v>1600.00</v>
      </c>
      <c r="I127" t="str">
        <f>"11"</f>
        <v>11</v>
      </c>
      <c r="J127" t="str">
        <f>"证券卖出(银之杰)"</f>
        <v>证券卖出(银之杰)</v>
      </c>
      <c r="K127" t="str">
        <f>"15.08"</f>
        <v>15.08</v>
      </c>
      <c r="L127" t="str">
        <f>"15.08"</f>
        <v>15.08</v>
      </c>
      <c r="M127" t="str">
        <f t="shared" si="52"/>
        <v>0.00</v>
      </c>
      <c r="N127" t="str">
        <f t="shared" si="52"/>
        <v>0.00</v>
      </c>
      <c r="O127" t="str">
        <f>"300085"</f>
        <v>300085</v>
      </c>
      <c r="P127" t="str">
        <f t="shared" si="51"/>
        <v>0153613480</v>
      </c>
    </row>
    <row r="128" spans="1:16" x14ac:dyDescent="0.25">
      <c r="A128" t="str">
        <f t="shared" si="28"/>
        <v>人民币</v>
      </c>
      <c r="B128" t="str">
        <f>"迪普科技"</f>
        <v>迪普科技</v>
      </c>
      <c r="C128" t="str">
        <f>"20190402"</f>
        <v>20190402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"19223.55"</f>
        <v>19223.55</v>
      </c>
      <c r="H128" t="str">
        <f>"0.00"</f>
        <v>0.00</v>
      </c>
      <c r="I128" t="str">
        <f>"31"</f>
        <v>31</v>
      </c>
      <c r="J128" t="str">
        <f>"申购配号(迪普科技)"</f>
        <v>申购配号(迪普科技)</v>
      </c>
      <c r="K128" t="str">
        <f>"0.00"</f>
        <v>0.00</v>
      </c>
      <c r="L128" t="str">
        <f>"0.00"</f>
        <v>0.00</v>
      </c>
      <c r="M128" t="str">
        <f t="shared" si="52"/>
        <v>0.00</v>
      </c>
      <c r="N128" t="str">
        <f t="shared" si="52"/>
        <v>0.00</v>
      </c>
      <c r="O128" t="str">
        <f>"300768"</f>
        <v>300768</v>
      </c>
      <c r="P128" t="str">
        <f t="shared" si="51"/>
        <v>0153613480</v>
      </c>
    </row>
    <row r="129" spans="1:16" x14ac:dyDescent="0.25">
      <c r="A129" t="str">
        <f t="shared" si="28"/>
        <v>人民币</v>
      </c>
      <c r="B129" t="str">
        <f>"安硕信息"</f>
        <v>安硕信息</v>
      </c>
      <c r="C129" t="str">
        <f>"20190402"</f>
        <v>20190402</v>
      </c>
      <c r="D129" t="str">
        <f>"26.550"</f>
        <v>26.550</v>
      </c>
      <c r="E129" t="str">
        <f>"600.00"</f>
        <v>600.00</v>
      </c>
      <c r="F129" t="str">
        <f>"-15945.93"</f>
        <v>-15945.93</v>
      </c>
      <c r="G129" t="str">
        <f>"19223.55"</f>
        <v>19223.55</v>
      </c>
      <c r="H129" t="str">
        <f>"1000.00"</f>
        <v>1000.00</v>
      </c>
      <c r="I129" t="str">
        <f>"33"</f>
        <v>33</v>
      </c>
      <c r="J129" t="str">
        <f>"证券买入(安硕信息)"</f>
        <v>证券买入(安硕信息)</v>
      </c>
      <c r="K129" t="str">
        <f>"15.93"</f>
        <v>15.93</v>
      </c>
      <c r="L129" t="str">
        <f>"0.00"</f>
        <v>0.00</v>
      </c>
      <c r="M129" t="str">
        <f t="shared" si="52"/>
        <v>0.00</v>
      </c>
      <c r="N129" t="str">
        <f t="shared" si="52"/>
        <v>0.00</v>
      </c>
      <c r="O129" t="str">
        <f>"300380"</f>
        <v>300380</v>
      </c>
      <c r="P129" t="str">
        <f t="shared" si="51"/>
        <v>0153613480</v>
      </c>
    </row>
    <row r="130" spans="1:16" x14ac:dyDescent="0.25">
      <c r="A130" t="str">
        <f t="shared" ref="A130:A193" si="53">"人民币"</f>
        <v>人民币</v>
      </c>
      <c r="B130" t="str">
        <f>"博通配号"</f>
        <v>博通配号</v>
      </c>
      <c r="C130" t="str">
        <f>"20190402"</f>
        <v>20190402</v>
      </c>
      <c r="D130" t="str">
        <f>"0.000"</f>
        <v>0.000</v>
      </c>
      <c r="E130" t="str">
        <f>"8.00"</f>
        <v>8.00</v>
      </c>
      <c r="F130" t="str">
        <f>"0.00"</f>
        <v>0.00</v>
      </c>
      <c r="G130" t="str">
        <f>"35169.48"</f>
        <v>35169.48</v>
      </c>
      <c r="H130" t="str">
        <f>"0.00"</f>
        <v>0.00</v>
      </c>
      <c r="I130" t="str">
        <f>"29"</f>
        <v>29</v>
      </c>
      <c r="J130" t="str">
        <f>"申购配号(博通配号)"</f>
        <v>申购配号(博通配号)</v>
      </c>
      <c r="K130" t="str">
        <f>"0.00"</f>
        <v>0.00</v>
      </c>
      <c r="L130" t="str">
        <f>"0.00"</f>
        <v>0.00</v>
      </c>
      <c r="M130" t="str">
        <f t="shared" si="52"/>
        <v>0.00</v>
      </c>
      <c r="N130" t="str">
        <f t="shared" si="52"/>
        <v>0.00</v>
      </c>
      <c r="O130" t="str">
        <f>"736068"</f>
        <v>736068</v>
      </c>
      <c r="P130" t="str">
        <f>"A400948245"</f>
        <v>A400948245</v>
      </c>
    </row>
    <row r="131" spans="1:16" x14ac:dyDescent="0.25">
      <c r="A131" t="str">
        <f t="shared" si="53"/>
        <v>人民币</v>
      </c>
      <c r="B131" t="str">
        <f>"德方纳米"</f>
        <v>德方纳米</v>
      </c>
      <c r="C131" t="str">
        <f t="shared" ref="C131:C140" si="54">"20190403"</f>
        <v>20190403</v>
      </c>
      <c r="D131" t="str">
        <f>"0.000"</f>
        <v>0.000</v>
      </c>
      <c r="E131" t="str">
        <f>"9.00"</f>
        <v>9.00</v>
      </c>
      <c r="F131" t="str">
        <f>"0.00"</f>
        <v>0.00</v>
      </c>
      <c r="G131" t="str">
        <f>"21580.53"</f>
        <v>21580.53</v>
      </c>
      <c r="H131" t="str">
        <f>"0.00"</f>
        <v>0.00</v>
      </c>
      <c r="I131" t="str">
        <f>"42"</f>
        <v>42</v>
      </c>
      <c r="J131" t="str">
        <f>"申购配号(德方纳米)"</f>
        <v>申购配号(德方纳米)</v>
      </c>
      <c r="K131" t="str">
        <f>"0.00"</f>
        <v>0.00</v>
      </c>
      <c r="L131" t="str">
        <f>"0.00"</f>
        <v>0.00</v>
      </c>
      <c r="M131" t="str">
        <f t="shared" si="52"/>
        <v>0.00</v>
      </c>
      <c r="N131" t="str">
        <f t="shared" si="52"/>
        <v>0.00</v>
      </c>
      <c r="O131" t="str">
        <f>"300769"</f>
        <v>300769</v>
      </c>
      <c r="P131" t="str">
        <f t="shared" ref="P131:P136" si="55">"0153613480"</f>
        <v>0153613480</v>
      </c>
    </row>
    <row r="132" spans="1:16" x14ac:dyDescent="0.25">
      <c r="A132" t="str">
        <f t="shared" si="53"/>
        <v>人民币</v>
      </c>
      <c r="B132" t="str">
        <f>"安硕信息"</f>
        <v>安硕信息</v>
      </c>
      <c r="C132" t="str">
        <f t="shared" si="54"/>
        <v>20190403</v>
      </c>
      <c r="D132" t="str">
        <f>"27.050"</f>
        <v>27.050</v>
      </c>
      <c r="E132" t="str">
        <f>"-500.00"</f>
        <v>-500.00</v>
      </c>
      <c r="F132" t="str">
        <f>"13497.94"</f>
        <v>13497.94</v>
      </c>
      <c r="G132" t="str">
        <f>"21580.53"</f>
        <v>21580.53</v>
      </c>
      <c r="H132" t="str">
        <f>"800.00"</f>
        <v>800.00</v>
      </c>
      <c r="I132" t="str">
        <f>"73"</f>
        <v>73</v>
      </c>
      <c r="J132" t="str">
        <f>"证券卖出(安硕信息)"</f>
        <v>证券卖出(安硕信息)</v>
      </c>
      <c r="K132" t="str">
        <f>"13.53"</f>
        <v>13.53</v>
      </c>
      <c r="L132" t="str">
        <f>"13.53"</f>
        <v>13.53</v>
      </c>
      <c r="M132" t="str">
        <f t="shared" si="52"/>
        <v>0.00</v>
      </c>
      <c r="N132" t="str">
        <f t="shared" si="52"/>
        <v>0.00</v>
      </c>
      <c r="O132" t="str">
        <f>"300380"</f>
        <v>300380</v>
      </c>
      <c r="P132" t="str">
        <f t="shared" si="55"/>
        <v>0153613480</v>
      </c>
    </row>
    <row r="133" spans="1:16" x14ac:dyDescent="0.25">
      <c r="A133" t="str">
        <f t="shared" si="53"/>
        <v>人民币</v>
      </c>
      <c r="B133" t="str">
        <f>"青农商行"</f>
        <v>青农商行</v>
      </c>
      <c r="C133" t="str">
        <f t="shared" si="54"/>
        <v>20190403</v>
      </c>
      <c r="D133" t="str">
        <f>"9.941"</f>
        <v>9.941</v>
      </c>
      <c r="E133" t="str">
        <f>"500.00"</f>
        <v>500.00</v>
      </c>
      <c r="F133" t="str">
        <f>"-4975.50"</f>
        <v>-4975.50</v>
      </c>
      <c r="G133" t="str">
        <f>"8082.59"</f>
        <v>8082.59</v>
      </c>
      <c r="H133" t="str">
        <f>"500.00"</f>
        <v>500.00</v>
      </c>
      <c r="I133" t="str">
        <f>"59"</f>
        <v>59</v>
      </c>
      <c r="J133" t="str">
        <f>"证券买入(青农商行)"</f>
        <v>证券买入(青农商行)</v>
      </c>
      <c r="K133" t="str">
        <f>"5.00"</f>
        <v>5.00</v>
      </c>
      <c r="L133" t="str">
        <f>"0.00"</f>
        <v>0.00</v>
      </c>
      <c r="M133" t="str">
        <f t="shared" si="52"/>
        <v>0.00</v>
      </c>
      <c r="N133" t="str">
        <f t="shared" si="52"/>
        <v>0.00</v>
      </c>
      <c r="O133" t="str">
        <f>"002958"</f>
        <v>002958</v>
      </c>
      <c r="P133" t="str">
        <f t="shared" si="55"/>
        <v>0153613480</v>
      </c>
    </row>
    <row r="134" spans="1:16" x14ac:dyDescent="0.25">
      <c r="A134" t="str">
        <f t="shared" si="53"/>
        <v>人民币</v>
      </c>
      <c r="B134" t="str">
        <f>"西部建设"</f>
        <v>西部建设</v>
      </c>
      <c r="C134" t="str">
        <f t="shared" si="54"/>
        <v>20190403</v>
      </c>
      <c r="D134" t="str">
        <f>"15.680"</f>
        <v>15.680</v>
      </c>
      <c r="E134" t="str">
        <f>"500.00"</f>
        <v>500.00</v>
      </c>
      <c r="F134" t="str">
        <f>"-7847.84"</f>
        <v>-7847.84</v>
      </c>
      <c r="G134" t="str">
        <f>"13058.09"</f>
        <v>13058.09</v>
      </c>
      <c r="H134" t="str">
        <f>"500.00"</f>
        <v>500.00</v>
      </c>
      <c r="I134" t="str">
        <f>"54"</f>
        <v>54</v>
      </c>
      <c r="J134" t="str">
        <f>"证券买入(西部建设)"</f>
        <v>证券买入(西部建设)</v>
      </c>
      <c r="K134" t="str">
        <f>"7.84"</f>
        <v>7.84</v>
      </c>
      <c r="L134" t="str">
        <f>"0.00"</f>
        <v>0.00</v>
      </c>
      <c r="M134" t="str">
        <f t="shared" si="52"/>
        <v>0.00</v>
      </c>
      <c r="N134" t="str">
        <f t="shared" si="52"/>
        <v>0.00</v>
      </c>
      <c r="O134" t="str">
        <f>"002302"</f>
        <v>002302</v>
      </c>
      <c r="P134" t="str">
        <f t="shared" si="55"/>
        <v>0153613480</v>
      </c>
    </row>
    <row r="135" spans="1:16" x14ac:dyDescent="0.25">
      <c r="A135" t="str">
        <f t="shared" si="53"/>
        <v>人民币</v>
      </c>
      <c r="B135" t="str">
        <f>"青农商行"</f>
        <v>青农商行</v>
      </c>
      <c r="C135" t="str">
        <f t="shared" si="54"/>
        <v>20190403</v>
      </c>
      <c r="D135" t="str">
        <f>"10.110"</f>
        <v>10.110</v>
      </c>
      <c r="E135" t="str">
        <f>"-500.00"</f>
        <v>-500.00</v>
      </c>
      <c r="F135" t="str">
        <f>"5044.88"</f>
        <v>5044.88</v>
      </c>
      <c r="G135" t="str">
        <f>"20905.93"</f>
        <v>20905.93</v>
      </c>
      <c r="H135" t="str">
        <f>"0.00"</f>
        <v>0.00</v>
      </c>
      <c r="I135" t="str">
        <f>"51"</f>
        <v>51</v>
      </c>
      <c r="J135" t="str">
        <f>"证券卖出(青农商行)"</f>
        <v>证券卖出(青农商行)</v>
      </c>
      <c r="K135" t="str">
        <f>"5.06"</f>
        <v>5.06</v>
      </c>
      <c r="L135" t="str">
        <f>"5.06"</f>
        <v>5.06</v>
      </c>
      <c r="M135" t="str">
        <f t="shared" si="52"/>
        <v>0.00</v>
      </c>
      <c r="N135" t="str">
        <f t="shared" si="52"/>
        <v>0.00</v>
      </c>
      <c r="O135" t="str">
        <f>"002958"</f>
        <v>002958</v>
      </c>
      <c r="P135" t="str">
        <f t="shared" si="55"/>
        <v>0153613480</v>
      </c>
    </row>
    <row r="136" spans="1:16" x14ac:dyDescent="0.25">
      <c r="A136" t="str">
        <f t="shared" si="53"/>
        <v>人民币</v>
      </c>
      <c r="B136" t="str">
        <f>"安硕信息"</f>
        <v>安硕信息</v>
      </c>
      <c r="C136" t="str">
        <f t="shared" si="54"/>
        <v>20190403</v>
      </c>
      <c r="D136" t="str">
        <f>"26.380"</f>
        <v>26.380</v>
      </c>
      <c r="E136" t="str">
        <f>"300.00"</f>
        <v>300.00</v>
      </c>
      <c r="F136" t="str">
        <f>"-7921.91"</f>
        <v>-7921.91</v>
      </c>
      <c r="G136" t="str">
        <f>"15861.05"</f>
        <v>15861.05</v>
      </c>
      <c r="H136" t="str">
        <f>"1300.00"</f>
        <v>1300.00</v>
      </c>
      <c r="I136" t="str">
        <f>"44"</f>
        <v>44</v>
      </c>
      <c r="J136" t="str">
        <f>"证券买入(安硕信息)"</f>
        <v>证券买入(安硕信息)</v>
      </c>
      <c r="K136" t="str">
        <f>"7.91"</f>
        <v>7.91</v>
      </c>
      <c r="L136" t="str">
        <f>"0.00"</f>
        <v>0.00</v>
      </c>
      <c r="M136" t="str">
        <f t="shared" si="52"/>
        <v>0.00</v>
      </c>
      <c r="N136" t="str">
        <f t="shared" si="52"/>
        <v>0.00</v>
      </c>
      <c r="O136" t="str">
        <f>"300380"</f>
        <v>300380</v>
      </c>
      <c r="P136" t="str">
        <f t="shared" si="55"/>
        <v>0153613480</v>
      </c>
    </row>
    <row r="137" spans="1:16" x14ac:dyDescent="0.25">
      <c r="A137" t="str">
        <f t="shared" si="53"/>
        <v>人民币</v>
      </c>
      <c r="B137" t="str">
        <f>"七一二"</f>
        <v>七一二</v>
      </c>
      <c r="C137" t="str">
        <f t="shared" si="54"/>
        <v>20190403</v>
      </c>
      <c r="D137" t="str">
        <f>"21.710"</f>
        <v>21.710</v>
      </c>
      <c r="E137" t="str">
        <f>"-300.00"</f>
        <v>-300.00</v>
      </c>
      <c r="F137" t="str">
        <f>"6499.85"</f>
        <v>6499.85</v>
      </c>
      <c r="G137" t="str">
        <f>"23782.96"</f>
        <v>23782.96</v>
      </c>
      <c r="H137" t="str">
        <f>"1400.00"</f>
        <v>1400.00</v>
      </c>
      <c r="I137" t="str">
        <f>"70"</f>
        <v>70</v>
      </c>
      <c r="J137" t="str">
        <f>"证券卖出(七一二)"</f>
        <v>证券卖出(七一二)</v>
      </c>
      <c r="K137" t="str">
        <f>"6.51"</f>
        <v>6.51</v>
      </c>
      <c r="L137" t="str">
        <f>"6.51"</f>
        <v>6.51</v>
      </c>
      <c r="M137" t="str">
        <f>"0.13"</f>
        <v>0.13</v>
      </c>
      <c r="N137" t="str">
        <f>"0.00"</f>
        <v>0.00</v>
      </c>
      <c r="O137" t="str">
        <f>"603712"</f>
        <v>603712</v>
      </c>
      <c r="P137" t="str">
        <f>"A400948245"</f>
        <v>A400948245</v>
      </c>
    </row>
    <row r="138" spans="1:16" x14ac:dyDescent="0.25">
      <c r="A138" t="str">
        <f t="shared" si="53"/>
        <v>人民币</v>
      </c>
      <c r="B138" t="str">
        <f>"天味配号"</f>
        <v>天味配号</v>
      </c>
      <c r="C138" t="str">
        <f t="shared" si="54"/>
        <v>20190403</v>
      </c>
      <c r="D138" t="str">
        <f>"0.000"</f>
        <v>0.000</v>
      </c>
      <c r="E138" t="str">
        <f>"8.00"</f>
        <v>8.00</v>
      </c>
      <c r="F138" t="str">
        <f>"0.00"</f>
        <v>0.00</v>
      </c>
      <c r="G138" t="str">
        <f>"4223.55"</f>
        <v>4223.55</v>
      </c>
      <c r="H138" t="str">
        <f>"0.00"</f>
        <v>0.00</v>
      </c>
      <c r="I138" t="str">
        <f>"40"</f>
        <v>40</v>
      </c>
      <c r="J138" t="str">
        <f>"申购配号(天味配号)"</f>
        <v>申购配号(天味配号)</v>
      </c>
      <c r="K138" t="str">
        <f>"0.00"</f>
        <v>0.00</v>
      </c>
      <c r="L138" t="str">
        <f>"0.00"</f>
        <v>0.00</v>
      </c>
      <c r="M138" t="str">
        <f>"0.00"</f>
        <v>0.00</v>
      </c>
      <c r="N138" t="str">
        <f>"0.00"</f>
        <v>0.00</v>
      </c>
      <c r="O138" t="str">
        <f>"736317"</f>
        <v>736317</v>
      </c>
      <c r="P138" t="str">
        <f>"A400948245"</f>
        <v>A400948245</v>
      </c>
    </row>
    <row r="139" spans="1:16" x14ac:dyDescent="0.25">
      <c r="A139" t="str">
        <f t="shared" si="53"/>
        <v>人民币</v>
      </c>
      <c r="B139" t="str">
        <f>"七一二"</f>
        <v>七一二</v>
      </c>
      <c r="C139" t="str">
        <f t="shared" si="54"/>
        <v>20190403</v>
      </c>
      <c r="D139" t="str">
        <f>"21.810"</f>
        <v>21.810</v>
      </c>
      <c r="E139" t="str">
        <f>"-600.00"</f>
        <v>-600.00</v>
      </c>
      <c r="F139" t="str">
        <f>"13059.56"</f>
        <v>13059.56</v>
      </c>
      <c r="G139" t="str">
        <f>"17283.11"</f>
        <v>17283.11</v>
      </c>
      <c r="H139" t="str">
        <f>"1700.00"</f>
        <v>1700.00</v>
      </c>
      <c r="I139" t="str">
        <f>"48"</f>
        <v>48</v>
      </c>
      <c r="J139" t="str">
        <f>"证券卖出(七一二)"</f>
        <v>证券卖出(七一二)</v>
      </c>
      <c r="K139" t="str">
        <f>"13.09"</f>
        <v>13.09</v>
      </c>
      <c r="L139" t="str">
        <f>"13.09"</f>
        <v>13.09</v>
      </c>
      <c r="M139" t="str">
        <f>"0.26"</f>
        <v>0.26</v>
      </c>
      <c r="N139" t="str">
        <f>"0.00"</f>
        <v>0.00</v>
      </c>
      <c r="O139" t="str">
        <f>"603712"</f>
        <v>603712</v>
      </c>
      <c r="P139" t="str">
        <f>"A400948245"</f>
        <v>A400948245</v>
      </c>
    </row>
    <row r="140" spans="1:16" x14ac:dyDescent="0.25">
      <c r="A140" t="str">
        <f t="shared" si="53"/>
        <v>人民币</v>
      </c>
      <c r="B140" t="str">
        <f>""</f>
        <v/>
      </c>
      <c r="C140" t="str">
        <f t="shared" si="54"/>
        <v>20190403</v>
      </c>
      <c r="D140" t="str">
        <f>"---"</f>
        <v>---</v>
      </c>
      <c r="E140" t="str">
        <f>"---"</f>
        <v>---</v>
      </c>
      <c r="F140" t="str">
        <f>"-15000.00"</f>
        <v>-15000.00</v>
      </c>
      <c r="G140" t="str">
        <f>"4223.55"</f>
        <v>4223.55</v>
      </c>
      <c r="H140" t="str">
        <f>"---"</f>
        <v>---</v>
      </c>
      <c r="I140" t="str">
        <f>"---"</f>
        <v>---</v>
      </c>
      <c r="J140" t="str">
        <f>"银行转取"</f>
        <v>银行转取</v>
      </c>
      <c r="K140" t="str">
        <f t="shared" ref="K140:P140" si="56">"---"</f>
        <v>---</v>
      </c>
      <c r="L140" t="str">
        <f t="shared" si="56"/>
        <v>---</v>
      </c>
      <c r="M140" t="str">
        <f t="shared" si="56"/>
        <v>---</v>
      </c>
      <c r="N140" t="str">
        <f t="shared" si="56"/>
        <v>---</v>
      </c>
      <c r="O140" t="str">
        <f t="shared" si="56"/>
        <v>---</v>
      </c>
      <c r="P140" t="str">
        <f t="shared" si="56"/>
        <v>---</v>
      </c>
    </row>
    <row r="141" spans="1:16" x14ac:dyDescent="0.25">
      <c r="A141" t="str">
        <f t="shared" si="53"/>
        <v>人民币</v>
      </c>
      <c r="B141" t="str">
        <f>"青农商行"</f>
        <v>青农商行</v>
      </c>
      <c r="C141" t="str">
        <f t="shared" ref="C141:C150" si="57">"20190404"</f>
        <v>20190404</v>
      </c>
      <c r="D141" t="str">
        <f>"10.790"</f>
        <v>10.790</v>
      </c>
      <c r="E141" t="str">
        <f>"-500.00"</f>
        <v>-500.00</v>
      </c>
      <c r="F141" t="str">
        <f>"5384.20"</f>
        <v>5384.20</v>
      </c>
      <c r="G141" t="str">
        <f>"33827.75"</f>
        <v>33827.75</v>
      </c>
      <c r="H141" t="str">
        <f>"0.00"</f>
        <v>0.00</v>
      </c>
      <c r="I141" t="str">
        <f>"111"</f>
        <v>111</v>
      </c>
      <c r="J141" t="str">
        <f>"证券卖出(青农商行)"</f>
        <v>证券卖出(青农商行)</v>
      </c>
      <c r="K141" t="str">
        <f>"5.40"</f>
        <v>5.40</v>
      </c>
      <c r="L141" t="str">
        <f>"5.40"</f>
        <v>5.40</v>
      </c>
      <c r="M141" t="str">
        <f t="shared" ref="M141:N145" si="58">"0.00"</f>
        <v>0.00</v>
      </c>
      <c r="N141" t="str">
        <f t="shared" si="58"/>
        <v>0.00</v>
      </c>
      <c r="O141" t="str">
        <f>"002958"</f>
        <v>002958</v>
      </c>
      <c r="P141" t="str">
        <f>"0153613480"</f>
        <v>0153613480</v>
      </c>
    </row>
    <row r="142" spans="1:16" x14ac:dyDescent="0.25">
      <c r="A142" t="str">
        <f t="shared" si="53"/>
        <v>人民币</v>
      </c>
      <c r="B142" t="str">
        <f>"西部建设"</f>
        <v>西部建设</v>
      </c>
      <c r="C142" t="str">
        <f t="shared" si="57"/>
        <v>20190404</v>
      </c>
      <c r="D142" t="str">
        <f>"15.570"</f>
        <v>15.570</v>
      </c>
      <c r="E142" t="str">
        <f>"-500.00"</f>
        <v>-500.00</v>
      </c>
      <c r="F142" t="str">
        <f>"7769.42"</f>
        <v>7769.42</v>
      </c>
      <c r="G142" t="str">
        <f>"28443.55"</f>
        <v>28443.55</v>
      </c>
      <c r="H142" t="str">
        <f>"0.00"</f>
        <v>0.00</v>
      </c>
      <c r="I142" t="str">
        <f>"124"</f>
        <v>124</v>
      </c>
      <c r="J142" t="str">
        <f>"证券卖出(西部建设)"</f>
        <v>证券卖出(西部建设)</v>
      </c>
      <c r="K142" t="str">
        <f>"7.79"</f>
        <v>7.79</v>
      </c>
      <c r="L142" t="str">
        <f>"7.79"</f>
        <v>7.79</v>
      </c>
      <c r="M142" t="str">
        <f t="shared" si="58"/>
        <v>0.00</v>
      </c>
      <c r="N142" t="str">
        <f t="shared" si="58"/>
        <v>0.00</v>
      </c>
      <c r="O142" t="str">
        <f>"002302"</f>
        <v>002302</v>
      </c>
      <c r="P142" t="str">
        <f>"0153613480"</f>
        <v>0153613480</v>
      </c>
    </row>
    <row r="143" spans="1:16" x14ac:dyDescent="0.25">
      <c r="A143" t="str">
        <f t="shared" si="53"/>
        <v>人民币</v>
      </c>
      <c r="B143" t="str">
        <f>"安硕信息"</f>
        <v>安硕信息</v>
      </c>
      <c r="C143" t="str">
        <f t="shared" si="57"/>
        <v>20190404</v>
      </c>
      <c r="D143" t="str">
        <f>"26.580"</f>
        <v>26.580</v>
      </c>
      <c r="E143" t="str">
        <f>"-300.00"</f>
        <v>-300.00</v>
      </c>
      <c r="F143" t="str">
        <f>"7958.06"</f>
        <v>7958.06</v>
      </c>
      <c r="G143" t="str">
        <f>"20674.13"</f>
        <v>20674.13</v>
      </c>
      <c r="H143" t="str">
        <f>"0.00"</f>
        <v>0.00</v>
      </c>
      <c r="I143" t="str">
        <f>"120"</f>
        <v>120</v>
      </c>
      <c r="J143" t="str">
        <f>"证券卖出(安硕信息)"</f>
        <v>证券卖出(安硕信息)</v>
      </c>
      <c r="K143" t="str">
        <f>"7.97"</f>
        <v>7.97</v>
      </c>
      <c r="L143" t="str">
        <f>"7.97"</f>
        <v>7.97</v>
      </c>
      <c r="M143" t="str">
        <f t="shared" si="58"/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3"/>
        <v>人民币</v>
      </c>
      <c r="B144" t="str">
        <f>"安硕信息"</f>
        <v>安硕信息</v>
      </c>
      <c r="C144" t="str">
        <f t="shared" si="57"/>
        <v>20190404</v>
      </c>
      <c r="D144" t="str">
        <f>"27.010"</f>
        <v>27.010</v>
      </c>
      <c r="E144" t="str">
        <f>"-500.00"</f>
        <v>-500.00</v>
      </c>
      <c r="F144" t="str">
        <f>"13477.98"</f>
        <v>13477.98</v>
      </c>
      <c r="G144" t="str">
        <f>"12716.07"</f>
        <v>12716.07</v>
      </c>
      <c r="H144" t="str">
        <f>"300.00"</f>
        <v>300.00</v>
      </c>
      <c r="I144" t="str">
        <f>"88"</f>
        <v>88</v>
      </c>
      <c r="J144" t="str">
        <f>"证券卖出(安硕信息)"</f>
        <v>证券卖出(安硕信息)</v>
      </c>
      <c r="K144" t="str">
        <f>"13.51"</f>
        <v>13.51</v>
      </c>
      <c r="L144" t="str">
        <f>"13.51"</f>
        <v>13.51</v>
      </c>
      <c r="M144" t="str">
        <f t="shared" si="58"/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3"/>
        <v>人民币</v>
      </c>
      <c r="B145" t="str">
        <f>"蓝思科技"</f>
        <v>蓝思科技</v>
      </c>
      <c r="C145" t="str">
        <f t="shared" si="57"/>
        <v>20190404</v>
      </c>
      <c r="D145" t="str">
        <f>"9.330"</f>
        <v>9.330</v>
      </c>
      <c r="E145" t="str">
        <f>"-2300.00"</f>
        <v>-2300.00</v>
      </c>
      <c r="F145" t="str">
        <f>"21416.08"</f>
        <v>21416.08</v>
      </c>
      <c r="G145" t="str">
        <f>"-761.91"</f>
        <v>-761.91</v>
      </c>
      <c r="H145" t="str">
        <f>"0.00"</f>
        <v>0.00</v>
      </c>
      <c r="I145" t="str">
        <f>"91"</f>
        <v>91</v>
      </c>
      <c r="J145" t="str">
        <f>"证券卖出(蓝思科技)"</f>
        <v>证券卖出(蓝思科技)</v>
      </c>
      <c r="K145" t="str">
        <f>"21.46"</f>
        <v>21.46</v>
      </c>
      <c r="L145" t="str">
        <f>"21.46"</f>
        <v>21.46</v>
      </c>
      <c r="M145" t="str">
        <f t="shared" si="58"/>
        <v>0.00</v>
      </c>
      <c r="N145" t="str">
        <f t="shared" si="58"/>
        <v>0.00</v>
      </c>
      <c r="O145" t="str">
        <f>"300433"</f>
        <v>300433</v>
      </c>
      <c r="P145" t="str">
        <f>"0153613480"</f>
        <v>0153613480</v>
      </c>
    </row>
    <row r="146" spans="1:16" x14ac:dyDescent="0.25">
      <c r="A146" t="str">
        <f t="shared" si="53"/>
        <v>人民币</v>
      </c>
      <c r="B146" t="str">
        <f>"航发科技"</f>
        <v>航发科技</v>
      </c>
      <c r="C146" t="str">
        <f t="shared" si="57"/>
        <v>20190404</v>
      </c>
      <c r="D146" t="str">
        <f>"18.250"</f>
        <v>18.250</v>
      </c>
      <c r="E146" t="str">
        <f>"300.00"</f>
        <v>300.00</v>
      </c>
      <c r="F146" t="str">
        <f>"-5480.59"</f>
        <v>-5480.59</v>
      </c>
      <c r="G146" t="str">
        <f>"-22177.99"</f>
        <v>-22177.99</v>
      </c>
      <c r="H146" t="str">
        <f>"1300.00"</f>
        <v>1300.00</v>
      </c>
      <c r="I146" t="str">
        <f>"127"</f>
        <v>127</v>
      </c>
      <c r="J146" t="str">
        <f>"证券买入(航发科技)"</f>
        <v>证券买入(航发科技)</v>
      </c>
      <c r="K146" t="str">
        <f>"5.48"</f>
        <v>5.48</v>
      </c>
      <c r="L146" t="str">
        <f>"0.00"</f>
        <v>0.00</v>
      </c>
      <c r="M146" t="str">
        <f>"0.11"</f>
        <v>0.11</v>
      </c>
      <c r="N146" t="str">
        <f>"0.00"</f>
        <v>0.00</v>
      </c>
      <c r="O146" t="str">
        <f>"600391"</f>
        <v>600391</v>
      </c>
      <c r="P146" t="str">
        <f>"A400948245"</f>
        <v>A400948245</v>
      </c>
    </row>
    <row r="147" spans="1:16" x14ac:dyDescent="0.25">
      <c r="A147" t="str">
        <f t="shared" si="53"/>
        <v>人民币</v>
      </c>
      <c r="B147" t="str">
        <f>"航发科技"</f>
        <v>航发科技</v>
      </c>
      <c r="C147" t="str">
        <f t="shared" si="57"/>
        <v>20190404</v>
      </c>
      <c r="D147" t="str">
        <f>"18.180"</f>
        <v>18.180</v>
      </c>
      <c r="E147" t="str">
        <f>"500.00"</f>
        <v>500.00</v>
      </c>
      <c r="F147" t="str">
        <f>"-9099.27"</f>
        <v>-9099.27</v>
      </c>
      <c r="G147" t="str">
        <f>"-16697.40"</f>
        <v>-16697.40</v>
      </c>
      <c r="H147" t="str">
        <f>"1000.00"</f>
        <v>1000.00</v>
      </c>
      <c r="I147" t="str">
        <f>"114"</f>
        <v>114</v>
      </c>
      <c r="J147" t="str">
        <f>"证券买入(航发科技)"</f>
        <v>证券买入(航发科技)</v>
      </c>
      <c r="K147" t="str">
        <f>"9.09"</f>
        <v>9.09</v>
      </c>
      <c r="L147" t="str">
        <f>"0.00"</f>
        <v>0.00</v>
      </c>
      <c r="M147" t="str">
        <f>"0.18"</f>
        <v>0.18</v>
      </c>
      <c r="N147" t="str">
        <f>"0.00"</f>
        <v>0.00</v>
      </c>
      <c r="O147" t="str">
        <f>"600391"</f>
        <v>600391</v>
      </c>
      <c r="P147" t="str">
        <f>"A400948245"</f>
        <v>A400948245</v>
      </c>
    </row>
    <row r="148" spans="1:16" x14ac:dyDescent="0.25">
      <c r="A148" t="str">
        <f t="shared" si="53"/>
        <v>人民币</v>
      </c>
      <c r="B148" t="str">
        <f>"航发科技"</f>
        <v>航发科技</v>
      </c>
      <c r="C148" t="str">
        <f t="shared" si="57"/>
        <v>20190404</v>
      </c>
      <c r="D148" t="str">
        <f>"18.300"</f>
        <v>18.300</v>
      </c>
      <c r="E148" t="str">
        <f>"300.00"</f>
        <v>300.00</v>
      </c>
      <c r="F148" t="str">
        <f>"-5495.59"</f>
        <v>-5495.59</v>
      </c>
      <c r="G148" t="str">
        <f>"-7598.13"</f>
        <v>-7598.13</v>
      </c>
      <c r="H148" t="str">
        <f>"500.00"</f>
        <v>500.00</v>
      </c>
      <c r="I148" t="str">
        <f>"103"</f>
        <v>103</v>
      </c>
      <c r="J148" t="str">
        <f>"证券买入(航发科技)"</f>
        <v>证券买入(航发科技)</v>
      </c>
      <c r="K148" t="str">
        <f>"5.49"</f>
        <v>5.49</v>
      </c>
      <c r="L148" t="str">
        <f>"0.00"</f>
        <v>0.00</v>
      </c>
      <c r="M148" t="str">
        <f>"0.10"</f>
        <v>0.10</v>
      </c>
      <c r="N148" t="str">
        <f>"0.00"</f>
        <v>0.00</v>
      </c>
      <c r="O148" t="str">
        <f>"600391"</f>
        <v>600391</v>
      </c>
      <c r="P148" t="str">
        <f>"A400948245"</f>
        <v>A400948245</v>
      </c>
    </row>
    <row r="149" spans="1:16" x14ac:dyDescent="0.25">
      <c r="A149" t="str">
        <f t="shared" si="53"/>
        <v>人民币</v>
      </c>
      <c r="B149" t="str">
        <f>"航发科技"</f>
        <v>航发科技</v>
      </c>
      <c r="C149" t="str">
        <f t="shared" si="57"/>
        <v>20190404</v>
      </c>
      <c r="D149" t="str">
        <f>"18.390"</f>
        <v>18.390</v>
      </c>
      <c r="E149" t="str">
        <f>"200.00"</f>
        <v>200.00</v>
      </c>
      <c r="F149" t="str">
        <f>"-3683.07"</f>
        <v>-3683.07</v>
      </c>
      <c r="G149" t="str">
        <f>"-2102.54"</f>
        <v>-2102.54</v>
      </c>
      <c r="H149" t="str">
        <f>"200.00"</f>
        <v>200.00</v>
      </c>
      <c r="I149" t="str">
        <f>"100"</f>
        <v>100</v>
      </c>
      <c r="J149" t="str">
        <f>"证券买入(航发科技)"</f>
        <v>证券买入(航发科技)</v>
      </c>
      <c r="K149" t="str">
        <f>"5.00"</f>
        <v>5.00</v>
      </c>
      <c r="L149" t="str">
        <f>"0.00"</f>
        <v>0.00</v>
      </c>
      <c r="M149" t="str">
        <f>"0.07"</f>
        <v>0.07</v>
      </c>
      <c r="N149" t="str">
        <f>"0.00"</f>
        <v>0.00</v>
      </c>
      <c r="O149" t="str">
        <f>"600391"</f>
        <v>600391</v>
      </c>
      <c r="P149" t="str">
        <f>"A400948245"</f>
        <v>A400948245</v>
      </c>
    </row>
    <row r="150" spans="1:16" x14ac:dyDescent="0.25">
      <c r="A150" t="str">
        <f t="shared" si="53"/>
        <v>人民币</v>
      </c>
      <c r="B150" t="str">
        <f>""</f>
        <v/>
      </c>
      <c r="C150" t="str">
        <f t="shared" si="57"/>
        <v>20190404</v>
      </c>
      <c r="D150" t="str">
        <f>"---"</f>
        <v>---</v>
      </c>
      <c r="E150" t="str">
        <f>"---"</f>
        <v>---</v>
      </c>
      <c r="F150" t="str">
        <f>"-20000.00"</f>
        <v>-20000.00</v>
      </c>
      <c r="G150" t="str">
        <f>"1580.53"</f>
        <v>1580.53</v>
      </c>
      <c r="H150" t="str">
        <f>"---"</f>
        <v>---</v>
      </c>
      <c r="I150" t="str">
        <f>"---"</f>
        <v>---</v>
      </c>
      <c r="J150" t="str">
        <f>"银行转取"</f>
        <v>银行转取</v>
      </c>
      <c r="K150" t="str">
        <f t="shared" ref="K150:P150" si="59">"---"</f>
        <v>---</v>
      </c>
      <c r="L150" t="str">
        <f t="shared" si="59"/>
        <v>---</v>
      </c>
      <c r="M150" t="str">
        <f t="shared" si="59"/>
        <v>---</v>
      </c>
      <c r="N150" t="str">
        <f t="shared" si="59"/>
        <v>---</v>
      </c>
      <c r="O150" t="str">
        <f t="shared" si="59"/>
        <v>---</v>
      </c>
      <c r="P150" t="str">
        <f t="shared" si="59"/>
        <v>---</v>
      </c>
    </row>
    <row r="151" spans="1:16" x14ac:dyDescent="0.25">
      <c r="A151" t="str">
        <f t="shared" si="53"/>
        <v>人民币</v>
      </c>
      <c r="B151" t="str">
        <f>"航发科技"</f>
        <v>航发科技</v>
      </c>
      <c r="C151" t="str">
        <f t="shared" ref="C151:C156" si="60">"20190408"</f>
        <v>20190408</v>
      </c>
      <c r="D151" t="str">
        <f>"17.740"</f>
        <v>17.740</v>
      </c>
      <c r="E151" t="str">
        <f>"300.00"</f>
        <v>300.00</v>
      </c>
      <c r="F151" t="str">
        <f>"-5327.43"</f>
        <v>-5327.43</v>
      </c>
      <c r="G151" t="str">
        <f>"8952.57"</f>
        <v>8952.57</v>
      </c>
      <c r="H151" t="str">
        <f>"1600.00"</f>
        <v>1600.00</v>
      </c>
      <c r="I151" t="str">
        <f>"159"</f>
        <v>159</v>
      </c>
      <c r="J151" t="str">
        <f>"证券买入(航发科技)"</f>
        <v>证券买入(航发科技)</v>
      </c>
      <c r="K151" t="str">
        <f>"5.32"</f>
        <v>5.32</v>
      </c>
      <c r="L151" t="str">
        <f>"0.00"</f>
        <v>0.00</v>
      </c>
      <c r="M151" t="str">
        <f>"0.11"</f>
        <v>0.11</v>
      </c>
      <c r="N151" t="str">
        <f t="shared" ref="N151:N164" si="61">"0.00"</f>
        <v>0.00</v>
      </c>
      <c r="O151" t="str">
        <f>"600391"</f>
        <v>600391</v>
      </c>
      <c r="P151" t="str">
        <f t="shared" ref="P151:P156" si="62">"A400948245"</f>
        <v>A400948245</v>
      </c>
    </row>
    <row r="152" spans="1:16" x14ac:dyDescent="0.25">
      <c r="A152" t="str">
        <f t="shared" si="53"/>
        <v>人民币</v>
      </c>
      <c r="B152" t="str">
        <f>"七一二"</f>
        <v>七一二</v>
      </c>
      <c r="C152" t="str">
        <f t="shared" si="60"/>
        <v>20190408</v>
      </c>
      <c r="D152" t="str">
        <f>"22.440"</f>
        <v>22.440</v>
      </c>
      <c r="E152" t="str">
        <f>"300.00"</f>
        <v>300.00</v>
      </c>
      <c r="F152" t="str">
        <f>"-6738.86"</f>
        <v>-6738.86</v>
      </c>
      <c r="G152" t="str">
        <f>"14280.00"</f>
        <v>14280.00</v>
      </c>
      <c r="H152" t="str">
        <f>"2000.00"</f>
        <v>2000.00</v>
      </c>
      <c r="I152" t="str">
        <f>"155"</f>
        <v>155</v>
      </c>
      <c r="J152" t="str">
        <f>"证券买入(七一二)"</f>
        <v>证券买入(七一二)</v>
      </c>
      <c r="K152" t="str">
        <f>"6.73"</f>
        <v>6.73</v>
      </c>
      <c r="L152" t="str">
        <f>"0.00"</f>
        <v>0.00</v>
      </c>
      <c r="M152" t="str">
        <f>"0.13"</f>
        <v>0.13</v>
      </c>
      <c r="N152" t="str">
        <f t="shared" si="61"/>
        <v>0.00</v>
      </c>
      <c r="O152" t="str">
        <f>"603712"</f>
        <v>603712</v>
      </c>
      <c r="P152" t="str">
        <f t="shared" si="62"/>
        <v>A400948245</v>
      </c>
    </row>
    <row r="153" spans="1:16" x14ac:dyDescent="0.25">
      <c r="A153" t="str">
        <f t="shared" si="53"/>
        <v>人民币</v>
      </c>
      <c r="B153" t="str">
        <f>"七一二"</f>
        <v>七一二</v>
      </c>
      <c r="C153" t="str">
        <f t="shared" si="60"/>
        <v>20190408</v>
      </c>
      <c r="D153" t="str">
        <f>"22.600"</f>
        <v>22.600</v>
      </c>
      <c r="E153" t="str">
        <f>"300.00"</f>
        <v>300.00</v>
      </c>
      <c r="F153" t="str">
        <f>"-6786.92"</f>
        <v>-6786.92</v>
      </c>
      <c r="G153" t="str">
        <f>"21018.86"</f>
        <v>21018.86</v>
      </c>
      <c r="H153" t="str">
        <f>"1700.00"</f>
        <v>1700.00</v>
      </c>
      <c r="I153" t="str">
        <f>"152"</f>
        <v>152</v>
      </c>
      <c r="J153" t="str">
        <f>"证券买入(七一二)"</f>
        <v>证券买入(七一二)</v>
      </c>
      <c r="K153" t="str">
        <f>"6.78"</f>
        <v>6.78</v>
      </c>
      <c r="L153" t="str">
        <f>"0.00"</f>
        <v>0.00</v>
      </c>
      <c r="M153" t="str">
        <f>"0.14"</f>
        <v>0.14</v>
      </c>
      <c r="N153" t="str">
        <f t="shared" si="61"/>
        <v>0.00</v>
      </c>
      <c r="O153" t="str">
        <f>"603712"</f>
        <v>603712</v>
      </c>
      <c r="P153" t="str">
        <f t="shared" si="62"/>
        <v>A400948245</v>
      </c>
    </row>
    <row r="154" spans="1:16" x14ac:dyDescent="0.25">
      <c r="A154" t="str">
        <f t="shared" si="53"/>
        <v>人民币</v>
      </c>
      <c r="B154" t="str">
        <f>"七一二"</f>
        <v>七一二</v>
      </c>
      <c r="C154" t="str">
        <f t="shared" si="60"/>
        <v>20190408</v>
      </c>
      <c r="D154" t="str">
        <f>"22.870"</f>
        <v>22.870</v>
      </c>
      <c r="E154" t="str">
        <f>"-300.00"</f>
        <v>-300.00</v>
      </c>
      <c r="F154" t="str">
        <f>"6847.14"</f>
        <v>6847.14</v>
      </c>
      <c r="G154" t="str">
        <f>"27805.78"</f>
        <v>27805.78</v>
      </c>
      <c r="H154" t="str">
        <f>"1400.00"</f>
        <v>1400.00</v>
      </c>
      <c r="I154" t="str">
        <f>"149"</f>
        <v>149</v>
      </c>
      <c r="J154" t="str">
        <f>"证券卖出(七一二)"</f>
        <v>证券卖出(七一二)</v>
      </c>
      <c r="K154" t="str">
        <f>"6.86"</f>
        <v>6.86</v>
      </c>
      <c r="L154" t="str">
        <f>"6.86"</f>
        <v>6.86</v>
      </c>
      <c r="M154" t="str">
        <f>"0.14"</f>
        <v>0.14</v>
      </c>
      <c r="N154" t="str">
        <f t="shared" si="61"/>
        <v>0.00</v>
      </c>
      <c r="O154" t="str">
        <f>"603712"</f>
        <v>603712</v>
      </c>
      <c r="P154" t="str">
        <f t="shared" si="62"/>
        <v>A400948245</v>
      </c>
    </row>
    <row r="155" spans="1:16" x14ac:dyDescent="0.25">
      <c r="A155" t="str">
        <f t="shared" si="53"/>
        <v>人民币</v>
      </c>
      <c r="B155" t="str">
        <f>"七一二"</f>
        <v>七一二</v>
      </c>
      <c r="C155" t="str">
        <f t="shared" si="60"/>
        <v>20190408</v>
      </c>
      <c r="D155" t="str">
        <f>"21.580"</f>
        <v>21.580</v>
      </c>
      <c r="E155" t="str">
        <f>"300.00"</f>
        <v>300.00</v>
      </c>
      <c r="F155" t="str">
        <f>"-6480.60"</f>
        <v>-6480.60</v>
      </c>
      <c r="G155" t="str">
        <f>"20958.64"</f>
        <v>20958.64</v>
      </c>
      <c r="H155" t="str">
        <f>"1700.00"</f>
        <v>1700.00</v>
      </c>
      <c r="I155" t="str">
        <f>"146"</f>
        <v>146</v>
      </c>
      <c r="J155" t="str">
        <f>"证券买入(七一二)"</f>
        <v>证券买入(七一二)</v>
      </c>
      <c r="K155" t="str">
        <f>"6.47"</f>
        <v>6.47</v>
      </c>
      <c r="L155" t="str">
        <f t="shared" ref="L155:L160" si="63">"0.00"</f>
        <v>0.00</v>
      </c>
      <c r="M155" t="str">
        <f>"0.13"</f>
        <v>0.13</v>
      </c>
      <c r="N155" t="str">
        <f t="shared" si="61"/>
        <v>0.00</v>
      </c>
      <c r="O155" t="str">
        <f>"603712"</f>
        <v>603712</v>
      </c>
      <c r="P155" t="str">
        <f t="shared" si="62"/>
        <v>A400948245</v>
      </c>
    </row>
    <row r="156" spans="1:16" x14ac:dyDescent="0.25">
      <c r="A156" t="str">
        <f t="shared" si="53"/>
        <v>人民币</v>
      </c>
      <c r="B156" t="str">
        <f>"上海家化"</f>
        <v>上海家化</v>
      </c>
      <c r="C156" t="str">
        <f t="shared" si="60"/>
        <v>20190408</v>
      </c>
      <c r="D156" t="str">
        <f>"31.910"</f>
        <v>31.910</v>
      </c>
      <c r="E156" t="str">
        <f>"200.00"</f>
        <v>200.00</v>
      </c>
      <c r="F156" t="str">
        <f>"-6388.51"</f>
        <v>-6388.51</v>
      </c>
      <c r="G156" t="str">
        <f>"27439.24"</f>
        <v>27439.24</v>
      </c>
      <c r="H156" t="str">
        <f>"200.00"</f>
        <v>200.00</v>
      </c>
      <c r="I156" t="str">
        <f>"143"</f>
        <v>143</v>
      </c>
      <c r="J156" t="str">
        <f>"证券买入(上海家化)"</f>
        <v>证券买入(上海家化)</v>
      </c>
      <c r="K156" t="str">
        <f>"6.38"</f>
        <v>6.38</v>
      </c>
      <c r="L156" t="str">
        <f t="shared" si="63"/>
        <v>0.00</v>
      </c>
      <c r="M156" t="str">
        <f>"0.13"</f>
        <v>0.13</v>
      </c>
      <c r="N156" t="str">
        <f t="shared" si="61"/>
        <v>0.00</v>
      </c>
      <c r="O156" t="str">
        <f>"600315"</f>
        <v>600315</v>
      </c>
      <c r="P156" t="str">
        <f t="shared" si="62"/>
        <v>A400948245</v>
      </c>
    </row>
    <row r="157" spans="1:16" x14ac:dyDescent="0.25">
      <c r="A157" t="str">
        <f t="shared" si="53"/>
        <v>人民币</v>
      </c>
      <c r="B157" t="str">
        <f>"上海新阳"</f>
        <v>上海新阳</v>
      </c>
      <c r="C157" t="str">
        <f t="shared" ref="C157:C165" si="64">"20190409"</f>
        <v>20190409</v>
      </c>
      <c r="D157" t="str">
        <f>"40.870"</f>
        <v>40.870</v>
      </c>
      <c r="E157" t="str">
        <f>"100.00"</f>
        <v>100.00</v>
      </c>
      <c r="F157" t="str">
        <f>"-4092.00"</f>
        <v>-4092.00</v>
      </c>
      <c r="G157" t="str">
        <f>"2069.97"</f>
        <v>2069.97</v>
      </c>
      <c r="H157" t="str">
        <f>"400.00"</f>
        <v>400.00</v>
      </c>
      <c r="I157" t="str">
        <f>"201"</f>
        <v>201</v>
      </c>
      <c r="J157" t="str">
        <f>"证券买入(上海新阳)"</f>
        <v>证券买入(上海新阳)</v>
      </c>
      <c r="K157" t="str">
        <f>"5.00"</f>
        <v>5.00</v>
      </c>
      <c r="L157" t="str">
        <f t="shared" si="63"/>
        <v>0.00</v>
      </c>
      <c r="M157" t="str">
        <f>"0.00"</f>
        <v>0.00</v>
      </c>
      <c r="N157" t="str">
        <f t="shared" si="61"/>
        <v>0.00</v>
      </c>
      <c r="O157" t="str">
        <f>"300236"</f>
        <v>300236</v>
      </c>
      <c r="P157" t="str">
        <f>"0153613480"</f>
        <v>0153613480</v>
      </c>
    </row>
    <row r="158" spans="1:16" x14ac:dyDescent="0.25">
      <c r="A158" t="str">
        <f t="shared" si="53"/>
        <v>人民币</v>
      </c>
      <c r="B158" t="str">
        <f>"上海新阳"</f>
        <v>上海新阳</v>
      </c>
      <c r="C158" t="str">
        <f t="shared" si="64"/>
        <v>20190409</v>
      </c>
      <c r="D158" t="str">
        <f>"40.960"</f>
        <v>40.960</v>
      </c>
      <c r="E158" t="str">
        <f>"100.00"</f>
        <v>100.00</v>
      </c>
      <c r="F158" t="str">
        <f>"-4101.00"</f>
        <v>-4101.00</v>
      </c>
      <c r="G158" t="str">
        <f>"6161.97"</f>
        <v>6161.97</v>
      </c>
      <c r="H158" t="str">
        <f>"300.00"</f>
        <v>300.00</v>
      </c>
      <c r="I158" t="str">
        <f>"198"</f>
        <v>198</v>
      </c>
      <c r="J158" t="str">
        <f>"证券买入(上海新阳)"</f>
        <v>证券买入(上海新阳)</v>
      </c>
      <c r="K158" t="str">
        <f>"5.00"</f>
        <v>5.00</v>
      </c>
      <c r="L158" t="str">
        <f t="shared" si="63"/>
        <v>0.00</v>
      </c>
      <c r="M158" t="str">
        <f>"0.00"</f>
        <v>0.00</v>
      </c>
      <c r="N158" t="str">
        <f t="shared" si="61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3"/>
        <v>人民币</v>
      </c>
      <c r="B159" t="str">
        <f>"上海新阳"</f>
        <v>上海新阳</v>
      </c>
      <c r="C159" t="str">
        <f t="shared" si="64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3"/>
        <v>0.00</v>
      </c>
      <c r="M159" t="str">
        <f>"0.00"</f>
        <v>0.00</v>
      </c>
      <c r="N159" t="str">
        <f t="shared" si="61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3"/>
        <v>人民币</v>
      </c>
      <c r="B160" t="str">
        <f>"上海新阳"</f>
        <v>上海新阳</v>
      </c>
      <c r="C160" t="str">
        <f t="shared" si="64"/>
        <v>20190409</v>
      </c>
      <c r="D160" t="str">
        <f>"41.000"</f>
        <v>41.000</v>
      </c>
      <c r="E160" t="str">
        <f>"100.00"</f>
        <v>100.00</v>
      </c>
      <c r="F160" t="str">
        <f>"-4105.00"</f>
        <v>-4105.00</v>
      </c>
      <c r="G160" t="str">
        <f>"14385.97"</f>
        <v>14385.97</v>
      </c>
      <c r="H160" t="str">
        <f>"100.00"</f>
        <v>100.00</v>
      </c>
      <c r="I160" t="str">
        <f>"180"</f>
        <v>180</v>
      </c>
      <c r="J160" t="str">
        <f>"证券买入(上海新阳)"</f>
        <v>证券买入(上海新阳)</v>
      </c>
      <c r="K160" t="str">
        <f>"5.00"</f>
        <v>5.00</v>
      </c>
      <c r="L160" t="str">
        <f t="shared" si="63"/>
        <v>0.00</v>
      </c>
      <c r="M160" t="str">
        <f>"0.00"</f>
        <v>0.00</v>
      </c>
      <c r="N160" t="str">
        <f t="shared" si="61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3"/>
        <v>人民币</v>
      </c>
      <c r="B161" t="str">
        <f>"上海家化"</f>
        <v>上海家化</v>
      </c>
      <c r="C161" t="str">
        <f t="shared" si="64"/>
        <v>20190409</v>
      </c>
      <c r="D161" t="str">
        <f>"30.590"</f>
        <v>30.590</v>
      </c>
      <c r="E161" t="str">
        <f>"-200.00"</f>
        <v>-200.00</v>
      </c>
      <c r="F161" t="str">
        <f>"6105.64"</f>
        <v>6105.64</v>
      </c>
      <c r="G161" t="str">
        <f>"18490.97"</f>
        <v>18490.97</v>
      </c>
      <c r="H161" t="str">
        <f>"0.00"</f>
        <v>0.00</v>
      </c>
      <c r="I161" t="str">
        <f>"183"</f>
        <v>183</v>
      </c>
      <c r="J161" t="str">
        <f>"证券卖出(上海家化)"</f>
        <v>证券卖出(上海家化)</v>
      </c>
      <c r="K161" t="str">
        <f>"6.12"</f>
        <v>6.12</v>
      </c>
      <c r="L161" t="str">
        <f>"6.12"</f>
        <v>6.12</v>
      </c>
      <c r="M161" t="str">
        <f>"0.12"</f>
        <v>0.12</v>
      </c>
      <c r="N161" t="str">
        <f t="shared" si="61"/>
        <v>0.00</v>
      </c>
      <c r="O161" t="str">
        <f>"600315"</f>
        <v>600315</v>
      </c>
      <c r="P161" t="str">
        <f>"A400948245"</f>
        <v>A400948245</v>
      </c>
    </row>
    <row r="162" spans="1:16" x14ac:dyDescent="0.25">
      <c r="A162" t="str">
        <f t="shared" si="53"/>
        <v>人民币</v>
      </c>
      <c r="B162" t="str">
        <f>"七一二"</f>
        <v>七一二</v>
      </c>
      <c r="C162" t="str">
        <f t="shared" si="64"/>
        <v>20190409</v>
      </c>
      <c r="D162" t="str">
        <f>"23.490"</f>
        <v>23.490</v>
      </c>
      <c r="E162" t="str">
        <f>"-400.00"</f>
        <v>-400.00</v>
      </c>
      <c r="F162" t="str">
        <f>"9377.01"</f>
        <v>9377.01</v>
      </c>
      <c r="G162" t="str">
        <f>"12385.33"</f>
        <v>12385.33</v>
      </c>
      <c r="H162" t="str">
        <f>"2000.00"</f>
        <v>2000.00</v>
      </c>
      <c r="I162" t="str">
        <f>"177"</f>
        <v>177</v>
      </c>
      <c r="J162" t="str">
        <f>"证券卖出(七一二)"</f>
        <v>证券卖出(七一二)</v>
      </c>
      <c r="K162" t="str">
        <f>"9.40"</f>
        <v>9.40</v>
      </c>
      <c r="L162" t="str">
        <f>"9.40"</f>
        <v>9.40</v>
      </c>
      <c r="M162" t="str">
        <f>"0.19"</f>
        <v>0.19</v>
      </c>
      <c r="N162" t="str">
        <f t="shared" si="61"/>
        <v>0.00</v>
      </c>
      <c r="O162" t="str">
        <f>"603712"</f>
        <v>603712</v>
      </c>
      <c r="P162" t="str">
        <f>"A400948245"</f>
        <v>A400948245</v>
      </c>
    </row>
    <row r="163" spans="1:16" x14ac:dyDescent="0.25">
      <c r="A163" t="str">
        <f t="shared" si="53"/>
        <v>人民币</v>
      </c>
      <c r="B163" t="str">
        <f>"航发科技"</f>
        <v>航发科技</v>
      </c>
      <c r="C163" t="str">
        <f t="shared" si="64"/>
        <v>20190409</v>
      </c>
      <c r="D163" t="str">
        <f>"17.600"</f>
        <v>17.600</v>
      </c>
      <c r="E163" t="str">
        <f>"400.00"</f>
        <v>400.00</v>
      </c>
      <c r="F163" t="str">
        <f>"-7047.18"</f>
        <v>-7047.18</v>
      </c>
      <c r="G163" t="str">
        <f>"3008.32"</f>
        <v>3008.32</v>
      </c>
      <c r="H163" t="str">
        <f>"2000.00"</f>
        <v>2000.00</v>
      </c>
      <c r="I163" t="str">
        <f>"173"</f>
        <v>173</v>
      </c>
      <c r="J163" t="str">
        <f>"证券买入(航发科技)"</f>
        <v>证券买入(航发科技)</v>
      </c>
      <c r="K163" t="str">
        <f>"7.04"</f>
        <v>7.04</v>
      </c>
      <c r="L163" t="str">
        <f>"0.00"</f>
        <v>0.00</v>
      </c>
      <c r="M163" t="str">
        <f>"0.14"</f>
        <v>0.14</v>
      </c>
      <c r="N163" t="str">
        <f t="shared" si="61"/>
        <v>0.00</v>
      </c>
      <c r="O163" t="str">
        <f>"600391"</f>
        <v>600391</v>
      </c>
      <c r="P163" t="str">
        <f>"A400948245"</f>
        <v>A400948245</v>
      </c>
    </row>
    <row r="164" spans="1:16" x14ac:dyDescent="0.25">
      <c r="A164" t="str">
        <f t="shared" si="53"/>
        <v>人民币</v>
      </c>
      <c r="B164" t="str">
        <f>"七一二"</f>
        <v>七一二</v>
      </c>
      <c r="C164" t="str">
        <f t="shared" si="64"/>
        <v>20190409</v>
      </c>
      <c r="D164" t="str">
        <f>"22.220"</f>
        <v>22.220</v>
      </c>
      <c r="E164" t="str">
        <f>"400.00"</f>
        <v>400.00</v>
      </c>
      <c r="F164" t="str">
        <f>"-8897.07"</f>
        <v>-8897.07</v>
      </c>
      <c r="G164" t="str">
        <f>"10055.50"</f>
        <v>10055.50</v>
      </c>
      <c r="H164" t="str">
        <f>"2400.00"</f>
        <v>2400.00</v>
      </c>
      <c r="I164" t="str">
        <f>"169"</f>
        <v>169</v>
      </c>
      <c r="J164" t="str">
        <f>"证券买入(七一二)"</f>
        <v>证券买入(七一二)</v>
      </c>
      <c r="K164" t="str">
        <f>"8.89"</f>
        <v>8.89</v>
      </c>
      <c r="L164" t="str">
        <f>"0.00"</f>
        <v>0.00</v>
      </c>
      <c r="M164" t="str">
        <f>"0.18"</f>
        <v>0.18</v>
      </c>
      <c r="N164" t="str">
        <f t="shared" si="61"/>
        <v>0.00</v>
      </c>
      <c r="O164" t="str">
        <f>"603712"</f>
        <v>603712</v>
      </c>
      <c r="P164" t="str">
        <f>"A400948245"</f>
        <v>A400948245</v>
      </c>
    </row>
    <row r="165" spans="1:16" x14ac:dyDescent="0.25">
      <c r="A165" t="str">
        <f t="shared" si="53"/>
        <v>人民币</v>
      </c>
      <c r="B165" t="str">
        <f>""</f>
        <v/>
      </c>
      <c r="C165" t="str">
        <f t="shared" si="64"/>
        <v>20190409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"18952.57"</f>
        <v>18952.57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5">"---"</f>
        <v>---</v>
      </c>
      <c r="L165" t="str">
        <f t="shared" si="65"/>
        <v>---</v>
      </c>
      <c r="M165" t="str">
        <f t="shared" si="65"/>
        <v>---</v>
      </c>
      <c r="N165" t="str">
        <f t="shared" si="65"/>
        <v>---</v>
      </c>
      <c r="O165" t="str">
        <f t="shared" si="65"/>
        <v>---</v>
      </c>
      <c r="P165" t="str">
        <f t="shared" si="65"/>
        <v>---</v>
      </c>
    </row>
    <row r="166" spans="1:16" x14ac:dyDescent="0.25">
      <c r="A166" t="str">
        <f t="shared" si="53"/>
        <v>人民币</v>
      </c>
      <c r="B166" t="str">
        <f>"新媒股份"</f>
        <v>新媒股份</v>
      </c>
      <c r="C166" t="str">
        <f>"20190410"</f>
        <v>20190410</v>
      </c>
      <c r="D166" t="str">
        <f>"0.000"</f>
        <v>0.000</v>
      </c>
      <c r="E166" t="str">
        <f>"9.00"</f>
        <v>9.00</v>
      </c>
      <c r="F166" t="str">
        <f>"0.00"</f>
        <v>0.00</v>
      </c>
      <c r="G166" t="str">
        <f>"1354.05"</f>
        <v>1354.05</v>
      </c>
      <c r="H166" t="str">
        <f>"0.00"</f>
        <v>0.00</v>
      </c>
      <c r="I166" t="str">
        <f>"219"</f>
        <v>219</v>
      </c>
      <c r="J166" t="str">
        <f>"申购配号(新媒股份)"</f>
        <v>申购配号(新媒股份)</v>
      </c>
      <c r="K166" t="str">
        <f>"0.00"</f>
        <v>0.00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"300770"</f>
        <v>300770</v>
      </c>
      <c r="P166" t="str">
        <f>"0153613480"</f>
        <v>0153613480</v>
      </c>
    </row>
    <row r="167" spans="1:16" x14ac:dyDescent="0.25">
      <c r="A167" t="str">
        <f t="shared" si="53"/>
        <v>人民币</v>
      </c>
      <c r="B167" t="str">
        <f>"七一二"</f>
        <v>七一二</v>
      </c>
      <c r="C167" t="str">
        <f>"20190410"</f>
        <v>20190410</v>
      </c>
      <c r="D167" t="str">
        <f>"21.410"</f>
        <v>21.410</v>
      </c>
      <c r="E167" t="str">
        <f>"500.00"</f>
        <v>500.00</v>
      </c>
      <c r="F167" t="str">
        <f>"-10715.92"</f>
        <v>-10715.92</v>
      </c>
      <c r="G167" t="str">
        <f>"1354.05"</f>
        <v>1354.05</v>
      </c>
      <c r="H167" t="str">
        <f>"2500.00"</f>
        <v>2500.00</v>
      </c>
      <c r="I167" t="str">
        <f>"221"</f>
        <v>221</v>
      </c>
      <c r="J167" t="str">
        <f>"证券买入(七一二)"</f>
        <v>证券买入(七一二)</v>
      </c>
      <c r="K167" t="str">
        <f>"10.71"</f>
        <v>10.71</v>
      </c>
      <c r="L167" t="str">
        <f>"0.00"</f>
        <v>0.00</v>
      </c>
      <c r="M167" t="str">
        <f>"0.21"</f>
        <v>0.21</v>
      </c>
      <c r="N167" t="str">
        <f>"0.00"</f>
        <v>0.00</v>
      </c>
      <c r="O167" t="str">
        <f>"603712"</f>
        <v>603712</v>
      </c>
      <c r="P167" t="str">
        <f>"A400948245"</f>
        <v>A400948245</v>
      </c>
    </row>
    <row r="168" spans="1:16" x14ac:dyDescent="0.25">
      <c r="A168" t="str">
        <f t="shared" si="53"/>
        <v>人民币</v>
      </c>
      <c r="B168" t="str">
        <f>""</f>
        <v/>
      </c>
      <c r="C168" t="str">
        <f>"20190410"</f>
        <v>20190410</v>
      </c>
      <c r="D168" t="str">
        <f>"---"</f>
        <v>---</v>
      </c>
      <c r="E168" t="str">
        <f>"---"</f>
        <v>---</v>
      </c>
      <c r="F168" t="str">
        <f>"10000.00"</f>
        <v>10000.00</v>
      </c>
      <c r="G168" t="str">
        <f>"12069.97"</f>
        <v>12069.97</v>
      </c>
      <c r="H168" t="str">
        <f>"---"</f>
        <v>---</v>
      </c>
      <c r="I168" t="str">
        <f>"---"</f>
        <v>---</v>
      </c>
      <c r="J168" t="str">
        <f>"银行转存"</f>
        <v>银行转存</v>
      </c>
      <c r="K168" t="str">
        <f t="shared" ref="K168:P168" si="66">"---"</f>
        <v>---</v>
      </c>
      <c r="L168" t="str">
        <f t="shared" si="66"/>
        <v>---</v>
      </c>
      <c r="M168" t="str">
        <f t="shared" si="66"/>
        <v>---</v>
      </c>
      <c r="N168" t="str">
        <f t="shared" si="66"/>
        <v>---</v>
      </c>
      <c r="O168" t="str">
        <f t="shared" si="66"/>
        <v>---</v>
      </c>
      <c r="P168" t="str">
        <f t="shared" si="66"/>
        <v>---</v>
      </c>
    </row>
    <row r="169" spans="1:16" x14ac:dyDescent="0.25">
      <c r="A169" t="str">
        <f t="shared" si="53"/>
        <v>人民币</v>
      </c>
      <c r="B169" t="str">
        <f>"上海新阳"</f>
        <v>上海新阳</v>
      </c>
      <c r="C169" t="str">
        <f>"20190411"</f>
        <v>20190411</v>
      </c>
      <c r="D169" t="str">
        <f>"37.800"</f>
        <v>37.800</v>
      </c>
      <c r="E169" t="str">
        <f>"100.00"</f>
        <v>100.00</v>
      </c>
      <c r="F169" t="str">
        <f>"-3785.00"</f>
        <v>-3785.00</v>
      </c>
      <c r="G169" t="str">
        <f>"605.95"</f>
        <v>605.95</v>
      </c>
      <c r="H169" t="str">
        <f>"500.00"</f>
        <v>500.00</v>
      </c>
      <c r="I169" t="str">
        <f>"229"</f>
        <v>229</v>
      </c>
      <c r="J169" t="str">
        <f>"证券买入(上海新阳)"</f>
        <v>证券买入(上海新阳)</v>
      </c>
      <c r="K169" t="str">
        <f>"5.00"</f>
        <v>5.00</v>
      </c>
      <c r="L169" t="str">
        <f>"0.00"</f>
        <v>0.00</v>
      </c>
      <c r="M169" t="str">
        <f>"0.00"</f>
        <v>0.00</v>
      </c>
      <c r="N169" t="str">
        <f>"0.00"</f>
        <v>0.00</v>
      </c>
      <c r="O169" t="str">
        <f>"300236"</f>
        <v>300236</v>
      </c>
      <c r="P169" t="str">
        <f>"0153613480"</f>
        <v>0153613480</v>
      </c>
    </row>
    <row r="170" spans="1:16" x14ac:dyDescent="0.25">
      <c r="A170" t="str">
        <f t="shared" si="53"/>
        <v>人民币</v>
      </c>
      <c r="B170" t="str">
        <f>"航发科技"</f>
        <v>航发科技</v>
      </c>
      <c r="C170" t="str">
        <f>"20190411"</f>
        <v>20190411</v>
      </c>
      <c r="D170" t="str">
        <f>"17.390"</f>
        <v>17.390</v>
      </c>
      <c r="E170" t="str">
        <f>"400.00"</f>
        <v>400.00</v>
      </c>
      <c r="F170" t="str">
        <f>"-6963.10"</f>
        <v>-6963.10</v>
      </c>
      <c r="G170" t="str">
        <f>"4390.95"</f>
        <v>4390.95</v>
      </c>
      <c r="H170" t="str">
        <f>"2400.00"</f>
        <v>2400.00</v>
      </c>
      <c r="I170" t="str">
        <f>"235"</f>
        <v>235</v>
      </c>
      <c r="J170" t="str">
        <f>"证券买入(航发科技)"</f>
        <v>证券买入(航发科技)</v>
      </c>
      <c r="K170" t="str">
        <f>"6.96"</f>
        <v>6.96</v>
      </c>
      <c r="L170" t="str">
        <f>"0.00"</f>
        <v>0.00</v>
      </c>
      <c r="M170" t="str">
        <f>"0.14"</f>
        <v>0.14</v>
      </c>
      <c r="N170" t="str">
        <f>"0.00"</f>
        <v>0.00</v>
      </c>
      <c r="O170" t="str">
        <f>"600391"</f>
        <v>600391</v>
      </c>
      <c r="P170" t="str">
        <f>"A400948245"</f>
        <v>A400948245</v>
      </c>
    </row>
    <row r="171" spans="1:16" x14ac:dyDescent="0.25">
      <c r="A171" t="str">
        <f t="shared" si="53"/>
        <v>人民币</v>
      </c>
      <c r="B171" t="str">
        <f>""</f>
        <v/>
      </c>
      <c r="C171" t="str">
        <f>"20190411"</f>
        <v>20190411</v>
      </c>
      <c r="D171" t="str">
        <f>"---"</f>
        <v>---</v>
      </c>
      <c r="E171" t="str">
        <f>"---"</f>
        <v>---</v>
      </c>
      <c r="F171" t="str">
        <f>"10000.00"</f>
        <v>10000.00</v>
      </c>
      <c r="G171" t="str">
        <f>"11354.05"</f>
        <v>11354.05</v>
      </c>
      <c r="H171" t="str">
        <f>"---"</f>
        <v>---</v>
      </c>
      <c r="I171" t="str">
        <f>"---"</f>
        <v>---</v>
      </c>
      <c r="J171" t="str">
        <f>"银行转存"</f>
        <v>银行转存</v>
      </c>
      <c r="K171" t="str">
        <f t="shared" ref="K171:P171" si="67">"---"</f>
        <v>---</v>
      </c>
      <c r="L171" t="str">
        <f t="shared" si="67"/>
        <v>---</v>
      </c>
      <c r="M171" t="str">
        <f t="shared" si="67"/>
        <v>---</v>
      </c>
      <c r="N171" t="str">
        <f t="shared" si="67"/>
        <v>---</v>
      </c>
      <c r="O171" t="str">
        <f t="shared" si="67"/>
        <v>---</v>
      </c>
      <c r="P171" t="str">
        <f t="shared" si="67"/>
        <v>---</v>
      </c>
    </row>
    <row r="172" spans="1:16" x14ac:dyDescent="0.25">
      <c r="A172" t="str">
        <f t="shared" si="53"/>
        <v>人民币</v>
      </c>
      <c r="B172" t="str">
        <f>"上海新阳"</f>
        <v>上海新阳</v>
      </c>
      <c r="C172" t="str">
        <f>"20190412"</f>
        <v>20190412</v>
      </c>
      <c r="D172" t="str">
        <f>"38.770"</f>
        <v>38.770</v>
      </c>
      <c r="E172" t="str">
        <f>"-100.00"</f>
        <v>-100.00</v>
      </c>
      <c r="F172" t="str">
        <f>"3868.12"</f>
        <v>3868.12</v>
      </c>
      <c r="G172" t="str">
        <f>"4474.07"</f>
        <v>4474.07</v>
      </c>
      <c r="H172" t="str">
        <f>"400.00"</f>
        <v>400.00</v>
      </c>
      <c r="I172" t="str">
        <f>"243"</f>
        <v>243</v>
      </c>
      <c r="J172" t="str">
        <f>"证券卖出(上海新阳)"</f>
        <v>证券卖出(上海新阳)</v>
      </c>
      <c r="K172" t="str">
        <f>"5.00"</f>
        <v>5.00</v>
      </c>
      <c r="L172" t="str">
        <f>"3.88"</f>
        <v>3.88</v>
      </c>
      <c r="M172" t="str">
        <f>"0.00"</f>
        <v>0.00</v>
      </c>
      <c r="N172" t="str">
        <f>"0.00"</f>
        <v>0.00</v>
      </c>
      <c r="O172" t="str">
        <f>"300236"</f>
        <v>300236</v>
      </c>
      <c r="P172" t="str">
        <f>"0153613480"</f>
        <v>0153613480</v>
      </c>
    </row>
    <row r="173" spans="1:16" x14ac:dyDescent="0.25">
      <c r="A173" t="str">
        <f t="shared" si="53"/>
        <v>人民币</v>
      </c>
      <c r="B173" t="str">
        <f>""</f>
        <v/>
      </c>
      <c r="C173" t="str">
        <f>"20190415"</f>
        <v>20190415</v>
      </c>
      <c r="D173" t="str">
        <f>"---"</f>
        <v>---</v>
      </c>
      <c r="E173" t="str">
        <f>"---"</f>
        <v>---</v>
      </c>
      <c r="F173" t="str">
        <f>"-4000.00"</f>
        <v>-4000.00</v>
      </c>
      <c r="G173" t="str">
        <f>"474.07"</f>
        <v>474.07</v>
      </c>
      <c r="H173" t="str">
        <f>"---"</f>
        <v>---</v>
      </c>
      <c r="I173" t="str">
        <f>"---"</f>
        <v>---</v>
      </c>
      <c r="J173" t="str">
        <f>"银行转取"</f>
        <v>银行转取</v>
      </c>
      <c r="K173" t="str">
        <f t="shared" ref="K173:P173" si="68">"---"</f>
        <v>---</v>
      </c>
      <c r="L173" t="str">
        <f t="shared" si="68"/>
        <v>---</v>
      </c>
      <c r="M173" t="str">
        <f t="shared" si="68"/>
        <v>---</v>
      </c>
      <c r="N173" t="str">
        <f t="shared" si="68"/>
        <v>---</v>
      </c>
      <c r="O173" t="str">
        <f t="shared" si="68"/>
        <v>---</v>
      </c>
      <c r="P173" t="str">
        <f t="shared" si="68"/>
        <v>---</v>
      </c>
    </row>
    <row r="174" spans="1:16" x14ac:dyDescent="0.25">
      <c r="A174" t="str">
        <f t="shared" si="53"/>
        <v>人民币</v>
      </c>
      <c r="B174" t="str">
        <f>"拉卡拉"</f>
        <v>拉卡拉</v>
      </c>
      <c r="C174" t="str">
        <f>"20190416"</f>
        <v>20190416</v>
      </c>
      <c r="D174" t="str">
        <f>"0.000"</f>
        <v>0.000</v>
      </c>
      <c r="E174" t="str">
        <f>"9.00"</f>
        <v>9.00</v>
      </c>
      <c r="F174" t="str">
        <f>"0.00"</f>
        <v>0.00</v>
      </c>
      <c r="G174" t="str">
        <f>"474.07"</f>
        <v>474.07</v>
      </c>
      <c r="H174" t="str">
        <f>"0.00"</f>
        <v>0.00</v>
      </c>
      <c r="I174" t="str">
        <f>"248"</f>
        <v>248</v>
      </c>
      <c r="J174" t="str">
        <f>"申购配号(拉卡拉)"</f>
        <v>申购配号(拉卡拉)</v>
      </c>
      <c r="K174" t="str">
        <f t="shared" ref="K174:N176" si="69">"0.00"</f>
        <v>0.00</v>
      </c>
      <c r="L174" t="str">
        <f t="shared" si="69"/>
        <v>0.00</v>
      </c>
      <c r="M174" t="str">
        <f t="shared" si="69"/>
        <v>0.00</v>
      </c>
      <c r="N174" t="str">
        <f t="shared" si="69"/>
        <v>0.00</v>
      </c>
      <c r="O174" t="str">
        <f>"300773"</f>
        <v>300773</v>
      </c>
      <c r="P174" t="str">
        <f>"0153613480"</f>
        <v>0153613480</v>
      </c>
    </row>
    <row r="175" spans="1:16" x14ac:dyDescent="0.25">
      <c r="A175" t="str">
        <f t="shared" si="53"/>
        <v>人民币</v>
      </c>
      <c r="B175" t="str">
        <f>"运达股份"</f>
        <v>运达股份</v>
      </c>
      <c r="C175" t="str">
        <f>"20190417"</f>
        <v>20190417</v>
      </c>
      <c r="D175" t="str">
        <f>"0.000"</f>
        <v>0.000</v>
      </c>
      <c r="E175" t="str">
        <f>"9.00"</f>
        <v>9.00</v>
      </c>
      <c r="F175" t="str">
        <f>"0.00"</f>
        <v>0.00</v>
      </c>
      <c r="G175" t="str">
        <f>"474.07"</f>
        <v>474.07</v>
      </c>
      <c r="H175" t="str">
        <f>"0.00"</f>
        <v>0.00</v>
      </c>
      <c r="I175" t="str">
        <f>"253"</f>
        <v>253</v>
      </c>
      <c r="J175" t="str">
        <f>"申购配号(运达股份)"</f>
        <v>申购配号(运达股份)</v>
      </c>
      <c r="K175" t="str">
        <f t="shared" si="69"/>
        <v>0.00</v>
      </c>
      <c r="L175" t="str">
        <f t="shared" si="69"/>
        <v>0.00</v>
      </c>
      <c r="M175" t="str">
        <f t="shared" si="69"/>
        <v>0.00</v>
      </c>
      <c r="N175" t="str">
        <f t="shared" si="69"/>
        <v>0.00</v>
      </c>
      <c r="O175" t="str">
        <f>"300772"</f>
        <v>300772</v>
      </c>
      <c r="P175" t="str">
        <f>"0153613480"</f>
        <v>0153613480</v>
      </c>
    </row>
    <row r="176" spans="1:16" x14ac:dyDescent="0.25">
      <c r="A176" t="str">
        <f t="shared" si="53"/>
        <v>人民币</v>
      </c>
      <c r="B176" t="str">
        <f>"中创配号"</f>
        <v>中创配号</v>
      </c>
      <c r="C176" t="str">
        <f>"20190417"</f>
        <v>20190417</v>
      </c>
      <c r="D176" t="str">
        <f>"0.000"</f>
        <v>0.000</v>
      </c>
      <c r="E176" t="str">
        <f>"10.00"</f>
        <v>10.00</v>
      </c>
      <c r="F176" t="str">
        <f>"0.00"</f>
        <v>0.00</v>
      </c>
      <c r="G176" t="str">
        <f>"474.07"</f>
        <v>474.07</v>
      </c>
      <c r="H176" t="str">
        <f>"0.00"</f>
        <v>0.00</v>
      </c>
      <c r="I176" t="str">
        <f>"251"</f>
        <v>251</v>
      </c>
      <c r="J176" t="str">
        <f>"申购配号(中创配号)"</f>
        <v>申购配号(中创配号)</v>
      </c>
      <c r="K176" t="str">
        <f t="shared" si="69"/>
        <v>0.00</v>
      </c>
      <c r="L176" t="str">
        <f t="shared" si="69"/>
        <v>0.00</v>
      </c>
      <c r="M176" t="str">
        <f t="shared" si="69"/>
        <v>0.00</v>
      </c>
      <c r="N176" t="str">
        <f t="shared" si="69"/>
        <v>0.00</v>
      </c>
      <c r="O176" t="str">
        <f>"736967"</f>
        <v>736967</v>
      </c>
      <c r="P176" t="str">
        <f>"A400948245"</f>
        <v>A400948245</v>
      </c>
    </row>
    <row r="177" spans="1:16" x14ac:dyDescent="0.25">
      <c r="A177" t="str">
        <f t="shared" si="53"/>
        <v>人民币</v>
      </c>
      <c r="B177" t="str">
        <f>"中通国脉"</f>
        <v>中通国脉</v>
      </c>
      <c r="C177" t="str">
        <f>"20190422"</f>
        <v>20190422</v>
      </c>
      <c r="D177" t="str">
        <f>"26.530"</f>
        <v>26.530</v>
      </c>
      <c r="E177" t="str">
        <f>"300.00"</f>
        <v>300.00</v>
      </c>
      <c r="F177" t="str">
        <f>"-7967.12"</f>
        <v>-7967.12</v>
      </c>
      <c r="G177" t="str">
        <f>"1137.16"</f>
        <v>1137.16</v>
      </c>
      <c r="H177" t="str">
        <f>"1600.00"</f>
        <v>1600.00</v>
      </c>
      <c r="I177" t="str">
        <f>"264"</f>
        <v>264</v>
      </c>
      <c r="J177" t="str">
        <f>"证券买入(中通国脉)"</f>
        <v>证券买入(中通国脉)</v>
      </c>
      <c r="K177" t="str">
        <f>"7.96"</f>
        <v>7.96</v>
      </c>
      <c r="L177" t="str">
        <f>"0.00"</f>
        <v>0.00</v>
      </c>
      <c r="M177" t="str">
        <f>"0.16"</f>
        <v>0.16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3"/>
        <v>人民币</v>
      </c>
      <c r="B178" t="str">
        <f>"七一二"</f>
        <v>七一二</v>
      </c>
      <c r="C178" t="str">
        <f>"20190422"</f>
        <v>20190422</v>
      </c>
      <c r="D178" t="str">
        <f>"21.210"</f>
        <v>21.210</v>
      </c>
      <c r="E178" t="str">
        <f>"500.00"</f>
        <v>500.00</v>
      </c>
      <c r="F178" t="str">
        <f>"-10615.82"</f>
        <v>-10615.82</v>
      </c>
      <c r="G178" t="str">
        <f>"9104.28"</f>
        <v>9104.28</v>
      </c>
      <c r="H178" t="str">
        <f>"3000.00"</f>
        <v>3000.00</v>
      </c>
      <c r="I178" t="str">
        <f>"260"</f>
        <v>260</v>
      </c>
      <c r="J178" t="str">
        <f>"证券买入(七一二)"</f>
        <v>证券买入(七一二)</v>
      </c>
      <c r="K178" t="str">
        <f>"10.61"</f>
        <v>10.61</v>
      </c>
      <c r="L178" t="str">
        <f>"0.00"</f>
        <v>0.00</v>
      </c>
      <c r="M178" t="str">
        <f>"0.21"</f>
        <v>0.21</v>
      </c>
      <c r="N178" t="str">
        <f>"0.00"</f>
        <v>0.00</v>
      </c>
      <c r="O178" t="str">
        <f>"603712"</f>
        <v>603712</v>
      </c>
      <c r="P178" t="str">
        <f>"A400948245"</f>
        <v>A400948245</v>
      </c>
    </row>
    <row r="179" spans="1:16" x14ac:dyDescent="0.25">
      <c r="A179" t="str">
        <f t="shared" si="53"/>
        <v>人民币</v>
      </c>
      <c r="B179" t="str">
        <f>"中通国脉"</f>
        <v>中通国脉</v>
      </c>
      <c r="C179" t="str">
        <f>"20190422"</f>
        <v>20190422</v>
      </c>
      <c r="D179" t="str">
        <f>"27.550"</f>
        <v>27.550</v>
      </c>
      <c r="E179" t="str">
        <f>"-700.00"</f>
        <v>-700.00</v>
      </c>
      <c r="F179" t="str">
        <f>"19246.03"</f>
        <v>19246.03</v>
      </c>
      <c r="G179" t="str">
        <f>"19720.10"</f>
        <v>19720.10</v>
      </c>
      <c r="H179" t="str">
        <f>"1300.00"</f>
        <v>1300.00</v>
      </c>
      <c r="I179" t="str">
        <f>"257"</f>
        <v>257</v>
      </c>
      <c r="J179" t="str">
        <f>"证券卖出(中通国脉)"</f>
        <v>证券卖出(中通国脉)</v>
      </c>
      <c r="K179" t="str">
        <f>"19.29"</f>
        <v>19.29</v>
      </c>
      <c r="L179" t="str">
        <f>"19.29"</f>
        <v>19.29</v>
      </c>
      <c r="M179" t="str">
        <f>"0.39"</f>
        <v>0.39</v>
      </c>
      <c r="N179" t="str">
        <f>"0.00"</f>
        <v>0.00</v>
      </c>
      <c r="O179" t="str">
        <f>"603559"</f>
        <v>603559</v>
      </c>
      <c r="P179" t="str">
        <f>"A400948245"</f>
        <v>A400948245</v>
      </c>
    </row>
    <row r="180" spans="1:16" x14ac:dyDescent="0.25">
      <c r="A180" t="str">
        <f t="shared" si="53"/>
        <v>人民币</v>
      </c>
      <c r="B180" t="str">
        <f>"日丰股份"</f>
        <v>日丰股份</v>
      </c>
      <c r="C180" t="str">
        <f>"20190424"</f>
        <v>20190424</v>
      </c>
      <c r="D180" t="str">
        <f>"0.000"</f>
        <v>0.000</v>
      </c>
      <c r="E180" t="str">
        <f>"8.00"</f>
        <v>8.00</v>
      </c>
      <c r="F180" t="str">
        <f>"0.00"</f>
        <v>0.00</v>
      </c>
      <c r="G180" t="str">
        <f>"1137.16"</f>
        <v>1137.16</v>
      </c>
      <c r="H180" t="str">
        <f>"0.00"</f>
        <v>0.00</v>
      </c>
      <c r="I180" t="str">
        <f>"270"</f>
        <v>270</v>
      </c>
      <c r="J180" t="str">
        <f>"申购配号(日丰股份)"</f>
        <v>申购配号(日丰股份)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"002953"</f>
        <v>002953</v>
      </c>
      <c r="P180" t="str">
        <f>"0153613480"</f>
        <v>0153613480</v>
      </c>
    </row>
    <row r="181" spans="1:16" x14ac:dyDescent="0.25">
      <c r="A181" t="str">
        <f t="shared" si="53"/>
        <v>人民币</v>
      </c>
      <c r="B181" t="str">
        <f>"中通国脉"</f>
        <v>中通国脉</v>
      </c>
      <c r="C181" t="str">
        <f>"20190429"</f>
        <v>20190429</v>
      </c>
      <c r="D181" t="str">
        <f>"22.020"</f>
        <v>22.020</v>
      </c>
      <c r="E181" t="str">
        <f>"500.00"</f>
        <v>500.00</v>
      </c>
      <c r="F181" t="str">
        <f>"-11021.23"</f>
        <v>-11021.23</v>
      </c>
      <c r="G181" t="str">
        <f>"115.93"</f>
        <v>115.93</v>
      </c>
      <c r="H181" t="str">
        <f>"2100.00"</f>
        <v>2100.00</v>
      </c>
      <c r="I181" t="str">
        <f>"277"</f>
        <v>277</v>
      </c>
      <c r="J181" t="str">
        <f>"证券买入(中通国脉)"</f>
        <v>证券买入(中通国脉)</v>
      </c>
      <c r="K181" t="str">
        <f>"11.01"</f>
        <v>11.01</v>
      </c>
      <c r="L181" t="str">
        <f>"0.00"</f>
        <v>0.00</v>
      </c>
      <c r="M181" t="str">
        <f>"0.22"</f>
        <v>0.22</v>
      </c>
      <c r="N181" t="str">
        <f>"0.00"</f>
        <v>0.00</v>
      </c>
      <c r="O181" t="str">
        <f>"603559"</f>
        <v>603559</v>
      </c>
      <c r="P181" t="str">
        <f>"A400948245"</f>
        <v>A400948245</v>
      </c>
    </row>
    <row r="182" spans="1:16" x14ac:dyDescent="0.25">
      <c r="A182" t="str">
        <f t="shared" si="53"/>
        <v>人民币</v>
      </c>
      <c r="B182" t="str">
        <f>""</f>
        <v/>
      </c>
      <c r="C182" t="str">
        <f>"20190429"</f>
        <v>20190429</v>
      </c>
      <c r="D182" t="str">
        <f>"---"</f>
        <v>---</v>
      </c>
      <c r="E182" t="str">
        <f>"---"</f>
        <v>---</v>
      </c>
      <c r="F182" t="str">
        <f>"10000.00"</f>
        <v>10000.00</v>
      </c>
      <c r="G182" t="str">
        <f>"11137.16"</f>
        <v>11137.16</v>
      </c>
      <c r="H182" t="str">
        <f>"---"</f>
        <v>---</v>
      </c>
      <c r="I182" t="str">
        <f>"---"</f>
        <v>---</v>
      </c>
      <c r="J182" t="str">
        <f>"银行转存"</f>
        <v>银行转存</v>
      </c>
      <c r="K182" t="str">
        <f t="shared" ref="K182:P182" si="70">"---"</f>
        <v>---</v>
      </c>
      <c r="L182" t="str">
        <f t="shared" si="70"/>
        <v>---</v>
      </c>
      <c r="M182" t="str">
        <f t="shared" si="70"/>
        <v>---</v>
      </c>
      <c r="N182" t="str">
        <f t="shared" si="70"/>
        <v>---</v>
      </c>
      <c r="O182" t="str">
        <f t="shared" si="70"/>
        <v>---</v>
      </c>
      <c r="P182" t="str">
        <f t="shared" si="70"/>
        <v>---</v>
      </c>
    </row>
    <row r="183" spans="1:16" x14ac:dyDescent="0.25">
      <c r="A183" t="str">
        <f t="shared" si="53"/>
        <v>人民币</v>
      </c>
      <c r="B183" t="str">
        <f>"宝丰配号"</f>
        <v>宝丰配号</v>
      </c>
      <c r="C183" t="str">
        <f>"20190430"</f>
        <v>20190430</v>
      </c>
      <c r="D183" t="str">
        <f>"0.000"</f>
        <v>0.000</v>
      </c>
      <c r="E183" t="str">
        <f>"13.00"</f>
        <v>13.00</v>
      </c>
      <c r="F183" t="str">
        <f>"0.00"</f>
        <v>0.00</v>
      </c>
      <c r="G183" t="str">
        <f>"115.93"</f>
        <v>115.93</v>
      </c>
      <c r="H183" t="str">
        <f>"0.00"</f>
        <v>0.00</v>
      </c>
      <c r="I183" t="str">
        <f>"283"</f>
        <v>283</v>
      </c>
      <c r="J183" t="str">
        <f>"申购配号(宝丰配号)"</f>
        <v>申购配号(宝丰配号)</v>
      </c>
      <c r="K183" t="str">
        <f t="shared" ref="K183:N185" si="71">"0.00"</f>
        <v>0.00</v>
      </c>
      <c r="L183" t="str">
        <f t="shared" si="71"/>
        <v>0.00</v>
      </c>
      <c r="M183" t="str">
        <f t="shared" si="71"/>
        <v>0.00</v>
      </c>
      <c r="N183" t="str">
        <f t="shared" si="71"/>
        <v>0.00</v>
      </c>
      <c r="O183" t="str">
        <f>"741989"</f>
        <v>741989</v>
      </c>
      <c r="P183" t="str">
        <f>"A400948245"</f>
        <v>A400948245</v>
      </c>
    </row>
    <row r="184" spans="1:16" x14ac:dyDescent="0.25">
      <c r="A184" t="str">
        <f t="shared" si="53"/>
        <v>人民币</v>
      </c>
      <c r="B184" t="str">
        <f>"鸿远配号"</f>
        <v>鸿远配号</v>
      </c>
      <c r="C184" t="str">
        <f>"20190430"</f>
        <v>20190430</v>
      </c>
      <c r="D184" t="str">
        <f>"0.000"</f>
        <v>0.000</v>
      </c>
      <c r="E184" t="str">
        <f>"13.00"</f>
        <v>13.00</v>
      </c>
      <c r="F184" t="str">
        <f>"0.00"</f>
        <v>0.00</v>
      </c>
      <c r="G184" t="str">
        <f>"115.93"</f>
        <v>115.93</v>
      </c>
      <c r="H184" t="str">
        <f>"0.00"</f>
        <v>0.00</v>
      </c>
      <c r="I184" t="str">
        <f>"281"</f>
        <v>281</v>
      </c>
      <c r="J184" t="str">
        <f>"申购配号(鸿远配号)"</f>
        <v>申购配号(鸿远配号)</v>
      </c>
      <c r="K184" t="str">
        <f t="shared" si="71"/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"736267"</f>
        <v>736267</v>
      </c>
      <c r="P184" t="str">
        <f>"A400948245"</f>
        <v>A400948245</v>
      </c>
    </row>
    <row r="185" spans="1:16" x14ac:dyDescent="0.25">
      <c r="A185" t="str">
        <f t="shared" si="53"/>
        <v>人民币</v>
      </c>
      <c r="B185" t="str">
        <f>"中简科技"</f>
        <v>中简科技</v>
      </c>
      <c r="C185" t="str">
        <f>"20190506"</f>
        <v>20190506</v>
      </c>
      <c r="D185" t="str">
        <f>"0.000"</f>
        <v>0.000</v>
      </c>
      <c r="E185" t="str">
        <f>"5.00"</f>
        <v>5.00</v>
      </c>
      <c r="F185" t="str">
        <f>"0.00"</f>
        <v>0.00</v>
      </c>
      <c r="G185" t="str">
        <f>"1390.10"</f>
        <v>1390.10</v>
      </c>
      <c r="H185" t="str">
        <f>"0.00"</f>
        <v>0.00</v>
      </c>
      <c r="I185" t="str">
        <f>"292"</f>
        <v>292</v>
      </c>
      <c r="J185" t="str">
        <f>"申购配号(中简科技)"</f>
        <v>申购配号(中简科技)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"300777"</f>
        <v>300777</v>
      </c>
      <c r="P185" t="str">
        <f>"0153613480"</f>
        <v>0153613480</v>
      </c>
    </row>
    <row r="186" spans="1:16" x14ac:dyDescent="0.25">
      <c r="A186" t="str">
        <f t="shared" si="53"/>
        <v>人民币</v>
      </c>
      <c r="B186" t="str">
        <f>"航发科技"</f>
        <v>航发科技</v>
      </c>
      <c r="C186" t="str">
        <f>"20190506"</f>
        <v>20190506</v>
      </c>
      <c r="D186" t="str">
        <f>"14.300"</f>
        <v>14.300</v>
      </c>
      <c r="E186" t="str">
        <f>"400.00"</f>
        <v>400.00</v>
      </c>
      <c r="F186" t="str">
        <f>"-5725.83"</f>
        <v>-5725.83</v>
      </c>
      <c r="G186" t="str">
        <f>"1390.10"</f>
        <v>1390.10</v>
      </c>
      <c r="H186" t="str">
        <f>"2800.00"</f>
        <v>2800.00</v>
      </c>
      <c r="I186" t="str">
        <f>"288"</f>
        <v>288</v>
      </c>
      <c r="J186" t="str">
        <f>"证券买入(航发科技)"</f>
        <v>证券买入(航发科技)</v>
      </c>
      <c r="K186" t="str">
        <f>"5.72"</f>
        <v>5.72</v>
      </c>
      <c r="L186" t="str">
        <f>"0.00"</f>
        <v>0.00</v>
      </c>
      <c r="M186" t="str">
        <f>"0.11"</f>
        <v>0.11</v>
      </c>
      <c r="N186" t="str">
        <f>"0.00"</f>
        <v>0.00</v>
      </c>
      <c r="O186" t="str">
        <f>"600391"</f>
        <v>600391</v>
      </c>
      <c r="P186" t="str">
        <f>"A400948245"</f>
        <v>A400948245</v>
      </c>
    </row>
    <row r="187" spans="1:16" x14ac:dyDescent="0.25">
      <c r="A187" t="str">
        <f t="shared" si="53"/>
        <v>人民币</v>
      </c>
      <c r="B187" t="str">
        <f>""</f>
        <v/>
      </c>
      <c r="C187" t="str">
        <f>"20190506"</f>
        <v>20190506</v>
      </c>
      <c r="D187" t="str">
        <f>"---"</f>
        <v>---</v>
      </c>
      <c r="E187" t="str">
        <f>"---"</f>
        <v>---</v>
      </c>
      <c r="F187" t="str">
        <f>"7000.00"</f>
        <v>7000.00</v>
      </c>
      <c r="G187" t="str">
        <f>"7115.93"</f>
        <v>7115.93</v>
      </c>
      <c r="H187" t="str">
        <f>"---"</f>
        <v>---</v>
      </c>
      <c r="I187" t="str">
        <f>"---"</f>
        <v>---</v>
      </c>
      <c r="J187" t="str">
        <f>"银行转存"</f>
        <v>银行转存</v>
      </c>
      <c r="K187" t="str">
        <f t="shared" ref="K187:P187" si="72">"---"</f>
        <v>---</v>
      </c>
      <c r="L187" t="str">
        <f t="shared" si="72"/>
        <v>---</v>
      </c>
      <c r="M187" t="str">
        <f t="shared" si="72"/>
        <v>---</v>
      </c>
      <c r="N187" t="str">
        <f t="shared" si="72"/>
        <v>---</v>
      </c>
      <c r="O187" t="str">
        <f t="shared" si="72"/>
        <v>---</v>
      </c>
      <c r="P187" t="str">
        <f t="shared" si="72"/>
        <v>---</v>
      </c>
    </row>
    <row r="188" spans="1:16" x14ac:dyDescent="0.25">
      <c r="A188" t="str">
        <f t="shared" si="53"/>
        <v>人民币</v>
      </c>
      <c r="B188" t="str">
        <f>"帝尔激光"</f>
        <v>帝尔激光</v>
      </c>
      <c r="C188" t="str">
        <f>"20190507"</f>
        <v>20190507</v>
      </c>
      <c r="D188" t="str">
        <f>"0.000"</f>
        <v>0.000</v>
      </c>
      <c r="E188" t="str">
        <f>"5.00"</f>
        <v>5.00</v>
      </c>
      <c r="F188" t="str">
        <f>"0.00"</f>
        <v>0.00</v>
      </c>
      <c r="G188" t="str">
        <f>"1390.10"</f>
        <v>1390.10</v>
      </c>
      <c r="H188" t="str">
        <f>"0.00"</f>
        <v>0.00</v>
      </c>
      <c r="I188" t="str">
        <f>"1"</f>
        <v>1</v>
      </c>
      <c r="J188" t="str">
        <f>"申购配号(帝尔激光)"</f>
        <v>申购配号(帝尔激光)</v>
      </c>
      <c r="K188" t="str">
        <f t="shared" ref="K188:N190" si="73">"0.00"</f>
        <v>0.00</v>
      </c>
      <c r="L188" t="str">
        <f t="shared" si="73"/>
        <v>0.00</v>
      </c>
      <c r="M188" t="str">
        <f t="shared" si="73"/>
        <v>0.00</v>
      </c>
      <c r="N188" t="str">
        <f t="shared" si="73"/>
        <v>0.00</v>
      </c>
      <c r="O188" t="str">
        <f>"300776"</f>
        <v>300776</v>
      </c>
      <c r="P188" t="str">
        <f>"0153613480"</f>
        <v>0153613480</v>
      </c>
    </row>
    <row r="189" spans="1:16" x14ac:dyDescent="0.25">
      <c r="A189" t="str">
        <f t="shared" si="53"/>
        <v>人民币</v>
      </c>
      <c r="B189" t="str">
        <f>"鸿合科技"</f>
        <v>鸿合科技</v>
      </c>
      <c r="C189" t="str">
        <f t="shared" ref="C189:C196" si="74">"20190510"</f>
        <v>20190510</v>
      </c>
      <c r="D189" t="str">
        <f>"0.000"</f>
        <v>0.000</v>
      </c>
      <c r="E189" t="str">
        <f>"4.00"</f>
        <v>4.00</v>
      </c>
      <c r="F189" t="str">
        <f>"0.00"</f>
        <v>0.00</v>
      </c>
      <c r="G189" t="str">
        <f>"7450.80"</f>
        <v>7450.80</v>
      </c>
      <c r="H189" t="str">
        <f>"0.00"</f>
        <v>0.00</v>
      </c>
      <c r="I189" t="str">
        <f>"4"</f>
        <v>4</v>
      </c>
      <c r="J189" t="str">
        <f>"申购配号(鸿合科技)"</f>
        <v>申购配号(鸿合科技)</v>
      </c>
      <c r="K189" t="str">
        <f t="shared" si="73"/>
        <v>0.00</v>
      </c>
      <c r="L189" t="str">
        <f t="shared" si="73"/>
        <v>0.00</v>
      </c>
      <c r="M189" t="str">
        <f t="shared" si="73"/>
        <v>0.00</v>
      </c>
      <c r="N189" t="str">
        <f t="shared" si="73"/>
        <v>0.00</v>
      </c>
      <c r="O189" t="str">
        <f>"002955"</f>
        <v>002955</v>
      </c>
      <c r="P189" t="str">
        <f>"0153613480"</f>
        <v>0153613480</v>
      </c>
    </row>
    <row r="190" spans="1:16" x14ac:dyDescent="0.25">
      <c r="A190" t="str">
        <f t="shared" si="53"/>
        <v>人民币</v>
      </c>
      <c r="B190" t="str">
        <f>"三角防务"</f>
        <v>三角防务</v>
      </c>
      <c r="C190" t="str">
        <f t="shared" si="74"/>
        <v>20190510</v>
      </c>
      <c r="D190" t="str">
        <f>"0.000"</f>
        <v>0.000</v>
      </c>
      <c r="E190" t="str">
        <f>"4.00"</f>
        <v>4.00</v>
      </c>
      <c r="F190" t="str">
        <f>"0.00"</f>
        <v>0.00</v>
      </c>
      <c r="G190" t="str">
        <f>"7450.80"</f>
        <v>7450.80</v>
      </c>
      <c r="H190" t="str">
        <f>"0.00"</f>
        <v>0.00</v>
      </c>
      <c r="I190" t="str">
        <f>"8"</f>
        <v>8</v>
      </c>
      <c r="J190" t="str">
        <f>"申购配号(三角防务)"</f>
        <v>申购配号(三角防务)</v>
      </c>
      <c r="K190" t="str">
        <f t="shared" si="73"/>
        <v>0.00</v>
      </c>
      <c r="L190" t="str">
        <f t="shared" si="73"/>
        <v>0.00</v>
      </c>
      <c r="M190" t="str">
        <f t="shared" si="73"/>
        <v>0.00</v>
      </c>
      <c r="N190" t="str">
        <f t="shared" si="73"/>
        <v>0.00</v>
      </c>
      <c r="O190" t="str">
        <f>"300775"</f>
        <v>300775</v>
      </c>
      <c r="P190" t="str">
        <f>"0153613480"</f>
        <v>0153613480</v>
      </c>
    </row>
    <row r="191" spans="1:16" x14ac:dyDescent="0.25">
      <c r="A191" t="str">
        <f t="shared" si="53"/>
        <v>人民币</v>
      </c>
      <c r="B191" t="str">
        <f>"上海新阳"</f>
        <v>上海新阳</v>
      </c>
      <c r="C191" t="str">
        <f t="shared" si="74"/>
        <v>20190510</v>
      </c>
      <c r="D191" t="str">
        <f>"33.800"</f>
        <v>33.800</v>
      </c>
      <c r="E191" t="str">
        <f>"-100.00"</f>
        <v>-100.00</v>
      </c>
      <c r="F191" t="str">
        <f>"3371.62"</f>
        <v>3371.62</v>
      </c>
      <c r="G191" t="str">
        <f>"7450.80"</f>
        <v>7450.80</v>
      </c>
      <c r="H191" t="str">
        <f>"400.00"</f>
        <v>400.00</v>
      </c>
      <c r="I191" t="str">
        <f>"21"</f>
        <v>21</v>
      </c>
      <c r="J191" t="str">
        <f>"证券卖出(上海新阳)"</f>
        <v>证券卖出(上海新阳)</v>
      </c>
      <c r="K191" t="str">
        <f>"5.00"</f>
        <v>5.00</v>
      </c>
      <c r="L191" t="str">
        <f>"3.38"</f>
        <v>3.38</v>
      </c>
      <c r="M191" t="str">
        <f>"0.00"</f>
        <v>0.00</v>
      </c>
      <c r="N191" t="str">
        <f>"0.00"</f>
        <v>0.00</v>
      </c>
      <c r="O191" t="str">
        <f>"300236"</f>
        <v>300236</v>
      </c>
      <c r="P191" t="str">
        <f>"0153613480"</f>
        <v>0153613480</v>
      </c>
    </row>
    <row r="192" spans="1:16" x14ac:dyDescent="0.25">
      <c r="A192" t="str">
        <f t="shared" si="53"/>
        <v>人民币</v>
      </c>
      <c r="B192" t="str">
        <f>"上海新阳"</f>
        <v>上海新阳</v>
      </c>
      <c r="C192" t="str">
        <f t="shared" si="74"/>
        <v>20190510</v>
      </c>
      <c r="D192" t="str">
        <f>"31.900"</f>
        <v>31.900</v>
      </c>
      <c r="E192" t="str">
        <f>"100.00"</f>
        <v>100.00</v>
      </c>
      <c r="F192" t="str">
        <f>"-3195.00"</f>
        <v>-3195.00</v>
      </c>
      <c r="G192" t="str">
        <f>"4079.18"</f>
        <v>4079.18</v>
      </c>
      <c r="H192" t="str">
        <f>"500.00"</f>
        <v>500.00</v>
      </c>
      <c r="I192" t="str">
        <f>"11"</f>
        <v>11</v>
      </c>
      <c r="J192" t="str">
        <f>"证券买入(上海新阳)"</f>
        <v>证券买入(上海新阳)</v>
      </c>
      <c r="K192" t="str">
        <f>"5.00"</f>
        <v>5.00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"300236"</f>
        <v>300236</v>
      </c>
      <c r="P192" t="str">
        <f>"0153613480"</f>
        <v>0153613480</v>
      </c>
    </row>
    <row r="193" spans="1:16" x14ac:dyDescent="0.25">
      <c r="A193" t="str">
        <f t="shared" si="53"/>
        <v>人民币</v>
      </c>
      <c r="B193" t="str">
        <f>"航发科技"</f>
        <v>航发科技</v>
      </c>
      <c r="C193" t="str">
        <f t="shared" si="74"/>
        <v>20190510</v>
      </c>
      <c r="D193" t="str">
        <f>"14.740"</f>
        <v>14.740</v>
      </c>
      <c r="E193" t="str">
        <f>"-400.00"</f>
        <v>-400.00</v>
      </c>
      <c r="F193" t="str">
        <f>"5884.08"</f>
        <v>5884.08</v>
      </c>
      <c r="G193" t="str">
        <f>"7274.18"</f>
        <v>7274.18</v>
      </c>
      <c r="H193" t="str">
        <f>"2400.00"</f>
        <v>2400.00</v>
      </c>
      <c r="I193" t="str">
        <f>"24"</f>
        <v>24</v>
      </c>
      <c r="J193" t="str">
        <f>"证券卖出(航发科技)"</f>
        <v>证券卖出(航发科技)</v>
      </c>
      <c r="K193" t="str">
        <f>"5.90"</f>
        <v>5.90</v>
      </c>
      <c r="L193" t="str">
        <f>"5.90"</f>
        <v>5.90</v>
      </c>
      <c r="M193" t="str">
        <f>"0.12"</f>
        <v>0.12</v>
      </c>
      <c r="N193" t="str">
        <f>"0.00"</f>
        <v>0.00</v>
      </c>
      <c r="O193" t="str">
        <f>"600391"</f>
        <v>600391</v>
      </c>
      <c r="P193" t="str">
        <f>"A400948245"</f>
        <v>A400948245</v>
      </c>
    </row>
    <row r="194" spans="1:16" x14ac:dyDescent="0.25">
      <c r="A194" t="str">
        <f t="shared" ref="A194:A257" si="75">"人民币"</f>
        <v>人民币</v>
      </c>
      <c r="B194" t="str">
        <f>"泉峰配号"</f>
        <v>泉峰配号</v>
      </c>
      <c r="C194" t="str">
        <f t="shared" si="74"/>
        <v>20190510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"1390.10"</f>
        <v>1390.10</v>
      </c>
      <c r="H194" t="str">
        <f>"0.00"</f>
        <v>0.00</v>
      </c>
      <c r="I194" t="str">
        <f>"6"</f>
        <v>6</v>
      </c>
      <c r="J194" t="str">
        <f>"申购配号(泉峰配号)"</f>
        <v>申购配号(泉峰配号)</v>
      </c>
      <c r="K194" t="str">
        <f>"0.00"</f>
        <v>0.00</v>
      </c>
      <c r="L194" t="str">
        <f>"0.00"</f>
        <v>0.00</v>
      </c>
      <c r="M194" t="str">
        <f>"0.00"</f>
        <v>0.00</v>
      </c>
      <c r="N194" t="str">
        <f>"0.00"</f>
        <v>0.00</v>
      </c>
      <c r="O194" t="str">
        <f>"736982"</f>
        <v>736982</v>
      </c>
      <c r="P194" t="str">
        <f>"A400948245"</f>
        <v>A400948245</v>
      </c>
    </row>
    <row r="195" spans="1:16" x14ac:dyDescent="0.25">
      <c r="A195" t="str">
        <f t="shared" si="75"/>
        <v>人民币</v>
      </c>
      <c r="B195" t="str">
        <f>""</f>
        <v/>
      </c>
      <c r="C195" t="str">
        <f t="shared" si="74"/>
        <v>20190510</v>
      </c>
      <c r="D195" t="str">
        <f>"---"</f>
        <v>---</v>
      </c>
      <c r="E195" t="str">
        <f>"---"</f>
        <v>---</v>
      </c>
      <c r="F195" t="str">
        <f>"-10000.00"</f>
        <v>-10000.00</v>
      </c>
      <c r="G195" t="str">
        <f>"1390.10"</f>
        <v>1390.10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6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5"/>
        <v>人民币</v>
      </c>
      <c r="B196" t="str">
        <f>""</f>
        <v/>
      </c>
      <c r="C196" t="str">
        <f t="shared" si="74"/>
        <v>20190510</v>
      </c>
      <c r="D196" t="str">
        <f>"---"</f>
        <v>---</v>
      </c>
      <c r="E196" t="str">
        <f>"---"</f>
        <v>---</v>
      </c>
      <c r="F196" t="str">
        <f>"10000.00"</f>
        <v>10000.00</v>
      </c>
      <c r="G196" t="str">
        <f>"11390.10"</f>
        <v>11390.10</v>
      </c>
      <c r="H196" t="str">
        <f>"---"</f>
        <v>---</v>
      </c>
      <c r="I196" t="str">
        <f>"---"</f>
        <v>---</v>
      </c>
      <c r="J196" t="str">
        <f>"银行转存"</f>
        <v>银行转存</v>
      </c>
      <c r="K196" t="str">
        <f t="shared" si="76"/>
        <v>---</v>
      </c>
      <c r="L196" t="str">
        <f t="shared" si="76"/>
        <v>---</v>
      </c>
      <c r="M196" t="str">
        <f t="shared" si="76"/>
        <v>---</v>
      </c>
      <c r="N196" t="str">
        <f t="shared" si="76"/>
        <v>---</v>
      </c>
      <c r="O196" t="str">
        <f t="shared" si="76"/>
        <v>---</v>
      </c>
      <c r="P196" t="str">
        <f t="shared" si="76"/>
        <v>---</v>
      </c>
    </row>
    <row r="197" spans="1:16" x14ac:dyDescent="0.25">
      <c r="A197" t="str">
        <f t="shared" si="75"/>
        <v>人民币</v>
      </c>
      <c r="B197" t="str">
        <f>"惠城环保"</f>
        <v>惠城环保</v>
      </c>
      <c r="C197" t="str">
        <f>"20190513"</f>
        <v>20190513</v>
      </c>
      <c r="D197" t="str">
        <f>"0.000"</f>
        <v>0.000</v>
      </c>
      <c r="E197" t="str">
        <f>"4.00"</f>
        <v>4.00</v>
      </c>
      <c r="F197" t="str">
        <f>"0.00"</f>
        <v>0.00</v>
      </c>
      <c r="G197" t="str">
        <f>"1450.80"</f>
        <v>1450.80</v>
      </c>
      <c r="H197" t="str">
        <f>"0.00"</f>
        <v>0.00</v>
      </c>
      <c r="I197" t="str">
        <f>"36"</f>
        <v>36</v>
      </c>
      <c r="J197" t="str">
        <f>"申购配号(惠城环保)"</f>
        <v>申购配号(惠城环保)</v>
      </c>
      <c r="K197" t="str">
        <f t="shared" ref="K197:N198" si="77">"0.00"</f>
        <v>0.00</v>
      </c>
      <c r="L197" t="str">
        <f t="shared" si="77"/>
        <v>0.00</v>
      </c>
      <c r="M197" t="str">
        <f t="shared" si="77"/>
        <v>0.00</v>
      </c>
      <c r="N197" t="str">
        <f t="shared" si="77"/>
        <v>0.00</v>
      </c>
      <c r="O197" t="str">
        <f>"300779"</f>
        <v>300779</v>
      </c>
      <c r="P197" t="str">
        <f>"0153613480"</f>
        <v>0153613480</v>
      </c>
    </row>
    <row r="198" spans="1:16" x14ac:dyDescent="0.25">
      <c r="A198" t="str">
        <f t="shared" si="75"/>
        <v>人民币</v>
      </c>
      <c r="B198" t="str">
        <f>"福蓉配号"</f>
        <v>福蓉配号</v>
      </c>
      <c r="C198" t="str">
        <f>"20190513"</f>
        <v>20190513</v>
      </c>
      <c r="D198" t="str">
        <f>"0.000"</f>
        <v>0.000</v>
      </c>
      <c r="E198" t="str">
        <f>"14.00"</f>
        <v>14.00</v>
      </c>
      <c r="F198" t="str">
        <f>"0.00"</f>
        <v>0.00</v>
      </c>
      <c r="G198" t="str">
        <f>"1450.80"</f>
        <v>1450.80</v>
      </c>
      <c r="H198" t="str">
        <f>"0.00"</f>
        <v>0.00</v>
      </c>
      <c r="I198" t="str">
        <f>"34"</f>
        <v>34</v>
      </c>
      <c r="J198" t="str">
        <f>"申购配号(福蓉配号)"</f>
        <v>申购配号(福蓉配号)</v>
      </c>
      <c r="K198" t="str">
        <f t="shared" si="77"/>
        <v>0.00</v>
      </c>
      <c r="L198" t="str">
        <f t="shared" si="77"/>
        <v>0.00</v>
      </c>
      <c r="M198" t="str">
        <f t="shared" si="77"/>
        <v>0.00</v>
      </c>
      <c r="N198" t="str">
        <f t="shared" si="77"/>
        <v>0.00</v>
      </c>
      <c r="O198" t="str">
        <f>"736327"</f>
        <v>736327</v>
      </c>
      <c r="P198" t="str">
        <f>"A400948245"</f>
        <v>A400948245</v>
      </c>
    </row>
    <row r="199" spans="1:16" x14ac:dyDescent="0.25">
      <c r="A199" t="str">
        <f t="shared" si="75"/>
        <v>人民币</v>
      </c>
      <c r="B199" t="str">
        <f>""</f>
        <v/>
      </c>
      <c r="C199" t="str">
        <f>"20190513"</f>
        <v>20190513</v>
      </c>
      <c r="D199" t="str">
        <f>"---"</f>
        <v>---</v>
      </c>
      <c r="E199" t="str">
        <f>"---"</f>
        <v>---</v>
      </c>
      <c r="F199" t="str">
        <f>"-6000.00"</f>
        <v>-6000.00</v>
      </c>
      <c r="G199" t="str">
        <f>"1450.80"</f>
        <v>1450.80</v>
      </c>
      <c r="H199" t="str">
        <f>"---"</f>
        <v>---</v>
      </c>
      <c r="I199" t="str">
        <f>"---"</f>
        <v>---</v>
      </c>
      <c r="J199" t="str">
        <f>"银行转取"</f>
        <v>银行转取</v>
      </c>
      <c r="K199" t="str">
        <f t="shared" ref="K199:P199" si="78">"---"</f>
        <v>---</v>
      </c>
      <c r="L199" t="str">
        <f t="shared" si="78"/>
        <v>---</v>
      </c>
      <c r="M199" t="str">
        <f t="shared" si="78"/>
        <v>---</v>
      </c>
      <c r="N199" t="str">
        <f t="shared" si="78"/>
        <v>---</v>
      </c>
      <c r="O199" t="str">
        <f t="shared" si="78"/>
        <v>---</v>
      </c>
      <c r="P199" t="str">
        <f t="shared" si="78"/>
        <v>---</v>
      </c>
    </row>
    <row r="200" spans="1:16" x14ac:dyDescent="0.25">
      <c r="A200" t="str">
        <f t="shared" si="75"/>
        <v>人民币</v>
      </c>
      <c r="B200" t="str">
        <f>"德恩精工"</f>
        <v>德恩精工</v>
      </c>
      <c r="C200" t="str">
        <f>"20190522"</f>
        <v>20190522</v>
      </c>
      <c r="D200" t="str">
        <f>"0.000"</f>
        <v>0.000</v>
      </c>
      <c r="E200" t="str">
        <f>"3.00"</f>
        <v>3.00</v>
      </c>
      <c r="F200" t="str">
        <f>"0.00"</f>
        <v>0.00</v>
      </c>
      <c r="G200" t="str">
        <f>"1450.80"</f>
        <v>1450.80</v>
      </c>
      <c r="H200" t="str">
        <f>"0.00"</f>
        <v>0.00</v>
      </c>
      <c r="I200" t="str">
        <f>"41"</f>
        <v>41</v>
      </c>
      <c r="J200" t="str">
        <f>"申购配号(德恩精工)"</f>
        <v>申购配号(德恩精工)</v>
      </c>
      <c r="K200" t="str">
        <f>"0.00"</f>
        <v>0.00</v>
      </c>
      <c r="L200" t="str">
        <f>"0.00"</f>
        <v>0.00</v>
      </c>
      <c r="M200" t="str">
        <f>"0.00"</f>
        <v>0.00</v>
      </c>
      <c r="N200" t="str">
        <f>"0.00"</f>
        <v>0.00</v>
      </c>
      <c r="O200" t="str">
        <f>"300780"</f>
        <v>300780</v>
      </c>
      <c r="P200" t="str">
        <f>"0153613480"</f>
        <v>0153613480</v>
      </c>
    </row>
    <row r="201" spans="1:16" x14ac:dyDescent="0.25">
      <c r="A201" t="str">
        <f t="shared" si="75"/>
        <v>人民币</v>
      </c>
      <c r="B201" t="str">
        <f>"中国人保"</f>
        <v>中国人保</v>
      </c>
      <c r="C201" t="str">
        <f>"20190527"</f>
        <v>20190527</v>
      </c>
      <c r="D201" t="str">
        <f>"8.390"</f>
        <v>8.390</v>
      </c>
      <c r="E201" t="str">
        <f>"2000.00"</f>
        <v>2000.00</v>
      </c>
      <c r="F201" t="str">
        <f>"-16797.12"</f>
        <v>-16797.12</v>
      </c>
      <c r="G201" t="str">
        <f>"6948.55"</f>
        <v>6948.55</v>
      </c>
      <c r="H201" t="str">
        <f>"2000.00"</f>
        <v>2000.00</v>
      </c>
      <c r="I201" t="str">
        <f>"47"</f>
        <v>47</v>
      </c>
      <c r="J201" t="str">
        <f>"证券买入(中国人保)"</f>
        <v>证券买入(中国人保)</v>
      </c>
      <c r="K201" t="str">
        <f>"16.78"</f>
        <v>16.78</v>
      </c>
      <c r="L201" t="str">
        <f>"0.00"</f>
        <v>0.00</v>
      </c>
      <c r="M201" t="str">
        <f>"0.34"</f>
        <v>0.34</v>
      </c>
      <c r="N201" t="str">
        <f t="shared" ref="N201:N218" si="79">"0.00"</f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5"/>
        <v>人民币</v>
      </c>
      <c r="B202" t="str">
        <f>"七一二"</f>
        <v>七一二</v>
      </c>
      <c r="C202" t="str">
        <f>"20190527"</f>
        <v>20190527</v>
      </c>
      <c r="D202" t="str">
        <f>"22.340"</f>
        <v>22.340</v>
      </c>
      <c r="E202" t="str">
        <f>"-1000.00"</f>
        <v>-1000.00</v>
      </c>
      <c r="F202" t="str">
        <f>"22294.87"</f>
        <v>22294.87</v>
      </c>
      <c r="G202" t="str">
        <f>"23745.67"</f>
        <v>23745.67</v>
      </c>
      <c r="H202" t="str">
        <f>"2000.00"</f>
        <v>2000.00</v>
      </c>
      <c r="I202" t="str">
        <f>"44"</f>
        <v>44</v>
      </c>
      <c r="J202" t="str">
        <f>"证券卖出(七一二)"</f>
        <v>证券卖出(七一二)</v>
      </c>
      <c r="K202" t="str">
        <f>"22.34"</f>
        <v>22.34</v>
      </c>
      <c r="L202" t="str">
        <f>"22.34"</f>
        <v>22.34</v>
      </c>
      <c r="M202" t="str">
        <f>"0.45"</f>
        <v>0.45</v>
      </c>
      <c r="N202" t="str">
        <f t="shared" si="79"/>
        <v>0.00</v>
      </c>
      <c r="O202" t="str">
        <f>"603712"</f>
        <v>603712</v>
      </c>
      <c r="P202" t="str">
        <f>"A400948245"</f>
        <v>A400948245</v>
      </c>
    </row>
    <row r="203" spans="1:16" x14ac:dyDescent="0.25">
      <c r="A203" t="str">
        <f t="shared" si="75"/>
        <v>人民币</v>
      </c>
      <c r="B203" t="str">
        <f>"因赛集团"</f>
        <v>因赛集团</v>
      </c>
      <c r="C203" t="str">
        <f>"20190528"</f>
        <v>20190528</v>
      </c>
      <c r="D203" t="str">
        <f>"0.000"</f>
        <v>0.000</v>
      </c>
      <c r="E203" t="str">
        <f>"2.00"</f>
        <v>2.00</v>
      </c>
      <c r="F203" t="str">
        <f>"0.00"</f>
        <v>0.00</v>
      </c>
      <c r="G203" t="str">
        <f>"6853.07"</f>
        <v>6853.07</v>
      </c>
      <c r="H203" t="str">
        <f>"0.00"</f>
        <v>0.00</v>
      </c>
      <c r="I203" t="str">
        <f>"52"</f>
        <v>52</v>
      </c>
      <c r="J203" t="str">
        <f>"申购配号(因赛集团)"</f>
        <v>申购配号(因赛集团)</v>
      </c>
      <c r="K203" t="str">
        <f>"0.00"</f>
        <v>0.00</v>
      </c>
      <c r="L203" t="str">
        <f>"0.00"</f>
        <v>0.00</v>
      </c>
      <c r="M203" t="str">
        <f>"0.00"</f>
        <v>0.00</v>
      </c>
      <c r="N203" t="str">
        <f t="shared" si="79"/>
        <v>0.00</v>
      </c>
      <c r="O203" t="str">
        <f>"300781"</f>
        <v>300781</v>
      </c>
      <c r="P203" t="str">
        <f>"0153613480"</f>
        <v>0153613480</v>
      </c>
    </row>
    <row r="204" spans="1:16" x14ac:dyDescent="0.25">
      <c r="A204" t="str">
        <f t="shared" si="75"/>
        <v>人民币</v>
      </c>
      <c r="B204" t="str">
        <f>"七一二"</f>
        <v>七一二</v>
      </c>
      <c r="C204" t="str">
        <f>"20190528"</f>
        <v>20190528</v>
      </c>
      <c r="D204" t="str">
        <f>"22.300"</f>
        <v>22.300</v>
      </c>
      <c r="E204" t="str">
        <f>"500.00"</f>
        <v>500.00</v>
      </c>
      <c r="F204" t="str">
        <f>"-11161.37"</f>
        <v>-11161.37</v>
      </c>
      <c r="G204" t="str">
        <f>"6853.07"</f>
        <v>6853.07</v>
      </c>
      <c r="H204" t="str">
        <f>"2500.00"</f>
        <v>2500.00</v>
      </c>
      <c r="I204" t="str">
        <f>"63"</f>
        <v>63</v>
      </c>
      <c r="J204" t="str">
        <f>"证券买入(七一二)"</f>
        <v>证券买入(七一二)</v>
      </c>
      <c r="K204" t="str">
        <f>"11.15"</f>
        <v>11.15</v>
      </c>
      <c r="L204" t="str">
        <f>"0.00"</f>
        <v>0.00</v>
      </c>
      <c r="M204" t="str">
        <f>"0.22"</f>
        <v>0.22</v>
      </c>
      <c r="N204" t="str">
        <f t="shared" si="79"/>
        <v>0.00</v>
      </c>
      <c r="O204" t="str">
        <f>"603712"</f>
        <v>603712</v>
      </c>
      <c r="P204" t="str">
        <f>"A400948245"</f>
        <v>A400948245</v>
      </c>
    </row>
    <row r="205" spans="1:16" x14ac:dyDescent="0.25">
      <c r="A205" t="str">
        <f t="shared" si="75"/>
        <v>人民币</v>
      </c>
      <c r="B205" t="str">
        <f>"中国人保"</f>
        <v>中国人保</v>
      </c>
      <c r="C205" t="str">
        <f>"20190528"</f>
        <v>20190528</v>
      </c>
      <c r="D205" t="str">
        <f>"8.460"</f>
        <v>8.460</v>
      </c>
      <c r="E205" t="str">
        <f>"-2000.00"</f>
        <v>-2000.00</v>
      </c>
      <c r="F205" t="str">
        <f>"16885.82"</f>
        <v>16885.82</v>
      </c>
      <c r="G205" t="str">
        <f>"18014.44"</f>
        <v>18014.44</v>
      </c>
      <c r="H205" t="str">
        <f>"0.00"</f>
        <v>0.00</v>
      </c>
      <c r="I205" t="str">
        <f>"60"</f>
        <v>60</v>
      </c>
      <c r="J205" t="str">
        <f>"证券卖出(中国人保)"</f>
        <v>证券卖出(中国人保)</v>
      </c>
      <c r="K205" t="str">
        <f>"16.92"</f>
        <v>16.92</v>
      </c>
      <c r="L205" t="str">
        <f>"16.92"</f>
        <v>16.92</v>
      </c>
      <c r="M205" t="str">
        <f>"0.34"</f>
        <v>0.34</v>
      </c>
      <c r="N205" t="str">
        <f t="shared" si="79"/>
        <v>0.00</v>
      </c>
      <c r="O205" t="str">
        <f>"601319"</f>
        <v>601319</v>
      </c>
      <c r="P205" t="str">
        <f>"A400948245"</f>
        <v>A400948245</v>
      </c>
    </row>
    <row r="206" spans="1:16" x14ac:dyDescent="0.25">
      <c r="A206" t="str">
        <f t="shared" si="75"/>
        <v>人民币</v>
      </c>
      <c r="B206" t="str">
        <f>"中通国脉"</f>
        <v>中通国脉</v>
      </c>
      <c r="C206" t="str">
        <f>"20190528"</f>
        <v>20190528</v>
      </c>
      <c r="D206" t="str">
        <f>"19.380"</f>
        <v>19.380</v>
      </c>
      <c r="E206" t="str">
        <f>"300.00"</f>
        <v>300.00</v>
      </c>
      <c r="F206" t="str">
        <f>"-5819.93"</f>
        <v>-5819.93</v>
      </c>
      <c r="G206" t="str">
        <f>"1128.62"</f>
        <v>1128.62</v>
      </c>
      <c r="H206" t="str">
        <f>"2400.00"</f>
        <v>2400.00</v>
      </c>
      <c r="I206" t="str">
        <f>"54"</f>
        <v>54</v>
      </c>
      <c r="J206" t="str">
        <f>"证券买入(中通国脉)"</f>
        <v>证券买入(中通国脉)</v>
      </c>
      <c r="K206" t="str">
        <f>"5.81"</f>
        <v>5.81</v>
      </c>
      <c r="L206" t="str">
        <f>"0.00"</f>
        <v>0.00</v>
      </c>
      <c r="M206" t="str">
        <f>"0.12"</f>
        <v>0.12</v>
      </c>
      <c r="N206" t="str">
        <f t="shared" si="79"/>
        <v>0.00</v>
      </c>
      <c r="O206" t="str">
        <f>"603559"</f>
        <v>603559</v>
      </c>
      <c r="P206" t="str">
        <f>"A400948245"</f>
        <v>A400948245</v>
      </c>
    </row>
    <row r="207" spans="1:16" x14ac:dyDescent="0.25">
      <c r="A207" t="str">
        <f t="shared" si="75"/>
        <v>人民币</v>
      </c>
      <c r="B207" t="str">
        <f>"丰乐种业"</f>
        <v>丰乐种业</v>
      </c>
      <c r="C207" t="str">
        <f>"20190529"</f>
        <v>20190529</v>
      </c>
      <c r="D207" t="str">
        <f>"11.390"</f>
        <v>11.390</v>
      </c>
      <c r="E207" t="str">
        <f>"600.00"</f>
        <v>600.00</v>
      </c>
      <c r="F207" t="str">
        <f>"-6840.83"</f>
        <v>-6840.83</v>
      </c>
      <c r="G207" t="str">
        <f>"5883.36"</f>
        <v>5883.36</v>
      </c>
      <c r="H207" t="str">
        <f>"600.00"</f>
        <v>600.00</v>
      </c>
      <c r="I207" t="str">
        <f>"79"</f>
        <v>79</v>
      </c>
      <c r="J207" t="str">
        <f>"证券买入(丰乐种业)"</f>
        <v>证券买入(丰乐种业)</v>
      </c>
      <c r="K207" t="str">
        <f>"6.83"</f>
        <v>6.83</v>
      </c>
      <c r="L207" t="str">
        <f>"0.00"</f>
        <v>0.00</v>
      </c>
      <c r="M207" t="str">
        <f>"0.00"</f>
        <v>0.00</v>
      </c>
      <c r="N207" t="str">
        <f t="shared" si="79"/>
        <v>0.00</v>
      </c>
      <c r="O207" t="str">
        <f>"000713"</f>
        <v>000713</v>
      </c>
      <c r="P207" t="str">
        <f>"0153613480"</f>
        <v>0153613480</v>
      </c>
    </row>
    <row r="208" spans="1:16" x14ac:dyDescent="0.25">
      <c r="A208" t="str">
        <f t="shared" si="75"/>
        <v>人民币</v>
      </c>
      <c r="B208" t="str">
        <f>"中通国脉"</f>
        <v>中通国脉</v>
      </c>
      <c r="C208" t="str">
        <f>"20190529"</f>
        <v>20190529</v>
      </c>
      <c r="D208" t="str">
        <f>"19.610"</f>
        <v>19.610</v>
      </c>
      <c r="E208" t="str">
        <f>"-300.00"</f>
        <v>-300.00</v>
      </c>
      <c r="F208" t="str">
        <f>"5871.12"</f>
        <v>5871.12</v>
      </c>
      <c r="G208" t="str">
        <f>"12724.19"</f>
        <v>12724.19</v>
      </c>
      <c r="H208" t="str">
        <f>"2100.00"</f>
        <v>2100.00</v>
      </c>
      <c r="I208" t="str">
        <f>"82"</f>
        <v>82</v>
      </c>
      <c r="J208" t="str">
        <f>"证券卖出(中通国脉)"</f>
        <v>证券卖出(中通国脉)</v>
      </c>
      <c r="K208" t="str">
        <f>"5.88"</f>
        <v>5.88</v>
      </c>
      <c r="L208" t="str">
        <f>"5.88"</f>
        <v>5.88</v>
      </c>
      <c r="M208" t="str">
        <f>"0.12"</f>
        <v>0.12</v>
      </c>
      <c r="N208" t="str">
        <f t="shared" si="79"/>
        <v>0.00</v>
      </c>
      <c r="O208" t="str">
        <f>"603559"</f>
        <v>603559</v>
      </c>
      <c r="P208" t="str">
        <f>"A400948245"</f>
        <v>A400948245</v>
      </c>
    </row>
    <row r="209" spans="1:16" x14ac:dyDescent="0.25">
      <c r="A209" t="str">
        <f t="shared" si="75"/>
        <v>人民币</v>
      </c>
      <c r="B209" t="str">
        <f>"丰乐种业"</f>
        <v>丰乐种业</v>
      </c>
      <c r="C209" t="str">
        <f>"20190530"</f>
        <v>20190530</v>
      </c>
      <c r="D209" t="str">
        <f>"13.780"</f>
        <v>13.780</v>
      </c>
      <c r="E209" t="str">
        <f>"-600.00"</f>
        <v>-600.00</v>
      </c>
      <c r="F209" t="str">
        <f>"8251.46"</f>
        <v>8251.46</v>
      </c>
      <c r="G209" t="str">
        <f>"14134.82"</f>
        <v>14134.82</v>
      </c>
      <c r="H209" t="str">
        <f>"0.00"</f>
        <v>0.00</v>
      </c>
      <c r="I209" t="str">
        <f>"87"</f>
        <v>87</v>
      </c>
      <c r="J209" t="str">
        <f>"证券卖出(丰乐种业)"</f>
        <v>证券卖出(丰乐种业)</v>
      </c>
      <c r="K209" t="str">
        <f>"8.27"</f>
        <v>8.27</v>
      </c>
      <c r="L209" t="str">
        <f>"8.27"</f>
        <v>8.27</v>
      </c>
      <c r="M209" t="str">
        <f>"0.00"</f>
        <v>0.00</v>
      </c>
      <c r="N209" t="str">
        <f t="shared" si="79"/>
        <v>0.00</v>
      </c>
      <c r="O209" t="str">
        <f>"000713"</f>
        <v>000713</v>
      </c>
      <c r="P209" t="str">
        <f>"0153613480"</f>
        <v>0153613480</v>
      </c>
    </row>
    <row r="210" spans="1:16" x14ac:dyDescent="0.25">
      <c r="A210" t="str">
        <f t="shared" si="75"/>
        <v>人民币</v>
      </c>
      <c r="B210" t="str">
        <f>"东方通信"</f>
        <v>东方通信</v>
      </c>
      <c r="C210" t="str">
        <f>"20190531"</f>
        <v>20190531</v>
      </c>
      <c r="D210" t="str">
        <f>"24.100"</f>
        <v>24.100</v>
      </c>
      <c r="E210" t="str">
        <f>"500.00"</f>
        <v>500.00</v>
      </c>
      <c r="F210" t="str">
        <f>"-12062.29"</f>
        <v>-12062.29</v>
      </c>
      <c r="G210" t="str">
        <f>"2072.53"</f>
        <v>2072.53</v>
      </c>
      <c r="H210" t="str">
        <f>"500.00"</f>
        <v>500.00</v>
      </c>
      <c r="I210" t="str">
        <f>"91"</f>
        <v>91</v>
      </c>
      <c r="J210" t="str">
        <f>"证券买入(东方通信)"</f>
        <v>证券买入(东方通信)</v>
      </c>
      <c r="K210" t="str">
        <f>"12.05"</f>
        <v>12.05</v>
      </c>
      <c r="L210" t="str">
        <f>"0.00"</f>
        <v>0.00</v>
      </c>
      <c r="M210" t="str">
        <f>"0.24"</f>
        <v>0.24</v>
      </c>
      <c r="N210" t="str">
        <f t="shared" si="79"/>
        <v>0.00</v>
      </c>
      <c r="O210" t="str">
        <f>"600776"</f>
        <v>600776</v>
      </c>
      <c r="P210" t="str">
        <f>"A400948245"</f>
        <v>A400948245</v>
      </c>
    </row>
    <row r="211" spans="1:16" x14ac:dyDescent="0.25">
      <c r="A211" t="str">
        <f t="shared" si="75"/>
        <v>人民币</v>
      </c>
      <c r="B211" t="str">
        <f>"东方通信"</f>
        <v>东方通信</v>
      </c>
      <c r="C211" t="str">
        <f>"20190603"</f>
        <v>20190603</v>
      </c>
      <c r="D211" t="str">
        <f>"25.490"</f>
        <v>25.490</v>
      </c>
      <c r="E211" t="str">
        <f>"-500.00"</f>
        <v>-500.00</v>
      </c>
      <c r="F211" t="str">
        <f>"12719.25"</f>
        <v>12719.25</v>
      </c>
      <c r="G211" t="str">
        <f>"14791.78"</f>
        <v>14791.78</v>
      </c>
      <c r="H211" t="str">
        <f>"0.00"</f>
        <v>0.00</v>
      </c>
      <c r="I211" t="str">
        <f>"96"</f>
        <v>96</v>
      </c>
      <c r="J211" t="str">
        <f>"证券卖出(东方通信)"</f>
        <v>证券卖出(东方通信)</v>
      </c>
      <c r="K211" t="str">
        <f>"12.75"</f>
        <v>12.75</v>
      </c>
      <c r="L211" t="str">
        <f>"12.75"</f>
        <v>12.75</v>
      </c>
      <c r="M211" t="str">
        <f>"0.25"</f>
        <v>0.25</v>
      </c>
      <c r="N211" t="str">
        <f t="shared" si="79"/>
        <v>0.00</v>
      </c>
      <c r="O211" t="str">
        <f>"600776"</f>
        <v>600776</v>
      </c>
      <c r="P211" t="str">
        <f>"A400948245"</f>
        <v>A400948245</v>
      </c>
    </row>
    <row r="212" spans="1:16" x14ac:dyDescent="0.25">
      <c r="A212" t="str">
        <f t="shared" si="75"/>
        <v>人民币</v>
      </c>
      <c r="B212" t="str">
        <f>"卓胜微"</f>
        <v>卓胜微</v>
      </c>
      <c r="C212" t="str">
        <f t="shared" ref="C212:C219" si="80">"20190604"</f>
        <v>20190604</v>
      </c>
      <c r="D212" t="str">
        <f>"0.000"</f>
        <v>0.000</v>
      </c>
      <c r="E212" t="str">
        <f>"2.00"</f>
        <v>2.00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"115"</f>
        <v>115</v>
      </c>
      <c r="J212" t="str">
        <f>"申购配号(卓胜微)"</f>
        <v>申购配号(卓胜微)</v>
      </c>
      <c r="K212" t="str">
        <f t="shared" ref="K212:M213" si="81">"0.00"</f>
        <v>0.00</v>
      </c>
      <c r="L212" t="str">
        <f t="shared" si="81"/>
        <v>0.00</v>
      </c>
      <c r="M212" t="str">
        <f t="shared" si="81"/>
        <v>0.00</v>
      </c>
      <c r="N212" t="str">
        <f t="shared" si="79"/>
        <v>0.00</v>
      </c>
      <c r="O212" t="str">
        <f>"300782"</f>
        <v>300782</v>
      </c>
      <c r="P212" t="str">
        <f>"0153613480"</f>
        <v>0153613480</v>
      </c>
    </row>
    <row r="213" spans="1:16" x14ac:dyDescent="0.25">
      <c r="A213" t="str">
        <f t="shared" si="75"/>
        <v>人民币</v>
      </c>
      <c r="B213" t="str">
        <f>"国茂配号"</f>
        <v>国茂配号</v>
      </c>
      <c r="C213" t="str">
        <f t="shared" si="80"/>
        <v>20190604</v>
      </c>
      <c r="D213" t="str">
        <f>"0.000"</f>
        <v>0.000</v>
      </c>
      <c r="E213" t="str">
        <f>"13.00"</f>
        <v>13.00</v>
      </c>
      <c r="F213" t="str">
        <f>"0.00"</f>
        <v>0.00</v>
      </c>
      <c r="G213" t="str">
        <f>"8973.49"</f>
        <v>8973.49</v>
      </c>
      <c r="H213" t="str">
        <f>"0.00"</f>
        <v>0.00</v>
      </c>
      <c r="I213" t="str">
        <f>"113"</f>
        <v>113</v>
      </c>
      <c r="J213" t="str">
        <f>"申购配号(国茂配号)"</f>
        <v>申购配号(国茂配号)</v>
      </c>
      <c r="K213" t="str">
        <f t="shared" si="81"/>
        <v>0.00</v>
      </c>
      <c r="L213" t="str">
        <f t="shared" si="81"/>
        <v>0.00</v>
      </c>
      <c r="M213" t="str">
        <f t="shared" si="81"/>
        <v>0.00</v>
      </c>
      <c r="N213" t="str">
        <f t="shared" si="79"/>
        <v>0.00</v>
      </c>
      <c r="O213" t="str">
        <f>"736915"</f>
        <v>736915</v>
      </c>
      <c r="P213" t="str">
        <f t="shared" ref="P213:P218" si="82">"A400948245"</f>
        <v>A400948245</v>
      </c>
    </row>
    <row r="214" spans="1:16" x14ac:dyDescent="0.25">
      <c r="A214" t="str">
        <f t="shared" si="75"/>
        <v>人民币</v>
      </c>
      <c r="B214" t="str">
        <f>"七一二"</f>
        <v>七一二</v>
      </c>
      <c r="C214" t="str">
        <f t="shared" si="80"/>
        <v>20190604</v>
      </c>
      <c r="D214" t="str">
        <f>"20.150"</f>
        <v>20.150</v>
      </c>
      <c r="E214" t="str">
        <f>"400.00"</f>
        <v>400.00</v>
      </c>
      <c r="F214" t="str">
        <f>"-8068.22"</f>
        <v>-8068.22</v>
      </c>
      <c r="G214" t="str">
        <f>"905.27"</f>
        <v>905.27</v>
      </c>
      <c r="H214" t="str">
        <f>"3400.00"</f>
        <v>3400.00</v>
      </c>
      <c r="I214" t="str">
        <f>"126"</f>
        <v>126</v>
      </c>
      <c r="J214" t="str">
        <f>"证券买入(七一二)"</f>
        <v>证券买入(七一二)</v>
      </c>
      <c r="K214" t="str">
        <f>"8.06"</f>
        <v>8.06</v>
      </c>
      <c r="L214" t="str">
        <f>"0.00"</f>
        <v>0.00</v>
      </c>
      <c r="M214" t="str">
        <f>"0.16"</f>
        <v>0.16</v>
      </c>
      <c r="N214" t="str">
        <f t="shared" si="79"/>
        <v>0.00</v>
      </c>
      <c r="O214" t="str">
        <f>"603712"</f>
        <v>603712</v>
      </c>
      <c r="P214" t="str">
        <f t="shared" si="82"/>
        <v>A400948245</v>
      </c>
    </row>
    <row r="215" spans="1:16" x14ac:dyDescent="0.25">
      <c r="A215" t="str">
        <f t="shared" si="75"/>
        <v>人民币</v>
      </c>
      <c r="B215" t="str">
        <f>"国茂配号"</f>
        <v>国茂配号</v>
      </c>
      <c r="C215" t="str">
        <f t="shared" si="80"/>
        <v>20190604</v>
      </c>
      <c r="D215" t="str">
        <f>"0.000"</f>
        <v>0.000</v>
      </c>
      <c r="E215" t="str">
        <f>"0.00"</f>
        <v>0.00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"121"</f>
        <v>121</v>
      </c>
      <c r="J215" t="str">
        <f>"申购配号(国茂配号)"</f>
        <v>申购配号(国茂配号)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 t="shared" si="79"/>
        <v>0.00</v>
      </c>
      <c r="O215" t="str">
        <f>"736915"</f>
        <v>736915</v>
      </c>
      <c r="P215" t="str">
        <f t="shared" si="82"/>
        <v>A400948245</v>
      </c>
    </row>
    <row r="216" spans="1:16" x14ac:dyDescent="0.25">
      <c r="A216" t="str">
        <f t="shared" si="75"/>
        <v>人民币</v>
      </c>
      <c r="B216" t="str">
        <f>"国茂配号"</f>
        <v>国茂配号</v>
      </c>
      <c r="C216" t="str">
        <f t="shared" si="80"/>
        <v>20190604</v>
      </c>
      <c r="D216" t="str">
        <f>"0.000"</f>
        <v>0.000</v>
      </c>
      <c r="E216" t="str">
        <f>"0.00"</f>
        <v>0.00</v>
      </c>
      <c r="F216" t="str">
        <f>"0.00"</f>
        <v>0.00</v>
      </c>
      <c r="G216" t="str">
        <f>"905.27"</f>
        <v>905.27</v>
      </c>
      <c r="H216" t="str">
        <f>"0.00"</f>
        <v>0.00</v>
      </c>
      <c r="I216" t="str">
        <f>"117"</f>
        <v>117</v>
      </c>
      <c r="J216" t="str">
        <f>"申购配号(国茂配号)"</f>
        <v>申购配号(国茂配号)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 t="shared" si="79"/>
        <v>0.00</v>
      </c>
      <c r="O216" t="str">
        <f>"736915"</f>
        <v>736915</v>
      </c>
      <c r="P216" t="str">
        <f t="shared" si="82"/>
        <v>A400948245</v>
      </c>
    </row>
    <row r="217" spans="1:16" x14ac:dyDescent="0.25">
      <c r="A217" t="str">
        <f t="shared" si="75"/>
        <v>人民币</v>
      </c>
      <c r="B217" t="str">
        <f>"七一二"</f>
        <v>七一二</v>
      </c>
      <c r="C217" t="str">
        <f t="shared" si="80"/>
        <v>20190604</v>
      </c>
      <c r="D217" t="str">
        <f>"20.280"</f>
        <v>20.280</v>
      </c>
      <c r="E217" t="str">
        <f>"500.00"</f>
        <v>500.00</v>
      </c>
      <c r="F217" t="str">
        <f>"-10150.34"</f>
        <v>-10150.34</v>
      </c>
      <c r="G217" t="str">
        <f>"8973.49"</f>
        <v>8973.49</v>
      </c>
      <c r="H217" t="str">
        <f>"3000.00"</f>
        <v>3000.00</v>
      </c>
      <c r="I217" t="str">
        <f>"109"</f>
        <v>109</v>
      </c>
      <c r="J217" t="str">
        <f>"证券买入(七一二)"</f>
        <v>证券买入(七一二)</v>
      </c>
      <c r="K217" t="str">
        <f>"10.14"</f>
        <v>10.14</v>
      </c>
      <c r="L217" t="str">
        <f>"0.00"</f>
        <v>0.00</v>
      </c>
      <c r="M217" t="str">
        <f>"0.20"</f>
        <v>0.20</v>
      </c>
      <c r="N217" t="str">
        <f t="shared" si="79"/>
        <v>0.00</v>
      </c>
      <c r="O217" t="str">
        <f>"603712"</f>
        <v>603712</v>
      </c>
      <c r="P217" t="str">
        <f t="shared" si="82"/>
        <v>A400948245</v>
      </c>
    </row>
    <row r="218" spans="1:16" x14ac:dyDescent="0.25">
      <c r="A218" t="str">
        <f t="shared" si="75"/>
        <v>人民币</v>
      </c>
      <c r="B218" t="str">
        <f>"中通国脉"</f>
        <v>中通国脉</v>
      </c>
      <c r="C218" t="str">
        <f t="shared" si="80"/>
        <v>20190604</v>
      </c>
      <c r="D218" t="str">
        <f>"22.710"</f>
        <v>22.710</v>
      </c>
      <c r="E218" t="str">
        <f>"-500.00"</f>
        <v>-500.00</v>
      </c>
      <c r="F218" t="str">
        <f>"11332.05"</f>
        <v>11332.05</v>
      </c>
      <c r="G218" t="str">
        <f>"19123.83"</f>
        <v>19123.83</v>
      </c>
      <c r="H218" t="str">
        <f>"1600.00"</f>
        <v>1600.00</v>
      </c>
      <c r="I218" t="str">
        <f>"100"</f>
        <v>100</v>
      </c>
      <c r="J218" t="str">
        <f>"证券卖出(中通国脉)"</f>
        <v>证券卖出(中通国脉)</v>
      </c>
      <c r="K218" t="str">
        <f>"11.36"</f>
        <v>11.36</v>
      </c>
      <c r="L218" t="str">
        <f>"11.36"</f>
        <v>11.36</v>
      </c>
      <c r="M218" t="str">
        <f>"0.23"</f>
        <v>0.23</v>
      </c>
      <c r="N218" t="str">
        <f t="shared" si="79"/>
        <v>0.00</v>
      </c>
      <c r="O218" t="str">
        <f>"603559"</f>
        <v>603559</v>
      </c>
      <c r="P218" t="str">
        <f t="shared" si="82"/>
        <v>A400948245</v>
      </c>
    </row>
    <row r="219" spans="1:16" x14ac:dyDescent="0.25">
      <c r="A219" t="str">
        <f t="shared" si="75"/>
        <v>人民币</v>
      </c>
      <c r="B219" t="str">
        <f>""</f>
        <v/>
      </c>
      <c r="C219" t="str">
        <f t="shared" si="80"/>
        <v>20190604</v>
      </c>
      <c r="D219" t="str">
        <f>"---"</f>
        <v>---</v>
      </c>
      <c r="E219" t="str">
        <f>"---"</f>
        <v>---</v>
      </c>
      <c r="F219" t="str">
        <f>"-7000.00"</f>
        <v>-7000.00</v>
      </c>
      <c r="G219" t="str">
        <f>"7791.78"</f>
        <v>7791.78</v>
      </c>
      <c r="H219" t="str">
        <f>"---"</f>
        <v>---</v>
      </c>
      <c r="I219" t="str">
        <f>"---"</f>
        <v>---</v>
      </c>
      <c r="J219" t="str">
        <f>"银行转取"</f>
        <v>银行转取</v>
      </c>
      <c r="K219" t="str">
        <f t="shared" ref="K219:P219" si="83">"---"</f>
        <v>---</v>
      </c>
      <c r="L219" t="str">
        <f t="shared" si="83"/>
        <v>---</v>
      </c>
      <c r="M219" t="str">
        <f t="shared" si="83"/>
        <v>---</v>
      </c>
      <c r="N219" t="str">
        <f t="shared" si="83"/>
        <v>---</v>
      </c>
      <c r="O219" t="str">
        <f t="shared" si="83"/>
        <v>---</v>
      </c>
      <c r="P219" t="str">
        <f t="shared" si="83"/>
        <v>---</v>
      </c>
    </row>
    <row r="220" spans="1:16" x14ac:dyDescent="0.25">
      <c r="A220" t="str">
        <f t="shared" si="75"/>
        <v>人民币</v>
      </c>
      <c r="B220" t="str">
        <f>"西麦食品"</f>
        <v>西麦食品</v>
      </c>
      <c r="C220" t="str">
        <f>"20190605"</f>
        <v>20190605</v>
      </c>
      <c r="D220" t="str">
        <f>"0.000"</f>
        <v>0.000</v>
      </c>
      <c r="E220" t="str">
        <f>"2.00"</f>
        <v>2.00</v>
      </c>
      <c r="F220" t="str">
        <f>"0.00"</f>
        <v>0.00</v>
      </c>
      <c r="G220" t="str">
        <f>"6598.20"</f>
        <v>6598.20</v>
      </c>
      <c r="H220" t="str">
        <f>"0.00"</f>
        <v>0.00</v>
      </c>
      <c r="I220" t="str">
        <f>"144"</f>
        <v>144</v>
      </c>
      <c r="J220" t="str">
        <f>"申购配号(西麦食品)"</f>
        <v>申购配号(西麦食品)</v>
      </c>
      <c r="K220" t="str">
        <f>"0.00"</f>
        <v>0.00</v>
      </c>
      <c r="L220" t="str">
        <f>"0.00"</f>
        <v>0.00</v>
      </c>
      <c r="M220" t="str">
        <f>"0.00"</f>
        <v>0.00</v>
      </c>
      <c r="N220" t="str">
        <f>"0.00"</f>
        <v>0.00</v>
      </c>
      <c r="O220" t="str">
        <f>"002956"</f>
        <v>002956</v>
      </c>
      <c r="P220" t="str">
        <f>"0153613480"</f>
        <v>0153613480</v>
      </c>
    </row>
    <row r="221" spans="1:16" x14ac:dyDescent="0.25">
      <c r="A221" t="str">
        <f t="shared" si="75"/>
        <v>人民币</v>
      </c>
      <c r="B221" t="str">
        <f>"吴通控股"</f>
        <v>吴通控股</v>
      </c>
      <c r="C221" t="str">
        <f>"20190605"</f>
        <v>20190605</v>
      </c>
      <c r="D221" t="str">
        <f>"7.870"</f>
        <v>7.870</v>
      </c>
      <c r="E221" t="str">
        <f>"1000.00"</f>
        <v>1000.00</v>
      </c>
      <c r="F221" t="str">
        <f>"-7877.87"</f>
        <v>-7877.87</v>
      </c>
      <c r="G221" t="str">
        <f>"6598.20"</f>
        <v>6598.20</v>
      </c>
      <c r="H221" t="str">
        <f>"1000.00"</f>
        <v>1000.00</v>
      </c>
      <c r="I221" t="str">
        <f>"141"</f>
        <v>141</v>
      </c>
      <c r="J221" t="str">
        <f>"证券买入(吴通控股)"</f>
        <v>证券买入(吴通控股)</v>
      </c>
      <c r="K221" t="str">
        <f>"7.87"</f>
        <v>7.87</v>
      </c>
      <c r="L221" t="str">
        <f>"0.00"</f>
        <v>0.00</v>
      </c>
      <c r="M221" t="str">
        <f>"0.00"</f>
        <v>0.00</v>
      </c>
      <c r="N221" t="str">
        <f>"0.00"</f>
        <v>0.00</v>
      </c>
      <c r="O221" t="str">
        <f>"300292"</f>
        <v>300292</v>
      </c>
      <c r="P221" t="str">
        <f>"0153613480"</f>
        <v>0153613480</v>
      </c>
    </row>
    <row r="222" spans="1:16" x14ac:dyDescent="0.25">
      <c r="A222" t="str">
        <f t="shared" si="75"/>
        <v>人民币</v>
      </c>
      <c r="B222" t="str">
        <f>"上海新阳"</f>
        <v>上海新阳</v>
      </c>
      <c r="C222" t="str">
        <f>"20190605"</f>
        <v>20190605</v>
      </c>
      <c r="D222" t="str">
        <f>"33.995"</f>
        <v>33.995</v>
      </c>
      <c r="E222" t="str">
        <f>"-400.00"</f>
        <v>-400.00</v>
      </c>
      <c r="F222" t="str">
        <f>"13570.80"</f>
        <v>13570.80</v>
      </c>
      <c r="G222" t="str">
        <f>"14476.07"</f>
        <v>14476.07</v>
      </c>
      <c r="H222" t="str">
        <f>"0.00"</f>
        <v>0.00</v>
      </c>
      <c r="I222" t="str">
        <f>"137"</f>
        <v>137</v>
      </c>
      <c r="J222" t="str">
        <f>"证券卖出(上海新阳)"</f>
        <v>证券卖出(上海新阳)</v>
      </c>
      <c r="K222" t="str">
        <f>"13.60"</f>
        <v>13.60</v>
      </c>
      <c r="L222" t="str">
        <f>"13.60"</f>
        <v>13.60</v>
      </c>
      <c r="M222" t="str">
        <f t="shared" ref="M222:N228" si="84">"0.00"</f>
        <v>0.00</v>
      </c>
      <c r="N222" t="str">
        <f t="shared" si="84"/>
        <v>0.00</v>
      </c>
      <c r="O222" t="str">
        <f>"300236"</f>
        <v>300236</v>
      </c>
      <c r="P222" t="str">
        <f>"0153613480"</f>
        <v>0153613480</v>
      </c>
    </row>
    <row r="223" spans="1:16" x14ac:dyDescent="0.25">
      <c r="A223" t="str">
        <f t="shared" si="75"/>
        <v>人民币</v>
      </c>
      <c r="B223" t="str">
        <f>"吴通控股"</f>
        <v>吴通控股</v>
      </c>
      <c r="C223" t="str">
        <f>"20190606"</f>
        <v>20190606</v>
      </c>
      <c r="D223" t="str">
        <f>"7.250"</f>
        <v>7.250</v>
      </c>
      <c r="E223" t="str">
        <f>"900.00"</f>
        <v>900.00</v>
      </c>
      <c r="F223" t="str">
        <f>"-6531.53"</f>
        <v>-6531.53</v>
      </c>
      <c r="G223" t="str">
        <f>"66.67"</f>
        <v>66.67</v>
      </c>
      <c r="H223" t="str">
        <f>"1900.00"</f>
        <v>1900.00</v>
      </c>
      <c r="I223" t="str">
        <f>"152"</f>
        <v>152</v>
      </c>
      <c r="J223" t="str">
        <f>"证券买入(吴通控股)"</f>
        <v>证券买入(吴通控股)</v>
      </c>
      <c r="K223" t="str">
        <f>"6.53"</f>
        <v>6.53</v>
      </c>
      <c r="L223" t="str">
        <f>"0.00"</f>
        <v>0.00</v>
      </c>
      <c r="M223" t="str">
        <f t="shared" si="84"/>
        <v>0.00</v>
      </c>
      <c r="N223" t="str">
        <f t="shared" si="84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5"/>
        <v>人民币</v>
      </c>
      <c r="B224" t="str">
        <f>"松炀配号"</f>
        <v>松炀配号</v>
      </c>
      <c r="C224" t="str">
        <f>"20190611"</f>
        <v>20190611</v>
      </c>
      <c r="D224" t="str">
        <f>"0.000"</f>
        <v>0.000</v>
      </c>
      <c r="E224" t="str">
        <f>"13.00"</f>
        <v>13.00</v>
      </c>
      <c r="F224" t="str">
        <f>"0.00"</f>
        <v>0.00</v>
      </c>
      <c r="G224" t="str">
        <f>"66.67"</f>
        <v>66.67</v>
      </c>
      <c r="H224" t="str">
        <f>"0.00"</f>
        <v>0.00</v>
      </c>
      <c r="I224" t="str">
        <f>"157"</f>
        <v>157</v>
      </c>
      <c r="J224" t="str">
        <f>"申购配号(松炀配号)"</f>
        <v>申购配号(松炀配号)</v>
      </c>
      <c r="K224" t="str">
        <f>"0.00"</f>
        <v>0.00</v>
      </c>
      <c r="L224" t="str">
        <f>"0.00"</f>
        <v>0.00</v>
      </c>
      <c r="M224" t="str">
        <f t="shared" si="84"/>
        <v>0.00</v>
      </c>
      <c r="N224" t="str">
        <f t="shared" si="84"/>
        <v>0.00</v>
      </c>
      <c r="O224" t="str">
        <f>"736863"</f>
        <v>736863</v>
      </c>
      <c r="P224" t="str">
        <f>"A400948245"</f>
        <v>A400948245</v>
      </c>
    </row>
    <row r="225" spans="1:16" x14ac:dyDescent="0.25">
      <c r="A225" t="str">
        <f t="shared" si="75"/>
        <v>人民币</v>
      </c>
      <c r="B225" t="str">
        <f>"元利配号"</f>
        <v>元利配号</v>
      </c>
      <c r="C225" t="str">
        <f>"20190611"</f>
        <v>20190611</v>
      </c>
      <c r="D225" t="str">
        <f>"0.000"</f>
        <v>0.000</v>
      </c>
      <c r="E225" t="str">
        <f>"9.00"</f>
        <v>9.00</v>
      </c>
      <c r="F225" t="str">
        <f>"0.00"</f>
        <v>0.00</v>
      </c>
      <c r="G225" t="str">
        <f>"66.67"</f>
        <v>66.67</v>
      </c>
      <c r="H225" t="str">
        <f>"0.00"</f>
        <v>0.00</v>
      </c>
      <c r="I225" t="str">
        <f>"159"</f>
        <v>159</v>
      </c>
      <c r="J225" t="str">
        <f>"申购配号(元利配号)"</f>
        <v>申购配号(元利配号)</v>
      </c>
      <c r="K225" t="str">
        <f>"0.00"</f>
        <v>0.00</v>
      </c>
      <c r="L225" t="str">
        <f>"0.00"</f>
        <v>0.00</v>
      </c>
      <c r="M225" t="str">
        <f t="shared" si="84"/>
        <v>0.00</v>
      </c>
      <c r="N225" t="str">
        <f t="shared" si="84"/>
        <v>0.00</v>
      </c>
      <c r="O225" t="str">
        <f>"736217"</f>
        <v>736217</v>
      </c>
      <c r="P225" t="str">
        <f>"A400948245"</f>
        <v>A400948245</v>
      </c>
    </row>
    <row r="226" spans="1:16" x14ac:dyDescent="0.25">
      <c r="A226" t="str">
        <f t="shared" si="75"/>
        <v>人民币</v>
      </c>
      <c r="B226" t="str">
        <f>"朗进科技"</f>
        <v>朗进科技</v>
      </c>
      <c r="C226" t="str">
        <f>"20190612"</f>
        <v>20190612</v>
      </c>
      <c r="D226" t="str">
        <f>"0.000"</f>
        <v>0.000</v>
      </c>
      <c r="E226" t="str">
        <f>"2.00"</f>
        <v>2.00</v>
      </c>
      <c r="F226" t="str">
        <f>"0.00"</f>
        <v>0.00</v>
      </c>
      <c r="G226" t="str">
        <f>"6148.82"</f>
        <v>6148.82</v>
      </c>
      <c r="H226" t="str">
        <f>"0.00"</f>
        <v>0.00</v>
      </c>
      <c r="I226" t="str">
        <f>"169"</f>
        <v>169</v>
      </c>
      <c r="J226" t="str">
        <f>"申购配号(朗进科技)"</f>
        <v>申购配号(朗进科技)</v>
      </c>
      <c r="K226" t="str">
        <f>"0.00"</f>
        <v>0.00</v>
      </c>
      <c r="L226" t="str">
        <f>"0.00"</f>
        <v>0.00</v>
      </c>
      <c r="M226" t="str">
        <f t="shared" si="84"/>
        <v>0.00</v>
      </c>
      <c r="N226" t="str">
        <f t="shared" si="84"/>
        <v>0.00</v>
      </c>
      <c r="O226" t="str">
        <f>"300594"</f>
        <v>300594</v>
      </c>
      <c r="P226" t="str">
        <f>"0153613480"</f>
        <v>0153613480</v>
      </c>
    </row>
    <row r="227" spans="1:16" x14ac:dyDescent="0.25">
      <c r="A227" t="str">
        <f t="shared" si="75"/>
        <v>人民币</v>
      </c>
      <c r="B227" t="str">
        <f>"吴通控股"</f>
        <v>吴通控股</v>
      </c>
      <c r="C227" t="str">
        <f>"20190612"</f>
        <v>20190612</v>
      </c>
      <c r="D227" t="str">
        <f>"7.900"</f>
        <v>7.900</v>
      </c>
      <c r="E227" t="str">
        <f>"-1000.00"</f>
        <v>-1000.00</v>
      </c>
      <c r="F227" t="str">
        <f>"7884.20"</f>
        <v>7884.20</v>
      </c>
      <c r="G227" t="str">
        <f>"6148.82"</f>
        <v>6148.82</v>
      </c>
      <c r="H227" t="str">
        <f>"0.00"</f>
        <v>0.00</v>
      </c>
      <c r="I227" t="str">
        <f>"174"</f>
        <v>174</v>
      </c>
      <c r="J227" t="str">
        <f>"证券卖出(吴通控股)"</f>
        <v>证券卖出(吴通控股)</v>
      </c>
      <c r="K227" t="str">
        <f>"7.90"</f>
        <v>7.90</v>
      </c>
      <c r="L227" t="str">
        <f>"7.90"</f>
        <v>7.90</v>
      </c>
      <c r="M227" t="str">
        <f t="shared" si="84"/>
        <v>0.00</v>
      </c>
      <c r="N227" t="str">
        <f t="shared" si="84"/>
        <v>0.00</v>
      </c>
      <c r="O227" t="str">
        <f>"300292"</f>
        <v>300292</v>
      </c>
      <c r="P227" t="str">
        <f>"0153613480"</f>
        <v>0153613480</v>
      </c>
    </row>
    <row r="228" spans="1:16" x14ac:dyDescent="0.25">
      <c r="A228" t="str">
        <f t="shared" si="75"/>
        <v>人民币</v>
      </c>
      <c r="B228" t="str">
        <f>"吴通控股"</f>
        <v>吴通控股</v>
      </c>
      <c r="C228" t="str">
        <f>"20190612"</f>
        <v>20190612</v>
      </c>
      <c r="D228" t="str">
        <f>"7.810"</f>
        <v>7.810</v>
      </c>
      <c r="E228" t="str">
        <f>"-900.00"</f>
        <v>-900.00</v>
      </c>
      <c r="F228" t="str">
        <f>"7014.94"</f>
        <v>7014.94</v>
      </c>
      <c r="G228" t="str">
        <f>"-1735.38"</f>
        <v>-1735.38</v>
      </c>
      <c r="H228" t="str">
        <f>"1000.00"</f>
        <v>1000.00</v>
      </c>
      <c r="I228" t="str">
        <f>"166"</f>
        <v>166</v>
      </c>
      <c r="J228" t="str">
        <f>"证券卖出(吴通控股)"</f>
        <v>证券卖出(吴通控股)</v>
      </c>
      <c r="K228" t="str">
        <f>"7.03"</f>
        <v>7.03</v>
      </c>
      <c r="L228" t="str">
        <f>"7.03"</f>
        <v>7.03</v>
      </c>
      <c r="M228" t="str">
        <f t="shared" si="84"/>
        <v>0.00</v>
      </c>
      <c r="N228" t="str">
        <f t="shared" si="84"/>
        <v>0.00</v>
      </c>
      <c r="O228" t="str">
        <f>"300292"</f>
        <v>300292</v>
      </c>
      <c r="P228" t="str">
        <f>"0153613480"</f>
        <v>0153613480</v>
      </c>
    </row>
    <row r="229" spans="1:16" x14ac:dyDescent="0.25">
      <c r="A229" t="str">
        <f t="shared" si="75"/>
        <v>人民币</v>
      </c>
      <c r="B229" t="str">
        <f>"中通国脉"</f>
        <v>中通国脉</v>
      </c>
      <c r="C229" t="str">
        <f>"20190612"</f>
        <v>20190612</v>
      </c>
      <c r="D229" t="str">
        <f>"22.020"</f>
        <v>22.020</v>
      </c>
      <c r="E229" t="str">
        <f>"400.00"</f>
        <v>400.00</v>
      </c>
      <c r="F229" t="str">
        <f>"-8816.99"</f>
        <v>-8816.99</v>
      </c>
      <c r="G229" t="str">
        <f>"-8750.32"</f>
        <v>-8750.32</v>
      </c>
      <c r="H229" t="str">
        <f>"2000.00"</f>
        <v>2000.00</v>
      </c>
      <c r="I229" t="str">
        <f>"177"</f>
        <v>177</v>
      </c>
      <c r="J229" t="str">
        <f>"证券买入(中通国脉)"</f>
        <v>证券买入(中通国脉)</v>
      </c>
      <c r="K229" t="str">
        <f>"8.81"</f>
        <v>8.81</v>
      </c>
      <c r="L229" t="str">
        <f>"0.00"</f>
        <v>0.00</v>
      </c>
      <c r="M229" t="str">
        <f>"0.18"</f>
        <v>0.18</v>
      </c>
      <c r="N229" t="str">
        <f t="shared" ref="N229:N237" si="85">"0.00"</f>
        <v>0.00</v>
      </c>
      <c r="O229" t="str">
        <f>"603559"</f>
        <v>603559</v>
      </c>
      <c r="P229" t="str">
        <f>"A400948245"</f>
        <v>A400948245</v>
      </c>
    </row>
    <row r="230" spans="1:16" x14ac:dyDescent="0.25">
      <c r="A230" t="str">
        <f t="shared" si="75"/>
        <v>人民币</v>
      </c>
      <c r="B230" t="str">
        <f>"七一二"</f>
        <v>七一二</v>
      </c>
      <c r="C230" t="str">
        <f>"20190613"</f>
        <v>20190613</v>
      </c>
      <c r="D230" t="str">
        <f>"23.960"</f>
        <v>23.960</v>
      </c>
      <c r="E230" t="str">
        <f>"-1000.00"</f>
        <v>-1000.00</v>
      </c>
      <c r="F230" t="str">
        <f>"23911.60"</f>
        <v>23911.60</v>
      </c>
      <c r="G230" t="str">
        <f>"87482.19"</f>
        <v>87482.19</v>
      </c>
      <c r="H230" t="str">
        <f>"0.00"</f>
        <v>0.00</v>
      </c>
      <c r="I230" t="str">
        <f>"194"</f>
        <v>194</v>
      </c>
      <c r="J230" t="str">
        <f>"证券卖出(七一二)"</f>
        <v>证券卖出(七一二)</v>
      </c>
      <c r="K230" t="str">
        <f>"23.96"</f>
        <v>23.96</v>
      </c>
      <c r="L230" t="str">
        <f>"23.96"</f>
        <v>23.96</v>
      </c>
      <c r="M230" t="str">
        <f>"0.48"</f>
        <v>0.48</v>
      </c>
      <c r="N230" t="str">
        <f t="shared" si="85"/>
        <v>0.00</v>
      </c>
      <c r="O230" t="str">
        <f>"603712"</f>
        <v>603712</v>
      </c>
      <c r="P230" t="str">
        <f>"A400948245"</f>
        <v>A400948245</v>
      </c>
    </row>
    <row r="231" spans="1:16" x14ac:dyDescent="0.25">
      <c r="A231" t="str">
        <f t="shared" si="75"/>
        <v>人民币</v>
      </c>
      <c r="B231" t="str">
        <f>"七一二"</f>
        <v>七一二</v>
      </c>
      <c r="C231" t="str">
        <f>"20190613"</f>
        <v>20190613</v>
      </c>
      <c r="D231" t="str">
        <f>"23.910"</f>
        <v>23.910</v>
      </c>
      <c r="E231" t="str">
        <f>"-1000.00"</f>
        <v>-1000.00</v>
      </c>
      <c r="F231" t="str">
        <f>"23861.70"</f>
        <v>23861.70</v>
      </c>
      <c r="G231" t="str">
        <f>"63570.59"</f>
        <v>63570.59</v>
      </c>
      <c r="H231" t="str">
        <f>"1000.00"</f>
        <v>1000.00</v>
      </c>
      <c r="I231" t="str">
        <f>"190"</f>
        <v>190</v>
      </c>
      <c r="J231" t="str">
        <f>"证券卖出(七一二)"</f>
        <v>证券卖出(七一二)</v>
      </c>
      <c r="K231" t="str">
        <f>"23.91"</f>
        <v>23.91</v>
      </c>
      <c r="L231" t="str">
        <f>"23.91"</f>
        <v>23.91</v>
      </c>
      <c r="M231" t="str">
        <f>"0.48"</f>
        <v>0.48</v>
      </c>
      <c r="N231" t="str">
        <f t="shared" si="85"/>
        <v>0.00</v>
      </c>
      <c r="O231" t="str">
        <f>"603712"</f>
        <v>603712</v>
      </c>
      <c r="P231" t="str">
        <f>"A400948245"</f>
        <v>A400948245</v>
      </c>
    </row>
    <row r="232" spans="1:16" x14ac:dyDescent="0.25">
      <c r="A232" t="str">
        <f t="shared" si="75"/>
        <v>人民币</v>
      </c>
      <c r="B232" t="str">
        <f>"七一二"</f>
        <v>七一二</v>
      </c>
      <c r="C232" t="str">
        <f>"20190613"</f>
        <v>20190613</v>
      </c>
      <c r="D232" t="str">
        <f>"24.020"</f>
        <v>24.020</v>
      </c>
      <c r="E232" t="str">
        <f>"-1400.00"</f>
        <v>-1400.00</v>
      </c>
      <c r="F232" t="str">
        <f>"33560.07"</f>
        <v>33560.07</v>
      </c>
      <c r="G232" t="str">
        <f>"39708.89"</f>
        <v>39708.89</v>
      </c>
      <c r="H232" t="str">
        <f>"2000.00"</f>
        <v>2000.00</v>
      </c>
      <c r="I232" t="str">
        <f>"187"</f>
        <v>187</v>
      </c>
      <c r="J232" t="str">
        <f>"证券卖出(七一二)"</f>
        <v>证券卖出(七一二)</v>
      </c>
      <c r="K232" t="str">
        <f>"33.63"</f>
        <v>33.63</v>
      </c>
      <c r="L232" t="str">
        <f>"33.63"</f>
        <v>33.63</v>
      </c>
      <c r="M232" t="str">
        <f>"0.67"</f>
        <v>0.67</v>
      </c>
      <c r="N232" t="str">
        <f t="shared" si="85"/>
        <v>0.00</v>
      </c>
      <c r="O232" t="str">
        <f>"603712"</f>
        <v>603712</v>
      </c>
      <c r="P232" t="str">
        <f>"A400948245"</f>
        <v>A400948245</v>
      </c>
    </row>
    <row r="233" spans="1:16" x14ac:dyDescent="0.25">
      <c r="A233" t="str">
        <f t="shared" si="75"/>
        <v>人民币</v>
      </c>
      <c r="B233" t="str">
        <f>"凯龙股份"</f>
        <v>凯龙股份</v>
      </c>
      <c r="C233" t="str">
        <f t="shared" ref="C233:C238" si="86">"20190614"</f>
        <v>20190614</v>
      </c>
      <c r="D233" t="str">
        <f>"13.770"</f>
        <v>13.770</v>
      </c>
      <c r="E233" t="str">
        <f>"500.00"</f>
        <v>500.00</v>
      </c>
      <c r="F233" t="str">
        <f>"-6891.89"</f>
        <v>-6891.89</v>
      </c>
      <c r="G233" t="str">
        <f>"38075.20"</f>
        <v>38075.20</v>
      </c>
      <c r="H233" t="str">
        <f>"2500.00"</f>
        <v>2500.00</v>
      </c>
      <c r="I233" t="str">
        <f>"221"</f>
        <v>221</v>
      </c>
      <c r="J233" t="str">
        <f>"证券买入(凯龙股份)"</f>
        <v>证券买入(凯龙股份)</v>
      </c>
      <c r="K233" t="str">
        <f>"6.89"</f>
        <v>6.89</v>
      </c>
      <c r="L233" t="str">
        <f t="shared" ref="L233:M236" si="87">"0.00"</f>
        <v>0.00</v>
      </c>
      <c r="M233" t="str">
        <f t="shared" si="87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5"/>
        <v>人民币</v>
      </c>
      <c r="B234" t="str">
        <f>"凯龙股份"</f>
        <v>凯龙股份</v>
      </c>
      <c r="C234" t="str">
        <f t="shared" si="86"/>
        <v>20190614</v>
      </c>
      <c r="D234" t="str">
        <f>"14.164"</f>
        <v>14.164</v>
      </c>
      <c r="E234" t="str">
        <f>"1000.00"</f>
        <v>1000.00</v>
      </c>
      <c r="F234" t="str">
        <f>"-14177.96"</f>
        <v>-14177.96</v>
      </c>
      <c r="G234" t="str">
        <f>"44967.09"</f>
        <v>44967.09</v>
      </c>
      <c r="H234" t="str">
        <f>"2000.00"</f>
        <v>2000.00</v>
      </c>
      <c r="I234" t="str">
        <f>"212"</f>
        <v>212</v>
      </c>
      <c r="J234" t="str">
        <f>"证券买入(凯龙股份)"</f>
        <v>证券买入(凯龙股份)</v>
      </c>
      <c r="K234" t="str">
        <f>"14.16"</f>
        <v>14.16</v>
      </c>
      <c r="L234" t="str">
        <f t="shared" si="87"/>
        <v>0.00</v>
      </c>
      <c r="M234" t="str">
        <f t="shared" si="87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5"/>
        <v>人民币</v>
      </c>
      <c r="B235" t="str">
        <f>"凯龙股份"</f>
        <v>凯龙股份</v>
      </c>
      <c r="C235" t="str">
        <f t="shared" si="86"/>
        <v>20190614</v>
      </c>
      <c r="D235" t="str">
        <f>"14.050"</f>
        <v>14.050</v>
      </c>
      <c r="E235" t="str">
        <f>"1000.00"</f>
        <v>1000.00</v>
      </c>
      <c r="F235" t="str">
        <f>"-14064.05"</f>
        <v>-14064.05</v>
      </c>
      <c r="G235" t="str">
        <f>"59145.05"</f>
        <v>59145.05</v>
      </c>
      <c r="H235" t="str">
        <f>"1000.00"</f>
        <v>1000.00</v>
      </c>
      <c r="I235" t="str">
        <f>"200"</f>
        <v>200</v>
      </c>
      <c r="J235" t="str">
        <f>"证券买入(凯龙股份)"</f>
        <v>证券买入(凯龙股份)</v>
      </c>
      <c r="K235" t="str">
        <f>"14.05"</f>
        <v>14.05</v>
      </c>
      <c r="L235" t="str">
        <f t="shared" si="87"/>
        <v>0.00</v>
      </c>
      <c r="M235" t="str">
        <f t="shared" si="87"/>
        <v>0.00</v>
      </c>
      <c r="N235" t="str">
        <f t="shared" si="85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5"/>
        <v>人民币</v>
      </c>
      <c r="B236" t="str">
        <f>"海油配号"</f>
        <v>海油配号</v>
      </c>
      <c r="C236" t="str">
        <f t="shared" si="86"/>
        <v>20190614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"77482.19"</f>
        <v>77482.19</v>
      </c>
      <c r="H236" t="str">
        <f>"0.00"</f>
        <v>0.00</v>
      </c>
      <c r="I236" t="str">
        <f>"206"</f>
        <v>206</v>
      </c>
      <c r="J236" t="str">
        <f>"申购配号(海油配号)"</f>
        <v>申购配号(海油配号)</v>
      </c>
      <c r="K236" t="str">
        <f>"0.00"</f>
        <v>0.00</v>
      </c>
      <c r="L236" t="str">
        <f t="shared" si="87"/>
        <v>0.00</v>
      </c>
      <c r="M236" t="str">
        <f t="shared" si="87"/>
        <v>0.00</v>
      </c>
      <c r="N236" t="str">
        <f t="shared" si="85"/>
        <v>0.00</v>
      </c>
      <c r="O236" t="str">
        <f>"741968"</f>
        <v>741968</v>
      </c>
      <c r="P236" t="str">
        <f>"A400948245"</f>
        <v>A400948245</v>
      </c>
    </row>
    <row r="237" spans="1:16" x14ac:dyDescent="0.25">
      <c r="A237" t="str">
        <f t="shared" si="75"/>
        <v>人民币</v>
      </c>
      <c r="B237" t="str">
        <f>"中通国脉"</f>
        <v>中通国脉</v>
      </c>
      <c r="C237" t="str">
        <f t="shared" si="86"/>
        <v>20190614</v>
      </c>
      <c r="D237" t="str">
        <f>"21.340"</f>
        <v>21.340</v>
      </c>
      <c r="E237" t="str">
        <f>"200.00"</f>
        <v>200.00</v>
      </c>
      <c r="F237" t="str">
        <f>"-4273.09"</f>
        <v>-4273.09</v>
      </c>
      <c r="G237" t="str">
        <f>"73209.10"</f>
        <v>73209.10</v>
      </c>
      <c r="H237" t="str">
        <f>"2200.00"</f>
        <v>2200.00</v>
      </c>
      <c r="I237" t="str">
        <f>"204"</f>
        <v>204</v>
      </c>
      <c r="J237" t="str">
        <f>"证券买入(中通国脉)"</f>
        <v>证券买入(中通国脉)</v>
      </c>
      <c r="K237" t="str">
        <f>"5.00"</f>
        <v>5.00</v>
      </c>
      <c r="L237" t="str">
        <f>"0.00"</f>
        <v>0.00</v>
      </c>
      <c r="M237" t="str">
        <f>"0.09"</f>
        <v>0.09</v>
      </c>
      <c r="N237" t="str">
        <f t="shared" si="85"/>
        <v>0.00</v>
      </c>
      <c r="O237" t="str">
        <f>"603559"</f>
        <v>603559</v>
      </c>
      <c r="P237" t="str">
        <f>"A400948245"</f>
        <v>A400948245</v>
      </c>
    </row>
    <row r="238" spans="1:16" x14ac:dyDescent="0.25">
      <c r="A238" t="str">
        <f t="shared" si="75"/>
        <v>人民币</v>
      </c>
      <c r="B238" t="str">
        <f>""</f>
        <v/>
      </c>
      <c r="C238" t="str">
        <f t="shared" si="86"/>
        <v>20190614</v>
      </c>
      <c r="D238" t="str">
        <f>"---"</f>
        <v>---</v>
      </c>
      <c r="E238" t="str">
        <f>"---"</f>
        <v>---</v>
      </c>
      <c r="F238" t="str">
        <f>"-10000.00"</f>
        <v>-10000.00</v>
      </c>
      <c r="G238" t="str">
        <f>"77482.19"</f>
        <v>77482.19</v>
      </c>
      <c r="H238" t="str">
        <f>"---"</f>
        <v>---</v>
      </c>
      <c r="I238" t="str">
        <f>"---"</f>
        <v>---</v>
      </c>
      <c r="J238" t="str">
        <f>"银行转取"</f>
        <v>银行转取</v>
      </c>
      <c r="K238" t="str">
        <f t="shared" ref="K238:P238" si="88">"---"</f>
        <v>---</v>
      </c>
      <c r="L238" t="str">
        <f t="shared" si="88"/>
        <v>---</v>
      </c>
      <c r="M238" t="str">
        <f t="shared" si="88"/>
        <v>---</v>
      </c>
      <c r="N238" t="str">
        <f t="shared" si="88"/>
        <v>---</v>
      </c>
      <c r="O238" t="str">
        <f t="shared" si="88"/>
        <v>---</v>
      </c>
      <c r="P238" t="str">
        <f t="shared" si="88"/>
        <v>---</v>
      </c>
    </row>
    <row r="239" spans="1:16" x14ac:dyDescent="0.25">
      <c r="A239" t="str">
        <f t="shared" si="75"/>
        <v>人民币</v>
      </c>
      <c r="B239" t="str">
        <f>"凯龙股份"</f>
        <v>凯龙股份</v>
      </c>
      <c r="C239" t="str">
        <f>"20190617"</f>
        <v>20190617</v>
      </c>
      <c r="D239" t="str">
        <f>"13.100"</f>
        <v>13.100</v>
      </c>
      <c r="E239" t="str">
        <f>"500.00"</f>
        <v>500.00</v>
      </c>
      <c r="F239" t="str">
        <f>"-6556.55"</f>
        <v>-6556.55</v>
      </c>
      <c r="G239" t="str">
        <f>"31518.65"</f>
        <v>31518.65</v>
      </c>
      <c r="H239" t="str">
        <f>"3000.00"</f>
        <v>3000.00</v>
      </c>
      <c r="I239" t="str">
        <f>"234"</f>
        <v>234</v>
      </c>
      <c r="J239" t="str">
        <f>"证券买入(凯龙股份)"</f>
        <v>证券买入(凯龙股份)</v>
      </c>
      <c r="K239" t="str">
        <f>"6.55"</f>
        <v>6.55</v>
      </c>
      <c r="L239" t="str">
        <f t="shared" ref="L239:N240" si="89">"0.00"</f>
        <v>0.00</v>
      </c>
      <c r="M239" t="str">
        <f t="shared" si="89"/>
        <v>0.00</v>
      </c>
      <c r="N239" t="str">
        <f t="shared" si="89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5"/>
        <v>人民币</v>
      </c>
      <c r="B240" t="str">
        <f>"新化配号"</f>
        <v>新化配号</v>
      </c>
      <c r="C240" t="str">
        <f>"20190617"</f>
        <v>20190617</v>
      </c>
      <c r="D240" t="str">
        <f>"0.000"</f>
        <v>0.000</v>
      </c>
      <c r="E240" t="str">
        <f>"13.00"</f>
        <v>13.00</v>
      </c>
      <c r="F240" t="str">
        <f>"0.00"</f>
        <v>0.00</v>
      </c>
      <c r="G240" t="str">
        <f>"38075.20"</f>
        <v>38075.20</v>
      </c>
      <c r="H240" t="str">
        <f>"0.00"</f>
        <v>0.00</v>
      </c>
      <c r="I240" t="str">
        <f>"232"</f>
        <v>232</v>
      </c>
      <c r="J240" t="str">
        <f>"申购配号(新化配号)"</f>
        <v>申购配号(新化配号)</v>
      </c>
      <c r="K240" t="str">
        <f>"0.00"</f>
        <v>0.00</v>
      </c>
      <c r="L240" t="str">
        <f t="shared" si="89"/>
        <v>0.00</v>
      </c>
      <c r="M240" t="str">
        <f t="shared" si="89"/>
        <v>0.00</v>
      </c>
      <c r="N240" t="str">
        <f t="shared" si="89"/>
        <v>0.00</v>
      </c>
      <c r="O240" t="str">
        <f>"736867"</f>
        <v>736867</v>
      </c>
      <c r="P240" t="str">
        <f>"A400948245"</f>
        <v>A400948245</v>
      </c>
    </row>
    <row r="241" spans="1:16" x14ac:dyDescent="0.25">
      <c r="A241" t="str">
        <f t="shared" si="75"/>
        <v>人民币</v>
      </c>
      <c r="B241" t="str">
        <f>"凯龙股份"</f>
        <v>凯龙股份</v>
      </c>
      <c r="C241" t="str">
        <f>"20190618"</f>
        <v>20190618</v>
      </c>
      <c r="D241" t="str">
        <f>"12.760"</f>
        <v>12.760</v>
      </c>
      <c r="E241" t="str">
        <f>"-800.00"</f>
        <v>-800.00</v>
      </c>
      <c r="F241" t="str">
        <f>"10187.58"</f>
        <v>10187.58</v>
      </c>
      <c r="G241" t="str">
        <f>"31744.28"</f>
        <v>31744.28</v>
      </c>
      <c r="H241" t="str">
        <f>"3000.00"</f>
        <v>3000.00</v>
      </c>
      <c r="I241" t="str">
        <f>"6"</f>
        <v>6</v>
      </c>
      <c r="J241" t="str">
        <f>"证券卖出(凯龙股份)"</f>
        <v>证券卖出(凯龙股份)</v>
      </c>
      <c r="K241" t="str">
        <f>"10.21"</f>
        <v>10.21</v>
      </c>
      <c r="L241" t="str">
        <f>"10.21"</f>
        <v>10.21</v>
      </c>
      <c r="M241" t="str">
        <f t="shared" ref="M241:N245" si="90">"0.00"</f>
        <v>0.00</v>
      </c>
      <c r="N241" t="str">
        <f t="shared" si="90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5"/>
        <v>人民币</v>
      </c>
      <c r="B242" t="str">
        <f>"凯龙股份"</f>
        <v>凯龙股份</v>
      </c>
      <c r="C242" t="str">
        <f>"20190618"</f>
        <v>20190618</v>
      </c>
      <c r="D242" t="str">
        <f>"12.440"</f>
        <v>12.440</v>
      </c>
      <c r="E242" t="str">
        <f>"800.00"</f>
        <v>800.00</v>
      </c>
      <c r="F242" t="str">
        <f>"-9961.95"</f>
        <v>-9961.95</v>
      </c>
      <c r="G242" t="str">
        <f>"21556.70"</f>
        <v>21556.70</v>
      </c>
      <c r="H242" t="str">
        <f>"3800.00"</f>
        <v>3800.00</v>
      </c>
      <c r="I242" t="str">
        <f>"3"</f>
        <v>3</v>
      </c>
      <c r="J242" t="str">
        <f>"证券买入(凯龙股份)"</f>
        <v>证券买入(凯龙股份)</v>
      </c>
      <c r="K242" t="str">
        <f>"9.95"</f>
        <v>9.95</v>
      </c>
      <c r="L242" t="str">
        <f t="shared" ref="L242:L247" si="91">"0.00"</f>
        <v>0.00</v>
      </c>
      <c r="M242" t="str">
        <f t="shared" si="90"/>
        <v>0.00</v>
      </c>
      <c r="N242" t="str">
        <f t="shared" si="90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5"/>
        <v>人民币</v>
      </c>
      <c r="B243" t="str">
        <f>"卫通配号"</f>
        <v>卫通配号</v>
      </c>
      <c r="C243" t="str">
        <f>"20190618"</f>
        <v>20190618</v>
      </c>
      <c r="D243" t="str">
        <f>"0.000"</f>
        <v>0.000</v>
      </c>
      <c r="E243" t="str">
        <f>"13.00"</f>
        <v>13.00</v>
      </c>
      <c r="F243" t="str">
        <f>"0.00"</f>
        <v>0.00</v>
      </c>
      <c r="G243" t="str">
        <f>"31518.65"</f>
        <v>31518.65</v>
      </c>
      <c r="H243" t="str">
        <f>"0.00"</f>
        <v>0.00</v>
      </c>
      <c r="I243" t="str">
        <f>"1"</f>
        <v>1</v>
      </c>
      <c r="J243" t="str">
        <f>"申购配号(卫通配号)"</f>
        <v>申购配号(卫通配号)</v>
      </c>
      <c r="K243" t="str">
        <f>"0.00"</f>
        <v>0.00</v>
      </c>
      <c r="L243" t="str">
        <f t="shared" si="91"/>
        <v>0.00</v>
      </c>
      <c r="M243" t="str">
        <f t="shared" si="90"/>
        <v>0.00</v>
      </c>
      <c r="N243" t="str">
        <f t="shared" si="90"/>
        <v>0.00</v>
      </c>
      <c r="O243" t="str">
        <f>"791698"</f>
        <v>791698</v>
      </c>
      <c r="P243" t="str">
        <f>"A400948245"</f>
        <v>A400948245</v>
      </c>
    </row>
    <row r="244" spans="1:16" x14ac:dyDescent="0.25">
      <c r="A244" t="str">
        <f t="shared" si="75"/>
        <v>人民币</v>
      </c>
      <c r="B244" t="str">
        <f>"凯龙股份"</f>
        <v>凯龙股份</v>
      </c>
      <c r="C244" t="str">
        <f>"20190619"</f>
        <v>20190619</v>
      </c>
      <c r="D244" t="str">
        <f>"13.230"</f>
        <v>13.230</v>
      </c>
      <c r="E244" t="str">
        <f>"500.00"</f>
        <v>500.00</v>
      </c>
      <c r="F244" t="str">
        <f>"-6621.62"</f>
        <v>-6621.62</v>
      </c>
      <c r="G244" t="str">
        <f>"14102.89"</f>
        <v>14102.89</v>
      </c>
      <c r="H244" t="str">
        <f>"4000.00"</f>
        <v>4000.00</v>
      </c>
      <c r="I244" t="str">
        <f>"23"</f>
        <v>23</v>
      </c>
      <c r="J244" t="str">
        <f>"证券买入(凯龙股份)"</f>
        <v>证券买入(凯龙股份)</v>
      </c>
      <c r="K244" t="str">
        <f>"6.62"</f>
        <v>6.62</v>
      </c>
      <c r="L244" t="str">
        <f t="shared" si="91"/>
        <v>0.00</v>
      </c>
      <c r="M244" t="str">
        <f t="shared" si="90"/>
        <v>0.00</v>
      </c>
      <c r="N244" t="str">
        <f t="shared" si="90"/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5"/>
        <v>人民币</v>
      </c>
      <c r="B245" t="str">
        <f>"凯龙股份"</f>
        <v>凯龙股份</v>
      </c>
      <c r="C245" t="str">
        <f>"20190619"</f>
        <v>20190619</v>
      </c>
      <c r="D245" t="str">
        <f>"13.360"</f>
        <v>13.360</v>
      </c>
      <c r="E245" t="str">
        <f>"500.00"</f>
        <v>500.00</v>
      </c>
      <c r="F245" t="str">
        <f>"-6686.68"</f>
        <v>-6686.68</v>
      </c>
      <c r="G245" t="str">
        <f>"20724.51"</f>
        <v>20724.51</v>
      </c>
      <c r="H245" t="str">
        <f>"3500.00"</f>
        <v>3500.00</v>
      </c>
      <c r="I245" t="str">
        <f>"13"</f>
        <v>13</v>
      </c>
      <c r="J245" t="str">
        <f>"证券买入(凯龙股份)"</f>
        <v>证券买入(凯龙股份)</v>
      </c>
      <c r="K245" t="str">
        <f>"6.68"</f>
        <v>6.68</v>
      </c>
      <c r="L245" t="str">
        <f t="shared" si="91"/>
        <v>0.00</v>
      </c>
      <c r="M245" t="str">
        <f t="shared" si="90"/>
        <v>0.00</v>
      </c>
      <c r="N245" t="str">
        <f t="shared" si="90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5"/>
        <v>人民币</v>
      </c>
      <c r="B246" t="str">
        <f>"中通国脉"</f>
        <v>中通国脉</v>
      </c>
      <c r="C246" t="str">
        <f>"20190619"</f>
        <v>20190619</v>
      </c>
      <c r="D246" t="str">
        <f>"21.640"</f>
        <v>21.640</v>
      </c>
      <c r="E246" t="str">
        <f>"200.00"</f>
        <v>200.00</v>
      </c>
      <c r="F246" t="str">
        <f>"-4333.09"</f>
        <v>-4333.09</v>
      </c>
      <c r="G246" t="str">
        <f>"27411.19"</f>
        <v>27411.19</v>
      </c>
      <c r="H246" t="str">
        <f>"2400.00"</f>
        <v>2400.00</v>
      </c>
      <c r="I246" t="str">
        <f>"20"</f>
        <v>20</v>
      </c>
      <c r="J246" t="str">
        <f>"证券买入(中通国脉)"</f>
        <v>证券买入(中通国脉)</v>
      </c>
      <c r="K246" t="str">
        <f>"5.00"</f>
        <v>5.00</v>
      </c>
      <c r="L246" t="str">
        <f t="shared" si="91"/>
        <v>0.00</v>
      </c>
      <c r="M246" t="str">
        <f>"0.09"</f>
        <v>0.09</v>
      </c>
      <c r="N246" t="str">
        <f>"0.00"</f>
        <v>0.00</v>
      </c>
      <c r="O246" t="str">
        <f>"603559"</f>
        <v>603559</v>
      </c>
      <c r="P246" t="str">
        <f>"A400948245"</f>
        <v>A400948245</v>
      </c>
    </row>
    <row r="247" spans="1:16" x14ac:dyDescent="0.25">
      <c r="A247" t="str">
        <f t="shared" si="75"/>
        <v>人民币</v>
      </c>
      <c r="B247" t="str">
        <f>"凯龙股份"</f>
        <v>凯龙股份</v>
      </c>
      <c r="C247" t="str">
        <f>"20190620"</f>
        <v>20190620</v>
      </c>
      <c r="D247" t="str">
        <f>"13.130"</f>
        <v>13.130</v>
      </c>
      <c r="E247" t="str">
        <f>"1000.00"</f>
        <v>1000.00</v>
      </c>
      <c r="F247" t="str">
        <f>"-13143.13"</f>
        <v>-13143.13</v>
      </c>
      <c r="G247" t="str">
        <f>"1347.13"</f>
        <v>1347.13</v>
      </c>
      <c r="H247" t="str">
        <f>"5000.00"</f>
        <v>5000.00</v>
      </c>
      <c r="I247" t="str">
        <f>"36"</f>
        <v>36</v>
      </c>
      <c r="J247" t="str">
        <f>"证券买入(凯龙股份)"</f>
        <v>证券买入(凯龙股份)</v>
      </c>
      <c r="K247" t="str">
        <f>"13.13"</f>
        <v>13.13</v>
      </c>
      <c r="L247" t="str">
        <f t="shared" si="91"/>
        <v>0.00</v>
      </c>
      <c r="M247" t="str">
        <f>"0.00"</f>
        <v>0.00</v>
      </c>
      <c r="N247" t="str">
        <f>"0.00"</f>
        <v>0.00</v>
      </c>
      <c r="O247" t="str">
        <f>"002783"</f>
        <v>002783</v>
      </c>
      <c r="P247" t="str">
        <f>"0153613480"</f>
        <v>0153613480</v>
      </c>
    </row>
    <row r="248" spans="1:16" x14ac:dyDescent="0.25">
      <c r="A248" t="str">
        <f t="shared" si="75"/>
        <v>人民币</v>
      </c>
      <c r="B248" t="str">
        <f>"凯龙股份"</f>
        <v>凯龙股份</v>
      </c>
      <c r="C248" t="str">
        <f>"20190620"</f>
        <v>20190620</v>
      </c>
      <c r="D248" t="str">
        <f>"13.260"</f>
        <v>13.260</v>
      </c>
      <c r="E248" t="str">
        <f>"-1000.00"</f>
        <v>-1000.00</v>
      </c>
      <c r="F248" t="str">
        <f>"13233.48"</f>
        <v>13233.48</v>
      </c>
      <c r="G248" t="str">
        <f>"14490.26"</f>
        <v>14490.26</v>
      </c>
      <c r="H248" t="str">
        <f>"4000.00"</f>
        <v>4000.00</v>
      </c>
      <c r="I248" t="str">
        <f>"33"</f>
        <v>33</v>
      </c>
      <c r="J248" t="str">
        <f>"证券卖出(凯龙股份)"</f>
        <v>证券卖出(凯龙股份)</v>
      </c>
      <c r="K248" t="str">
        <f>"13.26"</f>
        <v>13.26</v>
      </c>
      <c r="L248" t="str">
        <f>"13.26"</f>
        <v>13.26</v>
      </c>
      <c r="M248" t="str">
        <f>"0.00"</f>
        <v>0.00</v>
      </c>
      <c r="N248" t="str">
        <f>"0.00"</f>
        <v>0.00</v>
      </c>
      <c r="O248" t="str">
        <f>"002783"</f>
        <v>002783</v>
      </c>
      <c r="P248" t="str">
        <f>"0153613480"</f>
        <v>0153613480</v>
      </c>
    </row>
    <row r="249" spans="1:16" x14ac:dyDescent="0.25">
      <c r="A249" t="str">
        <f t="shared" si="75"/>
        <v>人民币</v>
      </c>
      <c r="B249" t="str">
        <f>"凯龙股份"</f>
        <v>凯龙股份</v>
      </c>
      <c r="C249" t="str">
        <f>"20190620"</f>
        <v>20190620</v>
      </c>
      <c r="D249" t="str">
        <f>"12.840"</f>
        <v>12.840</v>
      </c>
      <c r="E249" t="str">
        <f>"1000.00"</f>
        <v>1000.00</v>
      </c>
      <c r="F249" t="str">
        <f>"-12852.84"</f>
        <v>-12852.84</v>
      </c>
      <c r="G249" t="str">
        <f>"1256.78"</f>
        <v>1256.78</v>
      </c>
      <c r="H249" t="str">
        <f>"5000.00"</f>
        <v>5000.00</v>
      </c>
      <c r="I249" t="str">
        <f>"29"</f>
        <v>29</v>
      </c>
      <c r="J249" t="str">
        <f>"证券买入(凯龙股份)"</f>
        <v>证券买入(凯龙股份)</v>
      </c>
      <c r="K249" t="str">
        <f>"12.84"</f>
        <v>12.84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"002783"</f>
        <v>002783</v>
      </c>
      <c r="P249" t="str">
        <f>"0153613480"</f>
        <v>0153613480</v>
      </c>
    </row>
    <row r="250" spans="1:16" x14ac:dyDescent="0.25">
      <c r="A250" t="str">
        <f t="shared" si="75"/>
        <v>人民币</v>
      </c>
      <c r="B250" t="str">
        <f>""</f>
        <v/>
      </c>
      <c r="C250" t="str">
        <f>"20190620"</f>
        <v>20190620</v>
      </c>
      <c r="D250" t="str">
        <f>"---"</f>
        <v>---</v>
      </c>
      <c r="E250" t="str">
        <f>"---"</f>
        <v>---</v>
      </c>
      <c r="F250" t="str">
        <f>"6.73"</f>
        <v>6.73</v>
      </c>
      <c r="G250" t="str">
        <f>"14109.62"</f>
        <v>14109.62</v>
      </c>
      <c r="H250" t="str">
        <f>"---"</f>
        <v>---</v>
      </c>
      <c r="I250" t="str">
        <f>"---"</f>
        <v>---</v>
      </c>
      <c r="J250" t="str">
        <f>"批量利息归本"</f>
        <v>批量利息归本</v>
      </c>
      <c r="K250" t="str">
        <f t="shared" ref="K250:P250" si="92">"---"</f>
        <v>---</v>
      </c>
      <c r="L250" t="str">
        <f t="shared" si="92"/>
        <v>---</v>
      </c>
      <c r="M250" t="str">
        <f t="shared" si="92"/>
        <v>---</v>
      </c>
      <c r="N250" t="str">
        <f t="shared" si="92"/>
        <v>---</v>
      </c>
      <c r="O250" t="str">
        <f t="shared" si="92"/>
        <v>---</v>
      </c>
      <c r="P250" t="str">
        <f t="shared" si="92"/>
        <v>---</v>
      </c>
    </row>
    <row r="251" spans="1:16" x14ac:dyDescent="0.25">
      <c r="A251" t="str">
        <f t="shared" si="75"/>
        <v>人民币</v>
      </c>
      <c r="B251" t="str">
        <f>"红证配号"</f>
        <v>红证配号</v>
      </c>
      <c r="C251" t="str">
        <f>"20190624"</f>
        <v>20190624</v>
      </c>
      <c r="D251" t="str">
        <f>"0.000"</f>
        <v>0.000</v>
      </c>
      <c r="E251" t="str">
        <f>"12.00"</f>
        <v>12.00</v>
      </c>
      <c r="F251" t="str">
        <f>"0.00"</f>
        <v>0.00</v>
      </c>
      <c r="G251" t="str">
        <f>"1347.13"</f>
        <v>1347.13</v>
      </c>
      <c r="H251" t="str">
        <f>"0.00"</f>
        <v>0.00</v>
      </c>
      <c r="I251" t="str">
        <f>"52"</f>
        <v>52</v>
      </c>
      <c r="J251" t="str">
        <f>"申购配号(红证配号)"</f>
        <v>申购配号(红证配号)</v>
      </c>
      <c r="K251" t="str">
        <f t="shared" ref="K251:N254" si="93">"0.00"</f>
        <v>0.00</v>
      </c>
      <c r="L251" t="str">
        <f t="shared" si="93"/>
        <v>0.00</v>
      </c>
      <c r="M251" t="str">
        <f t="shared" si="93"/>
        <v>0.00</v>
      </c>
      <c r="N251" t="str">
        <f t="shared" si="93"/>
        <v>0.00</v>
      </c>
      <c r="O251" t="str">
        <f>"791236"</f>
        <v>791236</v>
      </c>
      <c r="P251" t="str">
        <f>"A400948245"</f>
        <v>A400948245</v>
      </c>
    </row>
    <row r="252" spans="1:16" x14ac:dyDescent="0.25">
      <c r="A252" t="str">
        <f t="shared" si="75"/>
        <v>人民币</v>
      </c>
      <c r="B252" t="str">
        <f>"三只松鼠"</f>
        <v>三只松鼠</v>
      </c>
      <c r="C252" t="str">
        <f>"20190703"</f>
        <v>20190703</v>
      </c>
      <c r="D252" t="str">
        <f>"0.000"</f>
        <v>0.000</v>
      </c>
      <c r="E252" t="str">
        <f>"7.00"</f>
        <v>7.00</v>
      </c>
      <c r="F252" t="str">
        <f>"0.00"</f>
        <v>0.00</v>
      </c>
      <c r="G252" t="str">
        <f>"1347.13"</f>
        <v>1347.13</v>
      </c>
      <c r="H252" t="str">
        <f>"0.00"</f>
        <v>0.00</v>
      </c>
      <c r="I252" t="str">
        <f>"57"</f>
        <v>57</v>
      </c>
      <c r="J252" t="str">
        <f>"申购配号(三只松鼠)"</f>
        <v>申购配号(三只松鼠)</v>
      </c>
      <c r="K252" t="str">
        <f t="shared" si="93"/>
        <v>0.00</v>
      </c>
      <c r="L252" t="str">
        <f t="shared" si="93"/>
        <v>0.00</v>
      </c>
      <c r="M252" t="str">
        <f t="shared" si="93"/>
        <v>0.00</v>
      </c>
      <c r="N252" t="str">
        <f t="shared" si="93"/>
        <v>0.00</v>
      </c>
      <c r="O252" t="str">
        <f>"300783"</f>
        <v>300783</v>
      </c>
      <c r="P252" t="str">
        <f>"0153613480"</f>
        <v>0153613480</v>
      </c>
    </row>
    <row r="253" spans="1:16" x14ac:dyDescent="0.25">
      <c r="A253" t="str">
        <f t="shared" si="75"/>
        <v>人民币</v>
      </c>
      <c r="B253" t="str">
        <f>"值得买"</f>
        <v>值得买</v>
      </c>
      <c r="C253" t="str">
        <f>"20190703"</f>
        <v>20190703</v>
      </c>
      <c r="D253" t="str">
        <f>"0.000"</f>
        <v>0.000</v>
      </c>
      <c r="E253" t="str">
        <f>"7.00"</f>
        <v>7.00</v>
      </c>
      <c r="F253" t="str">
        <f>"0.00"</f>
        <v>0.00</v>
      </c>
      <c r="G253" t="str">
        <f>"1347.13"</f>
        <v>1347.13</v>
      </c>
      <c r="H253" t="str">
        <f>"0.00"</f>
        <v>0.00</v>
      </c>
      <c r="I253" t="str">
        <f>"55"</f>
        <v>55</v>
      </c>
      <c r="J253" t="str">
        <f>"申购配号(值得买)"</f>
        <v>申购配号(值得买)</v>
      </c>
      <c r="K253" t="str">
        <f t="shared" si="93"/>
        <v>0.00</v>
      </c>
      <c r="L253" t="str">
        <f t="shared" si="93"/>
        <v>0.00</v>
      </c>
      <c r="M253" t="str">
        <f t="shared" si="93"/>
        <v>0.00</v>
      </c>
      <c r="N253" t="str">
        <f t="shared" si="93"/>
        <v>0.00</v>
      </c>
      <c r="O253" t="str">
        <f>"300785"</f>
        <v>300785</v>
      </c>
      <c r="P253" t="str">
        <f>"0153613480"</f>
        <v>0153613480</v>
      </c>
    </row>
    <row r="254" spans="1:16" x14ac:dyDescent="0.25">
      <c r="A254" t="str">
        <f t="shared" si="75"/>
        <v>人民币</v>
      </c>
      <c r="B254" t="str">
        <f>"移远配号"</f>
        <v>移远配号</v>
      </c>
      <c r="C254" t="str">
        <f>"20190704"</f>
        <v>20190704</v>
      </c>
      <c r="D254" t="str">
        <f>"0.000"</f>
        <v>0.000</v>
      </c>
      <c r="E254" t="str">
        <f>"8.00"</f>
        <v>8.00</v>
      </c>
      <c r="F254" t="str">
        <f>"0.00"</f>
        <v>0.00</v>
      </c>
      <c r="G254" t="str">
        <f>"1347.13"</f>
        <v>1347.13</v>
      </c>
      <c r="H254" t="str">
        <f>"0.00"</f>
        <v>0.00</v>
      </c>
      <c r="I254" t="str">
        <f>"61"</f>
        <v>61</v>
      </c>
      <c r="J254" t="str">
        <f>"申购配号(移远配号)"</f>
        <v>申购配号(移远配号)</v>
      </c>
      <c r="K254" t="str">
        <f t="shared" si="93"/>
        <v>0.00</v>
      </c>
      <c r="L254" t="str">
        <f t="shared" si="93"/>
        <v>0.00</v>
      </c>
      <c r="M254" t="str">
        <f t="shared" si="93"/>
        <v>0.00</v>
      </c>
      <c r="N254" t="str">
        <f t="shared" si="93"/>
        <v>0.00</v>
      </c>
      <c r="O254" t="str">
        <f>"736236"</f>
        <v>736236</v>
      </c>
      <c r="P254" t="str">
        <f>"A400948245"</f>
        <v>A400948245</v>
      </c>
    </row>
    <row r="255" spans="1:16" x14ac:dyDescent="0.25">
      <c r="A255" t="str">
        <f t="shared" si="75"/>
        <v>人民币</v>
      </c>
      <c r="B255" t="str">
        <f>"凯龙股份"</f>
        <v>凯龙股份</v>
      </c>
      <c r="C255" t="str">
        <f>"20190705"</f>
        <v>20190705</v>
      </c>
      <c r="D255" t="str">
        <f>"12.820"</f>
        <v>12.820</v>
      </c>
      <c r="E255" t="str">
        <f>"800.00"</f>
        <v>800.00</v>
      </c>
      <c r="F255" t="str">
        <f>"-10266.26"</f>
        <v>-10266.26</v>
      </c>
      <c r="G255" t="str">
        <f>"1080.87"</f>
        <v>1080.87</v>
      </c>
      <c r="H255" t="str">
        <f>"5800.00"</f>
        <v>5800.00</v>
      </c>
      <c r="I255" t="str">
        <f>"65"</f>
        <v>65</v>
      </c>
      <c r="J255" t="str">
        <f>"证券买入(凯龙股份)"</f>
        <v>证券买入(凯龙股份)</v>
      </c>
      <c r="K255" t="str">
        <f>"10.26"</f>
        <v>10.26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"002783"</f>
        <v>002783</v>
      </c>
      <c r="P255" t="str">
        <f>"0153613480"</f>
        <v>0153613480</v>
      </c>
    </row>
    <row r="256" spans="1:16" x14ac:dyDescent="0.25">
      <c r="A256" t="str">
        <f t="shared" si="75"/>
        <v>人民币</v>
      </c>
      <c r="B256" t="str">
        <f>""</f>
        <v/>
      </c>
      <c r="C256" t="str">
        <f>"20190705"</f>
        <v>20190705</v>
      </c>
      <c r="D256" t="str">
        <f>"---"</f>
        <v>---</v>
      </c>
      <c r="E256" t="str">
        <f>"---"</f>
        <v>---</v>
      </c>
      <c r="F256" t="str">
        <f>"10000.00"</f>
        <v>10000.00</v>
      </c>
      <c r="G256" t="str">
        <f>"11347.13"</f>
        <v>11347.13</v>
      </c>
      <c r="H256" t="str">
        <f>"---"</f>
        <v>---</v>
      </c>
      <c r="I256" t="str">
        <f>"---"</f>
        <v>---</v>
      </c>
      <c r="J256" t="str">
        <f>"银行转存"</f>
        <v>银行转存</v>
      </c>
      <c r="K256" t="str">
        <f t="shared" ref="K256:P256" si="94">"---"</f>
        <v>---</v>
      </c>
      <c r="L256" t="str">
        <f t="shared" si="94"/>
        <v>---</v>
      </c>
      <c r="M256" t="str">
        <f t="shared" si="94"/>
        <v>---</v>
      </c>
      <c r="N256" t="str">
        <f t="shared" si="94"/>
        <v>---</v>
      </c>
      <c r="O256" t="str">
        <f t="shared" si="94"/>
        <v>---</v>
      </c>
      <c r="P256" t="str">
        <f t="shared" si="94"/>
        <v>---</v>
      </c>
    </row>
    <row r="257" spans="1:16" x14ac:dyDescent="0.25">
      <c r="A257" t="str">
        <f t="shared" si="75"/>
        <v>人民币</v>
      </c>
      <c r="B257" t="str">
        <f>"宏和配号"</f>
        <v>宏和配号</v>
      </c>
      <c r="C257" t="str">
        <f>"20190709"</f>
        <v>20190709</v>
      </c>
      <c r="D257" t="str">
        <f>"0.000"</f>
        <v>0.000</v>
      </c>
      <c r="E257" t="str">
        <f>"9.00"</f>
        <v>9.00</v>
      </c>
      <c r="F257" t="str">
        <f>"0.00"</f>
        <v>0.00</v>
      </c>
      <c r="G257" t="str">
        <f>"1080.87"</f>
        <v>1080.87</v>
      </c>
      <c r="H257" t="str">
        <f>"0.00"</f>
        <v>0.00</v>
      </c>
      <c r="I257" t="str">
        <f>"69"</f>
        <v>69</v>
      </c>
      <c r="J257" t="str">
        <f>"申购配号(宏和配号)"</f>
        <v>申购配号(宏和配号)</v>
      </c>
      <c r="K257" t="str">
        <f t="shared" ref="K257:N259" si="95">"0.00"</f>
        <v>0.00</v>
      </c>
      <c r="L257" t="str">
        <f t="shared" si="95"/>
        <v>0.00</v>
      </c>
      <c r="M257" t="str">
        <f t="shared" si="95"/>
        <v>0.00</v>
      </c>
      <c r="N257" t="str">
        <f t="shared" si="95"/>
        <v>0.00</v>
      </c>
      <c r="O257" t="str">
        <f>"736256"</f>
        <v>736256</v>
      </c>
      <c r="P257" t="str">
        <f>"A400948245"</f>
        <v>A400948245</v>
      </c>
    </row>
    <row r="258" spans="1:16" x14ac:dyDescent="0.25">
      <c r="A258" t="str">
        <f t="shared" ref="A258:A321" si="96">"人民币"</f>
        <v>人民币</v>
      </c>
      <c r="B258" t="str">
        <f>"宏和申购"</f>
        <v>宏和申购</v>
      </c>
      <c r="C258" t="str">
        <f>"20190710"</f>
        <v>20190710</v>
      </c>
      <c r="D258" t="str">
        <f>"4.430"</f>
        <v>4.430</v>
      </c>
      <c r="E258" t="str">
        <f>"1000.00"</f>
        <v>1000.00</v>
      </c>
      <c r="F258" t="str">
        <f>"0.00"</f>
        <v>0.00</v>
      </c>
      <c r="G258" t="str">
        <f>"1080.87"</f>
        <v>1080.87</v>
      </c>
      <c r="H258" t="str">
        <f>"1000.00"</f>
        <v>1000.00</v>
      </c>
      <c r="I258" t="str">
        <f>""</f>
        <v/>
      </c>
      <c r="J258" t="str">
        <f>"配售中签(宏和申购)"</f>
        <v>配售中签(宏和申购)</v>
      </c>
      <c r="K258" t="str">
        <f t="shared" si="95"/>
        <v>0.00</v>
      </c>
      <c r="L258" t="str">
        <f t="shared" si="95"/>
        <v>0.00</v>
      </c>
      <c r="M258" t="str">
        <f t="shared" si="95"/>
        <v>0.00</v>
      </c>
      <c r="N258" t="str">
        <f t="shared" si="95"/>
        <v>0.00</v>
      </c>
      <c r="O258" t="str">
        <f>"732256"</f>
        <v>732256</v>
      </c>
      <c r="P258" t="str">
        <f>"A400948245"</f>
        <v>A400948245</v>
      </c>
    </row>
    <row r="259" spans="1:16" x14ac:dyDescent="0.25">
      <c r="A259" t="str">
        <f t="shared" si="96"/>
        <v>人民币</v>
      </c>
      <c r="B259" t="str">
        <f>"国林环保"</f>
        <v>国林环保</v>
      </c>
      <c r="C259" t="str">
        <f>"20190711"</f>
        <v>20190711</v>
      </c>
      <c r="D259" t="str">
        <f>"0.000"</f>
        <v>0.000</v>
      </c>
      <c r="E259" t="str">
        <f>"11.00"</f>
        <v>11.00</v>
      </c>
      <c r="F259" t="str">
        <f>"0.00"</f>
        <v>0.00</v>
      </c>
      <c r="G259" t="str">
        <f>"650.87"</f>
        <v>650.87</v>
      </c>
      <c r="H259" t="str">
        <f>"0.00"</f>
        <v>0.00</v>
      </c>
      <c r="I259" t="str">
        <f>"75"</f>
        <v>75</v>
      </c>
      <c r="J259" t="str">
        <f>"申购配号(国林环保)"</f>
        <v>申购配号(国林环保)</v>
      </c>
      <c r="K259" t="str">
        <f t="shared" si="95"/>
        <v>0.00</v>
      </c>
      <c r="L259" t="str">
        <f t="shared" si="95"/>
        <v>0.00</v>
      </c>
      <c r="M259" t="str">
        <f t="shared" si="95"/>
        <v>0.00</v>
      </c>
      <c r="N259" t="str">
        <f t="shared" si="95"/>
        <v>0.00</v>
      </c>
      <c r="O259" t="str">
        <f>"300786"</f>
        <v>300786</v>
      </c>
      <c r="P259" t="str">
        <f>"0153613480"</f>
        <v>0153613480</v>
      </c>
    </row>
    <row r="260" spans="1:16" x14ac:dyDescent="0.25">
      <c r="A260" t="str">
        <f t="shared" si="96"/>
        <v>人民币</v>
      </c>
      <c r="B260" t="str">
        <f>"宏和申购"</f>
        <v>宏和申购</v>
      </c>
      <c r="C260" t="str">
        <f>"20190711"</f>
        <v>20190711</v>
      </c>
      <c r="D260" t="str">
        <f>"0.000"</f>
        <v>0.000</v>
      </c>
      <c r="E260" t="str">
        <f>"0.00"</f>
        <v>0.00</v>
      </c>
      <c r="F260" t="str">
        <f>"-4430.00"</f>
        <v>-4430.00</v>
      </c>
      <c r="G260" t="str">
        <f>"650.87"</f>
        <v>650.87</v>
      </c>
      <c r="H260" t="str">
        <f>"1000.00"</f>
        <v>1000.00</v>
      </c>
      <c r="I260" t="str">
        <f>"---"</f>
        <v>---</v>
      </c>
      <c r="J260" t="str">
        <f>"申购中签缴款(宏和申购)"</f>
        <v>申购中签缴款(宏和申购)</v>
      </c>
      <c r="K260" t="str">
        <f t="shared" ref="K260:N261" si="97">"---"</f>
        <v>---</v>
      </c>
      <c r="L260" t="str">
        <f t="shared" si="97"/>
        <v>---</v>
      </c>
      <c r="M260" t="str">
        <f t="shared" si="97"/>
        <v>---</v>
      </c>
      <c r="N260" t="str">
        <f t="shared" si="97"/>
        <v>---</v>
      </c>
      <c r="O260" t="str">
        <f>"732256"</f>
        <v>732256</v>
      </c>
      <c r="P260" t="str">
        <f>"A400948245"</f>
        <v>A400948245</v>
      </c>
    </row>
    <row r="261" spans="1:16" x14ac:dyDescent="0.25">
      <c r="A261" t="str">
        <f t="shared" si="96"/>
        <v>人民币</v>
      </c>
      <c r="B261" t="str">
        <f>""</f>
        <v/>
      </c>
      <c r="C261" t="str">
        <f>"20190711"</f>
        <v>20190711</v>
      </c>
      <c r="D261" t="str">
        <f>"---"</f>
        <v>---</v>
      </c>
      <c r="E261" t="str">
        <f>"---"</f>
        <v>---</v>
      </c>
      <c r="F261" t="str">
        <f>"4000.00"</f>
        <v>4000.00</v>
      </c>
      <c r="G261" t="str">
        <f>"5080.87"</f>
        <v>5080.87</v>
      </c>
      <c r="H261" t="str">
        <f>"---"</f>
        <v>---</v>
      </c>
      <c r="I261" t="str">
        <f>"---"</f>
        <v>---</v>
      </c>
      <c r="J261" t="str">
        <f>"银行转存"</f>
        <v>银行转存</v>
      </c>
      <c r="K261" t="str">
        <f t="shared" si="97"/>
        <v>---</v>
      </c>
      <c r="L261" t="str">
        <f t="shared" si="97"/>
        <v>---</v>
      </c>
      <c r="M261" t="str">
        <f t="shared" si="97"/>
        <v>---</v>
      </c>
      <c r="N261" t="str">
        <f t="shared" si="97"/>
        <v>---</v>
      </c>
      <c r="O261" t="str">
        <f>"---"</f>
        <v>---</v>
      </c>
      <c r="P261" t="str">
        <f>"---"</f>
        <v>---</v>
      </c>
    </row>
    <row r="262" spans="1:16" x14ac:dyDescent="0.25">
      <c r="A262" t="str">
        <f t="shared" si="96"/>
        <v>人民币</v>
      </c>
      <c r="B262" t="str">
        <f>"宏和申购"</f>
        <v>宏和申购</v>
      </c>
      <c r="C262" t="str">
        <f>"20190712"</f>
        <v>20190712</v>
      </c>
      <c r="D262" t="str">
        <f>"4.430"</f>
        <v>4.430</v>
      </c>
      <c r="E262" t="str">
        <f>"1000.00"</f>
        <v>1000.00</v>
      </c>
      <c r="F262" t="str">
        <f t="shared" ref="F262:F274" si="98">"0.00"</f>
        <v>0.00</v>
      </c>
      <c r="G262" t="str">
        <f t="shared" ref="G262:G274" si="99">"650.87"</f>
        <v>650.87</v>
      </c>
      <c r="H262" t="str">
        <f>"1000.00"</f>
        <v>1000.00</v>
      </c>
      <c r="I262" t="str">
        <f>""</f>
        <v/>
      </c>
      <c r="J262" t="str">
        <f>"配售认购(宏和申购)"</f>
        <v>配售认购(宏和申购)</v>
      </c>
      <c r="K262" t="str">
        <f t="shared" ref="K262:N274" si="100">"0.00"</f>
        <v>0.00</v>
      </c>
      <c r="L262" t="str">
        <f t="shared" si="100"/>
        <v>0.00</v>
      </c>
      <c r="M262" t="str">
        <f t="shared" si="100"/>
        <v>0.00</v>
      </c>
      <c r="N262" t="str">
        <f t="shared" si="100"/>
        <v>0.00</v>
      </c>
      <c r="O262" t="str">
        <f>"732256"</f>
        <v>732256</v>
      </c>
      <c r="P262" t="str">
        <f>"A400948245"</f>
        <v>A400948245</v>
      </c>
    </row>
    <row r="263" spans="1:16" x14ac:dyDescent="0.25">
      <c r="A263" t="str">
        <f t="shared" si="96"/>
        <v>人民币</v>
      </c>
      <c r="B263" t="str">
        <f>"胜达配号"</f>
        <v>胜达配号</v>
      </c>
      <c r="C263" t="str">
        <f>"20190716"</f>
        <v>20190716</v>
      </c>
      <c r="D263" t="str">
        <f t="shared" ref="D263:D274" si="101">"0.000"</f>
        <v>0.000</v>
      </c>
      <c r="E263" t="str">
        <f>"8.00"</f>
        <v>8.00</v>
      </c>
      <c r="F263" t="str">
        <f t="shared" si="98"/>
        <v>0.00</v>
      </c>
      <c r="G263" t="str">
        <f t="shared" si="99"/>
        <v>650.87</v>
      </c>
      <c r="H263" t="str">
        <f>"0.00"</f>
        <v>0.00</v>
      </c>
      <c r="I263" t="str">
        <f>"83"</f>
        <v>83</v>
      </c>
      <c r="J263" t="str">
        <f>"申购配号(胜达配号)"</f>
        <v>申购配号(胜达配号)</v>
      </c>
      <c r="K263" t="str">
        <f t="shared" si="100"/>
        <v>0.00</v>
      </c>
      <c r="L263" t="str">
        <f t="shared" si="100"/>
        <v>0.00</v>
      </c>
      <c r="M263" t="str">
        <f t="shared" si="100"/>
        <v>0.00</v>
      </c>
      <c r="N263" t="str">
        <f t="shared" si="100"/>
        <v>0.00</v>
      </c>
      <c r="O263" t="str">
        <f>"736687"</f>
        <v>736687</v>
      </c>
      <c r="P263" t="str">
        <f>"A400948245"</f>
        <v>A400948245</v>
      </c>
    </row>
    <row r="264" spans="1:16" x14ac:dyDescent="0.25">
      <c r="A264" t="str">
        <f t="shared" si="96"/>
        <v>人民币</v>
      </c>
      <c r="B264" t="str">
        <f>"丸美配号"</f>
        <v>丸美配号</v>
      </c>
      <c r="C264" t="str">
        <f>"20190716"</f>
        <v>20190716</v>
      </c>
      <c r="D264" t="str">
        <f t="shared" si="101"/>
        <v>0.000</v>
      </c>
      <c r="E264" t="str">
        <f>"8.00"</f>
        <v>8.00</v>
      </c>
      <c r="F264" t="str">
        <f t="shared" si="98"/>
        <v>0.00</v>
      </c>
      <c r="G264" t="str">
        <f t="shared" si="99"/>
        <v>650.87</v>
      </c>
      <c r="H264" t="str">
        <f>"0.00"</f>
        <v>0.00</v>
      </c>
      <c r="I264" t="str">
        <f>"81"</f>
        <v>81</v>
      </c>
      <c r="J264" t="str">
        <f>"申购配号(丸美配号)"</f>
        <v>申购配号(丸美配号)</v>
      </c>
      <c r="K264" t="str">
        <f t="shared" si="100"/>
        <v>0.00</v>
      </c>
      <c r="L264" t="str">
        <f t="shared" si="100"/>
        <v>0.00</v>
      </c>
      <c r="M264" t="str">
        <f t="shared" si="100"/>
        <v>0.00</v>
      </c>
      <c r="N264" t="str">
        <f t="shared" si="100"/>
        <v>0.00</v>
      </c>
      <c r="O264" t="str">
        <f>"736983"</f>
        <v>736983</v>
      </c>
      <c r="P264" t="str">
        <f>"A400948245"</f>
        <v>A400948245</v>
      </c>
    </row>
    <row r="265" spans="1:16" x14ac:dyDescent="0.25">
      <c r="A265" t="str">
        <f t="shared" si="96"/>
        <v>人民币</v>
      </c>
      <c r="B265" t="str">
        <f>"科瑞技术"</f>
        <v>科瑞技术</v>
      </c>
      <c r="C265" t="str">
        <f>"20190717"</f>
        <v>20190717</v>
      </c>
      <c r="D265" t="str">
        <f t="shared" si="101"/>
        <v>0.000</v>
      </c>
      <c r="E265" t="str">
        <f>"13.00"</f>
        <v>13.00</v>
      </c>
      <c r="F265" t="str">
        <f t="shared" si="98"/>
        <v>0.00</v>
      </c>
      <c r="G265" t="str">
        <f t="shared" si="99"/>
        <v>650.87</v>
      </c>
      <c r="H265" t="str">
        <f>"0.00"</f>
        <v>0.00</v>
      </c>
      <c r="I265" t="str">
        <f>"87"</f>
        <v>87</v>
      </c>
      <c r="J265" t="str">
        <f>"申购配号(科瑞技术)"</f>
        <v>申购配号(科瑞技术)</v>
      </c>
      <c r="K265" t="str">
        <f t="shared" si="100"/>
        <v>0.00</v>
      </c>
      <c r="L265" t="str">
        <f t="shared" si="100"/>
        <v>0.00</v>
      </c>
      <c r="M265" t="str">
        <f t="shared" si="100"/>
        <v>0.00</v>
      </c>
      <c r="N265" t="str">
        <f t="shared" si="100"/>
        <v>0.00</v>
      </c>
      <c r="O265" t="str">
        <f>"002957"</f>
        <v>002957</v>
      </c>
      <c r="P265" t="str">
        <f>"0153613480"</f>
        <v>0153613480</v>
      </c>
    </row>
    <row r="266" spans="1:16" x14ac:dyDescent="0.25">
      <c r="A266" t="str">
        <f t="shared" si="96"/>
        <v>人民币</v>
      </c>
      <c r="B266" t="str">
        <f>"景津配号"</f>
        <v>景津配号</v>
      </c>
      <c r="C266" t="str">
        <f>"20190717"</f>
        <v>20190717</v>
      </c>
      <c r="D266" t="str">
        <f t="shared" si="101"/>
        <v>0.000</v>
      </c>
      <c r="E266" t="str">
        <f>"8.00"</f>
        <v>8.00</v>
      </c>
      <c r="F266" t="str">
        <f t="shared" si="98"/>
        <v>0.00</v>
      </c>
      <c r="G266" t="str">
        <f t="shared" si="99"/>
        <v>650.87</v>
      </c>
      <c r="H266" t="str">
        <f>"0.00"</f>
        <v>0.00</v>
      </c>
      <c r="I266" t="str">
        <f>"89"</f>
        <v>89</v>
      </c>
      <c r="J266" t="str">
        <f>"申购配号(景津配号)"</f>
        <v>申购配号(景津配号)</v>
      </c>
      <c r="K266" t="str">
        <f t="shared" si="100"/>
        <v>0.00</v>
      </c>
      <c r="L266" t="str">
        <f t="shared" si="100"/>
        <v>0.00</v>
      </c>
      <c r="M266" t="str">
        <f t="shared" si="100"/>
        <v>0.00</v>
      </c>
      <c r="N266" t="str">
        <f t="shared" si="100"/>
        <v>0.00</v>
      </c>
      <c r="O266" t="str">
        <f>"736279"</f>
        <v>736279</v>
      </c>
      <c r="P266" t="str">
        <f>"A400948245"</f>
        <v>A400948245</v>
      </c>
    </row>
    <row r="267" spans="1:16" x14ac:dyDescent="0.25">
      <c r="A267" t="str">
        <f t="shared" si="96"/>
        <v>人民币</v>
      </c>
      <c r="B267" t="str">
        <f>"苏州银行"</f>
        <v>苏州银行</v>
      </c>
      <c r="C267" t="str">
        <f>"20190718"</f>
        <v>20190718</v>
      </c>
      <c r="D267" t="str">
        <f t="shared" si="101"/>
        <v>0.000</v>
      </c>
      <c r="E267" t="str">
        <f>"13.00"</f>
        <v>13.00</v>
      </c>
      <c r="F267" t="str">
        <f t="shared" si="98"/>
        <v>0.00</v>
      </c>
      <c r="G267" t="str">
        <f t="shared" si="99"/>
        <v>650.87</v>
      </c>
      <c r="H267" t="str">
        <f>"0.00"</f>
        <v>0.00</v>
      </c>
      <c r="I267" t="str">
        <f>"93"</f>
        <v>93</v>
      </c>
      <c r="J267" t="str">
        <f>"申购配号(苏州银行)"</f>
        <v>申购配号(苏州银行)</v>
      </c>
      <c r="K267" t="str">
        <f t="shared" si="100"/>
        <v>0.00</v>
      </c>
      <c r="L267" t="str">
        <f t="shared" si="100"/>
        <v>0.00</v>
      </c>
      <c r="M267" t="str">
        <f t="shared" si="100"/>
        <v>0.00</v>
      </c>
      <c r="N267" t="str">
        <f t="shared" si="100"/>
        <v>0.00</v>
      </c>
      <c r="O267" t="str">
        <f>"002966"</f>
        <v>002966</v>
      </c>
      <c r="P267" t="str">
        <f>"0153613480"</f>
        <v>0153613480</v>
      </c>
    </row>
    <row r="268" spans="1:16" x14ac:dyDescent="0.25">
      <c r="A268" t="str">
        <f t="shared" si="96"/>
        <v>人民币</v>
      </c>
      <c r="B268" t="str">
        <f>"603256"</f>
        <v>603256</v>
      </c>
      <c r="C268" t="str">
        <f>"20190718"</f>
        <v>20190718</v>
      </c>
      <c r="D268" t="str">
        <f t="shared" si="101"/>
        <v>0.000</v>
      </c>
      <c r="E268" t="str">
        <f>"1000.00"</f>
        <v>1000.00</v>
      </c>
      <c r="F268" t="str">
        <f t="shared" si="98"/>
        <v>0.00</v>
      </c>
      <c r="G268" t="str">
        <f t="shared" si="99"/>
        <v>650.87</v>
      </c>
      <c r="H268" t="str">
        <f>"1000.00"</f>
        <v>1000.00</v>
      </c>
      <c r="I268" t="str">
        <f>""</f>
        <v/>
      </c>
      <c r="J268" t="str">
        <f>"新股入帐(603256)"</f>
        <v>新股入帐(603256)</v>
      </c>
      <c r="K268" t="str">
        <f t="shared" si="100"/>
        <v>0.00</v>
      </c>
      <c r="L268" t="str">
        <f t="shared" si="100"/>
        <v>0.00</v>
      </c>
      <c r="M268" t="str">
        <f t="shared" si="100"/>
        <v>0.00</v>
      </c>
      <c r="N268" t="str">
        <f t="shared" si="100"/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6"/>
        <v>人民币</v>
      </c>
      <c r="B269" t="str">
        <f>"国联配号"</f>
        <v>国联配号</v>
      </c>
      <c r="C269" t="str">
        <f>"20190718"</f>
        <v>20190718</v>
      </c>
      <c r="D269" t="str">
        <f t="shared" si="101"/>
        <v>0.000</v>
      </c>
      <c r="E269" t="str">
        <f>"8.00"</f>
        <v>8.00</v>
      </c>
      <c r="F269" t="str">
        <f t="shared" si="98"/>
        <v>0.00</v>
      </c>
      <c r="G269" t="str">
        <f t="shared" si="99"/>
        <v>650.87</v>
      </c>
      <c r="H269" t="str">
        <f t="shared" ref="H269:H275" si="102">"0.00"</f>
        <v>0.00</v>
      </c>
      <c r="I269" t="str">
        <f>"95"</f>
        <v>95</v>
      </c>
      <c r="J269" t="str">
        <f>"申购配号(国联配号)"</f>
        <v>申购配号(国联配号)</v>
      </c>
      <c r="K269" t="str">
        <f t="shared" si="100"/>
        <v>0.00</v>
      </c>
      <c r="L269" t="str">
        <f t="shared" si="100"/>
        <v>0.00</v>
      </c>
      <c r="M269" t="str">
        <f t="shared" si="100"/>
        <v>0.00</v>
      </c>
      <c r="N269" t="str">
        <f t="shared" si="100"/>
        <v>0.00</v>
      </c>
      <c r="O269" t="str">
        <f>"736613"</f>
        <v>736613</v>
      </c>
      <c r="P269" t="str">
        <f>"A400948245"</f>
        <v>A400948245</v>
      </c>
    </row>
    <row r="270" spans="1:16" x14ac:dyDescent="0.25">
      <c r="A270" t="str">
        <f t="shared" si="96"/>
        <v>人民币</v>
      </c>
      <c r="B270" t="str">
        <f>"神马配号"</f>
        <v>神马配号</v>
      </c>
      <c r="C270" t="str">
        <f>"20190724"</f>
        <v>20190724</v>
      </c>
      <c r="D270" t="str">
        <f t="shared" si="101"/>
        <v>0.000</v>
      </c>
      <c r="E270" t="str">
        <f>"8.00"</f>
        <v>8.00</v>
      </c>
      <c r="F270" t="str">
        <f t="shared" si="98"/>
        <v>0.00</v>
      </c>
      <c r="G270" t="str">
        <f t="shared" si="99"/>
        <v>650.87</v>
      </c>
      <c r="H270" t="str">
        <f t="shared" si="102"/>
        <v>0.00</v>
      </c>
      <c r="I270" t="str">
        <f>"100"</f>
        <v>100</v>
      </c>
      <c r="J270" t="str">
        <f>"申购配号(神马配号)"</f>
        <v>申购配号(神马配号)</v>
      </c>
      <c r="K270" t="str">
        <f t="shared" si="100"/>
        <v>0.00</v>
      </c>
      <c r="L270" t="str">
        <f t="shared" si="100"/>
        <v>0.00</v>
      </c>
      <c r="M270" t="str">
        <f t="shared" si="100"/>
        <v>0.00</v>
      </c>
      <c r="N270" t="str">
        <f t="shared" si="100"/>
        <v>0.00</v>
      </c>
      <c r="O270" t="str">
        <f>"736530"</f>
        <v>736530</v>
      </c>
      <c r="P270" t="str">
        <f>"A400948245"</f>
        <v>A400948245</v>
      </c>
    </row>
    <row r="271" spans="1:16" x14ac:dyDescent="0.25">
      <c r="A271" t="str">
        <f t="shared" si="96"/>
        <v>人民币</v>
      </c>
      <c r="B271" t="str">
        <f>"柯力配号"</f>
        <v>柯力配号</v>
      </c>
      <c r="C271" t="str">
        <f>"20190725"</f>
        <v>20190725</v>
      </c>
      <c r="D271" t="str">
        <f t="shared" si="101"/>
        <v>0.000</v>
      </c>
      <c r="E271" t="str">
        <f>"8.00"</f>
        <v>8.00</v>
      </c>
      <c r="F271" t="str">
        <f t="shared" si="98"/>
        <v>0.00</v>
      </c>
      <c r="G271" t="str">
        <f t="shared" si="99"/>
        <v>650.87</v>
      </c>
      <c r="H271" t="str">
        <f t="shared" si="102"/>
        <v>0.00</v>
      </c>
      <c r="I271" t="str">
        <f>"103"</f>
        <v>103</v>
      </c>
      <c r="J271" t="str">
        <f>"申购配号(柯力配号)"</f>
        <v>申购配号(柯力配号)</v>
      </c>
      <c r="K271" t="str">
        <f t="shared" si="100"/>
        <v>0.00</v>
      </c>
      <c r="L271" t="str">
        <f t="shared" si="100"/>
        <v>0.00</v>
      </c>
      <c r="M271" t="str">
        <f t="shared" si="100"/>
        <v>0.00</v>
      </c>
      <c r="N271" t="str">
        <f t="shared" si="100"/>
        <v>0.00</v>
      </c>
      <c r="O271" t="str">
        <f>"736662"</f>
        <v>736662</v>
      </c>
      <c r="P271" t="str">
        <f>"A400948245"</f>
        <v>A400948245</v>
      </c>
    </row>
    <row r="272" spans="1:16" x14ac:dyDescent="0.25">
      <c r="A272" t="str">
        <f t="shared" si="96"/>
        <v>人民币</v>
      </c>
      <c r="B272" t="str">
        <f>"青鸟消防"</f>
        <v>青鸟消防</v>
      </c>
      <c r="C272" t="str">
        <f>"20190730"</f>
        <v>20190730</v>
      </c>
      <c r="D272" t="str">
        <f t="shared" si="101"/>
        <v>0.000</v>
      </c>
      <c r="E272" t="str">
        <f>"13.00"</f>
        <v>13.00</v>
      </c>
      <c r="F272" t="str">
        <f t="shared" si="98"/>
        <v>0.00</v>
      </c>
      <c r="G272" t="str">
        <f t="shared" si="99"/>
        <v>650.87</v>
      </c>
      <c r="H272" t="str">
        <f t="shared" si="102"/>
        <v>0.00</v>
      </c>
      <c r="I272" t="str">
        <f>"106"</f>
        <v>106</v>
      </c>
      <c r="J272" t="str">
        <f>"申购配号(青鸟消防)"</f>
        <v>申购配号(青鸟消防)</v>
      </c>
      <c r="K272" t="str">
        <f t="shared" si="100"/>
        <v>0.00</v>
      </c>
      <c r="L272" t="str">
        <f t="shared" si="100"/>
        <v>0.00</v>
      </c>
      <c r="M272" t="str">
        <f t="shared" si="100"/>
        <v>0.00</v>
      </c>
      <c r="N272" t="str">
        <f t="shared" si="100"/>
        <v>0.00</v>
      </c>
      <c r="O272" t="str">
        <f>"002960"</f>
        <v>002960</v>
      </c>
      <c r="P272" t="str">
        <f>"0153613480"</f>
        <v>0153613480</v>
      </c>
    </row>
    <row r="273" spans="1:16" x14ac:dyDescent="0.25">
      <c r="A273" t="str">
        <f t="shared" si="96"/>
        <v>人民币</v>
      </c>
      <c r="B273" t="str">
        <f>"海星配号"</f>
        <v>海星配号</v>
      </c>
      <c r="C273" t="str">
        <f>"20190731"</f>
        <v>20190731</v>
      </c>
      <c r="D273" t="str">
        <f t="shared" si="101"/>
        <v>0.000</v>
      </c>
      <c r="E273" t="str">
        <f>"8.00"</f>
        <v>8.00</v>
      </c>
      <c r="F273" t="str">
        <f t="shared" si="98"/>
        <v>0.00</v>
      </c>
      <c r="G273" t="str">
        <f t="shared" si="99"/>
        <v>650.87</v>
      </c>
      <c r="H273" t="str">
        <f t="shared" si="102"/>
        <v>0.00</v>
      </c>
      <c r="I273" t="str">
        <f>"1"</f>
        <v>1</v>
      </c>
      <c r="J273" t="str">
        <f>"申购配号(海星配号)"</f>
        <v>申购配号(海星配号)</v>
      </c>
      <c r="K273" t="str">
        <f t="shared" si="100"/>
        <v>0.00</v>
      </c>
      <c r="L273" t="str">
        <f t="shared" si="100"/>
        <v>0.00</v>
      </c>
      <c r="M273" t="str">
        <f t="shared" si="100"/>
        <v>0.00</v>
      </c>
      <c r="N273" t="str">
        <f t="shared" si="100"/>
        <v>0.00</v>
      </c>
      <c r="O273" t="str">
        <f>"736115"</f>
        <v>736115</v>
      </c>
      <c r="P273" t="str">
        <f>"A400948245"</f>
        <v>A400948245</v>
      </c>
    </row>
    <row r="274" spans="1:16" x14ac:dyDescent="0.25">
      <c r="A274" t="str">
        <f t="shared" si="96"/>
        <v>人民币</v>
      </c>
      <c r="B274" t="str">
        <f>"海能实业"</f>
        <v>海能实业</v>
      </c>
      <c r="C274" t="str">
        <f>"20190806"</f>
        <v>20190806</v>
      </c>
      <c r="D274" t="str">
        <f t="shared" si="101"/>
        <v>0.000</v>
      </c>
      <c r="E274" t="str">
        <f>"13.00"</f>
        <v>13.00</v>
      </c>
      <c r="F274" t="str">
        <f t="shared" si="98"/>
        <v>0.00</v>
      </c>
      <c r="G274" t="str">
        <f t="shared" si="99"/>
        <v>650.87</v>
      </c>
      <c r="H274" t="str">
        <f t="shared" si="102"/>
        <v>0.00</v>
      </c>
      <c r="I274" t="str">
        <f>"4"</f>
        <v>4</v>
      </c>
      <c r="J274" t="str">
        <f>"申购配号(海能实业)"</f>
        <v>申购配号(海能实业)</v>
      </c>
      <c r="K274" t="str">
        <f t="shared" si="100"/>
        <v>0.00</v>
      </c>
      <c r="L274" t="str">
        <f t="shared" si="100"/>
        <v>0.00</v>
      </c>
      <c r="M274" t="str">
        <f t="shared" si="100"/>
        <v>0.00</v>
      </c>
      <c r="N274" t="str">
        <f t="shared" si="100"/>
        <v>0.00</v>
      </c>
      <c r="O274" t="str">
        <f>"300787"</f>
        <v>300787</v>
      </c>
      <c r="P274" t="str">
        <f>"0153613480"</f>
        <v>0153613480</v>
      </c>
    </row>
    <row r="275" spans="1:16" x14ac:dyDescent="0.25">
      <c r="A275" t="str">
        <f t="shared" si="96"/>
        <v>人民币</v>
      </c>
      <c r="B275" t="str">
        <f>"宏和科技"</f>
        <v>宏和科技</v>
      </c>
      <c r="C275" t="str">
        <f>"20190807"</f>
        <v>20190807</v>
      </c>
      <c r="D275" t="str">
        <f>"20.500"</f>
        <v>20.500</v>
      </c>
      <c r="E275" t="str">
        <f>"-500.00"</f>
        <v>-500.00</v>
      </c>
      <c r="F275" t="str">
        <f>"10229.29"</f>
        <v>10229.29</v>
      </c>
      <c r="G275" t="str">
        <f>"21104.46"</f>
        <v>21104.46</v>
      </c>
      <c r="H275" t="str">
        <f t="shared" si="102"/>
        <v>0.00</v>
      </c>
      <c r="I275" t="str">
        <f>"10"</f>
        <v>10</v>
      </c>
      <c r="J275" t="str">
        <f>"证券卖出(宏和科技)"</f>
        <v>证券卖出(宏和科技)</v>
      </c>
      <c r="K275" t="str">
        <f>"10.25"</f>
        <v>10.25</v>
      </c>
      <c r="L275" t="str">
        <f>"10.25"</f>
        <v>10.25</v>
      </c>
      <c r="M275" t="str">
        <f>"0.21"</f>
        <v>0.21</v>
      </c>
      <c r="N275" t="str">
        <f>"0.00"</f>
        <v>0.00</v>
      </c>
      <c r="O275" t="str">
        <f>"603256"</f>
        <v>603256</v>
      </c>
      <c r="P275" t="str">
        <f>"A400948245"</f>
        <v>A400948245</v>
      </c>
    </row>
    <row r="276" spans="1:16" x14ac:dyDescent="0.25">
      <c r="A276" t="str">
        <f t="shared" si="96"/>
        <v>人民币</v>
      </c>
      <c r="B276" t="str">
        <f>"宏和科技"</f>
        <v>宏和科技</v>
      </c>
      <c r="C276" t="str">
        <f>"20190807"</f>
        <v>20190807</v>
      </c>
      <c r="D276" t="str">
        <f>"20.490"</f>
        <v>20.490</v>
      </c>
      <c r="E276" t="str">
        <f>"-500.00"</f>
        <v>-500.00</v>
      </c>
      <c r="F276" t="str">
        <f>"10224.30"</f>
        <v>10224.30</v>
      </c>
      <c r="G276" t="str">
        <f>"10875.17"</f>
        <v>10875.17</v>
      </c>
      <c r="H276" t="str">
        <f>"500.00"</f>
        <v>500.00</v>
      </c>
      <c r="I276" t="str">
        <f>"7"</f>
        <v>7</v>
      </c>
      <c r="J276" t="str">
        <f>"证券卖出(宏和科技)"</f>
        <v>证券卖出(宏和科技)</v>
      </c>
      <c r="K276" t="str">
        <f>"10.25"</f>
        <v>10.25</v>
      </c>
      <c r="L276" t="str">
        <f>"10.25"</f>
        <v>10.25</v>
      </c>
      <c r="M276" t="str">
        <f>"0.20"</f>
        <v>0.20</v>
      </c>
      <c r="N276" t="str">
        <f>"0.00"</f>
        <v>0.00</v>
      </c>
      <c r="O276" t="str">
        <f>"603256"</f>
        <v>603256</v>
      </c>
      <c r="P276" t="str">
        <f>"A400948245"</f>
        <v>A400948245</v>
      </c>
    </row>
    <row r="277" spans="1:16" x14ac:dyDescent="0.25">
      <c r="A277" t="str">
        <f t="shared" si="96"/>
        <v>人民币</v>
      </c>
      <c r="B277" t="str">
        <f>""</f>
        <v/>
      </c>
      <c r="C277" t="str">
        <f>"20190808"</f>
        <v>20190808</v>
      </c>
      <c r="D277" t="str">
        <f>"---"</f>
        <v>---</v>
      </c>
      <c r="E277" t="str">
        <f>"---"</f>
        <v>---</v>
      </c>
      <c r="F277" t="str">
        <f>"-20000.00"</f>
        <v>-20000.00</v>
      </c>
      <c r="G277" t="str">
        <f>"1104.46"</f>
        <v>1104.46</v>
      </c>
      <c r="H277" t="str">
        <f>"---"</f>
        <v>---</v>
      </c>
      <c r="I277" t="str">
        <f>"---"</f>
        <v>---</v>
      </c>
      <c r="J277" t="str">
        <f>"银行转取"</f>
        <v>银行转取</v>
      </c>
      <c r="K277" t="str">
        <f t="shared" ref="K277:P277" si="103">"---"</f>
        <v>---</v>
      </c>
      <c r="L277" t="str">
        <f t="shared" si="103"/>
        <v>---</v>
      </c>
      <c r="M277" t="str">
        <f t="shared" si="103"/>
        <v>---</v>
      </c>
      <c r="N277" t="str">
        <f t="shared" si="103"/>
        <v>---</v>
      </c>
      <c r="O277" t="str">
        <f t="shared" si="103"/>
        <v>---</v>
      </c>
      <c r="P277" t="str">
        <f t="shared" si="103"/>
        <v>---</v>
      </c>
    </row>
    <row r="278" spans="1:16" x14ac:dyDescent="0.25">
      <c r="A278" t="str">
        <f t="shared" si="96"/>
        <v>人民币</v>
      </c>
      <c r="B278" t="str">
        <f>"中国广核"</f>
        <v>中国广核</v>
      </c>
      <c r="C278" t="str">
        <f>"20190812"</f>
        <v>20190812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"1104.46"</f>
        <v>1104.46</v>
      </c>
      <c r="H278" t="str">
        <f>"0.00"</f>
        <v>0.00</v>
      </c>
      <c r="I278" t="str">
        <f>"16"</f>
        <v>16</v>
      </c>
      <c r="J278" t="str">
        <f>"申购配号(中国广核)"</f>
        <v>申购配号(中国广核)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"003816"</f>
        <v>003816</v>
      </c>
      <c r="P278" t="str">
        <f>"0153613480"</f>
        <v>0153613480</v>
      </c>
    </row>
    <row r="279" spans="1:16" x14ac:dyDescent="0.25">
      <c r="A279" t="str">
        <f t="shared" si="96"/>
        <v>人民币</v>
      </c>
      <c r="B279" t="str">
        <f>"凯龙股份"</f>
        <v>凯龙股份</v>
      </c>
      <c r="C279" t="str">
        <f>"20190813"</f>
        <v>20190813</v>
      </c>
      <c r="D279" t="str">
        <f>"9.910"</f>
        <v>9.910</v>
      </c>
      <c r="E279" t="str">
        <f>"800.00"</f>
        <v>800.00</v>
      </c>
      <c r="F279" t="str">
        <f>"-7935.93"</f>
        <v>-7935.93</v>
      </c>
      <c r="G279" t="str">
        <f>"7722.80"</f>
        <v>7722.80</v>
      </c>
      <c r="H279" t="str">
        <f>"6600.00"</f>
        <v>6600.00</v>
      </c>
      <c r="I279" t="str">
        <f>"28"</f>
        <v>28</v>
      </c>
      <c r="J279" t="str">
        <f>"证券买入(凯龙股份)"</f>
        <v>证券买入(凯龙股份)</v>
      </c>
      <c r="K279" t="str">
        <f>"7.93"</f>
        <v>7.93</v>
      </c>
      <c r="L279" t="str">
        <f>"0.00"</f>
        <v>0.00</v>
      </c>
      <c r="M279" t="str">
        <f>"0.00"</f>
        <v>0.00</v>
      </c>
      <c r="N279" t="str">
        <f>"0.00"</f>
        <v>0.00</v>
      </c>
      <c r="O279" t="str">
        <f>"002783"</f>
        <v>002783</v>
      </c>
      <c r="P279" t="str">
        <f>"0153613480"</f>
        <v>0153613480</v>
      </c>
    </row>
    <row r="280" spans="1:16" x14ac:dyDescent="0.25">
      <c r="A280" t="str">
        <f t="shared" si="96"/>
        <v>人民币</v>
      </c>
      <c r="B280" t="str">
        <f>"航发科技"</f>
        <v>航发科技</v>
      </c>
      <c r="C280" t="str">
        <f>"20190813"</f>
        <v>20190813</v>
      </c>
      <c r="D280" t="str">
        <f>"15.430"</f>
        <v>15.430</v>
      </c>
      <c r="E280" t="str">
        <f>"1000.00"</f>
        <v>1000.00</v>
      </c>
      <c r="F280" t="str">
        <f>"-15445.73"</f>
        <v>-15445.73</v>
      </c>
      <c r="G280" t="str">
        <f>"15658.73"</f>
        <v>15658.73</v>
      </c>
      <c r="H280" t="str">
        <f>"3400.00"</f>
        <v>3400.00</v>
      </c>
      <c r="I280" t="str">
        <f>"20"</f>
        <v>20</v>
      </c>
      <c r="J280" t="str">
        <f>"证券买入(航发科技)"</f>
        <v>证券买入(航发科技)</v>
      </c>
      <c r="K280" t="str">
        <f>"15.43"</f>
        <v>15.43</v>
      </c>
      <c r="L280" t="str">
        <f>"0.00"</f>
        <v>0.00</v>
      </c>
      <c r="M280" t="str">
        <f>"0.30"</f>
        <v>0.30</v>
      </c>
      <c r="N280" t="str">
        <f>"0.00"</f>
        <v>0.00</v>
      </c>
      <c r="O280" t="str">
        <f>"600391"</f>
        <v>600391</v>
      </c>
      <c r="P280" t="str">
        <f>"A400948245"</f>
        <v>A400948245</v>
      </c>
    </row>
    <row r="281" spans="1:16" x14ac:dyDescent="0.25">
      <c r="A281" t="str">
        <f t="shared" si="96"/>
        <v>人民币</v>
      </c>
      <c r="B281" t="str">
        <f>""</f>
        <v/>
      </c>
      <c r="C281" t="str">
        <f>"20190813"</f>
        <v>20190813</v>
      </c>
      <c r="D281" t="str">
        <f>"---"</f>
        <v>---</v>
      </c>
      <c r="E281" t="str">
        <f>"---"</f>
        <v>---</v>
      </c>
      <c r="F281" t="str">
        <f>"30000.00"</f>
        <v>30000.00</v>
      </c>
      <c r="G281" t="str">
        <f>"31104.46"</f>
        <v>31104.46</v>
      </c>
      <c r="H281" t="str">
        <f>"---"</f>
        <v>---</v>
      </c>
      <c r="I281" t="str">
        <f>"---"</f>
        <v>---</v>
      </c>
      <c r="J281" t="str">
        <f>"银行转存"</f>
        <v>银行转存</v>
      </c>
      <c r="K281" t="str">
        <f t="shared" ref="K281:P281" si="104">"---"</f>
        <v>---</v>
      </c>
      <c r="L281" t="str">
        <f t="shared" si="104"/>
        <v>---</v>
      </c>
      <c r="M281" t="str">
        <f t="shared" si="104"/>
        <v>---</v>
      </c>
      <c r="N281" t="str">
        <f t="shared" si="104"/>
        <v>---</v>
      </c>
      <c r="O281" t="str">
        <f t="shared" si="104"/>
        <v>---</v>
      </c>
      <c r="P281" t="str">
        <f t="shared" si="104"/>
        <v>---</v>
      </c>
    </row>
    <row r="282" spans="1:16" x14ac:dyDescent="0.25">
      <c r="A282" t="str">
        <f t="shared" si="96"/>
        <v>人民币</v>
      </c>
      <c r="B282" t="str">
        <f>"小熊电器"</f>
        <v>小熊电器</v>
      </c>
      <c r="C282" t="str">
        <f t="shared" ref="C282:C287" si="105">"20190814"</f>
        <v>20190814</v>
      </c>
      <c r="D282" t="str">
        <f>"0.000"</f>
        <v>0.000</v>
      </c>
      <c r="E282" t="str">
        <f>"12.00"</f>
        <v>12.00</v>
      </c>
      <c r="F282" t="str">
        <f>"0.00"</f>
        <v>0.00</v>
      </c>
      <c r="G282" t="str">
        <f>"15988.17"</f>
        <v>15988.17</v>
      </c>
      <c r="H282" t="str">
        <f>"0.00"</f>
        <v>0.00</v>
      </c>
      <c r="I282" t="str">
        <f>"42"</f>
        <v>42</v>
      </c>
      <c r="J282" t="str">
        <f>"申购配号(小熊电器)"</f>
        <v>申购配号(小熊电器)</v>
      </c>
      <c r="K282" t="str">
        <f t="shared" ref="K282:N283" si="106">"0.00"</f>
        <v>0.00</v>
      </c>
      <c r="L282" t="str">
        <f t="shared" si="106"/>
        <v>0.00</v>
      </c>
      <c r="M282" t="str">
        <f t="shared" si="106"/>
        <v>0.00</v>
      </c>
      <c r="N282" t="str">
        <f t="shared" si="106"/>
        <v>0.00</v>
      </c>
      <c r="O282" t="str">
        <f>"002959"</f>
        <v>002959</v>
      </c>
      <c r="P282" t="str">
        <f>"0153613480"</f>
        <v>0153613480</v>
      </c>
    </row>
    <row r="283" spans="1:16" x14ac:dyDescent="0.25">
      <c r="A283" t="str">
        <f t="shared" si="96"/>
        <v>人民币</v>
      </c>
      <c r="B283" t="str">
        <f>"唐源电气"</f>
        <v>唐源电气</v>
      </c>
      <c r="C283" t="str">
        <f t="shared" si="105"/>
        <v>20190814</v>
      </c>
      <c r="D283" t="str">
        <f>"0.000"</f>
        <v>0.000</v>
      </c>
      <c r="E283" t="str">
        <f>"12.00"</f>
        <v>12.00</v>
      </c>
      <c r="F283" t="str">
        <f>"0.00"</f>
        <v>0.00</v>
      </c>
      <c r="G283" t="str">
        <f>"15988.17"</f>
        <v>15988.17</v>
      </c>
      <c r="H283" t="str">
        <f>"0.00"</f>
        <v>0.00</v>
      </c>
      <c r="I283" t="str">
        <f>"40"</f>
        <v>40</v>
      </c>
      <c r="J283" t="str">
        <f>"申购配号(唐源电气)"</f>
        <v>申购配号(唐源电气)</v>
      </c>
      <c r="K283" t="str">
        <f t="shared" si="106"/>
        <v>0.00</v>
      </c>
      <c r="L283" t="str">
        <f t="shared" si="106"/>
        <v>0.00</v>
      </c>
      <c r="M283" t="str">
        <f t="shared" si="106"/>
        <v>0.00</v>
      </c>
      <c r="N283" t="str">
        <f t="shared" si="106"/>
        <v>0.00</v>
      </c>
      <c r="O283" t="str">
        <f>"300789"</f>
        <v>300789</v>
      </c>
      <c r="P283" t="str">
        <f>"0153613480"</f>
        <v>0153613480</v>
      </c>
    </row>
    <row r="284" spans="1:16" x14ac:dyDescent="0.25">
      <c r="A284" t="str">
        <f t="shared" si="96"/>
        <v>人民币</v>
      </c>
      <c r="B284" t="str">
        <f>"凯龙股份"</f>
        <v>凯龙股份</v>
      </c>
      <c r="C284" t="str">
        <f t="shared" si="105"/>
        <v>20190814</v>
      </c>
      <c r="D284" t="str">
        <f>"10.046"</f>
        <v>10.046</v>
      </c>
      <c r="E284" t="str">
        <f>"-800.00"</f>
        <v>-800.00</v>
      </c>
      <c r="F284" t="str">
        <f>"8020.92"</f>
        <v>8020.92</v>
      </c>
      <c r="G284" t="str">
        <f>"15988.17"</f>
        <v>15988.17</v>
      </c>
      <c r="H284" t="str">
        <f>"5800.00"</f>
        <v>5800.00</v>
      </c>
      <c r="I284" t="str">
        <f>"33"</f>
        <v>33</v>
      </c>
      <c r="J284" t="str">
        <f>"证券卖出(凯龙股份)"</f>
        <v>证券卖出(凯龙股份)</v>
      </c>
      <c r="K284" t="str">
        <f>"8.04"</f>
        <v>8.04</v>
      </c>
      <c r="L284" t="str">
        <f>"8.04"</f>
        <v>8.04</v>
      </c>
      <c r="M284" t="str">
        <f>"0.00"</f>
        <v>0.00</v>
      </c>
      <c r="N284" t="str">
        <f>"0.00"</f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6"/>
        <v>人民币</v>
      </c>
      <c r="B285" t="str">
        <f>"松霖配号"</f>
        <v>松霖配号</v>
      </c>
      <c r="C285" t="str">
        <f t="shared" si="105"/>
        <v>20190814</v>
      </c>
      <c r="D285" t="str">
        <f>"0.000"</f>
        <v>0.000</v>
      </c>
      <c r="E285" t="str">
        <f>"9.00"</f>
        <v>9.00</v>
      </c>
      <c r="F285" t="str">
        <f>"0.00"</f>
        <v>0.00</v>
      </c>
      <c r="G285" t="str">
        <f>"-7740.96"</f>
        <v>-7740.96</v>
      </c>
      <c r="H285" t="str">
        <f>"0.00"</f>
        <v>0.00</v>
      </c>
      <c r="I285" t="str">
        <f>"44"</f>
        <v>44</v>
      </c>
      <c r="J285" t="str">
        <f>"申购配号(松霖配号)"</f>
        <v>申购配号(松霖配号)</v>
      </c>
      <c r="K285" t="str">
        <f>"0.00"</f>
        <v>0.00</v>
      </c>
      <c r="L285" t="str">
        <f>"0.00"</f>
        <v>0.00</v>
      </c>
      <c r="M285" t="str">
        <f>"0.00"</f>
        <v>0.00</v>
      </c>
      <c r="N285" t="str">
        <f>"0.00"</f>
        <v>0.00</v>
      </c>
      <c r="O285" t="str">
        <f>"736992"</f>
        <v>736992</v>
      </c>
      <c r="P285" t="str">
        <f>"A400948245"</f>
        <v>A400948245</v>
      </c>
    </row>
    <row r="286" spans="1:16" x14ac:dyDescent="0.25">
      <c r="A286" t="str">
        <f t="shared" si="96"/>
        <v>人民币</v>
      </c>
      <c r="B286" t="str">
        <f>"航发科技"</f>
        <v>航发科技</v>
      </c>
      <c r="C286" t="str">
        <f t="shared" si="105"/>
        <v>20190814</v>
      </c>
      <c r="D286" t="str">
        <f>"15.740"</f>
        <v>15.740</v>
      </c>
      <c r="E286" t="str">
        <f>"-1000.00"</f>
        <v>-1000.00</v>
      </c>
      <c r="F286" t="str">
        <f>"15708.21"</f>
        <v>15708.21</v>
      </c>
      <c r="G286" t="str">
        <f>"7967.25"</f>
        <v>7967.25</v>
      </c>
      <c r="H286" t="str">
        <f>"2400.00"</f>
        <v>2400.00</v>
      </c>
      <c r="I286" t="str">
        <f>"46"</f>
        <v>46</v>
      </c>
      <c r="J286" t="str">
        <f>"证券卖出(航发科技)"</f>
        <v>证券卖出(航发科技)</v>
      </c>
      <c r="K286" t="str">
        <f>"15.74"</f>
        <v>15.74</v>
      </c>
      <c r="L286" t="str">
        <f>"15.74"</f>
        <v>15.74</v>
      </c>
      <c r="M286" t="str">
        <f>"0.31"</f>
        <v>0.31</v>
      </c>
      <c r="N286" t="str">
        <f t="shared" ref="N286:N292" si="107">"0.00"</f>
        <v>0.00</v>
      </c>
      <c r="O286" t="str">
        <f>"600391"</f>
        <v>600391</v>
      </c>
      <c r="P286" t="str">
        <f>"A400948245"</f>
        <v>A400948245</v>
      </c>
    </row>
    <row r="287" spans="1:16" x14ac:dyDescent="0.25">
      <c r="A287" t="str">
        <f t="shared" si="96"/>
        <v>人民币</v>
      </c>
      <c r="B287" t="str">
        <f>"中通国脉"</f>
        <v>中通国脉</v>
      </c>
      <c r="C287" t="str">
        <f t="shared" si="105"/>
        <v>20190814</v>
      </c>
      <c r="D287" t="str">
        <f>"19.310"</f>
        <v>19.310</v>
      </c>
      <c r="E287" t="str">
        <f>"800.00"</f>
        <v>800.00</v>
      </c>
      <c r="F287" t="str">
        <f>"-15463.76"</f>
        <v>-15463.76</v>
      </c>
      <c r="G287" t="str">
        <f>"-7740.96"</f>
        <v>-7740.96</v>
      </c>
      <c r="H287" t="str">
        <f>"3200.00"</f>
        <v>3200.00</v>
      </c>
      <c r="I287" t="str">
        <f>"37"</f>
        <v>37</v>
      </c>
      <c r="J287" t="str">
        <f>"证券买入(中通国脉)"</f>
        <v>证券买入(中通国脉)</v>
      </c>
      <c r="K287" t="str">
        <f>"15.45"</f>
        <v>15.45</v>
      </c>
      <c r="L287" t="str">
        <f>"0.00"</f>
        <v>0.00</v>
      </c>
      <c r="M287" t="str">
        <f>"0.31"</f>
        <v>0.31</v>
      </c>
      <c r="N287" t="str">
        <f t="shared" si="107"/>
        <v>0.00</v>
      </c>
      <c r="O287" t="str">
        <f>"603559"</f>
        <v>603559</v>
      </c>
      <c r="P287" t="str">
        <f>"A400948245"</f>
        <v>A400948245</v>
      </c>
    </row>
    <row r="288" spans="1:16" x14ac:dyDescent="0.25">
      <c r="A288" t="str">
        <f t="shared" si="96"/>
        <v>人民币</v>
      </c>
      <c r="B288" t="str">
        <f>"日辰配号"</f>
        <v>日辰配号</v>
      </c>
      <c r="C288" t="str">
        <f>"20190815"</f>
        <v>20190815</v>
      </c>
      <c r="D288" t="str">
        <f>"0.000"</f>
        <v>0.000</v>
      </c>
      <c r="E288" t="str">
        <f>"9.00"</f>
        <v>9.00</v>
      </c>
      <c r="F288" t="str">
        <f>"0.00"</f>
        <v>0.00</v>
      </c>
      <c r="G288" t="str">
        <f>"15988.17"</f>
        <v>15988.17</v>
      </c>
      <c r="H288" t="str">
        <f>"0.00"</f>
        <v>0.00</v>
      </c>
      <c r="I288" t="str">
        <f>"55"</f>
        <v>55</v>
      </c>
      <c r="J288" t="str">
        <f>"申购配号(日辰配号)"</f>
        <v>申购配号(日辰配号)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7"/>
        <v>0.00</v>
      </c>
      <c r="O288" t="str">
        <f>"736755"</f>
        <v>736755</v>
      </c>
      <c r="P288" t="str">
        <f>"A400948245"</f>
        <v>A400948245</v>
      </c>
    </row>
    <row r="289" spans="1:16" x14ac:dyDescent="0.25">
      <c r="A289" t="str">
        <f t="shared" si="96"/>
        <v>人民币</v>
      </c>
      <c r="B289" t="str">
        <f>"航发科技"</f>
        <v>航发科技</v>
      </c>
      <c r="C289" t="str">
        <f>"20190815"</f>
        <v>20190815</v>
      </c>
      <c r="D289" t="str">
        <f>"15.380"</f>
        <v>15.380</v>
      </c>
      <c r="E289" t="str">
        <f>"1000.00"</f>
        <v>1000.00</v>
      </c>
      <c r="F289" t="str">
        <f>"-15395.69"</f>
        <v>-15395.69</v>
      </c>
      <c r="G289" t="str">
        <f>"592.48"</f>
        <v>592.48</v>
      </c>
      <c r="H289" t="str">
        <f>"3400.00"</f>
        <v>3400.00</v>
      </c>
      <c r="I289" t="str">
        <f>"57"</f>
        <v>57</v>
      </c>
      <c r="J289" t="str">
        <f>"证券买入(航发科技)"</f>
        <v>证券买入(航发科技)</v>
      </c>
      <c r="K289" t="str">
        <f>"15.38"</f>
        <v>15.38</v>
      </c>
      <c r="L289" t="str">
        <f>"0.00"</f>
        <v>0.00</v>
      </c>
      <c r="M289" t="str">
        <f>"0.31"</f>
        <v>0.31</v>
      </c>
      <c r="N289" t="str">
        <f t="shared" si="107"/>
        <v>0.00</v>
      </c>
      <c r="O289" t="str">
        <f>"600391"</f>
        <v>600391</v>
      </c>
      <c r="P289" t="str">
        <f>"A400948245"</f>
        <v>A400948245</v>
      </c>
    </row>
    <row r="290" spans="1:16" x14ac:dyDescent="0.25">
      <c r="A290" t="str">
        <f t="shared" si="96"/>
        <v>人民币</v>
      </c>
      <c r="B290" t="str">
        <f>"凯龙股份"</f>
        <v>凯龙股份</v>
      </c>
      <c r="C290" t="str">
        <f>"20190816"</f>
        <v>20190816</v>
      </c>
      <c r="D290" t="str">
        <f>"9.900"</f>
        <v>9.900</v>
      </c>
      <c r="E290" t="str">
        <f>"600.00"</f>
        <v>600.00</v>
      </c>
      <c r="F290" t="str">
        <f>"-5945.94"</f>
        <v>-5945.94</v>
      </c>
      <c r="G290" t="str">
        <f>"10464.52"</f>
        <v>10464.52</v>
      </c>
      <c r="H290" t="str">
        <f>"6400.00"</f>
        <v>6400.00</v>
      </c>
      <c r="I290" t="str">
        <f>"66"</f>
        <v>66</v>
      </c>
      <c r="J290" t="str">
        <f>"证券买入(凯龙股份)"</f>
        <v>证券买入(凯龙股份)</v>
      </c>
      <c r="K290" t="str">
        <f>"5.94"</f>
        <v>5.94</v>
      </c>
      <c r="L290" t="str">
        <f>"0.00"</f>
        <v>0.00</v>
      </c>
      <c r="M290" t="str">
        <f>"0.00"</f>
        <v>0.00</v>
      </c>
      <c r="N290" t="str">
        <f t="shared" si="107"/>
        <v>0.00</v>
      </c>
      <c r="O290" t="str">
        <f>"002783"</f>
        <v>002783</v>
      </c>
      <c r="P290" t="str">
        <f>"0153613480"</f>
        <v>0153613480</v>
      </c>
    </row>
    <row r="291" spans="1:16" x14ac:dyDescent="0.25">
      <c r="A291" t="str">
        <f t="shared" si="96"/>
        <v>人民币</v>
      </c>
      <c r="B291" t="str">
        <f>"航发科技"</f>
        <v>航发科技</v>
      </c>
      <c r="C291" t="str">
        <f>"20190816"</f>
        <v>20190816</v>
      </c>
      <c r="D291" t="str">
        <f>"15.850"</f>
        <v>15.850</v>
      </c>
      <c r="E291" t="str">
        <f>"-1000.00"</f>
        <v>-1000.00</v>
      </c>
      <c r="F291" t="str">
        <f>"15817.98"</f>
        <v>15817.98</v>
      </c>
      <c r="G291" t="str">
        <f>"16410.46"</f>
        <v>16410.46</v>
      </c>
      <c r="H291" t="str">
        <f>"2400.00"</f>
        <v>2400.00</v>
      </c>
      <c r="I291" t="str">
        <f>"63"</f>
        <v>63</v>
      </c>
      <c r="J291" t="str">
        <f>"证券卖出(航发科技)"</f>
        <v>证券卖出(航发科技)</v>
      </c>
      <c r="K291" t="str">
        <f>"15.85"</f>
        <v>15.85</v>
      </c>
      <c r="L291" t="str">
        <f>"15.85"</f>
        <v>15.85</v>
      </c>
      <c r="M291" t="str">
        <f>"0.32"</f>
        <v>0.32</v>
      </c>
      <c r="N291" t="str">
        <f t="shared" si="107"/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6"/>
        <v>人民币</v>
      </c>
      <c r="B292" t="str">
        <f>"凯龙股份"</f>
        <v>凯龙股份</v>
      </c>
      <c r="C292" t="str">
        <f t="shared" ref="C292:C298" si="108">"20190819"</f>
        <v>20190819</v>
      </c>
      <c r="D292" t="str">
        <f>"10.150"</f>
        <v>10.150</v>
      </c>
      <c r="E292" t="str">
        <f>"-600.00"</f>
        <v>-600.00</v>
      </c>
      <c r="F292" t="str">
        <f>"6077.82"</f>
        <v>6077.82</v>
      </c>
      <c r="G292" t="str">
        <f>"9840.48"</f>
        <v>9840.48</v>
      </c>
      <c r="H292" t="str">
        <f>"5800.00"</f>
        <v>5800.00</v>
      </c>
      <c r="I292" t="str">
        <f>"86"</f>
        <v>86</v>
      </c>
      <c r="J292" t="str">
        <f>"证券卖出(凯龙股份)"</f>
        <v>证券卖出(凯龙股份)</v>
      </c>
      <c r="K292" t="str">
        <f>"6.09"</f>
        <v>6.09</v>
      </c>
      <c r="L292" t="str">
        <f>"6.09"</f>
        <v>6.09</v>
      </c>
      <c r="M292" t="str">
        <f>"0.00"</f>
        <v>0.00</v>
      </c>
      <c r="N292" t="str">
        <f t="shared" si="107"/>
        <v>0.00</v>
      </c>
      <c r="O292" t="str">
        <f>"002783"</f>
        <v>002783</v>
      </c>
      <c r="P292" t="str">
        <f>"0153613480"</f>
        <v>0153613480</v>
      </c>
    </row>
    <row r="293" spans="1:16" x14ac:dyDescent="0.25">
      <c r="A293" t="str">
        <f t="shared" si="96"/>
        <v>人民币</v>
      </c>
      <c r="B293" t="str">
        <f>"中通国脉"</f>
        <v>中通国脉</v>
      </c>
      <c r="C293" t="str">
        <f t="shared" si="108"/>
        <v>20190819</v>
      </c>
      <c r="D293" t="str">
        <f>"0.000"</f>
        <v>0.000</v>
      </c>
      <c r="E293" t="str">
        <f>"0.00"</f>
        <v>0.00</v>
      </c>
      <c r="F293" t="str">
        <f>"52.80"</f>
        <v>52.80</v>
      </c>
      <c r="G293" t="str">
        <f>"9893.28"</f>
        <v>9893.28</v>
      </c>
      <c r="H293" t="str">
        <f>"2400.00"</f>
        <v>2400.00</v>
      </c>
      <c r="I293" t="str">
        <f>"---"</f>
        <v>---</v>
      </c>
      <c r="J293" t="str">
        <f>"股息入帐(中通国脉)"</f>
        <v>股息入帐(中通国脉)</v>
      </c>
      <c r="K293" t="str">
        <f>"---"</f>
        <v>---</v>
      </c>
      <c r="L293" t="str">
        <f>"---"</f>
        <v>---</v>
      </c>
      <c r="M293" t="str">
        <f>"---"</f>
        <v>---</v>
      </c>
      <c r="N293" t="str">
        <f>"---"</f>
        <v>---</v>
      </c>
      <c r="O293" t="str">
        <f>"603559"</f>
        <v>603559</v>
      </c>
      <c r="P293" t="str">
        <f t="shared" ref="P293:P298" si="109">"A400948245"</f>
        <v>A400948245</v>
      </c>
    </row>
    <row r="294" spans="1:16" x14ac:dyDescent="0.25">
      <c r="A294" t="str">
        <f t="shared" si="96"/>
        <v>人民币</v>
      </c>
      <c r="B294" t="str">
        <f>"华脉科技"</f>
        <v>华脉科技</v>
      </c>
      <c r="C294" t="str">
        <f t="shared" si="108"/>
        <v>20190819</v>
      </c>
      <c r="D294" t="str">
        <f>"16.200"</f>
        <v>16.200</v>
      </c>
      <c r="E294" t="str">
        <f>"800.00"</f>
        <v>800.00</v>
      </c>
      <c r="F294" t="str">
        <f>"-12973.22"</f>
        <v>-12973.22</v>
      </c>
      <c r="G294" t="str">
        <f>"3762.66"</f>
        <v>3762.66</v>
      </c>
      <c r="H294" t="str">
        <f>"800.00"</f>
        <v>800.00</v>
      </c>
      <c r="I294" t="str">
        <f>"100"</f>
        <v>100</v>
      </c>
      <c r="J294" t="str">
        <f>"证券买入(华脉科技)"</f>
        <v>证券买入(华脉科技)</v>
      </c>
      <c r="K294" t="str">
        <f>"12.96"</f>
        <v>12.96</v>
      </c>
      <c r="L294" t="str">
        <f>"0.00"</f>
        <v>0.00</v>
      </c>
      <c r="M294" t="str">
        <f>"0.26"</f>
        <v>0.26</v>
      </c>
      <c r="N294" t="str">
        <f t="shared" ref="N294:N305" si="110">"0.00"</f>
        <v>0.00</v>
      </c>
      <c r="O294" t="str">
        <f>"603042"</f>
        <v>603042</v>
      </c>
      <c r="P294" t="str">
        <f t="shared" si="109"/>
        <v>A400948245</v>
      </c>
    </row>
    <row r="295" spans="1:16" x14ac:dyDescent="0.25">
      <c r="A295" t="str">
        <f t="shared" si="96"/>
        <v>人民币</v>
      </c>
      <c r="B295" t="str">
        <f>"航发科技"</f>
        <v>航发科技</v>
      </c>
      <c r="C295" t="str">
        <f t="shared" si="108"/>
        <v>20190819</v>
      </c>
      <c r="D295" t="str">
        <f>"16.280"</f>
        <v>16.280</v>
      </c>
      <c r="E295" t="str">
        <f>"600.00"</f>
        <v>600.00</v>
      </c>
      <c r="F295" t="str">
        <f>"-9777.97"</f>
        <v>-9777.97</v>
      </c>
      <c r="G295" t="str">
        <f>"16735.88"</f>
        <v>16735.88</v>
      </c>
      <c r="H295" t="str">
        <f>"3000.00"</f>
        <v>3000.00</v>
      </c>
      <c r="I295" t="str">
        <f>"96"</f>
        <v>96</v>
      </c>
      <c r="J295" t="str">
        <f>"证券买入(航发科技)"</f>
        <v>证券买入(航发科技)</v>
      </c>
      <c r="K295" t="str">
        <f>"9.77"</f>
        <v>9.77</v>
      </c>
      <c r="L295" t="str">
        <f>"0.00"</f>
        <v>0.00</v>
      </c>
      <c r="M295" t="str">
        <f>"0.20"</f>
        <v>0.20</v>
      </c>
      <c r="N295" t="str">
        <f t="shared" si="110"/>
        <v>0.00</v>
      </c>
      <c r="O295" t="str">
        <f>"600391"</f>
        <v>600391</v>
      </c>
      <c r="P295" t="str">
        <f t="shared" si="109"/>
        <v>A400948245</v>
      </c>
    </row>
    <row r="296" spans="1:16" x14ac:dyDescent="0.25">
      <c r="A296" t="str">
        <f t="shared" si="96"/>
        <v>人民币</v>
      </c>
      <c r="B296" t="str">
        <f>"中通国脉"</f>
        <v>中通国脉</v>
      </c>
      <c r="C296" t="str">
        <f t="shared" si="108"/>
        <v>20190819</v>
      </c>
      <c r="D296" t="str">
        <f>"20.140"</f>
        <v>20.140</v>
      </c>
      <c r="E296" t="str">
        <f>"-500.00"</f>
        <v>-500.00</v>
      </c>
      <c r="F296" t="str">
        <f>"10049.66"</f>
        <v>10049.66</v>
      </c>
      <c r="G296" t="str">
        <f>"26513.85"</f>
        <v>26513.85</v>
      </c>
      <c r="H296" t="str">
        <f>"2400.00"</f>
        <v>2400.00</v>
      </c>
      <c r="I296" t="str">
        <f>"89"</f>
        <v>89</v>
      </c>
      <c r="J296" t="str">
        <f>"证券卖出(中通国脉)"</f>
        <v>证券卖出(中通国脉)</v>
      </c>
      <c r="K296" t="str">
        <f>"10.07"</f>
        <v>10.07</v>
      </c>
      <c r="L296" t="str">
        <f>"10.07"</f>
        <v>10.07</v>
      </c>
      <c r="M296" t="str">
        <f>"0.20"</f>
        <v>0.20</v>
      </c>
      <c r="N296" t="str">
        <f t="shared" si="110"/>
        <v>0.00</v>
      </c>
      <c r="O296" t="str">
        <f>"603559"</f>
        <v>603559</v>
      </c>
      <c r="P296" t="str">
        <f t="shared" si="109"/>
        <v>A400948245</v>
      </c>
    </row>
    <row r="297" spans="1:16" x14ac:dyDescent="0.25">
      <c r="A297" t="str">
        <f t="shared" si="96"/>
        <v>人民币</v>
      </c>
      <c r="B297" t="str">
        <f>"中通国脉"</f>
        <v>中通国脉</v>
      </c>
      <c r="C297" t="str">
        <f t="shared" si="108"/>
        <v>20190819</v>
      </c>
      <c r="D297" t="str">
        <f>"19.940"</f>
        <v>19.940</v>
      </c>
      <c r="E297" t="str">
        <f>"-800.00"</f>
        <v>-800.00</v>
      </c>
      <c r="F297" t="str">
        <f>"15919.78"</f>
        <v>15919.78</v>
      </c>
      <c r="G297" t="str">
        <f>"16464.19"</f>
        <v>16464.19</v>
      </c>
      <c r="H297" t="str">
        <f>"2900.00"</f>
        <v>2900.00</v>
      </c>
      <c r="I297" t="str">
        <f>"83"</f>
        <v>83</v>
      </c>
      <c r="J297" t="str">
        <f>"证券卖出(中通国脉)"</f>
        <v>证券卖出(中通国脉)</v>
      </c>
      <c r="K297" t="str">
        <f>"15.95"</f>
        <v>15.95</v>
      </c>
      <c r="L297" t="str">
        <f>"15.95"</f>
        <v>15.95</v>
      </c>
      <c r="M297" t="str">
        <f>"0.32"</f>
        <v>0.32</v>
      </c>
      <c r="N297" t="str">
        <f t="shared" si="110"/>
        <v>0.00</v>
      </c>
      <c r="O297" t="str">
        <f>"603559"</f>
        <v>603559</v>
      </c>
      <c r="P297" t="str">
        <f t="shared" si="109"/>
        <v>A400948245</v>
      </c>
    </row>
    <row r="298" spans="1:16" x14ac:dyDescent="0.25">
      <c r="A298" t="str">
        <f t="shared" si="96"/>
        <v>人民币</v>
      </c>
      <c r="B298" t="str">
        <f>"中通国脉"</f>
        <v>中通国脉</v>
      </c>
      <c r="C298" t="str">
        <f t="shared" si="108"/>
        <v>20190819</v>
      </c>
      <c r="D298" t="str">
        <f>"19.820"</f>
        <v>19.820</v>
      </c>
      <c r="E298" t="str">
        <f>"500.00"</f>
        <v>500.00</v>
      </c>
      <c r="F298" t="str">
        <f>"-9920.11"</f>
        <v>-9920.11</v>
      </c>
      <c r="G298" t="str">
        <f>"544.41"</f>
        <v>544.41</v>
      </c>
      <c r="H298" t="str">
        <f>"3700.00"</f>
        <v>3700.00</v>
      </c>
      <c r="I298" t="str">
        <f>"80"</f>
        <v>80</v>
      </c>
      <c r="J298" t="str">
        <f>"证券买入(中通国脉)"</f>
        <v>证券买入(中通国脉)</v>
      </c>
      <c r="K298" t="str">
        <f>"9.91"</f>
        <v>9.91</v>
      </c>
      <c r="L298" t="str">
        <f>"0.00"</f>
        <v>0.00</v>
      </c>
      <c r="M298" t="str">
        <f>"0.20"</f>
        <v>0.20</v>
      </c>
      <c r="N298" t="str">
        <f t="shared" si="110"/>
        <v>0.00</v>
      </c>
      <c r="O298" t="str">
        <f>"603559"</f>
        <v>603559</v>
      </c>
      <c r="P298" t="str">
        <f t="shared" si="109"/>
        <v>A400948245</v>
      </c>
    </row>
    <row r="299" spans="1:16" x14ac:dyDescent="0.25">
      <c r="A299" t="str">
        <f t="shared" si="96"/>
        <v>人民币</v>
      </c>
      <c r="B299" t="str">
        <f>"凯龙股份"</f>
        <v>凯龙股份</v>
      </c>
      <c r="C299" t="str">
        <f>"20190820"</f>
        <v>20190820</v>
      </c>
      <c r="D299" t="str">
        <f>"10.620"</f>
        <v>10.620</v>
      </c>
      <c r="E299" t="str">
        <f>"900.00"</f>
        <v>900.00</v>
      </c>
      <c r="F299" t="str">
        <f>"-9567.56"</f>
        <v>-9567.56</v>
      </c>
      <c r="G299" t="str">
        <f>"3929.46"</f>
        <v>3929.46</v>
      </c>
      <c r="H299" t="str">
        <f>"6700.00"</f>
        <v>6700.00</v>
      </c>
      <c r="I299" t="str">
        <f>"110"</f>
        <v>110</v>
      </c>
      <c r="J299" t="str">
        <f>"证券买入(凯龙股份)"</f>
        <v>证券买入(凯龙股份)</v>
      </c>
      <c r="K299" t="str">
        <f>"9.56"</f>
        <v>9.56</v>
      </c>
      <c r="L299" t="str">
        <f>"0.00"</f>
        <v>0.00</v>
      </c>
      <c r="M299" t="str">
        <f>"0.00"</f>
        <v>0.00</v>
      </c>
      <c r="N299" t="str">
        <f t="shared" si="110"/>
        <v>0.00</v>
      </c>
      <c r="O299" t="str">
        <f>"002783"</f>
        <v>002783</v>
      </c>
      <c r="P299" t="str">
        <f>"0153613480"</f>
        <v>0153613480</v>
      </c>
    </row>
    <row r="300" spans="1:16" x14ac:dyDescent="0.25">
      <c r="A300" t="str">
        <f t="shared" si="96"/>
        <v>人民币</v>
      </c>
      <c r="B300" t="str">
        <f>"华脉科技"</f>
        <v>华脉科技</v>
      </c>
      <c r="C300" t="str">
        <f>"20190820"</f>
        <v>20190820</v>
      </c>
      <c r="D300" t="str">
        <f>"15.810"</f>
        <v>15.810</v>
      </c>
      <c r="E300" t="str">
        <f>"200.00"</f>
        <v>200.00</v>
      </c>
      <c r="F300" t="str">
        <f>"-3167.06"</f>
        <v>-3167.06</v>
      </c>
      <c r="G300" t="str">
        <f>"13497.02"</f>
        <v>13497.02</v>
      </c>
      <c r="H300" t="str">
        <f>"1200.00"</f>
        <v>1200.00</v>
      </c>
      <c r="I300" t="str">
        <f>"119"</f>
        <v>119</v>
      </c>
      <c r="J300" t="str">
        <f>"证券买入(华脉科技)"</f>
        <v>证券买入(华脉科技)</v>
      </c>
      <c r="K300" t="str">
        <f>"5.00"</f>
        <v>5.00</v>
      </c>
      <c r="L300" t="str">
        <f>"0.00"</f>
        <v>0.00</v>
      </c>
      <c r="M300" t="str">
        <f>"0.06"</f>
        <v>0.06</v>
      </c>
      <c r="N300" t="str">
        <f t="shared" si="110"/>
        <v>0.00</v>
      </c>
      <c r="O300" t="str">
        <f>"603042"</f>
        <v>603042</v>
      </c>
      <c r="P300" t="str">
        <f t="shared" ref="P300:P305" si="111">"A400948245"</f>
        <v>A400948245</v>
      </c>
    </row>
    <row r="301" spans="1:16" x14ac:dyDescent="0.25">
      <c r="A301" t="str">
        <f t="shared" si="96"/>
        <v>人民币</v>
      </c>
      <c r="B301" t="str">
        <f>"华脉科技"</f>
        <v>华脉科技</v>
      </c>
      <c r="C301" t="str">
        <f>"20190820"</f>
        <v>20190820</v>
      </c>
      <c r="D301" t="str">
        <f>"15.850"</f>
        <v>15.850</v>
      </c>
      <c r="E301" t="str">
        <f>"200.00"</f>
        <v>200.00</v>
      </c>
      <c r="F301" t="str">
        <f>"-3175.06"</f>
        <v>-3175.06</v>
      </c>
      <c r="G301" t="str">
        <f>"16664.08"</f>
        <v>16664.08</v>
      </c>
      <c r="H301" t="str">
        <f>"1000.00"</f>
        <v>1000.00</v>
      </c>
      <c r="I301" t="str">
        <f>"116"</f>
        <v>116</v>
      </c>
      <c r="J301" t="str">
        <f>"证券买入(华脉科技)"</f>
        <v>证券买入(华脉科技)</v>
      </c>
      <c r="K301" t="str">
        <f>"5.00"</f>
        <v>5.00</v>
      </c>
      <c r="L301" t="str">
        <f>"0.00"</f>
        <v>0.00</v>
      </c>
      <c r="M301" t="str">
        <f>"0.06"</f>
        <v>0.06</v>
      </c>
      <c r="N301" t="str">
        <f t="shared" si="110"/>
        <v>0.00</v>
      </c>
      <c r="O301" t="str">
        <f>"603042"</f>
        <v>603042</v>
      </c>
      <c r="P301" t="str">
        <f t="shared" si="111"/>
        <v>A400948245</v>
      </c>
    </row>
    <row r="302" spans="1:16" x14ac:dyDescent="0.25">
      <c r="A302" t="str">
        <f t="shared" si="96"/>
        <v>人民币</v>
      </c>
      <c r="B302" t="str">
        <f>"航发科技"</f>
        <v>航发科技</v>
      </c>
      <c r="C302" t="str">
        <f>"20190820"</f>
        <v>20190820</v>
      </c>
      <c r="D302" t="str">
        <f>"16.610"</f>
        <v>16.610</v>
      </c>
      <c r="E302" t="str">
        <f>"-600.00"</f>
        <v>-600.00</v>
      </c>
      <c r="F302" t="str">
        <f>"9945.86"</f>
        <v>9945.86</v>
      </c>
      <c r="G302" t="str">
        <f>"19839.14"</f>
        <v>19839.14</v>
      </c>
      <c r="H302" t="str">
        <f>"2400.00"</f>
        <v>2400.00</v>
      </c>
      <c r="I302" t="str">
        <f>"113"</f>
        <v>113</v>
      </c>
      <c r="J302" t="str">
        <f>"证券卖出(航发科技)"</f>
        <v>证券卖出(航发科技)</v>
      </c>
      <c r="K302" t="str">
        <f>"9.97"</f>
        <v>9.97</v>
      </c>
      <c r="L302" t="str">
        <f>"9.97"</f>
        <v>9.97</v>
      </c>
      <c r="M302" t="str">
        <f>"0.20"</f>
        <v>0.20</v>
      </c>
      <c r="N302" t="str">
        <f t="shared" si="110"/>
        <v>0.00</v>
      </c>
      <c r="O302" t="str">
        <f>"600391"</f>
        <v>600391</v>
      </c>
      <c r="P302" t="str">
        <f t="shared" si="111"/>
        <v>A400948245</v>
      </c>
    </row>
    <row r="303" spans="1:16" x14ac:dyDescent="0.25">
      <c r="A303" t="str">
        <f t="shared" si="96"/>
        <v>人民币</v>
      </c>
      <c r="B303" t="str">
        <f>"南华配号"</f>
        <v>南华配号</v>
      </c>
      <c r="C303" t="str">
        <f>"20190821"</f>
        <v>20190821</v>
      </c>
      <c r="D303" t="str">
        <f>"0.000"</f>
        <v>0.000</v>
      </c>
      <c r="E303" t="str">
        <f>"9.00"</f>
        <v>9.00</v>
      </c>
      <c r="F303" t="str">
        <f>"0.00"</f>
        <v>0.00</v>
      </c>
      <c r="G303" t="str">
        <f>"3929.46"</f>
        <v>3929.46</v>
      </c>
      <c r="H303" t="str">
        <f>"0.00"</f>
        <v>0.00</v>
      </c>
      <c r="I303" t="str">
        <f>"126"</f>
        <v>126</v>
      </c>
      <c r="J303" t="str">
        <f>"申购配号(南华配号)"</f>
        <v>申购配号(南华配号)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10"/>
        <v>0.00</v>
      </c>
      <c r="O303" t="str">
        <f>"736093"</f>
        <v>736093</v>
      </c>
      <c r="P303" t="str">
        <f t="shared" si="111"/>
        <v>A400948245</v>
      </c>
    </row>
    <row r="304" spans="1:16" x14ac:dyDescent="0.25">
      <c r="A304" t="str">
        <f t="shared" si="96"/>
        <v>人民币</v>
      </c>
      <c r="B304" t="str">
        <f>"中通国脉"</f>
        <v>中通国脉</v>
      </c>
      <c r="C304" t="str">
        <f>"20190821"</f>
        <v>20190821</v>
      </c>
      <c r="D304" t="str">
        <f>"19.600"</f>
        <v>19.600</v>
      </c>
      <c r="E304" t="str">
        <f>"200.00"</f>
        <v>200.00</v>
      </c>
      <c r="F304" t="str">
        <f>"-3925.08"</f>
        <v>-3925.08</v>
      </c>
      <c r="G304" t="str">
        <f>"4.38"</f>
        <v>4.38</v>
      </c>
      <c r="H304" t="str">
        <f>"2600.00"</f>
        <v>2600.00</v>
      </c>
      <c r="I304" t="str">
        <f>"128"</f>
        <v>128</v>
      </c>
      <c r="J304" t="str">
        <f>"证券买入(中通国脉)"</f>
        <v>证券买入(中通国脉)</v>
      </c>
      <c r="K304" t="str">
        <f>"5.00"</f>
        <v>5.00</v>
      </c>
      <c r="L304" t="str">
        <f>"0.00"</f>
        <v>0.00</v>
      </c>
      <c r="M304" t="str">
        <f>"0.08"</f>
        <v>0.08</v>
      </c>
      <c r="N304" t="str">
        <f t="shared" si="110"/>
        <v>0.00</v>
      </c>
      <c r="O304" t="str">
        <f>"603559"</f>
        <v>603559</v>
      </c>
      <c r="P304" t="str">
        <f t="shared" si="111"/>
        <v>A400948245</v>
      </c>
    </row>
    <row r="305" spans="1:16" x14ac:dyDescent="0.25">
      <c r="A305" t="str">
        <f t="shared" si="96"/>
        <v>人民币</v>
      </c>
      <c r="B305" t="str">
        <f>"华脉科技"</f>
        <v>华脉科技</v>
      </c>
      <c r="C305" t="str">
        <f>"20190822"</f>
        <v>20190822</v>
      </c>
      <c r="D305" t="str">
        <f>"15.560"</f>
        <v>15.560</v>
      </c>
      <c r="E305" t="str">
        <f>"500.00"</f>
        <v>500.00</v>
      </c>
      <c r="F305" t="str">
        <f>"-7787.94"</f>
        <v>-7787.94</v>
      </c>
      <c r="G305" t="str">
        <f>"8216.44"</f>
        <v>8216.44</v>
      </c>
      <c r="H305" t="str">
        <f>"1700.00"</f>
        <v>1700.00</v>
      </c>
      <c r="I305" t="str">
        <f>"134"</f>
        <v>134</v>
      </c>
      <c r="J305" t="str">
        <f>"证券买入(华脉科技)"</f>
        <v>证券买入(华脉科技)</v>
      </c>
      <c r="K305" t="str">
        <f>"7.78"</f>
        <v>7.78</v>
      </c>
      <c r="L305" t="str">
        <f>"0.00"</f>
        <v>0.00</v>
      </c>
      <c r="M305" t="str">
        <f>"0.16"</f>
        <v>0.16</v>
      </c>
      <c r="N305" t="str">
        <f t="shared" si="110"/>
        <v>0.00</v>
      </c>
      <c r="O305" t="str">
        <f>"603042"</f>
        <v>603042</v>
      </c>
      <c r="P305" t="str">
        <f t="shared" si="111"/>
        <v>A400948245</v>
      </c>
    </row>
    <row r="306" spans="1:16" x14ac:dyDescent="0.25">
      <c r="A306" t="str">
        <f t="shared" si="96"/>
        <v>人民币</v>
      </c>
      <c r="B306" t="str">
        <f>""</f>
        <v/>
      </c>
      <c r="C306" t="str">
        <f>"20190822"</f>
        <v>20190822</v>
      </c>
      <c r="D306" t="str">
        <f>"---"</f>
        <v>---</v>
      </c>
      <c r="E306" t="str">
        <f>"---"</f>
        <v>---</v>
      </c>
      <c r="F306" t="str">
        <f>"16000.00"</f>
        <v>16000.00</v>
      </c>
      <c r="G306" t="str">
        <f>"16004.38"</f>
        <v>16004.38</v>
      </c>
      <c r="H306" t="str">
        <f>"---"</f>
        <v>---</v>
      </c>
      <c r="I306" t="str">
        <f>"---"</f>
        <v>---</v>
      </c>
      <c r="J306" t="str">
        <f>"银行转存"</f>
        <v>银行转存</v>
      </c>
      <c r="K306" t="str">
        <f t="shared" ref="K306:P306" si="112">"---"</f>
        <v>---</v>
      </c>
      <c r="L306" t="str">
        <f t="shared" si="112"/>
        <v>---</v>
      </c>
      <c r="M306" t="str">
        <f t="shared" si="112"/>
        <v>---</v>
      </c>
      <c r="N306" t="str">
        <f t="shared" si="112"/>
        <v>---</v>
      </c>
      <c r="O306" t="str">
        <f t="shared" si="112"/>
        <v>---</v>
      </c>
      <c r="P306" t="str">
        <f t="shared" si="112"/>
        <v>---</v>
      </c>
    </row>
    <row r="307" spans="1:16" x14ac:dyDescent="0.25">
      <c r="A307" t="str">
        <f t="shared" si="96"/>
        <v>人民币</v>
      </c>
      <c r="B307" t="str">
        <f>"长城证券"</f>
        <v>长城证券</v>
      </c>
      <c r="C307" t="str">
        <f>"20190823"</f>
        <v>20190823</v>
      </c>
      <c r="D307" t="str">
        <f>"16.160"</f>
        <v>16.160</v>
      </c>
      <c r="E307" t="str">
        <f>"1100.00"</f>
        <v>1100.00</v>
      </c>
      <c r="F307" t="str">
        <f>"-17793.78"</f>
        <v>-17793.78</v>
      </c>
      <c r="G307" t="str">
        <f>"422.66"</f>
        <v>422.66</v>
      </c>
      <c r="H307" t="str">
        <f>"1100.00"</f>
        <v>1100.00</v>
      </c>
      <c r="I307" t="str">
        <f>"139"</f>
        <v>139</v>
      </c>
      <c r="J307" t="str">
        <f>"证券买入(长城证券)"</f>
        <v>证券买入(长城证券)</v>
      </c>
      <c r="K307" t="str">
        <f>"17.78"</f>
        <v>17.78</v>
      </c>
      <c r="L307" t="str">
        <f>"0.00"</f>
        <v>0.00</v>
      </c>
      <c r="M307" t="str">
        <f>"0.00"</f>
        <v>0.00</v>
      </c>
      <c r="N307" t="str">
        <f>"0.00"</f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6"/>
        <v>人民币</v>
      </c>
      <c r="B308" t="str">
        <f>""</f>
        <v/>
      </c>
      <c r="C308" t="str">
        <f>"20190823"</f>
        <v>20190823</v>
      </c>
      <c r="D308" t="str">
        <f>"---"</f>
        <v>---</v>
      </c>
      <c r="E308" t="str">
        <f>"---"</f>
        <v>---</v>
      </c>
      <c r="F308" t="str">
        <f>"10000.00"</f>
        <v>10000.00</v>
      </c>
      <c r="G308" t="str">
        <f>"18216.44"</f>
        <v>18216.44</v>
      </c>
      <c r="H308" t="str">
        <f>"---"</f>
        <v>---</v>
      </c>
      <c r="I308" t="str">
        <f>"---"</f>
        <v>---</v>
      </c>
      <c r="J308" t="str">
        <f>"银行转存"</f>
        <v>银行转存</v>
      </c>
      <c r="K308" t="str">
        <f t="shared" ref="K308:P308" si="113">"---"</f>
        <v>---</v>
      </c>
      <c r="L308" t="str">
        <f t="shared" si="113"/>
        <v>---</v>
      </c>
      <c r="M308" t="str">
        <f t="shared" si="113"/>
        <v>---</v>
      </c>
      <c r="N308" t="str">
        <f t="shared" si="113"/>
        <v>---</v>
      </c>
      <c r="O308" t="str">
        <f t="shared" si="113"/>
        <v>---</v>
      </c>
      <c r="P308" t="str">
        <f t="shared" si="113"/>
        <v>---</v>
      </c>
    </row>
    <row r="309" spans="1:16" x14ac:dyDescent="0.25">
      <c r="A309" t="str">
        <f t="shared" si="96"/>
        <v>人民币</v>
      </c>
      <c r="B309" t="str">
        <f>"凯龙股份"</f>
        <v>凯龙股份</v>
      </c>
      <c r="C309" t="str">
        <f>"20190826"</f>
        <v>20190826</v>
      </c>
      <c r="D309" t="str">
        <f>"11.400"</f>
        <v>11.400</v>
      </c>
      <c r="E309" t="str">
        <f>"-900.00"</f>
        <v>-900.00</v>
      </c>
      <c r="F309" t="str">
        <f>"10239.48"</f>
        <v>10239.48</v>
      </c>
      <c r="G309" t="str">
        <f>"30475.76"</f>
        <v>30475.76</v>
      </c>
      <c r="H309" t="str">
        <f>"5800.00"</f>
        <v>5800.00</v>
      </c>
      <c r="I309" t="str">
        <f>"160"</f>
        <v>160</v>
      </c>
      <c r="J309" t="str">
        <f>"证券卖出(凯龙股份)"</f>
        <v>证券卖出(凯龙股份)</v>
      </c>
      <c r="K309" t="str">
        <f>"10.26"</f>
        <v>10.26</v>
      </c>
      <c r="L309" t="str">
        <f>"10.26"</f>
        <v>10.26</v>
      </c>
      <c r="M309" t="str">
        <f>"0.00"</f>
        <v>0.00</v>
      </c>
      <c r="N309" t="str">
        <f>"0.00"</f>
        <v>0.00</v>
      </c>
      <c r="O309" t="str">
        <f>"002783"</f>
        <v>002783</v>
      </c>
      <c r="P309" t="str">
        <f>"0153613480"</f>
        <v>0153613480</v>
      </c>
    </row>
    <row r="310" spans="1:16" x14ac:dyDescent="0.25">
      <c r="A310" t="str">
        <f t="shared" si="96"/>
        <v>人民币</v>
      </c>
      <c r="B310" t="str">
        <f>"航发科技"</f>
        <v>航发科技</v>
      </c>
      <c r="C310" t="str">
        <f>"20190826"</f>
        <v>20190826</v>
      </c>
      <c r="D310" t="str">
        <f>"16.960"</f>
        <v>16.960</v>
      </c>
      <c r="E310" t="str">
        <f>"600.00"</f>
        <v>600.00</v>
      </c>
      <c r="F310" t="str">
        <f>"-10186.38"</f>
        <v>-10186.38</v>
      </c>
      <c r="G310" t="str">
        <f>"20236.28"</f>
        <v>20236.28</v>
      </c>
      <c r="H310" t="str">
        <f>"3000.00"</f>
        <v>3000.00</v>
      </c>
      <c r="I310" t="str">
        <f>"156"</f>
        <v>156</v>
      </c>
      <c r="J310" t="str">
        <f>"证券买入(航发科技)"</f>
        <v>证券买入(航发科技)</v>
      </c>
      <c r="K310" t="str">
        <f>"10.18"</f>
        <v>10.18</v>
      </c>
      <c r="L310" t="str">
        <f>"0.00"</f>
        <v>0.00</v>
      </c>
      <c r="M310" t="str">
        <f>"0.20"</f>
        <v>0.20</v>
      </c>
      <c r="N310" t="str">
        <f>"0.00"</f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6"/>
        <v>人民币</v>
      </c>
      <c r="B311" t="str">
        <f>""</f>
        <v/>
      </c>
      <c r="C311" t="str">
        <f>"20190826"</f>
        <v>20190826</v>
      </c>
      <c r="D311" t="str">
        <f>"---"</f>
        <v>---</v>
      </c>
      <c r="E311" t="str">
        <f>"---"</f>
        <v>---</v>
      </c>
      <c r="F311" t="str">
        <f>"30000.00"</f>
        <v>30000.00</v>
      </c>
      <c r="G311" t="str">
        <f>"30422.66"</f>
        <v>30422.66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14">"---"</f>
        <v>---</v>
      </c>
      <c r="L311" t="str">
        <f t="shared" si="114"/>
        <v>---</v>
      </c>
      <c r="M311" t="str">
        <f t="shared" si="114"/>
        <v>---</v>
      </c>
      <c r="N311" t="str">
        <f t="shared" si="114"/>
        <v>---</v>
      </c>
      <c r="O311" t="str">
        <f t="shared" si="114"/>
        <v>---</v>
      </c>
      <c r="P311" t="str">
        <f t="shared" si="114"/>
        <v>---</v>
      </c>
    </row>
    <row r="312" spans="1:16" x14ac:dyDescent="0.25">
      <c r="A312" t="str">
        <f t="shared" si="96"/>
        <v>人民币</v>
      </c>
      <c r="B312" t="str">
        <f>"瑞达期货"</f>
        <v>瑞达期货</v>
      </c>
      <c r="C312" t="str">
        <f t="shared" ref="C312:C317" si="115">"20190827"</f>
        <v>20190827</v>
      </c>
      <c r="D312" t="str">
        <f>"0.000"</f>
        <v>0.000</v>
      </c>
      <c r="E312" t="str">
        <f>"12.00"</f>
        <v>12.00</v>
      </c>
      <c r="F312" t="str">
        <f>"0.00"</f>
        <v>0.00</v>
      </c>
      <c r="G312" t="str">
        <f>"31540.23"</f>
        <v>31540.23</v>
      </c>
      <c r="H312" t="str">
        <f>"0.00"</f>
        <v>0.00</v>
      </c>
      <c r="I312" t="str">
        <f>"171"</f>
        <v>171</v>
      </c>
      <c r="J312" t="str">
        <f>"申购配号(瑞达期货)"</f>
        <v>申购配号(瑞达期货)</v>
      </c>
      <c r="K312" t="str">
        <f>"0.00"</f>
        <v>0.00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"002961"</f>
        <v>002961</v>
      </c>
      <c r="P312" t="str">
        <f>"0153613480"</f>
        <v>0153613480</v>
      </c>
    </row>
    <row r="313" spans="1:16" x14ac:dyDescent="0.25">
      <c r="A313" t="str">
        <f t="shared" si="96"/>
        <v>人民币</v>
      </c>
      <c r="B313" t="str">
        <f>"凯龙股份"</f>
        <v>凯龙股份</v>
      </c>
      <c r="C313" t="str">
        <f t="shared" si="115"/>
        <v>20190827</v>
      </c>
      <c r="D313" t="str">
        <f>"13.170"</f>
        <v>13.170</v>
      </c>
      <c r="E313" t="str">
        <f>"-1000.00"</f>
        <v>-1000.00</v>
      </c>
      <c r="F313" t="str">
        <f>"13143.66"</f>
        <v>13143.66</v>
      </c>
      <c r="G313" t="str">
        <f>"31540.23"</f>
        <v>31540.23</v>
      </c>
      <c r="H313" t="str">
        <f>"5800.00"</f>
        <v>5800.00</v>
      </c>
      <c r="I313" t="str">
        <f>"176"</f>
        <v>176</v>
      </c>
      <c r="J313" t="str">
        <f>"证券卖出(凯龙股份)"</f>
        <v>证券卖出(凯龙股份)</v>
      </c>
      <c r="K313" t="str">
        <f>"13.17"</f>
        <v>13.17</v>
      </c>
      <c r="L313" t="str">
        <f>"13.17"</f>
        <v>13.17</v>
      </c>
      <c r="M313" t="str">
        <f t="shared" ref="M313:N315" si="116">"0.00"</f>
        <v>0.00</v>
      </c>
      <c r="N313" t="str">
        <f t="shared" si="116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6"/>
        <v>人民币</v>
      </c>
      <c r="B314" t="str">
        <f>"凯龙股份"</f>
        <v>凯龙股份</v>
      </c>
      <c r="C314" t="str">
        <f t="shared" si="115"/>
        <v>20190827</v>
      </c>
      <c r="D314" t="str">
        <f>"12.460"</f>
        <v>12.460</v>
      </c>
      <c r="E314" t="str">
        <f>"1000.00"</f>
        <v>1000.00</v>
      </c>
      <c r="F314" t="str">
        <f>"-12472.46"</f>
        <v>-12472.46</v>
      </c>
      <c r="G314" t="str">
        <f>"18396.57"</f>
        <v>18396.57</v>
      </c>
      <c r="H314" t="str">
        <f>"6800.00"</f>
        <v>6800.00</v>
      </c>
      <c r="I314" t="str">
        <f>"167"</f>
        <v>167</v>
      </c>
      <c r="J314" t="str">
        <f>"证券买入(凯龙股份)"</f>
        <v>证券买入(凯龙股份)</v>
      </c>
      <c r="K314" t="str">
        <f>"12.46"</f>
        <v>12.46</v>
      </c>
      <c r="L314" t="str">
        <f>"0.00"</f>
        <v>0.00</v>
      </c>
      <c r="M314" t="str">
        <f t="shared" si="116"/>
        <v>0.00</v>
      </c>
      <c r="N314" t="str">
        <f t="shared" si="116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6"/>
        <v>人民币</v>
      </c>
      <c r="B315" t="str">
        <f>"长城证券"</f>
        <v>长城证券</v>
      </c>
      <c r="C315" t="str">
        <f t="shared" si="115"/>
        <v>20190827</v>
      </c>
      <c r="D315" t="str">
        <f>"16.310"</f>
        <v>16.310</v>
      </c>
      <c r="E315" t="str">
        <f>"-1100.00"</f>
        <v>-1100.00</v>
      </c>
      <c r="F315" t="str">
        <f>"17905.12"</f>
        <v>17905.12</v>
      </c>
      <c r="G315" t="str">
        <f>"30869.03"</f>
        <v>30869.03</v>
      </c>
      <c r="H315" t="str">
        <f>"0.00"</f>
        <v>0.00</v>
      </c>
      <c r="I315" t="str">
        <f>"173"</f>
        <v>173</v>
      </c>
      <c r="J315" t="str">
        <f>"证券卖出(长城证券)"</f>
        <v>证券卖出(长城证券)</v>
      </c>
      <c r="K315" t="str">
        <f>"17.94"</f>
        <v>17.94</v>
      </c>
      <c r="L315" t="str">
        <f>"17.94"</f>
        <v>17.94</v>
      </c>
      <c r="M315" t="str">
        <f t="shared" si="116"/>
        <v>0.00</v>
      </c>
      <c r="N315" t="str">
        <f t="shared" si="116"/>
        <v>0.00</v>
      </c>
      <c r="O315" t="str">
        <f>"002939"</f>
        <v>002939</v>
      </c>
      <c r="P315" t="str">
        <f>"0153613480"</f>
        <v>0153613480</v>
      </c>
    </row>
    <row r="316" spans="1:16" x14ac:dyDescent="0.25">
      <c r="A316" t="str">
        <f t="shared" si="96"/>
        <v>人民币</v>
      </c>
      <c r="B316" t="str">
        <f>"中通国脉"</f>
        <v>中通国脉</v>
      </c>
      <c r="C316" t="str">
        <f t="shared" si="115"/>
        <v>20190827</v>
      </c>
      <c r="D316" t="str">
        <f>"19.360"</f>
        <v>19.360</v>
      </c>
      <c r="E316" t="str">
        <f>"400.00"</f>
        <v>400.00</v>
      </c>
      <c r="F316" t="str">
        <f>"-7751.90"</f>
        <v>-7751.90</v>
      </c>
      <c r="G316" t="str">
        <f>"12963.91"</f>
        <v>12963.91</v>
      </c>
      <c r="H316" t="str">
        <f>"3500.00"</f>
        <v>3500.00</v>
      </c>
      <c r="I316" t="str">
        <f>"182"</f>
        <v>182</v>
      </c>
      <c r="J316" t="str">
        <f>"证券买入(中通国脉)"</f>
        <v>证券买入(中通国脉)</v>
      </c>
      <c r="K316" t="str">
        <f>"7.74"</f>
        <v>7.74</v>
      </c>
      <c r="L316" t="str">
        <f t="shared" ref="L316:L321" si="117">"0.00"</f>
        <v>0.00</v>
      </c>
      <c r="M316" t="str">
        <f>"0.16"</f>
        <v>0.16</v>
      </c>
      <c r="N316" t="str">
        <f t="shared" ref="N316:N336" si="118">"0.00"</f>
        <v>0.00</v>
      </c>
      <c r="O316" t="str">
        <f>"603559"</f>
        <v>603559</v>
      </c>
      <c r="P316" t="str">
        <f>"A400948245"</f>
        <v>A400948245</v>
      </c>
    </row>
    <row r="317" spans="1:16" x14ac:dyDescent="0.25">
      <c r="A317" t="str">
        <f t="shared" si="96"/>
        <v>人民币</v>
      </c>
      <c r="B317" t="str">
        <f>"中通国脉"</f>
        <v>中通国脉</v>
      </c>
      <c r="C317" t="str">
        <f t="shared" si="115"/>
        <v>20190827</v>
      </c>
      <c r="D317" t="str">
        <f>"19.500"</f>
        <v>19.500</v>
      </c>
      <c r="E317" t="str">
        <f>"500.00"</f>
        <v>500.00</v>
      </c>
      <c r="F317" t="str">
        <f>"-9759.95"</f>
        <v>-9759.95</v>
      </c>
      <c r="G317" t="str">
        <f>"20715.81"</f>
        <v>20715.81</v>
      </c>
      <c r="H317" t="str">
        <f>"3100.00"</f>
        <v>3100.00</v>
      </c>
      <c r="I317" t="str">
        <f>"179"</f>
        <v>179</v>
      </c>
      <c r="J317" t="str">
        <f>"证券买入(中通国脉)"</f>
        <v>证券买入(中通国脉)</v>
      </c>
      <c r="K317" t="str">
        <f>"9.75"</f>
        <v>9.75</v>
      </c>
      <c r="L317" t="str">
        <f t="shared" si="117"/>
        <v>0.00</v>
      </c>
      <c r="M317" t="str">
        <f>"0.20"</f>
        <v>0.20</v>
      </c>
      <c r="N317" t="str">
        <f t="shared" si="118"/>
        <v>0.00</v>
      </c>
      <c r="O317" t="str">
        <f>"603559"</f>
        <v>603559</v>
      </c>
      <c r="P317" t="str">
        <f>"A400948245"</f>
        <v>A400948245</v>
      </c>
    </row>
    <row r="318" spans="1:16" x14ac:dyDescent="0.25">
      <c r="A318" t="str">
        <f t="shared" si="96"/>
        <v>人民币</v>
      </c>
      <c r="B318" t="str">
        <f>"凯龙股份"</f>
        <v>凯龙股份</v>
      </c>
      <c r="C318" t="str">
        <f>"20190828"</f>
        <v>20190828</v>
      </c>
      <c r="D318" t="str">
        <f>"12.560"</f>
        <v>12.560</v>
      </c>
      <c r="E318" t="str">
        <f>"1000.00"</f>
        <v>1000.00</v>
      </c>
      <c r="F318" t="str">
        <f>"-12572.56"</f>
        <v>-12572.56</v>
      </c>
      <c r="G318" t="str">
        <f>"3524.41"</f>
        <v>3524.41</v>
      </c>
      <c r="H318" t="str">
        <f>"8800.00"</f>
        <v>8800.00</v>
      </c>
      <c r="I318" t="str">
        <f>"212"</f>
        <v>212</v>
      </c>
      <c r="J318" t="str">
        <f>"证券买入(凯龙股份)"</f>
        <v>证券买入(凯龙股份)</v>
      </c>
      <c r="K318" t="str">
        <f>"12.56"</f>
        <v>12.56</v>
      </c>
      <c r="L318" t="str">
        <f t="shared" si="117"/>
        <v>0.00</v>
      </c>
      <c r="M318" t="str">
        <f>"0.00"</f>
        <v>0.00</v>
      </c>
      <c r="N318" t="str">
        <f t="shared" si="11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6"/>
        <v>人民币</v>
      </c>
      <c r="B319" t="str">
        <f>"凯龙股份"</f>
        <v>凯龙股份</v>
      </c>
      <c r="C319" t="str">
        <f>"20190828"</f>
        <v>20190828</v>
      </c>
      <c r="D319" t="str">
        <f>"13.050"</f>
        <v>13.050</v>
      </c>
      <c r="E319" t="str">
        <f>"1000.00"</f>
        <v>1000.00</v>
      </c>
      <c r="F319" t="str">
        <f>"-13063.05"</f>
        <v>-13063.05</v>
      </c>
      <c r="G319" t="str">
        <f>"16096.97"</f>
        <v>16096.97</v>
      </c>
      <c r="H319" t="str">
        <f>"7800.00"</f>
        <v>7800.00</v>
      </c>
      <c r="I319" t="str">
        <f>"206"</f>
        <v>206</v>
      </c>
      <c r="J319" t="str">
        <f>"证券买入(凯龙股份)"</f>
        <v>证券买入(凯龙股份)</v>
      </c>
      <c r="K319" t="str">
        <f>"13.05"</f>
        <v>13.05</v>
      </c>
      <c r="L319" t="str">
        <f t="shared" si="117"/>
        <v>0.00</v>
      </c>
      <c r="M319" t="str">
        <f>"0.00"</f>
        <v>0.00</v>
      </c>
      <c r="N319" t="str">
        <f t="shared" si="118"/>
        <v>0.00</v>
      </c>
      <c r="O319" t="str">
        <f>"002783"</f>
        <v>002783</v>
      </c>
      <c r="P319" t="str">
        <f>"0153613480"</f>
        <v>0153613480</v>
      </c>
    </row>
    <row r="320" spans="1:16" x14ac:dyDescent="0.25">
      <c r="A320" t="str">
        <f t="shared" si="96"/>
        <v>人民币</v>
      </c>
      <c r="B320" t="str">
        <f>"凯龙股份"</f>
        <v>凯龙股份</v>
      </c>
      <c r="C320" t="str">
        <f>"20190828"</f>
        <v>20190828</v>
      </c>
      <c r="D320" t="str">
        <f>"12.900"</f>
        <v>12.900</v>
      </c>
      <c r="E320" t="str">
        <f>"1000.00"</f>
        <v>1000.00</v>
      </c>
      <c r="F320" t="str">
        <f>"-12912.90"</f>
        <v>-12912.90</v>
      </c>
      <c r="G320" t="str">
        <f>"29160.02"</f>
        <v>29160.02</v>
      </c>
      <c r="H320" t="str">
        <f>"6800.00"</f>
        <v>6800.00</v>
      </c>
      <c r="I320" t="str">
        <f>"198"</f>
        <v>198</v>
      </c>
      <c r="J320" t="str">
        <f>"证券买入(凯龙股份)"</f>
        <v>证券买入(凯龙股份)</v>
      </c>
      <c r="K320" t="str">
        <f>"12.90"</f>
        <v>12.90</v>
      </c>
      <c r="L320" t="str">
        <f t="shared" si="117"/>
        <v>0.00</v>
      </c>
      <c r="M320" t="str">
        <f>"0.00"</f>
        <v>0.00</v>
      </c>
      <c r="N320" t="str">
        <f t="shared" si="118"/>
        <v>0.00</v>
      </c>
      <c r="O320" t="str">
        <f>"002783"</f>
        <v>002783</v>
      </c>
      <c r="P320" t="str">
        <f>"0153613480"</f>
        <v>0153613480</v>
      </c>
    </row>
    <row r="321" spans="1:16" x14ac:dyDescent="0.25">
      <c r="A321" t="str">
        <f t="shared" si="96"/>
        <v>人民币</v>
      </c>
      <c r="B321" t="str">
        <f>"中科配号"</f>
        <v>中科配号</v>
      </c>
      <c r="C321" t="str">
        <f>"20190828"</f>
        <v>20190828</v>
      </c>
      <c r="D321" t="str">
        <f>"0.000"</f>
        <v>0.000</v>
      </c>
      <c r="E321" t="str">
        <f>"10.00"</f>
        <v>10.00</v>
      </c>
      <c r="F321" t="str">
        <f>"0.00"</f>
        <v>0.00</v>
      </c>
      <c r="G321" t="str">
        <f>"42072.92"</f>
        <v>42072.92</v>
      </c>
      <c r="H321" t="str">
        <f>"0.00"</f>
        <v>0.00</v>
      </c>
      <c r="I321" t="str">
        <f>"204"</f>
        <v>204</v>
      </c>
      <c r="J321" t="str">
        <f>"申购配号(中科配号)"</f>
        <v>申购配号(中科配号)</v>
      </c>
      <c r="K321" t="str">
        <f>"0.00"</f>
        <v>0.00</v>
      </c>
      <c r="L321" t="str">
        <f t="shared" si="117"/>
        <v>0.00</v>
      </c>
      <c r="M321" t="str">
        <f>"0.00"</f>
        <v>0.00</v>
      </c>
      <c r="N321" t="str">
        <f t="shared" si="118"/>
        <v>0.00</v>
      </c>
      <c r="O321" t="str">
        <f>"736927"</f>
        <v>736927</v>
      </c>
      <c r="P321" t="str">
        <f>"A400948245"</f>
        <v>A400948245</v>
      </c>
    </row>
    <row r="322" spans="1:16" x14ac:dyDescent="0.25">
      <c r="A322" t="str">
        <f t="shared" ref="A322:A385" si="119">"人民币"</f>
        <v>人民币</v>
      </c>
      <c r="B322" t="str">
        <f>"航发科技"</f>
        <v>航发科技</v>
      </c>
      <c r="C322" t="str">
        <f>"20190828"</f>
        <v>20190828</v>
      </c>
      <c r="D322" t="str">
        <f>"17.590"</f>
        <v>17.590</v>
      </c>
      <c r="E322" t="str">
        <f>"-600.00"</f>
        <v>-600.00</v>
      </c>
      <c r="F322" t="str">
        <f>"10532.69"</f>
        <v>10532.69</v>
      </c>
      <c r="G322" t="str">
        <f>"42072.92"</f>
        <v>42072.92</v>
      </c>
      <c r="H322" t="str">
        <f>"2400.00"</f>
        <v>2400.00</v>
      </c>
      <c r="I322" t="str">
        <f>"201"</f>
        <v>201</v>
      </c>
      <c r="J322" t="str">
        <f>"证券卖出(航发科技)"</f>
        <v>证券卖出(航发科技)</v>
      </c>
      <c r="K322" t="str">
        <f>"10.55"</f>
        <v>10.55</v>
      </c>
      <c r="L322" t="str">
        <f>"10.55"</f>
        <v>10.55</v>
      </c>
      <c r="M322" t="str">
        <f>"0.21"</f>
        <v>0.21</v>
      </c>
      <c r="N322" t="str">
        <f t="shared" si="118"/>
        <v>0.00</v>
      </c>
      <c r="O322" t="str">
        <f>"600391"</f>
        <v>600391</v>
      </c>
      <c r="P322" t="str">
        <f>"A400948245"</f>
        <v>A400948245</v>
      </c>
    </row>
    <row r="323" spans="1:16" x14ac:dyDescent="0.25">
      <c r="A323" t="str">
        <f t="shared" si="119"/>
        <v>人民币</v>
      </c>
      <c r="B323" t="str">
        <f>"航发科技"</f>
        <v>航发科技</v>
      </c>
      <c r="C323" t="str">
        <f>"20190829"</f>
        <v>20190829</v>
      </c>
      <c r="D323" t="str">
        <f>"17.920"</f>
        <v>17.920</v>
      </c>
      <c r="E323" t="str">
        <f>"-800.00"</f>
        <v>-800.00</v>
      </c>
      <c r="F323" t="str">
        <f>"14307.03"</f>
        <v>14307.03</v>
      </c>
      <c r="G323" t="str">
        <f>"17831.44"</f>
        <v>17831.44</v>
      </c>
      <c r="H323" t="str">
        <f>"1600.00"</f>
        <v>1600.00</v>
      </c>
      <c r="I323" t="str">
        <f>"227"</f>
        <v>227</v>
      </c>
      <c r="J323" t="str">
        <f>"证券卖出(航发科技)"</f>
        <v>证券卖出(航发科技)</v>
      </c>
      <c r="K323" t="str">
        <f>"14.34"</f>
        <v>14.34</v>
      </c>
      <c r="L323" t="str">
        <f>"14.34"</f>
        <v>14.34</v>
      </c>
      <c r="M323" t="str">
        <f>"0.29"</f>
        <v>0.29</v>
      </c>
      <c r="N323" t="str">
        <f t="shared" si="118"/>
        <v>0.00</v>
      </c>
      <c r="O323" t="str">
        <f>"600391"</f>
        <v>600391</v>
      </c>
      <c r="P323" t="str">
        <f>"A400948245"</f>
        <v>A400948245</v>
      </c>
    </row>
    <row r="324" spans="1:16" x14ac:dyDescent="0.25">
      <c r="A324" t="str">
        <f t="shared" si="119"/>
        <v>人民币</v>
      </c>
      <c r="B324" t="str">
        <f>"凯龙股份"</f>
        <v>凯龙股份</v>
      </c>
      <c r="C324" t="str">
        <f>"20190830"</f>
        <v>20190830</v>
      </c>
      <c r="D324" t="str">
        <f>"12.170"</f>
        <v>12.170</v>
      </c>
      <c r="E324" t="str">
        <f>"1200.00"</f>
        <v>1200.00</v>
      </c>
      <c r="F324" t="str">
        <f>"-14618.60"</f>
        <v>-14618.60</v>
      </c>
      <c r="G324" t="str">
        <f>"31978.62"</f>
        <v>31978.62</v>
      </c>
      <c r="H324" t="str">
        <f>"10000.00"</f>
        <v>10000.00</v>
      </c>
      <c r="I324" t="str">
        <f>"248"</f>
        <v>248</v>
      </c>
      <c r="J324" t="str">
        <f>"证券买入(凯龙股份)"</f>
        <v>证券买入(凯龙股份)</v>
      </c>
      <c r="K324" t="str">
        <f>"14.60"</f>
        <v>14.60</v>
      </c>
      <c r="L324" t="str">
        <f>"0.00"</f>
        <v>0.00</v>
      </c>
      <c r="M324" t="str">
        <f>"0.00"</f>
        <v>0.00</v>
      </c>
      <c r="N324" t="str">
        <f t="shared" si="118"/>
        <v>0.00</v>
      </c>
      <c r="O324" t="str">
        <f>"002783"</f>
        <v>002783</v>
      </c>
      <c r="P324" t="str">
        <f>"0153613480"</f>
        <v>0153613480</v>
      </c>
    </row>
    <row r="325" spans="1:16" x14ac:dyDescent="0.25">
      <c r="A325" t="str">
        <f t="shared" si="119"/>
        <v>人民币</v>
      </c>
      <c r="B325" t="str">
        <f>"航发科技"</f>
        <v>航发科技</v>
      </c>
      <c r="C325" t="str">
        <f>"20190830"</f>
        <v>20190830</v>
      </c>
      <c r="D325" t="str">
        <f>"18.040"</f>
        <v>18.040</v>
      </c>
      <c r="E325" t="str">
        <f>"-600.00"</f>
        <v>-600.00</v>
      </c>
      <c r="F325" t="str">
        <f>"10802.14"</f>
        <v>10802.14</v>
      </c>
      <c r="G325" t="str">
        <f>"46597.22"</f>
        <v>46597.22</v>
      </c>
      <c r="H325" t="str">
        <f>"0.00"</f>
        <v>0.00</v>
      </c>
      <c r="I325" t="str">
        <f>"245"</f>
        <v>245</v>
      </c>
      <c r="J325" t="str">
        <f>"证券卖出(航发科技)"</f>
        <v>证券卖出(航发科技)</v>
      </c>
      <c r="K325" t="str">
        <f>"10.82"</f>
        <v>10.82</v>
      </c>
      <c r="L325" t="str">
        <f>"10.82"</f>
        <v>10.82</v>
      </c>
      <c r="M325" t="str">
        <f>"0.22"</f>
        <v>0.22</v>
      </c>
      <c r="N325" t="str">
        <f t="shared" si="118"/>
        <v>0.00</v>
      </c>
      <c r="O325" t="str">
        <f>"600391"</f>
        <v>600391</v>
      </c>
      <c r="P325" t="str">
        <f>"A400948245"</f>
        <v>A400948245</v>
      </c>
    </row>
    <row r="326" spans="1:16" x14ac:dyDescent="0.25">
      <c r="A326" t="str">
        <f t="shared" si="119"/>
        <v>人民币</v>
      </c>
      <c r="B326" t="str">
        <f>"航发科技"</f>
        <v>航发科技</v>
      </c>
      <c r="C326" t="str">
        <f>"20190830"</f>
        <v>20190830</v>
      </c>
      <c r="D326" t="str">
        <f>"18.000"</f>
        <v>18.000</v>
      </c>
      <c r="E326" t="str">
        <f>"-1000.00"</f>
        <v>-1000.00</v>
      </c>
      <c r="F326" t="str">
        <f>"17963.64"</f>
        <v>17963.64</v>
      </c>
      <c r="G326" t="str">
        <f>"35795.08"</f>
        <v>35795.08</v>
      </c>
      <c r="H326" t="str">
        <f>"600.00"</f>
        <v>600.00</v>
      </c>
      <c r="I326" t="str">
        <f>"238"</f>
        <v>238</v>
      </c>
      <c r="J326" t="str">
        <f>"证券卖出(航发科技)"</f>
        <v>证券卖出(航发科技)</v>
      </c>
      <c r="K326" t="str">
        <f>"18.00"</f>
        <v>18.00</v>
      </c>
      <c r="L326" t="str">
        <f>"18.00"</f>
        <v>18.00</v>
      </c>
      <c r="M326" t="str">
        <f>"0.36"</f>
        <v>0.36</v>
      </c>
      <c r="N326" t="str">
        <f t="shared" si="118"/>
        <v>0.00</v>
      </c>
      <c r="O326" t="str">
        <f>"600391"</f>
        <v>600391</v>
      </c>
      <c r="P326" t="str">
        <f>"A400948245"</f>
        <v>A400948245</v>
      </c>
    </row>
    <row r="327" spans="1:16" x14ac:dyDescent="0.25">
      <c r="A327" t="str">
        <f t="shared" si="119"/>
        <v>人民币</v>
      </c>
      <c r="B327" t="str">
        <f>"华脉科技"</f>
        <v>华脉科技</v>
      </c>
      <c r="C327" t="str">
        <f>"20190902"</f>
        <v>20190902</v>
      </c>
      <c r="D327" t="str">
        <f>"14.500"</f>
        <v>14.500</v>
      </c>
      <c r="E327" t="str">
        <f>"-600.00"</f>
        <v>-600.00</v>
      </c>
      <c r="F327" t="str">
        <f>"8682.43"</f>
        <v>8682.43</v>
      </c>
      <c r="G327" t="str">
        <f>"32108.34"</f>
        <v>32108.34</v>
      </c>
      <c r="H327" t="str">
        <f>"1700.00"</f>
        <v>1700.00</v>
      </c>
      <c r="I327" t="str">
        <f>"267"</f>
        <v>267</v>
      </c>
      <c r="J327" t="str">
        <f>"证券卖出(华脉科技)"</f>
        <v>证券卖出(华脉科技)</v>
      </c>
      <c r="K327" t="str">
        <f>"8.70"</f>
        <v>8.70</v>
      </c>
      <c r="L327" t="str">
        <f>"8.70"</f>
        <v>8.70</v>
      </c>
      <c r="M327" t="str">
        <f>"0.17"</f>
        <v>0.17</v>
      </c>
      <c r="N327" t="str">
        <f t="shared" si="118"/>
        <v>0.00</v>
      </c>
      <c r="O327" t="str">
        <f>"603042"</f>
        <v>603042</v>
      </c>
      <c r="P327" t="str">
        <f>"A400948245"</f>
        <v>A400948245</v>
      </c>
    </row>
    <row r="328" spans="1:16" x14ac:dyDescent="0.25">
      <c r="A328" t="str">
        <f t="shared" si="119"/>
        <v>人民币</v>
      </c>
      <c r="B328" t="str">
        <f>"华脉科技"</f>
        <v>华脉科技</v>
      </c>
      <c r="C328" t="str">
        <f>"20190902"</f>
        <v>20190902</v>
      </c>
      <c r="D328" t="str">
        <f>"14.240"</f>
        <v>14.240</v>
      </c>
      <c r="E328" t="str">
        <f>"600.00"</f>
        <v>600.00</v>
      </c>
      <c r="F328" t="str">
        <f>"-8552.71"</f>
        <v>-8552.71</v>
      </c>
      <c r="G328" t="str">
        <f>"23425.91"</f>
        <v>23425.91</v>
      </c>
      <c r="H328" t="str">
        <f>"2300.00"</f>
        <v>2300.00</v>
      </c>
      <c r="I328" t="str">
        <f>"260"</f>
        <v>260</v>
      </c>
      <c r="J328" t="str">
        <f>"证券买入(华脉科技)"</f>
        <v>证券买入(华脉科技)</v>
      </c>
      <c r="K328" t="str">
        <f>"8.54"</f>
        <v>8.54</v>
      </c>
      <c r="L328" t="str">
        <f>"0.00"</f>
        <v>0.00</v>
      </c>
      <c r="M328" t="str">
        <f>"0.17"</f>
        <v>0.17</v>
      </c>
      <c r="N328" t="str">
        <f t="shared" si="118"/>
        <v>0.00</v>
      </c>
      <c r="O328" t="str">
        <f>"603042"</f>
        <v>603042</v>
      </c>
      <c r="P328" t="str">
        <f>"A400948245"</f>
        <v>A400948245</v>
      </c>
    </row>
    <row r="329" spans="1:16" x14ac:dyDescent="0.25">
      <c r="A329" t="str">
        <f t="shared" si="119"/>
        <v>人民币</v>
      </c>
      <c r="B329" t="str">
        <f>"旋极信息"</f>
        <v>旋极信息</v>
      </c>
      <c r="C329" t="str">
        <f t="shared" ref="C329:C335" si="120">"20190903"</f>
        <v>20190903</v>
      </c>
      <c r="D329" t="str">
        <f>"5.590"</f>
        <v>5.590</v>
      </c>
      <c r="E329" t="str">
        <f>"500.00"</f>
        <v>500.00</v>
      </c>
      <c r="F329" t="str">
        <f>"-2800.00"</f>
        <v>-2800.00</v>
      </c>
      <c r="G329" t="str">
        <f>"27544.49"</f>
        <v>27544.49</v>
      </c>
      <c r="H329" t="str">
        <f>"3000.00"</f>
        <v>3000.00</v>
      </c>
      <c r="I329" t="str">
        <f>"299"</f>
        <v>299</v>
      </c>
      <c r="J329" t="str">
        <f>"证券买入(旋极信息)"</f>
        <v>证券买入(旋极信息)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 t="shared" si="118"/>
        <v>0.00</v>
      </c>
      <c r="O329" t="str">
        <f>"300324"</f>
        <v>300324</v>
      </c>
      <c r="P329" t="str">
        <f>"0153613480"</f>
        <v>0153613480</v>
      </c>
    </row>
    <row r="330" spans="1:16" x14ac:dyDescent="0.25">
      <c r="A330" t="str">
        <f t="shared" si="119"/>
        <v>人民币</v>
      </c>
      <c r="B330" t="str">
        <f>"旋极信息"</f>
        <v>旋极信息</v>
      </c>
      <c r="C330" t="str">
        <f t="shared" si="120"/>
        <v>20190903</v>
      </c>
      <c r="D330" t="str">
        <f>"5.620"</f>
        <v>5.620</v>
      </c>
      <c r="E330" t="str">
        <f>"1000.00"</f>
        <v>1000.00</v>
      </c>
      <c r="F330" t="str">
        <f>"-5625.62"</f>
        <v>-5625.62</v>
      </c>
      <c r="G330" t="str">
        <f>"30344.49"</f>
        <v>30344.49</v>
      </c>
      <c r="H330" t="str">
        <f>"2500.00"</f>
        <v>2500.00</v>
      </c>
      <c r="I330" t="str">
        <f>"279"</f>
        <v>279</v>
      </c>
      <c r="J330" t="str">
        <f>"证券买入(旋极信息)"</f>
        <v>证券买入(旋极信息)</v>
      </c>
      <c r="K330" t="str">
        <f>"5.62"</f>
        <v>5.62</v>
      </c>
      <c r="L330" t="str">
        <f>"0.00"</f>
        <v>0.00</v>
      </c>
      <c r="M330" t="str">
        <f>"0.00"</f>
        <v>0.00</v>
      </c>
      <c r="N330" t="str">
        <f t="shared" si="118"/>
        <v>0.00</v>
      </c>
      <c r="O330" t="str">
        <f>"300324"</f>
        <v>300324</v>
      </c>
      <c r="P330" t="str">
        <f>"0153613480"</f>
        <v>0153613480</v>
      </c>
    </row>
    <row r="331" spans="1:16" x14ac:dyDescent="0.25">
      <c r="A331" t="str">
        <f t="shared" si="119"/>
        <v>人民币</v>
      </c>
      <c r="B331" t="str">
        <f>"旋极信息"</f>
        <v>旋极信息</v>
      </c>
      <c r="C331" t="str">
        <f t="shared" si="120"/>
        <v>20190903</v>
      </c>
      <c r="D331" t="str">
        <f>"5.810"</f>
        <v>5.810</v>
      </c>
      <c r="E331" t="str">
        <f>"1500.00"</f>
        <v>1500.00</v>
      </c>
      <c r="F331" t="str">
        <f>"-8723.72"</f>
        <v>-8723.72</v>
      </c>
      <c r="G331" t="str">
        <f>"35970.11"</f>
        <v>35970.11</v>
      </c>
      <c r="H331" t="str">
        <f>"1500.00"</f>
        <v>1500.00</v>
      </c>
      <c r="I331" t="str">
        <f>"272"</f>
        <v>272</v>
      </c>
      <c r="J331" t="str">
        <f>"证券买入(旋极信息)"</f>
        <v>证券买入(旋极信息)</v>
      </c>
      <c r="K331" t="str">
        <f>"8.72"</f>
        <v>8.72</v>
      </c>
      <c r="L331" t="str">
        <f>"0.00"</f>
        <v>0.00</v>
      </c>
      <c r="M331" t="str">
        <f>"0.00"</f>
        <v>0.00</v>
      </c>
      <c r="N331" t="str">
        <f t="shared" si="118"/>
        <v>0.00</v>
      </c>
      <c r="O331" t="str">
        <f>"300324"</f>
        <v>300324</v>
      </c>
      <c r="P331" t="str">
        <f>"0153613480"</f>
        <v>0153613480</v>
      </c>
    </row>
    <row r="332" spans="1:16" x14ac:dyDescent="0.25">
      <c r="A332" t="str">
        <f t="shared" si="119"/>
        <v>人民币</v>
      </c>
      <c r="B332" t="str">
        <f>"中通国脉"</f>
        <v>中通国脉</v>
      </c>
      <c r="C332" t="str">
        <f t="shared" si="120"/>
        <v>20190903</v>
      </c>
      <c r="D332" t="str">
        <f>"19.600"</f>
        <v>19.600</v>
      </c>
      <c r="E332" t="str">
        <f>"-200.00"</f>
        <v>-200.00</v>
      </c>
      <c r="F332" t="str">
        <f>"3911.00"</f>
        <v>3911.00</v>
      </c>
      <c r="G332" t="str">
        <f>"44693.83"</f>
        <v>44693.83</v>
      </c>
      <c r="H332" t="str">
        <f>"2400.00"</f>
        <v>2400.00</v>
      </c>
      <c r="I332" t="str">
        <f>"296"</f>
        <v>296</v>
      </c>
      <c r="J332" t="str">
        <f>"证券卖出(中通国脉)"</f>
        <v>证券卖出(中通国脉)</v>
      </c>
      <c r="K332" t="str">
        <f>"5.00"</f>
        <v>5.00</v>
      </c>
      <c r="L332" t="str">
        <f>"3.92"</f>
        <v>3.92</v>
      </c>
      <c r="M332" t="str">
        <f>"0.08"</f>
        <v>0.08</v>
      </c>
      <c r="N332" t="str">
        <f t="shared" si="118"/>
        <v>0.00</v>
      </c>
      <c r="O332" t="str">
        <f>"603559"</f>
        <v>603559</v>
      </c>
      <c r="P332" t="str">
        <f t="shared" ref="P332:P339" si="121">"A400948245"</f>
        <v>A400948245</v>
      </c>
    </row>
    <row r="333" spans="1:16" x14ac:dyDescent="0.25">
      <c r="A333" t="str">
        <f t="shared" si="119"/>
        <v>人民币</v>
      </c>
      <c r="B333" t="str">
        <f>"华脉科技"</f>
        <v>华脉科技</v>
      </c>
      <c r="C333" t="str">
        <f t="shared" si="120"/>
        <v>20190903</v>
      </c>
      <c r="D333" t="str">
        <f>"14.740"</f>
        <v>14.740</v>
      </c>
      <c r="E333" t="str">
        <f>"600.00"</f>
        <v>600.00</v>
      </c>
      <c r="F333" t="str">
        <f>"-8853.02"</f>
        <v>-8853.02</v>
      </c>
      <c r="G333" t="str">
        <f>"40782.83"</f>
        <v>40782.83</v>
      </c>
      <c r="H333" t="str">
        <f>"2300.00"</f>
        <v>2300.00</v>
      </c>
      <c r="I333" t="str">
        <f>"293"</f>
        <v>293</v>
      </c>
      <c r="J333" t="str">
        <f>"证券买入(华脉科技)"</f>
        <v>证券买入(华脉科技)</v>
      </c>
      <c r="K333" t="str">
        <f>"8.84"</f>
        <v>8.84</v>
      </c>
      <c r="L333" t="str">
        <f>"0.00"</f>
        <v>0.00</v>
      </c>
      <c r="M333" t="str">
        <f>"0.18"</f>
        <v>0.18</v>
      </c>
      <c r="N333" t="str">
        <f t="shared" si="118"/>
        <v>0.00</v>
      </c>
      <c r="O333" t="str">
        <f>"603042"</f>
        <v>603042</v>
      </c>
      <c r="P333" t="str">
        <f t="shared" si="121"/>
        <v>A400948245</v>
      </c>
    </row>
    <row r="334" spans="1:16" x14ac:dyDescent="0.25">
      <c r="A334" t="str">
        <f t="shared" si="119"/>
        <v>人民币</v>
      </c>
      <c r="B334" t="str">
        <f>"中通国脉"</f>
        <v>中通国脉</v>
      </c>
      <c r="C334" t="str">
        <f t="shared" si="120"/>
        <v>20190903</v>
      </c>
      <c r="D334" t="str">
        <f>"19.510"</f>
        <v>19.510</v>
      </c>
      <c r="E334" t="str">
        <f>"-500.00"</f>
        <v>-500.00</v>
      </c>
      <c r="F334" t="str">
        <f>"9735.29"</f>
        <v>9735.29</v>
      </c>
      <c r="G334" t="str">
        <f>"49635.85"</f>
        <v>49635.85</v>
      </c>
      <c r="H334" t="str">
        <f>"2600.00"</f>
        <v>2600.00</v>
      </c>
      <c r="I334" t="str">
        <f>"289"</f>
        <v>289</v>
      </c>
      <c r="J334" t="str">
        <f>"证券卖出(中通国脉)"</f>
        <v>证券卖出(中通国脉)</v>
      </c>
      <c r="K334" t="str">
        <f>"9.76"</f>
        <v>9.76</v>
      </c>
      <c r="L334" t="str">
        <f>"9.75"</f>
        <v>9.75</v>
      </c>
      <c r="M334" t="str">
        <f>"0.20"</f>
        <v>0.20</v>
      </c>
      <c r="N334" t="str">
        <f t="shared" si="118"/>
        <v>0.00</v>
      </c>
      <c r="O334" t="str">
        <f>"603559"</f>
        <v>603559</v>
      </c>
      <c r="P334" t="str">
        <f t="shared" si="121"/>
        <v>A400948245</v>
      </c>
    </row>
    <row r="335" spans="1:16" x14ac:dyDescent="0.25">
      <c r="A335" t="str">
        <f t="shared" si="119"/>
        <v>人民币</v>
      </c>
      <c r="B335" t="str">
        <f>"中通国脉"</f>
        <v>中通国脉</v>
      </c>
      <c r="C335" t="str">
        <f t="shared" si="120"/>
        <v>20190903</v>
      </c>
      <c r="D335" t="str">
        <f>"19.520"</f>
        <v>19.520</v>
      </c>
      <c r="E335" t="str">
        <f>"-400.00"</f>
        <v>-400.00</v>
      </c>
      <c r="F335" t="str">
        <f>"7792.22"</f>
        <v>7792.22</v>
      </c>
      <c r="G335" t="str">
        <f>"39900.56"</f>
        <v>39900.56</v>
      </c>
      <c r="H335" t="str">
        <f>"3100.00"</f>
        <v>3100.00</v>
      </c>
      <c r="I335" t="str">
        <f>"286"</f>
        <v>286</v>
      </c>
      <c r="J335" t="str">
        <f>"证券卖出(中通国脉)"</f>
        <v>证券卖出(中通国脉)</v>
      </c>
      <c r="K335" t="str">
        <f>"7.81"</f>
        <v>7.81</v>
      </c>
      <c r="L335" t="str">
        <f>"7.81"</f>
        <v>7.81</v>
      </c>
      <c r="M335" t="str">
        <f>"0.16"</f>
        <v>0.16</v>
      </c>
      <c r="N335" t="str">
        <f t="shared" si="118"/>
        <v>0.00</v>
      </c>
      <c r="O335" t="str">
        <f>"603559"</f>
        <v>603559</v>
      </c>
      <c r="P335" t="str">
        <f t="shared" si="121"/>
        <v>A400948245</v>
      </c>
    </row>
    <row r="336" spans="1:16" x14ac:dyDescent="0.25">
      <c r="A336" t="str">
        <f t="shared" si="119"/>
        <v>人民币</v>
      </c>
      <c r="B336" t="str">
        <f>"华脉科技"</f>
        <v>华脉科技</v>
      </c>
      <c r="C336" t="str">
        <f>"20190904"</f>
        <v>20190904</v>
      </c>
      <c r="D336" t="str">
        <f>"14.830"</f>
        <v>14.830</v>
      </c>
      <c r="E336" t="str">
        <f>"500.00"</f>
        <v>500.00</v>
      </c>
      <c r="F336" t="str">
        <f>"-7422.57"</f>
        <v>-7422.57</v>
      </c>
      <c r="G336" t="str">
        <f>"20119.50"</f>
        <v>20119.50</v>
      </c>
      <c r="H336" t="str">
        <f>"2800.00"</f>
        <v>2800.00</v>
      </c>
      <c r="I336" t="str">
        <f>"315"</f>
        <v>315</v>
      </c>
      <c r="J336" t="str">
        <f>"证券买入(华脉科技)"</f>
        <v>证券买入(华脉科技)</v>
      </c>
      <c r="K336" t="str">
        <f>"7.42"</f>
        <v>7.42</v>
      </c>
      <c r="L336" t="str">
        <f>"0.00"</f>
        <v>0.00</v>
      </c>
      <c r="M336" t="str">
        <f>"0.15"</f>
        <v>0.15</v>
      </c>
      <c r="N336" t="str">
        <f t="shared" si="118"/>
        <v>0.00</v>
      </c>
      <c r="O336" t="str">
        <f>"603042"</f>
        <v>603042</v>
      </c>
      <c r="P336" t="str">
        <f t="shared" si="121"/>
        <v>A400948245</v>
      </c>
    </row>
    <row r="337" spans="1:16" x14ac:dyDescent="0.25">
      <c r="A337" t="str">
        <f t="shared" si="119"/>
        <v>人民币</v>
      </c>
      <c r="B337" t="str">
        <f>"中通国脉"</f>
        <v>中通国脉</v>
      </c>
      <c r="C337" t="str">
        <f>"20190904"</f>
        <v>20190904</v>
      </c>
      <c r="D337" t="str">
        <f>"0.000"</f>
        <v>0.000</v>
      </c>
      <c r="E337" t="str">
        <f>"0.00"</f>
        <v>0.00</v>
      </c>
      <c r="F337" t="str">
        <f>"-1.10"</f>
        <v>-1.10</v>
      </c>
      <c r="G337" t="str">
        <f>"27542.07"</f>
        <v>27542.07</v>
      </c>
      <c r="H337" t="str">
        <f>"2400.00"</f>
        <v>2400.00</v>
      </c>
      <c r="I337" t="str">
        <f>"---"</f>
        <v>---</v>
      </c>
      <c r="J337" t="str">
        <f>"红利差异税扣税(中通国脉)"</f>
        <v>红利差异税扣税(中通国脉)</v>
      </c>
      <c r="K337" t="str">
        <f t="shared" ref="K337:N339" si="122">"---"</f>
        <v>---</v>
      </c>
      <c r="L337" t="str">
        <f t="shared" si="122"/>
        <v>---</v>
      </c>
      <c r="M337" t="str">
        <f t="shared" si="122"/>
        <v>---</v>
      </c>
      <c r="N337" t="str">
        <f t="shared" si="122"/>
        <v>---</v>
      </c>
      <c r="O337" t="str">
        <f>"603559"</f>
        <v>603559</v>
      </c>
      <c r="P337" t="str">
        <f t="shared" si="121"/>
        <v>A400948245</v>
      </c>
    </row>
    <row r="338" spans="1:16" x14ac:dyDescent="0.25">
      <c r="A338" t="str">
        <f t="shared" si="119"/>
        <v>人民币</v>
      </c>
      <c r="B338" t="str">
        <f>"中通国脉"</f>
        <v>中通国脉</v>
      </c>
      <c r="C338" t="str">
        <f>"20190904"</f>
        <v>20190904</v>
      </c>
      <c r="D338" t="str">
        <f>"0.000"</f>
        <v>0.000</v>
      </c>
      <c r="E338" t="str">
        <f>"0.00"</f>
        <v>0.00</v>
      </c>
      <c r="F338" t="str">
        <f>"-0.66"</f>
        <v>-0.66</v>
      </c>
      <c r="G338" t="str">
        <f>"27543.17"</f>
        <v>27543.17</v>
      </c>
      <c r="H338" t="str">
        <f>"2400.00"</f>
        <v>2400.00</v>
      </c>
      <c r="I338" t="str">
        <f>"---"</f>
        <v>---</v>
      </c>
      <c r="J338" t="str">
        <f>"红利差异税扣税(中通国脉)"</f>
        <v>红利差异税扣税(中通国脉)</v>
      </c>
      <c r="K338" t="str">
        <f t="shared" si="122"/>
        <v>---</v>
      </c>
      <c r="L338" t="str">
        <f t="shared" si="122"/>
        <v>---</v>
      </c>
      <c r="M338" t="str">
        <f t="shared" si="122"/>
        <v>---</v>
      </c>
      <c r="N338" t="str">
        <f t="shared" si="122"/>
        <v>---</v>
      </c>
      <c r="O338" t="str">
        <f>"603559"</f>
        <v>603559</v>
      </c>
      <c r="P338" t="str">
        <f t="shared" si="121"/>
        <v>A400948245</v>
      </c>
    </row>
    <row r="339" spans="1:16" x14ac:dyDescent="0.25">
      <c r="A339" t="str">
        <f t="shared" si="119"/>
        <v>人民币</v>
      </c>
      <c r="B339" t="str">
        <f>"中通国脉"</f>
        <v>中通国脉</v>
      </c>
      <c r="C339" t="str">
        <f>"20190904"</f>
        <v>20190904</v>
      </c>
      <c r="D339" t="str">
        <f>"0.000"</f>
        <v>0.000</v>
      </c>
      <c r="E339" t="str">
        <f>"0.00"</f>
        <v>0.00</v>
      </c>
      <c r="F339" t="str">
        <f>"-0.66"</f>
        <v>-0.66</v>
      </c>
      <c r="G339" t="str">
        <f>"27543.83"</f>
        <v>27543.83</v>
      </c>
      <c r="H339" t="str">
        <f>"2400.00"</f>
        <v>2400.00</v>
      </c>
      <c r="I339" t="str">
        <f>"---"</f>
        <v>---</v>
      </c>
      <c r="J339" t="str">
        <f>"红利差异税扣税(中通国脉)"</f>
        <v>红利差异税扣税(中通国脉)</v>
      </c>
      <c r="K339" t="str">
        <f t="shared" si="122"/>
        <v>---</v>
      </c>
      <c r="L339" t="str">
        <f t="shared" si="122"/>
        <v>---</v>
      </c>
      <c r="M339" t="str">
        <f t="shared" si="122"/>
        <v>---</v>
      </c>
      <c r="N339" t="str">
        <f t="shared" si="122"/>
        <v>---</v>
      </c>
      <c r="O339" t="str">
        <f>"603559"</f>
        <v>603559</v>
      </c>
      <c r="P339" t="str">
        <f t="shared" si="121"/>
        <v>A400948245</v>
      </c>
    </row>
    <row r="340" spans="1:16" x14ac:dyDescent="0.25">
      <c r="A340" t="str">
        <f t="shared" si="119"/>
        <v>人民币</v>
      </c>
      <c r="B340" t="str">
        <f>"五方光电"</f>
        <v>五方光电</v>
      </c>
      <c r="C340" t="str">
        <f>"20190905"</f>
        <v>20190905</v>
      </c>
      <c r="D340" t="str">
        <f>"0.000"</f>
        <v>0.000</v>
      </c>
      <c r="E340" t="str">
        <f>"15.00"</f>
        <v>15.00</v>
      </c>
      <c r="F340" t="str">
        <f>"0.00"</f>
        <v>0.00</v>
      </c>
      <c r="G340" t="str">
        <f>"34095.65"</f>
        <v>34095.65</v>
      </c>
      <c r="H340" t="str">
        <f>"0.00"</f>
        <v>0.00</v>
      </c>
      <c r="I340" t="str">
        <f>"324"</f>
        <v>324</v>
      </c>
      <c r="J340" t="str">
        <f>"申购配号(五方光电)"</f>
        <v>申购配号(五方光电)</v>
      </c>
      <c r="K340" t="str">
        <f>"0.00"</f>
        <v>0.00</v>
      </c>
      <c r="L340" t="str">
        <f>"0.00"</f>
        <v>0.00</v>
      </c>
      <c r="M340" t="str">
        <f>"0.00"</f>
        <v>0.00</v>
      </c>
      <c r="N340" t="str">
        <f>"0.00"</f>
        <v>0.00</v>
      </c>
      <c r="O340" t="str">
        <f>"002962"</f>
        <v>002962</v>
      </c>
      <c r="P340" t="str">
        <f>"0153613480"</f>
        <v>0153613480</v>
      </c>
    </row>
    <row r="341" spans="1:16" x14ac:dyDescent="0.25">
      <c r="A341" t="str">
        <f t="shared" si="119"/>
        <v>人民币</v>
      </c>
      <c r="B341" t="str">
        <f>"旋极信息"</f>
        <v>旋极信息</v>
      </c>
      <c r="C341" t="str">
        <f>"20190905"</f>
        <v>20190905</v>
      </c>
      <c r="D341" t="str">
        <f>"5.810"</f>
        <v>5.810</v>
      </c>
      <c r="E341" t="str">
        <f>"-3000.00"</f>
        <v>-3000.00</v>
      </c>
      <c r="F341" t="str">
        <f>"17395.14"</f>
        <v>17395.14</v>
      </c>
      <c r="G341" t="str">
        <f>"34095.65"</f>
        <v>34095.65</v>
      </c>
      <c r="H341" t="str">
        <f>"0.00"</f>
        <v>0.00</v>
      </c>
      <c r="I341" t="str">
        <f>"332"</f>
        <v>332</v>
      </c>
      <c r="J341" t="str">
        <f>"证券卖出(旋极信息)"</f>
        <v>证券卖出(旋极信息)</v>
      </c>
      <c r="K341" t="str">
        <f>"17.43"</f>
        <v>17.43</v>
      </c>
      <c r="L341" t="str">
        <f>"17.43"</f>
        <v>17.43</v>
      </c>
      <c r="M341" t="str">
        <f t="shared" ref="M341:N343" si="123">"0.00"</f>
        <v>0.00</v>
      </c>
      <c r="N341" t="str">
        <f t="shared" si="123"/>
        <v>0.00</v>
      </c>
      <c r="O341" t="str">
        <f>"300324"</f>
        <v>300324</v>
      </c>
      <c r="P341" t="str">
        <f>"0153613480"</f>
        <v>0153613480</v>
      </c>
    </row>
    <row r="342" spans="1:16" x14ac:dyDescent="0.25">
      <c r="A342" t="str">
        <f t="shared" si="119"/>
        <v>人民币</v>
      </c>
      <c r="B342" t="str">
        <f>"长城证券"</f>
        <v>长城证券</v>
      </c>
      <c r="C342" t="str">
        <f>"20190905"</f>
        <v>20190905</v>
      </c>
      <c r="D342" t="str">
        <f>"16.500"</f>
        <v>16.500</v>
      </c>
      <c r="E342" t="str">
        <f>"200.00"</f>
        <v>200.00</v>
      </c>
      <c r="F342" t="str">
        <f>"-3305.00"</f>
        <v>-3305.00</v>
      </c>
      <c r="G342" t="str">
        <f>"16700.51"</f>
        <v>16700.51</v>
      </c>
      <c r="H342" t="str">
        <f>"1200.00"</f>
        <v>1200.00</v>
      </c>
      <c r="I342" t="str">
        <f>"326"</f>
        <v>326</v>
      </c>
      <c r="J342" t="str">
        <f>"证券买入(长城证券)"</f>
        <v>证券买入(长城证券)</v>
      </c>
      <c r="K342" t="str">
        <f>"5.00"</f>
        <v>5.00</v>
      </c>
      <c r="L342" t="str">
        <f>"0.00"</f>
        <v>0.00</v>
      </c>
      <c r="M342" t="str">
        <f t="shared" si="123"/>
        <v>0.00</v>
      </c>
      <c r="N342" t="str">
        <f t="shared" si="123"/>
        <v>0.00</v>
      </c>
      <c r="O342" t="str">
        <f>"002939"</f>
        <v>002939</v>
      </c>
      <c r="P342" t="str">
        <f>"0153613480"</f>
        <v>0153613480</v>
      </c>
    </row>
    <row r="343" spans="1:16" x14ac:dyDescent="0.25">
      <c r="A343" t="str">
        <f t="shared" si="119"/>
        <v>人民币</v>
      </c>
      <c r="B343" t="str">
        <f>"长城证券"</f>
        <v>长城证券</v>
      </c>
      <c r="C343" t="str">
        <f>"20190905"</f>
        <v>20190905</v>
      </c>
      <c r="D343" t="str">
        <f>"16.597"</f>
        <v>16.597</v>
      </c>
      <c r="E343" t="str">
        <f>"1000.00"</f>
        <v>1000.00</v>
      </c>
      <c r="F343" t="str">
        <f>"-16613.60"</f>
        <v>-16613.60</v>
      </c>
      <c r="G343" t="str">
        <f>"20005.51"</f>
        <v>20005.51</v>
      </c>
      <c r="H343" t="str">
        <f>"1000.00"</f>
        <v>1000.00</v>
      </c>
      <c r="I343" t="str">
        <f>"319"</f>
        <v>319</v>
      </c>
      <c r="J343" t="str">
        <f>"证券买入(长城证券)"</f>
        <v>证券买入(长城证券)</v>
      </c>
      <c r="K343" t="str">
        <f>"16.60"</f>
        <v>16.60</v>
      </c>
      <c r="L343" t="str">
        <f>"0.00"</f>
        <v>0.00</v>
      </c>
      <c r="M343" t="str">
        <f t="shared" si="123"/>
        <v>0.00</v>
      </c>
      <c r="N343" t="str">
        <f t="shared" si="123"/>
        <v>0.00</v>
      </c>
      <c r="O343" t="str">
        <f>"002939"</f>
        <v>002939</v>
      </c>
      <c r="P343" t="str">
        <f>"0153613480"</f>
        <v>0153613480</v>
      </c>
    </row>
    <row r="344" spans="1:16" x14ac:dyDescent="0.25">
      <c r="A344" t="str">
        <f t="shared" si="119"/>
        <v>人民币</v>
      </c>
      <c r="B344" t="str">
        <f>"华脉科技"</f>
        <v>华脉科技</v>
      </c>
      <c r="C344" t="str">
        <f>"20190905"</f>
        <v>20190905</v>
      </c>
      <c r="D344" t="str">
        <f>"15.030"</f>
        <v>15.030</v>
      </c>
      <c r="E344" t="str">
        <f>"-1100.00"</f>
        <v>-1100.00</v>
      </c>
      <c r="F344" t="str">
        <f>"16499.61"</f>
        <v>16499.61</v>
      </c>
      <c r="G344" t="str">
        <f>"36619.11"</f>
        <v>36619.11</v>
      </c>
      <c r="H344" t="str">
        <f>"1700.00"</f>
        <v>1700.00</v>
      </c>
      <c r="I344" t="str">
        <f>"329"</f>
        <v>329</v>
      </c>
      <c r="J344" t="str">
        <f>"证券卖出(华脉科技)"</f>
        <v>证券卖出(华脉科技)</v>
      </c>
      <c r="K344" t="str">
        <f>"16.53"</f>
        <v>16.53</v>
      </c>
      <c r="L344" t="str">
        <f>"16.53"</f>
        <v>16.53</v>
      </c>
      <c r="M344" t="str">
        <f>"0.33"</f>
        <v>0.33</v>
      </c>
      <c r="N344" t="str">
        <f t="shared" ref="N344:N375" si="124">"0.00"</f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9"/>
        <v>人民币</v>
      </c>
      <c r="B345" t="str">
        <f>"凯龙股份"</f>
        <v>凯龙股份</v>
      </c>
      <c r="C345" t="str">
        <f>"20190906"</f>
        <v>20190906</v>
      </c>
      <c r="D345" t="str">
        <f>"13.940"</f>
        <v>13.940</v>
      </c>
      <c r="E345" t="str">
        <f>"-5800.00"</f>
        <v>-5800.00</v>
      </c>
      <c r="F345" t="str">
        <f>"80690.30"</f>
        <v>80690.30</v>
      </c>
      <c r="G345" t="str">
        <f>"170074.75"</f>
        <v>170074.75</v>
      </c>
      <c r="H345" t="str">
        <f>"0.00"</f>
        <v>0.00</v>
      </c>
      <c r="I345" t="str">
        <f>"358"</f>
        <v>358</v>
      </c>
      <c r="J345" t="str">
        <f>"证券卖出(凯龙股份)"</f>
        <v>证券卖出(凯龙股份)</v>
      </c>
      <c r="K345" t="str">
        <f>"80.85"</f>
        <v>80.85</v>
      </c>
      <c r="L345" t="str">
        <f>"80.85"</f>
        <v>80.85</v>
      </c>
      <c r="M345" t="str">
        <f t="shared" ref="M345:M351" si="125">"0.00"</f>
        <v>0.00</v>
      </c>
      <c r="N345" t="str">
        <f t="shared" si="124"/>
        <v>0.00</v>
      </c>
      <c r="O345" t="str">
        <f>"002783"</f>
        <v>002783</v>
      </c>
      <c r="P345" t="str">
        <f t="shared" ref="P345:P351" si="126">"0153613480"</f>
        <v>0153613480</v>
      </c>
    </row>
    <row r="346" spans="1:16" x14ac:dyDescent="0.25">
      <c r="A346" t="str">
        <f t="shared" si="119"/>
        <v>人民币</v>
      </c>
      <c r="B346" t="str">
        <f>"凯龙股份"</f>
        <v>凯龙股份</v>
      </c>
      <c r="C346" t="str">
        <f>"20190906"</f>
        <v>20190906</v>
      </c>
      <c r="D346" t="str">
        <f>"13.280"</f>
        <v>13.280</v>
      </c>
      <c r="E346" t="str">
        <f>"-3000.00"</f>
        <v>-3000.00</v>
      </c>
      <c r="F346" t="str">
        <f>"39760.32"</f>
        <v>39760.32</v>
      </c>
      <c r="G346" t="str">
        <f>"89384.45"</f>
        <v>89384.45</v>
      </c>
      <c r="H346" t="str">
        <f>"5800.00"</f>
        <v>5800.00</v>
      </c>
      <c r="I346" t="str">
        <f>"352"</f>
        <v>352</v>
      </c>
      <c r="J346" t="str">
        <f>"证券卖出(凯龙股份)"</f>
        <v>证券卖出(凯龙股份)</v>
      </c>
      <c r="K346" t="str">
        <f>"39.84"</f>
        <v>39.84</v>
      </c>
      <c r="L346" t="str">
        <f>"39.84"</f>
        <v>39.84</v>
      </c>
      <c r="M346" t="str">
        <f t="shared" si="125"/>
        <v>0.00</v>
      </c>
      <c r="N346" t="str">
        <f t="shared" si="124"/>
        <v>0.00</v>
      </c>
      <c r="O346" t="str">
        <f>"002783"</f>
        <v>002783</v>
      </c>
      <c r="P346" t="str">
        <f t="shared" si="126"/>
        <v>0153613480</v>
      </c>
    </row>
    <row r="347" spans="1:16" x14ac:dyDescent="0.25">
      <c r="A347" t="str">
        <f t="shared" si="119"/>
        <v>人民币</v>
      </c>
      <c r="B347" t="str">
        <f>"凯龙股份"</f>
        <v>凯龙股份</v>
      </c>
      <c r="C347" t="str">
        <f>"20190906"</f>
        <v>20190906</v>
      </c>
      <c r="D347" t="str">
        <f>"12.840"</f>
        <v>12.840</v>
      </c>
      <c r="E347" t="str">
        <f>"-1200.00"</f>
        <v>-1200.00</v>
      </c>
      <c r="F347" t="str">
        <f>"15377.18"</f>
        <v>15377.18</v>
      </c>
      <c r="G347" t="str">
        <f>"49624.13"</f>
        <v>49624.13</v>
      </c>
      <c r="H347" t="str">
        <f>"8800.00"</f>
        <v>8800.00</v>
      </c>
      <c r="I347" t="str">
        <f>"346"</f>
        <v>346</v>
      </c>
      <c r="J347" t="str">
        <f>"证券卖出(凯龙股份)"</f>
        <v>证券卖出(凯龙股份)</v>
      </c>
      <c r="K347" t="str">
        <f>"15.41"</f>
        <v>15.41</v>
      </c>
      <c r="L347" t="str">
        <f>"15.41"</f>
        <v>15.41</v>
      </c>
      <c r="M347" t="str">
        <f t="shared" si="125"/>
        <v>0.00</v>
      </c>
      <c r="N347" t="str">
        <f t="shared" si="124"/>
        <v>0.00</v>
      </c>
      <c r="O347" t="str">
        <f>"002783"</f>
        <v>002783</v>
      </c>
      <c r="P347" t="str">
        <f t="shared" si="126"/>
        <v>0153613480</v>
      </c>
    </row>
    <row r="348" spans="1:16" x14ac:dyDescent="0.25">
      <c r="A348" t="str">
        <f t="shared" si="119"/>
        <v>人民币</v>
      </c>
      <c r="B348" t="str">
        <f>"长城证券"</f>
        <v>长城证券</v>
      </c>
      <c r="C348" t="str">
        <f>"20190906"</f>
        <v>20190906</v>
      </c>
      <c r="D348" t="str">
        <f>"16.300"</f>
        <v>16.300</v>
      </c>
      <c r="E348" t="str">
        <f>"-1000.00"</f>
        <v>-1000.00</v>
      </c>
      <c r="F348" t="str">
        <f>"16267.40"</f>
        <v>16267.40</v>
      </c>
      <c r="G348" t="str">
        <f>"34246.95"</f>
        <v>34246.95</v>
      </c>
      <c r="H348" t="str">
        <f>"1200.00"</f>
        <v>1200.00</v>
      </c>
      <c r="I348" t="str">
        <f>"343"</f>
        <v>343</v>
      </c>
      <c r="J348" t="str">
        <f>"证券卖出(长城证券)"</f>
        <v>证券卖出(长城证券)</v>
      </c>
      <c r="K348" t="str">
        <f>"16.30"</f>
        <v>16.30</v>
      </c>
      <c r="L348" t="str">
        <f>"16.30"</f>
        <v>16.30</v>
      </c>
      <c r="M348" t="str">
        <f t="shared" si="125"/>
        <v>0.00</v>
      </c>
      <c r="N348" t="str">
        <f t="shared" si="124"/>
        <v>0.00</v>
      </c>
      <c r="O348" t="str">
        <f>"002939"</f>
        <v>002939</v>
      </c>
      <c r="P348" t="str">
        <f t="shared" si="126"/>
        <v>0153613480</v>
      </c>
    </row>
    <row r="349" spans="1:16" x14ac:dyDescent="0.25">
      <c r="A349" t="str">
        <f t="shared" si="119"/>
        <v>人民币</v>
      </c>
      <c r="B349" t="str">
        <f>"长城证券"</f>
        <v>长城证券</v>
      </c>
      <c r="C349" t="str">
        <f>"20190906"</f>
        <v>20190906</v>
      </c>
      <c r="D349" t="str">
        <f>"16.100"</f>
        <v>16.100</v>
      </c>
      <c r="E349" t="str">
        <f>"1000.00"</f>
        <v>1000.00</v>
      </c>
      <c r="F349" t="str">
        <f>"-16116.10"</f>
        <v>-16116.10</v>
      </c>
      <c r="G349" t="str">
        <f>"17979.55"</f>
        <v>17979.55</v>
      </c>
      <c r="H349" t="str">
        <f>"2200.00"</f>
        <v>2200.00</v>
      </c>
      <c r="I349" t="str">
        <f>"340"</f>
        <v>340</v>
      </c>
      <c r="J349" t="str">
        <f>"证券买入(长城证券)"</f>
        <v>证券买入(长城证券)</v>
      </c>
      <c r="K349" t="str">
        <f>"16.10"</f>
        <v>16.10</v>
      </c>
      <c r="L349" t="str">
        <f>"0.00"</f>
        <v>0.00</v>
      </c>
      <c r="M349" t="str">
        <f t="shared" si="125"/>
        <v>0.00</v>
      </c>
      <c r="N349" t="str">
        <f t="shared" si="124"/>
        <v>0.00</v>
      </c>
      <c r="O349" t="str">
        <f>"002939"</f>
        <v>002939</v>
      </c>
      <c r="P349" t="str">
        <f t="shared" si="126"/>
        <v>0153613480</v>
      </c>
    </row>
    <row r="350" spans="1:16" x14ac:dyDescent="0.25">
      <c r="A350" t="str">
        <f t="shared" si="119"/>
        <v>人民币</v>
      </c>
      <c r="B350" t="str">
        <f>"长城证券"</f>
        <v>长城证券</v>
      </c>
      <c r="C350" t="str">
        <f>"20190909"</f>
        <v>20190909</v>
      </c>
      <c r="D350" t="str">
        <f>"16.500"</f>
        <v>16.500</v>
      </c>
      <c r="E350" t="str">
        <f>"-1200.00"</f>
        <v>-1200.00</v>
      </c>
      <c r="F350" t="str">
        <f>"19760.40"</f>
        <v>19760.40</v>
      </c>
      <c r="G350" t="str">
        <f>"174885.95"</f>
        <v>174885.95</v>
      </c>
      <c r="H350" t="str">
        <f>"0.00"</f>
        <v>0.00</v>
      </c>
      <c r="I350" t="str">
        <f>"383"</f>
        <v>383</v>
      </c>
      <c r="J350" t="str">
        <f>"证券卖出(长城证券)"</f>
        <v>证券卖出(长城证券)</v>
      </c>
      <c r="K350" t="str">
        <f>"19.80"</f>
        <v>19.80</v>
      </c>
      <c r="L350" t="str">
        <f>"19.80"</f>
        <v>19.80</v>
      </c>
      <c r="M350" t="str">
        <f t="shared" si="125"/>
        <v>0.00</v>
      </c>
      <c r="N350" t="str">
        <f t="shared" si="124"/>
        <v>0.00</v>
      </c>
      <c r="O350" t="str">
        <f>"002939"</f>
        <v>002939</v>
      </c>
      <c r="P350" t="str">
        <f t="shared" si="126"/>
        <v>0153613480</v>
      </c>
    </row>
    <row r="351" spans="1:16" x14ac:dyDescent="0.25">
      <c r="A351" t="str">
        <f t="shared" si="119"/>
        <v>人民币</v>
      </c>
      <c r="B351" t="str">
        <f>"梅安森"</f>
        <v>梅安森</v>
      </c>
      <c r="C351" t="str">
        <f>"20190909"</f>
        <v>20190909</v>
      </c>
      <c r="D351" t="str">
        <f>"10.170"</f>
        <v>10.170</v>
      </c>
      <c r="E351" t="str">
        <f>"3000.00"</f>
        <v>3000.00</v>
      </c>
      <c r="F351" t="str">
        <f>"-30540.51"</f>
        <v>-30540.51</v>
      </c>
      <c r="G351" t="str">
        <f>"155125.55"</f>
        <v>155125.55</v>
      </c>
      <c r="H351" t="str">
        <f>"3000.00"</f>
        <v>3000.00</v>
      </c>
      <c r="I351" t="str">
        <f>"386"</f>
        <v>386</v>
      </c>
      <c r="J351" t="str">
        <f>"证券买入(梅安森)"</f>
        <v>证券买入(梅安森)</v>
      </c>
      <c r="K351" t="str">
        <f>"30.51"</f>
        <v>30.51</v>
      </c>
      <c r="L351" t="str">
        <f>"0.00"</f>
        <v>0.00</v>
      </c>
      <c r="M351" t="str">
        <f t="shared" si="125"/>
        <v>0.00</v>
      </c>
      <c r="N351" t="str">
        <f t="shared" si="124"/>
        <v>0.00</v>
      </c>
      <c r="O351" t="str">
        <f>"300275"</f>
        <v>300275</v>
      </c>
      <c r="P351" t="str">
        <f t="shared" si="126"/>
        <v>0153613480</v>
      </c>
    </row>
    <row r="352" spans="1:16" x14ac:dyDescent="0.25">
      <c r="A352" t="str">
        <f t="shared" si="119"/>
        <v>人民币</v>
      </c>
      <c r="B352" t="str">
        <f>"华脉科技"</f>
        <v>华脉科技</v>
      </c>
      <c r="C352" t="str">
        <f>"20190909"</f>
        <v>20190909</v>
      </c>
      <c r="D352" t="str">
        <f>"16.230"</f>
        <v>16.230</v>
      </c>
      <c r="E352" t="str">
        <f>"-800.00"</f>
        <v>-800.00</v>
      </c>
      <c r="F352" t="str">
        <f>"12957.78"</f>
        <v>12957.78</v>
      </c>
      <c r="G352" t="str">
        <f>"185666.06"</f>
        <v>185666.06</v>
      </c>
      <c r="H352" t="str">
        <f>"0.00"</f>
        <v>0.00</v>
      </c>
      <c r="I352" t="str">
        <f>"379"</f>
        <v>379</v>
      </c>
      <c r="J352" t="str">
        <f>"证券卖出(华脉科技)"</f>
        <v>证券卖出(华脉科技)</v>
      </c>
      <c r="K352" t="str">
        <f>"12.98"</f>
        <v>12.98</v>
      </c>
      <c r="L352" t="str">
        <f>"12.99"</f>
        <v>12.99</v>
      </c>
      <c r="M352" t="str">
        <f>"0.25"</f>
        <v>0.25</v>
      </c>
      <c r="N352" t="str">
        <f t="shared" si="124"/>
        <v>0.00</v>
      </c>
      <c r="O352" t="str">
        <f>"603042"</f>
        <v>603042</v>
      </c>
      <c r="P352" t="str">
        <f>"A400948245"</f>
        <v>A400948245</v>
      </c>
    </row>
    <row r="353" spans="1:16" x14ac:dyDescent="0.25">
      <c r="A353" t="str">
        <f t="shared" si="119"/>
        <v>人民币</v>
      </c>
      <c r="B353" t="str">
        <f>"华脉科技"</f>
        <v>华脉科技</v>
      </c>
      <c r="C353" t="str">
        <f>"20190909"</f>
        <v>20190909</v>
      </c>
      <c r="D353" t="str">
        <f>"16.150"</f>
        <v>16.150</v>
      </c>
      <c r="E353" t="str">
        <f>"-900.00"</f>
        <v>-900.00</v>
      </c>
      <c r="F353" t="str">
        <f>"14505.63"</f>
        <v>14505.63</v>
      </c>
      <c r="G353" t="str">
        <f>"172708.28"</f>
        <v>172708.28</v>
      </c>
      <c r="H353" t="str">
        <f>"800.00"</f>
        <v>800.00</v>
      </c>
      <c r="I353" t="str">
        <f>"375"</f>
        <v>375</v>
      </c>
      <c r="J353" t="str">
        <f>"证券卖出(华脉科技)"</f>
        <v>证券卖出(华脉科技)</v>
      </c>
      <c r="K353" t="str">
        <f>"14.54"</f>
        <v>14.54</v>
      </c>
      <c r="L353" t="str">
        <f>"14.54"</f>
        <v>14.54</v>
      </c>
      <c r="M353" t="str">
        <f>"0.29"</f>
        <v>0.29</v>
      </c>
      <c r="N353" t="str">
        <f t="shared" si="124"/>
        <v>0.00</v>
      </c>
      <c r="O353" t="str">
        <f>"603042"</f>
        <v>603042</v>
      </c>
      <c r="P353" t="str">
        <f>"A400948245"</f>
        <v>A400948245</v>
      </c>
    </row>
    <row r="354" spans="1:16" x14ac:dyDescent="0.25">
      <c r="A354" t="str">
        <f t="shared" si="119"/>
        <v>人民币</v>
      </c>
      <c r="B354" t="str">
        <f>"人民网"</f>
        <v>人民网</v>
      </c>
      <c r="C354" t="str">
        <f>"20190909"</f>
        <v>20190909</v>
      </c>
      <c r="D354" t="str">
        <f>"23.720"</f>
        <v>23.720</v>
      </c>
      <c r="E354" t="str">
        <f>"500.00"</f>
        <v>500.00</v>
      </c>
      <c r="F354" t="str">
        <f>"-11872.10"</f>
        <v>-11872.10</v>
      </c>
      <c r="G354" t="str">
        <f>"158202.65"</f>
        <v>158202.65</v>
      </c>
      <c r="H354" t="str">
        <f>"500.00"</f>
        <v>500.00</v>
      </c>
      <c r="I354" t="str">
        <f>"372"</f>
        <v>372</v>
      </c>
      <c r="J354" t="str">
        <f>"证券买入(人民网)"</f>
        <v>证券买入(人民网)</v>
      </c>
      <c r="K354" t="str">
        <f>"11.86"</f>
        <v>11.86</v>
      </c>
      <c r="L354" t="str">
        <f t="shared" ref="L354:L364" si="127">"0.00"</f>
        <v>0.00</v>
      </c>
      <c r="M354" t="str">
        <f>"0.24"</f>
        <v>0.24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9"/>
        <v>人民币</v>
      </c>
      <c r="B355" t="str">
        <f>"宇瞳光学"</f>
        <v>宇瞳光学</v>
      </c>
      <c r="C355" t="str">
        <f t="shared" ref="C355:C362" si="128">"20190910"</f>
        <v>20190910</v>
      </c>
      <c r="D355" t="str">
        <f>"0.000"</f>
        <v>0.000</v>
      </c>
      <c r="E355" t="str">
        <f>"17.00"</f>
        <v>17.00</v>
      </c>
      <c r="F355" t="str">
        <f>"0.00"</f>
        <v>0.00</v>
      </c>
      <c r="G355" t="str">
        <f>"71204.76"</f>
        <v>71204.76</v>
      </c>
      <c r="H355" t="str">
        <f>"0.00"</f>
        <v>0.00</v>
      </c>
      <c r="I355" t="str">
        <f>"7"</f>
        <v>7</v>
      </c>
      <c r="J355" t="str">
        <f>"申购配号(宇瞳光学)"</f>
        <v>申购配号(宇瞳光学)</v>
      </c>
      <c r="K355" t="str">
        <f>"0.00"</f>
        <v>0.00</v>
      </c>
      <c r="L355" t="str">
        <f t="shared" si="127"/>
        <v>0.00</v>
      </c>
      <c r="M355" t="str">
        <f>"0.00"</f>
        <v>0.00</v>
      </c>
      <c r="N355" t="str">
        <f t="shared" si="124"/>
        <v>0.00</v>
      </c>
      <c r="O355" t="str">
        <f>"300790"</f>
        <v>300790</v>
      </c>
      <c r="P355" t="str">
        <f>"0153613480"</f>
        <v>0153613480</v>
      </c>
    </row>
    <row r="356" spans="1:16" x14ac:dyDescent="0.25">
      <c r="A356" t="str">
        <f t="shared" si="119"/>
        <v>人民币</v>
      </c>
      <c r="B356" t="str">
        <f>"诚志股份"</f>
        <v>诚志股份</v>
      </c>
      <c r="C356" t="str">
        <f t="shared" si="128"/>
        <v>20190910</v>
      </c>
      <c r="D356" t="str">
        <f>"16.490"</f>
        <v>16.490</v>
      </c>
      <c r="E356" t="str">
        <f>"2000.00"</f>
        <v>2000.00</v>
      </c>
      <c r="F356" t="str">
        <f>"-33012.98"</f>
        <v>-33012.98</v>
      </c>
      <c r="G356" t="str">
        <f>"71204.76"</f>
        <v>71204.76</v>
      </c>
      <c r="H356" t="str">
        <f>"2000.00"</f>
        <v>2000.00</v>
      </c>
      <c r="I356" t="str">
        <f>"12"</f>
        <v>12</v>
      </c>
      <c r="J356" t="str">
        <f>"证券买入(诚志股份)"</f>
        <v>证券买入(诚志股份)</v>
      </c>
      <c r="K356" t="str">
        <f>"32.98"</f>
        <v>32.98</v>
      </c>
      <c r="L356" t="str">
        <f t="shared" si="127"/>
        <v>0.00</v>
      </c>
      <c r="M356" t="str">
        <f>"0.00"</f>
        <v>0.00</v>
      </c>
      <c r="N356" t="str">
        <f t="shared" si="124"/>
        <v>0.00</v>
      </c>
      <c r="O356" t="str">
        <f>"000990"</f>
        <v>000990</v>
      </c>
      <c r="P356" t="str">
        <f>"0153613480"</f>
        <v>0153613480</v>
      </c>
    </row>
    <row r="357" spans="1:16" x14ac:dyDescent="0.25">
      <c r="A357" t="str">
        <f t="shared" si="119"/>
        <v>人民币</v>
      </c>
      <c r="B357" t="str">
        <f>"梅安森"</f>
        <v>梅安森</v>
      </c>
      <c r="C357" t="str">
        <f t="shared" si="128"/>
        <v>20190910</v>
      </c>
      <c r="D357" t="str">
        <f>"10.290"</f>
        <v>10.290</v>
      </c>
      <c r="E357" t="str">
        <f>"3000.00"</f>
        <v>3000.00</v>
      </c>
      <c r="F357" t="str">
        <f>"-30900.87"</f>
        <v>-30900.87</v>
      </c>
      <c r="G357" t="str">
        <f>"104217.74"</f>
        <v>104217.74</v>
      </c>
      <c r="H357" t="str">
        <f>"6000.00"</f>
        <v>6000.00</v>
      </c>
      <c r="I357" t="str">
        <f>"4"</f>
        <v>4</v>
      </c>
      <c r="J357" t="str">
        <f>"证券买入(梅安森)"</f>
        <v>证券买入(梅安森)</v>
      </c>
      <c r="K357" t="str">
        <f>"30.87"</f>
        <v>30.87</v>
      </c>
      <c r="L357" t="str">
        <f t="shared" si="127"/>
        <v>0.00</v>
      </c>
      <c r="M357" t="str">
        <f>"0.00"</f>
        <v>0.00</v>
      </c>
      <c r="N357" t="str">
        <f t="shared" si="124"/>
        <v>0.00</v>
      </c>
      <c r="O357" t="str">
        <f>"300275"</f>
        <v>300275</v>
      </c>
      <c r="P357" t="str">
        <f>"0153613480"</f>
        <v>0153613480</v>
      </c>
    </row>
    <row r="358" spans="1:16" x14ac:dyDescent="0.25">
      <c r="A358" t="str">
        <f t="shared" si="119"/>
        <v>人民币</v>
      </c>
      <c r="B358" t="str">
        <f>"中通国脉"</f>
        <v>中通国脉</v>
      </c>
      <c r="C358" t="str">
        <f t="shared" si="128"/>
        <v>20190910</v>
      </c>
      <c r="D358" t="str">
        <f>"21.280"</f>
        <v>21.280</v>
      </c>
      <c r="E358" t="str">
        <f>"400.00"</f>
        <v>400.00</v>
      </c>
      <c r="F358" t="str">
        <f>"-8520.68"</f>
        <v>-8520.68</v>
      </c>
      <c r="G358" t="str">
        <f>"135118.61"</f>
        <v>135118.61</v>
      </c>
      <c r="H358" t="str">
        <f>"3700.00"</f>
        <v>3700.00</v>
      </c>
      <c r="I358" t="str">
        <f>"35"</f>
        <v>35</v>
      </c>
      <c r="J358" t="str">
        <f>"证券买入(中通国脉)"</f>
        <v>证券买入(中通国脉)</v>
      </c>
      <c r="K358" t="str">
        <f>"8.51"</f>
        <v>8.51</v>
      </c>
      <c r="L358" t="str">
        <f t="shared" si="127"/>
        <v>0.00</v>
      </c>
      <c r="M358" t="str">
        <f>"0.17"</f>
        <v>0.17</v>
      </c>
      <c r="N358" t="str">
        <f t="shared" si="124"/>
        <v>0.00</v>
      </c>
      <c r="O358" t="str">
        <f>"603559"</f>
        <v>603559</v>
      </c>
      <c r="P358" t="str">
        <f>"A400948245"</f>
        <v>A400948245</v>
      </c>
    </row>
    <row r="359" spans="1:16" x14ac:dyDescent="0.25">
      <c r="A359" t="str">
        <f t="shared" si="119"/>
        <v>人民币</v>
      </c>
      <c r="B359" t="str">
        <f>"中通国脉"</f>
        <v>中通国脉</v>
      </c>
      <c r="C359" t="str">
        <f t="shared" si="128"/>
        <v>20190910</v>
      </c>
      <c r="D359" t="str">
        <f>"21.500"</f>
        <v>21.500</v>
      </c>
      <c r="E359" t="str">
        <f>"300.00"</f>
        <v>300.00</v>
      </c>
      <c r="F359" t="str">
        <f>"-6456.58"</f>
        <v>-6456.58</v>
      </c>
      <c r="G359" t="str">
        <f>"143639.29"</f>
        <v>143639.29</v>
      </c>
      <c r="H359" t="str">
        <f>"3300.00"</f>
        <v>3300.00</v>
      </c>
      <c r="I359" t="str">
        <f>"31"</f>
        <v>31</v>
      </c>
      <c r="J359" t="str">
        <f>"证券买入(中通国脉)"</f>
        <v>证券买入(中通国脉)</v>
      </c>
      <c r="K359" t="str">
        <f>"6.45"</f>
        <v>6.45</v>
      </c>
      <c r="L359" t="str">
        <f t="shared" si="127"/>
        <v>0.00</v>
      </c>
      <c r="M359" t="str">
        <f>"0.13"</f>
        <v>0.13</v>
      </c>
      <c r="N359" t="str">
        <f t="shared" si="124"/>
        <v>0.00</v>
      </c>
      <c r="O359" t="str">
        <f>"603559"</f>
        <v>603559</v>
      </c>
      <c r="P359" t="str">
        <f>"A400948245"</f>
        <v>A400948245</v>
      </c>
    </row>
    <row r="360" spans="1:16" x14ac:dyDescent="0.25">
      <c r="A360" t="str">
        <f t="shared" si="119"/>
        <v>人民币</v>
      </c>
      <c r="B360" t="str">
        <f>"中通国脉"</f>
        <v>中通国脉</v>
      </c>
      <c r="C360" t="str">
        <f t="shared" si="128"/>
        <v>20190910</v>
      </c>
      <c r="D360" t="str">
        <f>"21.770"</f>
        <v>21.770</v>
      </c>
      <c r="E360" t="str">
        <f>"100.00"</f>
        <v>100.00</v>
      </c>
      <c r="F360" t="str">
        <f>"-2182.04"</f>
        <v>-2182.04</v>
      </c>
      <c r="G360" t="str">
        <f>"150095.87"</f>
        <v>150095.87</v>
      </c>
      <c r="H360" t="str">
        <f>"3000.00"</f>
        <v>3000.00</v>
      </c>
      <c r="I360" t="str">
        <f>"24"</f>
        <v>24</v>
      </c>
      <c r="J360" t="str">
        <f>"证券买入(中通国脉)"</f>
        <v>证券买入(中通国脉)</v>
      </c>
      <c r="K360" t="str">
        <f>"5.00"</f>
        <v>5.00</v>
      </c>
      <c r="L360" t="str">
        <f t="shared" si="127"/>
        <v>0.00</v>
      </c>
      <c r="M360" t="str">
        <f>"0.04"</f>
        <v>0.04</v>
      </c>
      <c r="N360" t="str">
        <f t="shared" si="124"/>
        <v>0.00</v>
      </c>
      <c r="O360" t="str">
        <f>"603559"</f>
        <v>603559</v>
      </c>
      <c r="P360" t="str">
        <f>"A400948245"</f>
        <v>A400948245</v>
      </c>
    </row>
    <row r="361" spans="1:16" x14ac:dyDescent="0.25">
      <c r="A361" t="str">
        <f t="shared" si="119"/>
        <v>人民币</v>
      </c>
      <c r="B361" t="str">
        <f>"中通国脉"</f>
        <v>中通国脉</v>
      </c>
      <c r="C361" t="str">
        <f t="shared" si="128"/>
        <v>20190910</v>
      </c>
      <c r="D361" t="str">
        <f>"21.950"</f>
        <v>21.950</v>
      </c>
      <c r="E361" t="str">
        <f>"500.00"</f>
        <v>500.00</v>
      </c>
      <c r="F361" t="str">
        <f>"-10986.20"</f>
        <v>-10986.20</v>
      </c>
      <c r="G361" t="str">
        <f>"152277.91"</f>
        <v>152277.91</v>
      </c>
      <c r="H361" t="str">
        <f>"2900.00"</f>
        <v>2900.00</v>
      </c>
      <c r="I361" t="str">
        <f>"21"</f>
        <v>21</v>
      </c>
      <c r="J361" t="str">
        <f>"证券买入(中通国脉)"</f>
        <v>证券买入(中通国脉)</v>
      </c>
      <c r="K361" t="str">
        <f>"10.98"</f>
        <v>10.98</v>
      </c>
      <c r="L361" t="str">
        <f t="shared" si="127"/>
        <v>0.00</v>
      </c>
      <c r="M361" t="str">
        <f>"0.22"</f>
        <v>0.22</v>
      </c>
      <c r="N361" t="str">
        <f t="shared" si="124"/>
        <v>0.00</v>
      </c>
      <c r="O361" t="str">
        <f>"603559"</f>
        <v>603559</v>
      </c>
      <c r="P361" t="str">
        <f>"A400948245"</f>
        <v>A400948245</v>
      </c>
    </row>
    <row r="362" spans="1:16" x14ac:dyDescent="0.25">
      <c r="A362" t="str">
        <f t="shared" si="119"/>
        <v>人民币</v>
      </c>
      <c r="B362" t="str">
        <f>"人民网"</f>
        <v>人民网</v>
      </c>
      <c r="C362" t="str">
        <f t="shared" si="128"/>
        <v>20190910</v>
      </c>
      <c r="D362" t="str">
        <f>"23.220"</f>
        <v>23.220</v>
      </c>
      <c r="E362" t="str">
        <f>"500.00"</f>
        <v>500.00</v>
      </c>
      <c r="F362" t="str">
        <f>"-11621.84"</f>
        <v>-11621.84</v>
      </c>
      <c r="G362" t="str">
        <f>"163264.11"</f>
        <v>163264.11</v>
      </c>
      <c r="H362" t="str">
        <f>"1000.00"</f>
        <v>1000.00</v>
      </c>
      <c r="I362" t="str">
        <f>"18"</f>
        <v>18</v>
      </c>
      <c r="J362" t="str">
        <f>"证券买入(人民网)"</f>
        <v>证券买入(人民网)</v>
      </c>
      <c r="K362" t="str">
        <f>"11.61"</f>
        <v>11.61</v>
      </c>
      <c r="L362" t="str">
        <f t="shared" si="127"/>
        <v>0.00</v>
      </c>
      <c r="M362" t="str">
        <f>"0.23"</f>
        <v>0.23</v>
      </c>
      <c r="N362" t="str">
        <f t="shared" si="124"/>
        <v>0.00</v>
      </c>
      <c r="O362" t="str">
        <f>"603000"</f>
        <v>603000</v>
      </c>
      <c r="P362" t="str">
        <f>"A400948245"</f>
        <v>A400948245</v>
      </c>
    </row>
    <row r="363" spans="1:16" x14ac:dyDescent="0.25">
      <c r="A363" t="str">
        <f t="shared" si="119"/>
        <v>人民币</v>
      </c>
      <c r="B363" t="str">
        <f>"顺灏股份"</f>
        <v>顺灏股份</v>
      </c>
      <c r="C363" t="str">
        <f t="shared" ref="C363:C368" si="129">"20190911"</f>
        <v>20190911</v>
      </c>
      <c r="D363" t="str">
        <f>"8.300"</f>
        <v>8.300</v>
      </c>
      <c r="E363" t="str">
        <f>"1000.00"</f>
        <v>1000.00</v>
      </c>
      <c r="F363" t="str">
        <f>"-8308.30"</f>
        <v>-8308.30</v>
      </c>
      <c r="G363" t="str">
        <f>"86726.00"</f>
        <v>86726.00</v>
      </c>
      <c r="H363" t="str">
        <f>"3000.00"</f>
        <v>3000.00</v>
      </c>
      <c r="I363" t="str">
        <f>"87"</f>
        <v>87</v>
      </c>
      <c r="J363" t="str">
        <f>"证券买入(顺灏股份)"</f>
        <v>证券买入(顺灏股份)</v>
      </c>
      <c r="K363" t="str">
        <f>"8.30"</f>
        <v>8.30</v>
      </c>
      <c r="L363" t="str">
        <f t="shared" si="127"/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9"/>
        <v>人民币</v>
      </c>
      <c r="B364" t="str">
        <f>"顺灏股份"</f>
        <v>顺灏股份</v>
      </c>
      <c r="C364" t="str">
        <f t="shared" si="129"/>
        <v>20190911</v>
      </c>
      <c r="D364" t="str">
        <f>"8.450"</f>
        <v>8.450</v>
      </c>
      <c r="E364" t="str">
        <f>"2000.00"</f>
        <v>2000.00</v>
      </c>
      <c r="F364" t="str">
        <f>"-16916.90"</f>
        <v>-16916.90</v>
      </c>
      <c r="G364" t="str">
        <f>"95034.30"</f>
        <v>95034.30</v>
      </c>
      <c r="H364" t="str">
        <f>"2000.00"</f>
        <v>2000.00</v>
      </c>
      <c r="I364" t="str">
        <f>"78"</f>
        <v>78</v>
      </c>
      <c r="J364" t="str">
        <f>"证券买入(顺灏股份)"</f>
        <v>证券买入(顺灏股份)</v>
      </c>
      <c r="K364" t="str">
        <f>"16.90"</f>
        <v>16.90</v>
      </c>
      <c r="L364" t="str">
        <f t="shared" si="127"/>
        <v>0.00</v>
      </c>
      <c r="M364" t="str">
        <f>"0.00"</f>
        <v>0.00</v>
      </c>
      <c r="N364" t="str">
        <f t="shared" si="124"/>
        <v>0.00</v>
      </c>
      <c r="O364" t="str">
        <f>"002565"</f>
        <v>002565</v>
      </c>
      <c r="P364" t="str">
        <f>"0153613480"</f>
        <v>0153613480</v>
      </c>
    </row>
    <row r="365" spans="1:16" x14ac:dyDescent="0.25">
      <c r="A365" t="str">
        <f t="shared" si="119"/>
        <v>人民币</v>
      </c>
      <c r="B365" t="str">
        <f>"诚志股份"</f>
        <v>诚志股份</v>
      </c>
      <c r="C365" t="str">
        <f t="shared" si="129"/>
        <v>20190911</v>
      </c>
      <c r="D365" t="str">
        <f>"17.510"</f>
        <v>17.510</v>
      </c>
      <c r="E365" t="str">
        <f>"-2000.00"</f>
        <v>-2000.00</v>
      </c>
      <c r="F365" t="str">
        <f>"34949.96"</f>
        <v>34949.96</v>
      </c>
      <c r="G365" t="str">
        <f>"111951.20"</f>
        <v>111951.20</v>
      </c>
      <c r="H365" t="str">
        <f>"0.00"</f>
        <v>0.00</v>
      </c>
      <c r="I365" t="str">
        <f>"59"</f>
        <v>59</v>
      </c>
      <c r="J365" t="str">
        <f>"证券卖出(诚志股份)"</f>
        <v>证券卖出(诚志股份)</v>
      </c>
      <c r="K365" t="str">
        <f>"35.02"</f>
        <v>35.02</v>
      </c>
      <c r="L365" t="str">
        <f>"35.02"</f>
        <v>35.02</v>
      </c>
      <c r="M365" t="str">
        <f>"0.00"</f>
        <v>0.00</v>
      </c>
      <c r="N365" t="str">
        <f t="shared" si="124"/>
        <v>0.00</v>
      </c>
      <c r="O365" t="str">
        <f>"000990"</f>
        <v>000990</v>
      </c>
      <c r="P365" t="str">
        <f>"0153613480"</f>
        <v>0153613480</v>
      </c>
    </row>
    <row r="366" spans="1:16" x14ac:dyDescent="0.25">
      <c r="A366" t="str">
        <f t="shared" si="119"/>
        <v>人民币</v>
      </c>
      <c r="B366" t="str">
        <f>"南京证券"</f>
        <v>南京证券</v>
      </c>
      <c r="C366" t="str">
        <f t="shared" si="129"/>
        <v>20190911</v>
      </c>
      <c r="D366" t="str">
        <f>"9.320"</f>
        <v>9.320</v>
      </c>
      <c r="E366" t="str">
        <f>"2000.00"</f>
        <v>2000.00</v>
      </c>
      <c r="F366" t="str">
        <f>"-18659.01"</f>
        <v>-18659.01</v>
      </c>
      <c r="G366" t="str">
        <f>"77001.24"</f>
        <v>77001.24</v>
      </c>
      <c r="H366" t="str">
        <f>"2000.00"</f>
        <v>2000.00</v>
      </c>
      <c r="I366" t="str">
        <f>"84"</f>
        <v>84</v>
      </c>
      <c r="J366" t="str">
        <f>"证券买入(南京证券)"</f>
        <v>证券买入(南京证券)</v>
      </c>
      <c r="K366" t="str">
        <f>"18.64"</f>
        <v>18.64</v>
      </c>
      <c r="L366" t="str">
        <f>"0.00"</f>
        <v>0.00</v>
      </c>
      <c r="M366" t="str">
        <f>"0.37"</f>
        <v>0.37</v>
      </c>
      <c r="N366" t="str">
        <f t="shared" si="124"/>
        <v>0.00</v>
      </c>
      <c r="O366" t="str">
        <f>"601990"</f>
        <v>601990</v>
      </c>
      <c r="P366" t="str">
        <f>"A400948245"</f>
        <v>A400948245</v>
      </c>
    </row>
    <row r="367" spans="1:16" x14ac:dyDescent="0.25">
      <c r="A367" t="str">
        <f t="shared" si="119"/>
        <v>人民币</v>
      </c>
      <c r="B367" t="str">
        <f>"人民网"</f>
        <v>人民网</v>
      </c>
      <c r="C367" t="str">
        <f t="shared" si="129"/>
        <v>20190911</v>
      </c>
      <c r="D367" t="str">
        <f>"24.600"</f>
        <v>24.600</v>
      </c>
      <c r="E367" t="str">
        <f>"-500.00"</f>
        <v>-500.00</v>
      </c>
      <c r="F367" t="str">
        <f>"12275.15"</f>
        <v>12275.15</v>
      </c>
      <c r="G367" t="str">
        <f>"95660.25"</f>
        <v>95660.25</v>
      </c>
      <c r="H367" t="str">
        <f>"0.00"</f>
        <v>0.00</v>
      </c>
      <c r="I367" t="str">
        <f>"72"</f>
        <v>72</v>
      </c>
      <c r="J367" t="str">
        <f>"证券卖出(人民网)"</f>
        <v>证券卖出(人民网)</v>
      </c>
      <c r="K367" t="str">
        <f>"12.30"</f>
        <v>12.30</v>
      </c>
      <c r="L367" t="str">
        <f>"12.30"</f>
        <v>12.30</v>
      </c>
      <c r="M367" t="str">
        <f>"0.25"</f>
        <v>0.25</v>
      </c>
      <c r="N367" t="str">
        <f t="shared" si="124"/>
        <v>0.00</v>
      </c>
      <c r="O367" t="str">
        <f>"603000"</f>
        <v>603000</v>
      </c>
      <c r="P367" t="str">
        <f>"A400948245"</f>
        <v>A400948245</v>
      </c>
    </row>
    <row r="368" spans="1:16" x14ac:dyDescent="0.25">
      <c r="A368" t="str">
        <f t="shared" si="119"/>
        <v>人民币</v>
      </c>
      <c r="B368" t="str">
        <f>"人民网"</f>
        <v>人民网</v>
      </c>
      <c r="C368" t="str">
        <f t="shared" si="129"/>
        <v>20190911</v>
      </c>
      <c r="D368" t="str">
        <f>"24.410"</f>
        <v>24.410</v>
      </c>
      <c r="E368" t="str">
        <f>"-500.00"</f>
        <v>-500.00</v>
      </c>
      <c r="F368" t="str">
        <f>"12180.34"</f>
        <v>12180.34</v>
      </c>
      <c r="G368" t="str">
        <f>"83385.10"</f>
        <v>83385.10</v>
      </c>
      <c r="H368" t="str">
        <f>"500.00"</f>
        <v>500.00</v>
      </c>
      <c r="I368" t="str">
        <f>"69"</f>
        <v>69</v>
      </c>
      <c r="J368" t="str">
        <f>"证券卖出(人民网)"</f>
        <v>证券卖出(人民网)</v>
      </c>
      <c r="K368" t="str">
        <f>"12.21"</f>
        <v>12.21</v>
      </c>
      <c r="L368" t="str">
        <f>"12.21"</f>
        <v>12.21</v>
      </c>
      <c r="M368" t="str">
        <f>"0.24"</f>
        <v>0.24</v>
      </c>
      <c r="N368" t="str">
        <f t="shared" si="124"/>
        <v>0.00</v>
      </c>
      <c r="O368" t="str">
        <f>"603000"</f>
        <v>603000</v>
      </c>
      <c r="P368" t="str">
        <f>"A400948245"</f>
        <v>A400948245</v>
      </c>
    </row>
    <row r="369" spans="1:16" x14ac:dyDescent="0.25">
      <c r="A369" t="str">
        <f t="shared" si="119"/>
        <v>人民币</v>
      </c>
      <c r="B369" t="str">
        <f>"仙乐健康"</f>
        <v>仙乐健康</v>
      </c>
      <c r="C369" t="str">
        <f>"20190912"</f>
        <v>20190912</v>
      </c>
      <c r="D369" t="str">
        <f>"0.000"</f>
        <v>0.000</v>
      </c>
      <c r="E369" t="str">
        <f>"17.00"</f>
        <v>17.00</v>
      </c>
      <c r="F369" t="str">
        <f>"0.00"</f>
        <v>0.00</v>
      </c>
      <c r="G369" t="str">
        <f>"106158.99"</f>
        <v>106158.99</v>
      </c>
      <c r="H369" t="str">
        <f>"0.00"</f>
        <v>0.00</v>
      </c>
      <c r="I369" t="str">
        <f>"99"</f>
        <v>99</v>
      </c>
      <c r="J369" t="str">
        <f>"申购配号(仙乐健康)"</f>
        <v>申购配号(仙乐健康)</v>
      </c>
      <c r="K369" t="str">
        <f>"0.00"</f>
        <v>0.00</v>
      </c>
      <c r="L369" t="str">
        <f>"0.00"</f>
        <v>0.00</v>
      </c>
      <c r="M369" t="str">
        <f>"0.00"</f>
        <v>0.00</v>
      </c>
      <c r="N369" t="str">
        <f t="shared" si="124"/>
        <v>0.00</v>
      </c>
      <c r="O369" t="str">
        <f>"300791"</f>
        <v>300791</v>
      </c>
      <c r="P369" t="str">
        <f>"0153613480"</f>
        <v>0153613480</v>
      </c>
    </row>
    <row r="370" spans="1:16" x14ac:dyDescent="0.25">
      <c r="A370" t="str">
        <f t="shared" si="119"/>
        <v>人民币</v>
      </c>
      <c r="B370" t="str">
        <f>"顺灏股份"</f>
        <v>顺灏股份</v>
      </c>
      <c r="C370" t="str">
        <f>"20190912"</f>
        <v>20190912</v>
      </c>
      <c r="D370" t="str">
        <f>"8.260"</f>
        <v>8.260</v>
      </c>
      <c r="E370" t="str">
        <f>"-2000.00"</f>
        <v>-2000.00</v>
      </c>
      <c r="F370" t="str">
        <f>"16486.96"</f>
        <v>16486.96</v>
      </c>
      <c r="G370" t="str">
        <f>"106158.99"</f>
        <v>106158.99</v>
      </c>
      <c r="H370" t="str">
        <f>"3000.00"</f>
        <v>3000.00</v>
      </c>
      <c r="I370" t="str">
        <f>"101"</f>
        <v>101</v>
      </c>
      <c r="J370" t="str">
        <f>"证券卖出(顺灏股份)"</f>
        <v>证券卖出(顺灏股份)</v>
      </c>
      <c r="K370" t="str">
        <f>"16.52"</f>
        <v>16.52</v>
      </c>
      <c r="L370" t="str">
        <f>"16.52"</f>
        <v>16.52</v>
      </c>
      <c r="M370" t="str">
        <f>"0.00"</f>
        <v>0.00</v>
      </c>
      <c r="N370" t="str">
        <f t="shared" si="124"/>
        <v>0.00</v>
      </c>
      <c r="O370" t="str">
        <f>"002565"</f>
        <v>002565</v>
      </c>
      <c r="P370" t="str">
        <f>"0153613480"</f>
        <v>0153613480</v>
      </c>
    </row>
    <row r="371" spans="1:16" x14ac:dyDescent="0.25">
      <c r="A371" t="str">
        <f t="shared" si="119"/>
        <v>人民币</v>
      </c>
      <c r="B371" t="str">
        <f>"顺灏股份"</f>
        <v>顺灏股份</v>
      </c>
      <c r="C371" t="str">
        <f>"20190912"</f>
        <v>20190912</v>
      </c>
      <c r="D371" t="str">
        <f>"7.930"</f>
        <v>7.930</v>
      </c>
      <c r="E371" t="str">
        <f>"2000.00"</f>
        <v>2000.00</v>
      </c>
      <c r="F371" t="str">
        <f>"-15875.86"</f>
        <v>-15875.86</v>
      </c>
      <c r="G371" t="str">
        <f>"89672.03"</f>
        <v>89672.03</v>
      </c>
      <c r="H371" t="str">
        <f>"5000.00"</f>
        <v>5000.00</v>
      </c>
      <c r="I371" t="str">
        <f>"96"</f>
        <v>96</v>
      </c>
      <c r="J371" t="str">
        <f>"证券买入(顺灏股份)"</f>
        <v>证券买入(顺灏股份)</v>
      </c>
      <c r="K371" t="str">
        <f>"15.86"</f>
        <v>15.86</v>
      </c>
      <c r="L371" t="str">
        <f>"0.00"</f>
        <v>0.00</v>
      </c>
      <c r="M371" t="str">
        <f>"0.00"</f>
        <v>0.00</v>
      </c>
      <c r="N371" t="str">
        <f t="shared" si="124"/>
        <v>0.00</v>
      </c>
      <c r="O371" t="str">
        <f>"002565"</f>
        <v>002565</v>
      </c>
      <c r="P371" t="str">
        <f>"0153613480"</f>
        <v>0153613480</v>
      </c>
    </row>
    <row r="372" spans="1:16" x14ac:dyDescent="0.25">
      <c r="A372" t="str">
        <f t="shared" si="119"/>
        <v>人民币</v>
      </c>
      <c r="B372" t="str">
        <f>"南京证券"</f>
        <v>南京证券</v>
      </c>
      <c r="C372" t="str">
        <f>"20190912"</f>
        <v>20190912</v>
      </c>
      <c r="D372" t="str">
        <f>"9.430"</f>
        <v>9.430</v>
      </c>
      <c r="E372" t="str">
        <f>"-2000.00"</f>
        <v>-2000.00</v>
      </c>
      <c r="F372" t="str">
        <f>"18821.89"</f>
        <v>18821.89</v>
      </c>
      <c r="G372" t="str">
        <f>"105547.89"</f>
        <v>105547.89</v>
      </c>
      <c r="H372" t="str">
        <f>"0.00"</f>
        <v>0.00</v>
      </c>
      <c r="I372" t="str">
        <f>"104"</f>
        <v>104</v>
      </c>
      <c r="J372" t="str">
        <f>"证券卖出(南京证券)"</f>
        <v>证券卖出(南京证券)</v>
      </c>
      <c r="K372" t="str">
        <f>"18.86"</f>
        <v>18.86</v>
      </c>
      <c r="L372" t="str">
        <f>"18.86"</f>
        <v>18.86</v>
      </c>
      <c r="M372" t="str">
        <f>"0.39"</f>
        <v>0.39</v>
      </c>
      <c r="N372" t="str">
        <f t="shared" si="124"/>
        <v>0.00</v>
      </c>
      <c r="O372" t="str">
        <f>"601990"</f>
        <v>601990</v>
      </c>
      <c r="P372" t="str">
        <f>"A400948245"</f>
        <v>A400948245</v>
      </c>
    </row>
    <row r="373" spans="1:16" x14ac:dyDescent="0.25">
      <c r="A373" t="str">
        <f t="shared" si="119"/>
        <v>人民币</v>
      </c>
      <c r="B373" t="str">
        <f>"顺灏股份"</f>
        <v>顺灏股份</v>
      </c>
      <c r="C373" t="str">
        <f>"20190916"</f>
        <v>20190916</v>
      </c>
      <c r="D373" t="str">
        <f>"8.240"</f>
        <v>8.240</v>
      </c>
      <c r="E373" t="str">
        <f>"2000.00"</f>
        <v>2000.00</v>
      </c>
      <c r="F373" t="str">
        <f>"-16496.48"</f>
        <v>-16496.48</v>
      </c>
      <c r="G373" t="str">
        <f>"128502.79"</f>
        <v>128502.79</v>
      </c>
      <c r="H373" t="str">
        <f>"5000.00"</f>
        <v>5000.00</v>
      </c>
      <c r="I373" t="str">
        <f>"112"</f>
        <v>112</v>
      </c>
      <c r="J373" t="str">
        <f>"证券买入(顺灏股份)"</f>
        <v>证券买入(顺灏股份)</v>
      </c>
      <c r="K373" t="str">
        <f>"16.48"</f>
        <v>16.48</v>
      </c>
      <c r="L373" t="str">
        <f>"0.00"</f>
        <v>0.00</v>
      </c>
      <c r="M373" t="str">
        <f>"0.00"</f>
        <v>0.00</v>
      </c>
      <c r="N373" t="str">
        <f t="shared" si="124"/>
        <v>0.00</v>
      </c>
      <c r="O373" t="str">
        <f>"002565"</f>
        <v>002565</v>
      </c>
      <c r="P373" t="str">
        <f>"0153613480"</f>
        <v>0153613480</v>
      </c>
    </row>
    <row r="374" spans="1:16" x14ac:dyDescent="0.25">
      <c r="A374" t="str">
        <f t="shared" si="119"/>
        <v>人民币</v>
      </c>
      <c r="B374" t="str">
        <f>"梅安森"</f>
        <v>梅安森</v>
      </c>
      <c r="C374" t="str">
        <f>"20190916"</f>
        <v>20190916</v>
      </c>
      <c r="D374" t="str">
        <f>"10.910"</f>
        <v>10.910</v>
      </c>
      <c r="E374" t="str">
        <f>"-3000.00"</f>
        <v>-3000.00</v>
      </c>
      <c r="F374" t="str">
        <f>"32664.54"</f>
        <v>32664.54</v>
      </c>
      <c r="G374" t="str">
        <f>"144999.27"</f>
        <v>144999.27</v>
      </c>
      <c r="H374" t="str">
        <f>"0.00"</f>
        <v>0.00</v>
      </c>
      <c r="I374" t="str">
        <f>"141"</f>
        <v>141</v>
      </c>
      <c r="J374" t="str">
        <f>"证券卖出(梅安森)"</f>
        <v>证券卖出(梅安森)</v>
      </c>
      <c r="K374" t="str">
        <f>"32.73"</f>
        <v>32.73</v>
      </c>
      <c r="L374" t="str">
        <f>"32.73"</f>
        <v>32.73</v>
      </c>
      <c r="M374" t="str">
        <f>"0.00"</f>
        <v>0.00</v>
      </c>
      <c r="N374" t="str">
        <f t="shared" si="124"/>
        <v>0.00</v>
      </c>
      <c r="O374" t="str">
        <f>"300275"</f>
        <v>300275</v>
      </c>
      <c r="P374" t="str">
        <f>"0153613480"</f>
        <v>0153613480</v>
      </c>
    </row>
    <row r="375" spans="1:16" x14ac:dyDescent="0.25">
      <c r="A375" t="str">
        <f t="shared" si="119"/>
        <v>人民币</v>
      </c>
      <c r="B375" t="str">
        <f>"梅安森"</f>
        <v>梅安森</v>
      </c>
      <c r="C375" t="str">
        <f>"20190916"</f>
        <v>20190916</v>
      </c>
      <c r="D375" t="str">
        <f>"11.110"</f>
        <v>11.110</v>
      </c>
      <c r="E375" t="str">
        <f>"-3000.00"</f>
        <v>-3000.00</v>
      </c>
      <c r="F375" t="str">
        <f>"33263.34"</f>
        <v>33263.34</v>
      </c>
      <c r="G375" t="str">
        <f>"112334.73"</f>
        <v>112334.73</v>
      </c>
      <c r="H375" t="str">
        <f>"3000.00"</f>
        <v>3000.00</v>
      </c>
      <c r="I375" t="str">
        <f>"129"</f>
        <v>129</v>
      </c>
      <c r="J375" t="str">
        <f>"证券卖出(梅安森)"</f>
        <v>证券卖出(梅安森)</v>
      </c>
      <c r="K375" t="str">
        <f>"33.33"</f>
        <v>33.33</v>
      </c>
      <c r="L375" t="str">
        <f>"33.33"</f>
        <v>33.33</v>
      </c>
      <c r="M375" t="str">
        <f>"0.00"</f>
        <v>0.00</v>
      </c>
      <c r="N375" t="str">
        <f t="shared" si="124"/>
        <v>0.00</v>
      </c>
      <c r="O375" t="str">
        <f>"300275"</f>
        <v>300275</v>
      </c>
      <c r="P375" t="str">
        <f>"0153613480"</f>
        <v>0153613480</v>
      </c>
    </row>
    <row r="376" spans="1:16" x14ac:dyDescent="0.25">
      <c r="A376" t="str">
        <f t="shared" si="119"/>
        <v>人民币</v>
      </c>
      <c r="B376" t="str">
        <f>"三安光电"</f>
        <v>三安光电</v>
      </c>
      <c r="C376" t="str">
        <f>"20190916"</f>
        <v>20190916</v>
      </c>
      <c r="D376" t="str">
        <f>"13.530"</f>
        <v>13.530</v>
      </c>
      <c r="E376" t="str">
        <f>"2000.00"</f>
        <v>2000.00</v>
      </c>
      <c r="F376" t="str">
        <f>"-27087.60"</f>
        <v>-27087.60</v>
      </c>
      <c r="G376" t="str">
        <f>"79071.39"</f>
        <v>79071.39</v>
      </c>
      <c r="H376" t="str">
        <f>"2000.00"</f>
        <v>2000.00</v>
      </c>
      <c r="I376" t="str">
        <f>"116"</f>
        <v>116</v>
      </c>
      <c r="J376" t="str">
        <f>"证券买入(三安光电)"</f>
        <v>证券买入(三安光电)</v>
      </c>
      <c r="K376" t="str">
        <f>"27.06"</f>
        <v>27.06</v>
      </c>
      <c r="L376" t="str">
        <f t="shared" ref="L376:L383" si="130">"0.00"</f>
        <v>0.00</v>
      </c>
      <c r="M376" t="str">
        <f>"0.54"</f>
        <v>0.54</v>
      </c>
      <c r="N376" t="str">
        <f t="shared" ref="N376:N395" si="131">"0.00"</f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9"/>
        <v>人民币</v>
      </c>
      <c r="B377" t="str">
        <f>"顺灏股份"</f>
        <v>顺灏股份</v>
      </c>
      <c r="C377" t="str">
        <f t="shared" ref="C377:C384" si="132">"20190917"</f>
        <v>20190917</v>
      </c>
      <c r="D377" t="str">
        <f>"7.950"</f>
        <v>7.950</v>
      </c>
      <c r="E377" t="str">
        <f>"2000.00"</f>
        <v>2000.00</v>
      </c>
      <c r="F377" t="str">
        <f>"-15915.90"</f>
        <v>-15915.90</v>
      </c>
      <c r="G377" t="str">
        <f>"65198.51"</f>
        <v>65198.51</v>
      </c>
      <c r="H377" t="str">
        <f>"7000.00"</f>
        <v>7000.00</v>
      </c>
      <c r="I377" t="str">
        <f>"174"</f>
        <v>174</v>
      </c>
      <c r="J377" t="str">
        <f>"证券买入(顺灏股份)"</f>
        <v>证券买入(顺灏股份)</v>
      </c>
      <c r="K377" t="str">
        <f>"15.90"</f>
        <v>15.90</v>
      </c>
      <c r="L377" t="str">
        <f t="shared" si="130"/>
        <v>0.00</v>
      </c>
      <c r="M377" t="str">
        <f>"0.00"</f>
        <v>0.00</v>
      </c>
      <c r="N377" t="str">
        <f t="shared" si="131"/>
        <v>0.00</v>
      </c>
      <c r="O377" t="str">
        <f>"002565"</f>
        <v>002565</v>
      </c>
      <c r="P377" t="str">
        <f>"0153613480"</f>
        <v>0153613480</v>
      </c>
    </row>
    <row r="378" spans="1:16" x14ac:dyDescent="0.25">
      <c r="A378" t="str">
        <f t="shared" si="119"/>
        <v>人民币</v>
      </c>
      <c r="B378" t="str">
        <f>"中海达"</f>
        <v>中海达</v>
      </c>
      <c r="C378" t="str">
        <f t="shared" si="132"/>
        <v>20190917</v>
      </c>
      <c r="D378" t="str">
        <f>"10.650"</f>
        <v>10.650</v>
      </c>
      <c r="E378" t="str">
        <f>"1000.00"</f>
        <v>1000.00</v>
      </c>
      <c r="F378" t="str">
        <f>"-10660.65"</f>
        <v>-10660.65</v>
      </c>
      <c r="G378" t="str">
        <f>"81114.41"</f>
        <v>81114.41</v>
      </c>
      <c r="H378" t="str">
        <f>"3000.00"</f>
        <v>3000.00</v>
      </c>
      <c r="I378" t="str">
        <f>"167"</f>
        <v>167</v>
      </c>
      <c r="J378" t="str">
        <f>"证券买入(中海达)"</f>
        <v>证券买入(中海达)</v>
      </c>
      <c r="K378" t="str">
        <f>"10.65"</f>
        <v>10.65</v>
      </c>
      <c r="L378" t="str">
        <f t="shared" si="130"/>
        <v>0.00</v>
      </c>
      <c r="M378" t="str">
        <f>"0.00"</f>
        <v>0.00</v>
      </c>
      <c r="N378" t="str">
        <f t="shared" si="131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19"/>
        <v>人民币</v>
      </c>
      <c r="B379" t="str">
        <f>"中海达"</f>
        <v>中海达</v>
      </c>
      <c r="C379" t="str">
        <f t="shared" si="132"/>
        <v>20190917</v>
      </c>
      <c r="D379" t="str">
        <f>"10.800"</f>
        <v>10.800</v>
      </c>
      <c r="E379" t="str">
        <f>"1200.00"</f>
        <v>1200.00</v>
      </c>
      <c r="F379" t="str">
        <f>"-12972.96"</f>
        <v>-12972.96</v>
      </c>
      <c r="G379" t="str">
        <f>"91775.06"</f>
        <v>91775.06</v>
      </c>
      <c r="H379" t="str">
        <f>"2000.00"</f>
        <v>2000.00</v>
      </c>
      <c r="I379" t="str">
        <f>"159"</f>
        <v>159</v>
      </c>
      <c r="J379" t="str">
        <f>"证券买入(中海达)"</f>
        <v>证券买入(中海达)</v>
      </c>
      <c r="K379" t="str">
        <f>"12.96"</f>
        <v>12.96</v>
      </c>
      <c r="L379" t="str">
        <f t="shared" si="130"/>
        <v>0.00</v>
      </c>
      <c r="M379" t="str">
        <f>"0.00"</f>
        <v>0.00</v>
      </c>
      <c r="N379" t="str">
        <f t="shared" si="131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19"/>
        <v>人民币</v>
      </c>
      <c r="B380" t="str">
        <f>"中海达"</f>
        <v>中海达</v>
      </c>
      <c r="C380" t="str">
        <f t="shared" si="132"/>
        <v>20190917</v>
      </c>
      <c r="D380" t="str">
        <f>"10.930"</f>
        <v>10.930</v>
      </c>
      <c r="E380" t="str">
        <f>"800.00"</f>
        <v>800.00</v>
      </c>
      <c r="F380" t="str">
        <f>"-8752.74"</f>
        <v>-8752.74</v>
      </c>
      <c r="G380" t="str">
        <f>"104748.02"</f>
        <v>104748.02</v>
      </c>
      <c r="H380" t="str">
        <f>"800.00"</f>
        <v>800.00</v>
      </c>
      <c r="I380" t="str">
        <f>"148"</f>
        <v>148</v>
      </c>
      <c r="J380" t="str">
        <f>"证券买入(中海达)"</f>
        <v>证券买入(中海达)</v>
      </c>
      <c r="K380" t="str">
        <f>"8.74"</f>
        <v>8.74</v>
      </c>
      <c r="L380" t="str">
        <f t="shared" si="130"/>
        <v>0.00</v>
      </c>
      <c r="M380" t="str">
        <f>"0.00"</f>
        <v>0.00</v>
      </c>
      <c r="N380" t="str">
        <f t="shared" si="131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9"/>
        <v>人民币</v>
      </c>
      <c r="B381" t="str">
        <f>"德宏股份"</f>
        <v>德宏股份</v>
      </c>
      <c r="C381" t="str">
        <f t="shared" si="132"/>
        <v>20190917</v>
      </c>
      <c r="D381" t="str">
        <f>"14.290"</f>
        <v>14.290</v>
      </c>
      <c r="E381" t="str">
        <f>"1000.00"</f>
        <v>1000.00</v>
      </c>
      <c r="F381" t="str">
        <f>"-14304.58"</f>
        <v>-14304.58</v>
      </c>
      <c r="G381" t="str">
        <f>"113500.76"</f>
        <v>113500.76</v>
      </c>
      <c r="H381" t="str">
        <f>"3000.00"</f>
        <v>3000.00</v>
      </c>
      <c r="I381" t="str">
        <f>"170"</f>
        <v>170</v>
      </c>
      <c r="J381" t="str">
        <f>"证券买入(德宏股份)"</f>
        <v>证券买入(德宏股份)</v>
      </c>
      <c r="K381" t="str">
        <f>"14.29"</f>
        <v>14.29</v>
      </c>
      <c r="L381" t="str">
        <f t="shared" si="130"/>
        <v>0.00</v>
      </c>
      <c r="M381" t="str">
        <f>"0.29"</f>
        <v>0.29</v>
      </c>
      <c r="N381" t="str">
        <f t="shared" si="131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19"/>
        <v>人民币</v>
      </c>
      <c r="B382" t="str">
        <f>"德宏股份"</f>
        <v>德宏股份</v>
      </c>
      <c r="C382" t="str">
        <f t="shared" si="132"/>
        <v>20190917</v>
      </c>
      <c r="D382" t="str">
        <f>"14.570"</f>
        <v>14.570</v>
      </c>
      <c r="E382" t="str">
        <f>"1000.00"</f>
        <v>1000.00</v>
      </c>
      <c r="F382" t="str">
        <f>"-14584.86"</f>
        <v>-14584.86</v>
      </c>
      <c r="G382" t="str">
        <f>"127805.34"</f>
        <v>127805.34</v>
      </c>
      <c r="H382" t="str">
        <f>"2000.00"</f>
        <v>2000.00</v>
      </c>
      <c r="I382" t="str">
        <f>"163"</f>
        <v>163</v>
      </c>
      <c r="J382" t="str">
        <f>"证券买入(德宏股份)"</f>
        <v>证券买入(德宏股份)</v>
      </c>
      <c r="K382" t="str">
        <f>"14.57"</f>
        <v>14.57</v>
      </c>
      <c r="L382" t="str">
        <f t="shared" si="130"/>
        <v>0.00</v>
      </c>
      <c r="M382" t="str">
        <f>"0.29"</f>
        <v>0.29</v>
      </c>
      <c r="N382" t="str">
        <f t="shared" si="131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19"/>
        <v>人民币</v>
      </c>
      <c r="B383" t="str">
        <f>"德宏股份"</f>
        <v>德宏股份</v>
      </c>
      <c r="C383" t="str">
        <f t="shared" si="132"/>
        <v>20190917</v>
      </c>
      <c r="D383" t="str">
        <f>"14.600"</f>
        <v>14.600</v>
      </c>
      <c r="E383" t="str">
        <f>"1000.00"</f>
        <v>1000.00</v>
      </c>
      <c r="F383" t="str">
        <f>"-14614.89"</f>
        <v>-14614.89</v>
      </c>
      <c r="G383" t="str">
        <f>"142390.20"</f>
        <v>142390.20</v>
      </c>
      <c r="H383" t="str">
        <f>"1000.00"</f>
        <v>1000.00</v>
      </c>
      <c r="I383" t="str">
        <f>"155"</f>
        <v>155</v>
      </c>
      <c r="J383" t="str">
        <f>"证券买入(德宏股份)"</f>
        <v>证券买入(德宏股份)</v>
      </c>
      <c r="K383" t="str">
        <f>"14.60"</f>
        <v>14.60</v>
      </c>
      <c r="L383" t="str">
        <f t="shared" si="130"/>
        <v>0.00</v>
      </c>
      <c r="M383" t="str">
        <f>"0.29"</f>
        <v>0.29</v>
      </c>
      <c r="N383" t="str">
        <f t="shared" si="131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si="119"/>
        <v>人民币</v>
      </c>
      <c r="B384" t="str">
        <f>"三安光电"</f>
        <v>三安光电</v>
      </c>
      <c r="C384" t="str">
        <f t="shared" si="132"/>
        <v>20190917</v>
      </c>
      <c r="D384" t="str">
        <f>"14.280"</f>
        <v>14.280</v>
      </c>
      <c r="E384" t="str">
        <f>"-2000.00"</f>
        <v>-2000.00</v>
      </c>
      <c r="F384" t="str">
        <f>"28502.30"</f>
        <v>28502.30</v>
      </c>
      <c r="G384" t="str">
        <f>"157005.09"</f>
        <v>157005.09</v>
      </c>
      <c r="H384" t="str">
        <f>"0.00"</f>
        <v>0.00</v>
      </c>
      <c r="I384" t="str">
        <f>"151"</f>
        <v>151</v>
      </c>
      <c r="J384" t="str">
        <f>"证券卖出(三安光电)"</f>
        <v>证券卖出(三安光电)</v>
      </c>
      <c r="K384" t="str">
        <f>"28.56"</f>
        <v>28.56</v>
      </c>
      <c r="L384" t="str">
        <f>"28.57"</f>
        <v>28.57</v>
      </c>
      <c r="M384" t="str">
        <f>"0.57"</f>
        <v>0.57</v>
      </c>
      <c r="N384" t="str">
        <f t="shared" si="131"/>
        <v>0.00</v>
      </c>
      <c r="O384" t="str">
        <f>"600703"</f>
        <v>600703</v>
      </c>
      <c r="P384" t="str">
        <f>"A400948245"</f>
        <v>A400948245</v>
      </c>
    </row>
    <row r="385" spans="1:16" x14ac:dyDescent="0.25">
      <c r="A385" t="str">
        <f t="shared" si="119"/>
        <v>人民币</v>
      </c>
      <c r="B385" t="str">
        <f>"壹网壹创"</f>
        <v>壹网壹创</v>
      </c>
      <c r="C385" t="str">
        <f t="shared" ref="C385:C390" si="133">"20190918"</f>
        <v>20190918</v>
      </c>
      <c r="D385" t="str">
        <f>"0.000"</f>
        <v>0.000</v>
      </c>
      <c r="E385" t="str">
        <f>"17.00"</f>
        <v>17.00</v>
      </c>
      <c r="F385" t="str">
        <f>"0.00"</f>
        <v>0.00</v>
      </c>
      <c r="G385" t="str">
        <f>"61729.00"</f>
        <v>61729.00</v>
      </c>
      <c r="H385" t="str">
        <f>"0.00"</f>
        <v>0.00</v>
      </c>
      <c r="I385" t="str">
        <f>"197"</f>
        <v>197</v>
      </c>
      <c r="J385" t="str">
        <f>"申购配号(壹网壹创)"</f>
        <v>申购配号(壹网壹创)</v>
      </c>
      <c r="K385" t="str">
        <f>"0.00"</f>
        <v>0.00</v>
      </c>
      <c r="L385" t="str">
        <f>"0.00"</f>
        <v>0.00</v>
      </c>
      <c r="M385" t="str">
        <f>"0.00"</f>
        <v>0.00</v>
      </c>
      <c r="N385" t="str">
        <f t="shared" si="131"/>
        <v>0.00</v>
      </c>
      <c r="O385" t="str">
        <f>"300792"</f>
        <v>300792</v>
      </c>
      <c r="P385" t="str">
        <f>"0153613480"</f>
        <v>0153613480</v>
      </c>
    </row>
    <row r="386" spans="1:16" x14ac:dyDescent="0.25">
      <c r="A386" t="str">
        <f t="shared" ref="A386:A449" si="134">"人民币"</f>
        <v>人民币</v>
      </c>
      <c r="B386" t="str">
        <f>"中海达"</f>
        <v>中海达</v>
      </c>
      <c r="C386" t="str">
        <f t="shared" si="133"/>
        <v>20190918</v>
      </c>
      <c r="D386" t="str">
        <f>"10.000"</f>
        <v>10.000</v>
      </c>
      <c r="E386" t="str">
        <f>"1000.00"</f>
        <v>1000.00</v>
      </c>
      <c r="F386" t="str">
        <f>"-10005.00"</f>
        <v>-10005.00</v>
      </c>
      <c r="G386" t="str">
        <f>"61729.00"</f>
        <v>61729.00</v>
      </c>
      <c r="H386" t="str">
        <f>"5000.00"</f>
        <v>5000.00</v>
      </c>
      <c r="I386" t="str">
        <f>"199"</f>
        <v>199</v>
      </c>
      <c r="J386" t="str">
        <f>"证券买入(中海达)"</f>
        <v>证券买入(中海达)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 t="shared" si="131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34"/>
        <v>人民币</v>
      </c>
      <c r="B387" t="str">
        <f>"中海达"</f>
        <v>中海达</v>
      </c>
      <c r="C387" t="str">
        <f t="shared" si="133"/>
        <v>20190918</v>
      </c>
      <c r="D387" t="str">
        <f>"10.120"</f>
        <v>10.120</v>
      </c>
      <c r="E387" t="str">
        <f>"1000.00"</f>
        <v>1000.00</v>
      </c>
      <c r="F387" t="str">
        <f>"-10125.00"</f>
        <v>-10125.00</v>
      </c>
      <c r="G387" t="str">
        <f>"71734.00"</f>
        <v>71734.00</v>
      </c>
      <c r="H387" t="str">
        <f>"4000.00"</f>
        <v>4000.00</v>
      </c>
      <c r="I387" t="str">
        <f>"193"</f>
        <v>193</v>
      </c>
      <c r="J387" t="str">
        <f>"证券买入(中海达)"</f>
        <v>证券买入(中海达)</v>
      </c>
      <c r="K387" t="str">
        <f>"5.00"</f>
        <v>5.00</v>
      </c>
      <c r="L387" t="str">
        <f>"0.00"</f>
        <v>0.00</v>
      </c>
      <c r="M387" t="str">
        <f>"0.00"</f>
        <v>0.00</v>
      </c>
      <c r="N387" t="str">
        <f t="shared" si="131"/>
        <v>0.00</v>
      </c>
      <c r="O387" t="str">
        <f>"300177"</f>
        <v>300177</v>
      </c>
      <c r="P387" t="str">
        <f>"0153613480"</f>
        <v>0153613480</v>
      </c>
    </row>
    <row r="388" spans="1:16" x14ac:dyDescent="0.25">
      <c r="A388" t="str">
        <f t="shared" si="134"/>
        <v>人民币</v>
      </c>
      <c r="B388" t="str">
        <f>"顺灏股份"</f>
        <v>顺灏股份</v>
      </c>
      <c r="C388" t="str">
        <f t="shared" si="133"/>
        <v>20190918</v>
      </c>
      <c r="D388" t="str">
        <f>"8.000"</f>
        <v>8.000</v>
      </c>
      <c r="E388" t="str">
        <f>"-2000.00"</f>
        <v>-2000.00</v>
      </c>
      <c r="F388" t="str">
        <f>"15979.00"</f>
        <v>15979.00</v>
      </c>
      <c r="G388" t="str">
        <f>"81859.00"</f>
        <v>81859.00</v>
      </c>
      <c r="H388" t="str">
        <f>"5000.00"</f>
        <v>5000.00</v>
      </c>
      <c r="I388" t="str">
        <f>"203"</f>
        <v>203</v>
      </c>
      <c r="J388" t="str">
        <f>"证券卖出(顺灏股份)"</f>
        <v>证券卖出(顺灏股份)</v>
      </c>
      <c r="K388" t="str">
        <f>"5.00"</f>
        <v>5.00</v>
      </c>
      <c r="L388" t="str">
        <f>"16.00"</f>
        <v>16.00</v>
      </c>
      <c r="M388" t="str">
        <f>"0.00"</f>
        <v>0.00</v>
      </c>
      <c r="N388" t="str">
        <f t="shared" si="131"/>
        <v>0.00</v>
      </c>
      <c r="O388" t="str">
        <f>"002565"</f>
        <v>002565</v>
      </c>
      <c r="P388" t="str">
        <f>"0153613480"</f>
        <v>0153613480</v>
      </c>
    </row>
    <row r="389" spans="1:16" x14ac:dyDescent="0.25">
      <c r="A389" t="str">
        <f t="shared" si="134"/>
        <v>人民币</v>
      </c>
      <c r="B389" t="str">
        <f>"德宏股份"</f>
        <v>德宏股份</v>
      </c>
      <c r="C389" t="str">
        <f t="shared" si="133"/>
        <v>20190918</v>
      </c>
      <c r="D389" t="str">
        <f>"14.528"</f>
        <v>14.528</v>
      </c>
      <c r="E389" t="str">
        <f>"-1500.00"</f>
        <v>-1500.00</v>
      </c>
      <c r="F389" t="str">
        <f>"21763.23"</f>
        <v>21763.23</v>
      </c>
      <c r="G389" t="str">
        <f>"65880.00"</f>
        <v>65880.00</v>
      </c>
      <c r="H389" t="str">
        <f>"3000.00"</f>
        <v>3000.00</v>
      </c>
      <c r="I389" t="str">
        <f>"206"</f>
        <v>206</v>
      </c>
      <c r="J389" t="str">
        <f>"证券卖出(德宏股份)"</f>
        <v>证券卖出(德宏股份)</v>
      </c>
      <c r="K389" t="str">
        <f>"6.54"</f>
        <v>6.54</v>
      </c>
      <c r="L389" t="str">
        <f>"21.79"</f>
        <v>21.79</v>
      </c>
      <c r="M389" t="str">
        <f>"0.44"</f>
        <v>0.44</v>
      </c>
      <c r="N389" t="str">
        <f t="shared" si="131"/>
        <v>0.00</v>
      </c>
      <c r="O389" t="str">
        <f>"603701"</f>
        <v>603701</v>
      </c>
      <c r="P389" t="str">
        <f>"A400948245"</f>
        <v>A400948245</v>
      </c>
    </row>
    <row r="390" spans="1:16" x14ac:dyDescent="0.25">
      <c r="A390" t="str">
        <f t="shared" si="134"/>
        <v>人民币</v>
      </c>
      <c r="B390" t="str">
        <f>"德宏股份"</f>
        <v>德宏股份</v>
      </c>
      <c r="C390" t="str">
        <f t="shared" si="133"/>
        <v>20190918</v>
      </c>
      <c r="D390" t="str">
        <f>"14.050"</f>
        <v>14.050</v>
      </c>
      <c r="E390" t="str">
        <f>"1500.00"</f>
        <v>1500.00</v>
      </c>
      <c r="F390" t="str">
        <f>"-21081.74"</f>
        <v>-21081.74</v>
      </c>
      <c r="G390" t="str">
        <f>"44116.77"</f>
        <v>44116.77</v>
      </c>
      <c r="H390" t="str">
        <f>"4500.00"</f>
        <v>4500.00</v>
      </c>
      <c r="I390" t="str">
        <f>"185"</f>
        <v>185</v>
      </c>
      <c r="J390" t="str">
        <f>"证券买入(德宏股份)"</f>
        <v>证券买入(德宏股份)</v>
      </c>
      <c r="K390" t="str">
        <f>"6.32"</f>
        <v>6.32</v>
      </c>
      <c r="L390" t="str">
        <f>"0.00"</f>
        <v>0.00</v>
      </c>
      <c r="M390" t="str">
        <f>"0.42"</f>
        <v>0.42</v>
      </c>
      <c r="N390" t="str">
        <f t="shared" si="131"/>
        <v>0.00</v>
      </c>
      <c r="O390" t="str">
        <f>"603701"</f>
        <v>603701</v>
      </c>
      <c r="P390" t="str">
        <f>"A400948245"</f>
        <v>A400948245</v>
      </c>
    </row>
    <row r="391" spans="1:16" x14ac:dyDescent="0.25">
      <c r="A391" t="str">
        <f t="shared" si="134"/>
        <v>人民币</v>
      </c>
      <c r="B391" t="str">
        <f>"顺灏股份"</f>
        <v>顺灏股份</v>
      </c>
      <c r="C391" t="str">
        <f>"20190919"</f>
        <v>20190919</v>
      </c>
      <c r="D391" t="str">
        <f>"7.780"</f>
        <v>7.780</v>
      </c>
      <c r="E391" t="str">
        <f>"2500.00"</f>
        <v>2500.00</v>
      </c>
      <c r="F391" t="str">
        <f>"-19455.84"</f>
        <v>-19455.84</v>
      </c>
      <c r="G391" t="str">
        <f>"37573.65"</f>
        <v>37573.65</v>
      </c>
      <c r="H391" t="str">
        <f>"7500.00"</f>
        <v>7500.00</v>
      </c>
      <c r="I391" t="str">
        <f>"227"</f>
        <v>227</v>
      </c>
      <c r="J391" t="str">
        <f>"证券买入(顺灏股份)"</f>
        <v>证券买入(顺灏股份)</v>
      </c>
      <c r="K391" t="str">
        <f>"5.84"</f>
        <v>5.84</v>
      </c>
      <c r="L391" t="str">
        <f>"0.00"</f>
        <v>0.00</v>
      </c>
      <c r="M391" t="str">
        <f>"0.00"</f>
        <v>0.00</v>
      </c>
      <c r="N391" t="str">
        <f t="shared" si="131"/>
        <v>0.00</v>
      </c>
      <c r="O391" t="str">
        <f>"002565"</f>
        <v>002565</v>
      </c>
      <c r="P391" t="str">
        <f>"0153613480"</f>
        <v>0153613480</v>
      </c>
    </row>
    <row r="392" spans="1:16" x14ac:dyDescent="0.25">
      <c r="A392" t="str">
        <f t="shared" si="134"/>
        <v>人民币</v>
      </c>
      <c r="B392" t="str">
        <f>"中海达"</f>
        <v>中海达</v>
      </c>
      <c r="C392" t="str">
        <f>"20190919"</f>
        <v>20190919</v>
      </c>
      <c r="D392" t="str">
        <f>"9.870"</f>
        <v>9.870</v>
      </c>
      <c r="E392" t="str">
        <f>"2000.00"</f>
        <v>2000.00</v>
      </c>
      <c r="F392" t="str">
        <f>"-19745.92"</f>
        <v>-19745.92</v>
      </c>
      <c r="G392" t="str">
        <f>"57029.49"</f>
        <v>57029.49</v>
      </c>
      <c r="H392" t="str">
        <f>"7000.00"</f>
        <v>7000.00</v>
      </c>
      <c r="I392" t="str">
        <f>"215"</f>
        <v>215</v>
      </c>
      <c r="J392" t="str">
        <f>"证券买入(中海达)"</f>
        <v>证券买入(中海达)</v>
      </c>
      <c r="K392" t="str">
        <f>"5.92"</f>
        <v>5.92</v>
      </c>
      <c r="L392" t="str">
        <f>"0.00"</f>
        <v>0.00</v>
      </c>
      <c r="M392" t="str">
        <f>"0.00"</f>
        <v>0.00</v>
      </c>
      <c r="N392" t="str">
        <f t="shared" si="131"/>
        <v>0.00</v>
      </c>
      <c r="O392" t="str">
        <f>"300177"</f>
        <v>300177</v>
      </c>
      <c r="P392" t="str">
        <f>"0153613480"</f>
        <v>0153613480</v>
      </c>
    </row>
    <row r="393" spans="1:16" x14ac:dyDescent="0.25">
      <c r="A393" t="str">
        <f t="shared" si="134"/>
        <v>人民币</v>
      </c>
      <c r="B393" t="str">
        <f>"赛腾股份"</f>
        <v>赛腾股份</v>
      </c>
      <c r="C393" t="str">
        <f>"20190919"</f>
        <v>20190919</v>
      </c>
      <c r="D393" t="str">
        <f>"25.080"</f>
        <v>25.080</v>
      </c>
      <c r="E393" t="str">
        <f>"400.00"</f>
        <v>400.00</v>
      </c>
      <c r="F393" t="str">
        <f>"-10037.20"</f>
        <v>-10037.20</v>
      </c>
      <c r="G393" t="str">
        <f>"76775.41"</f>
        <v>76775.41</v>
      </c>
      <c r="H393" t="str">
        <f>"1200.00"</f>
        <v>1200.00</v>
      </c>
      <c r="I393" t="str">
        <f>"231"</f>
        <v>231</v>
      </c>
      <c r="J393" t="str">
        <f>"证券买入(赛腾股份)"</f>
        <v>证券买入(赛腾股份)</v>
      </c>
      <c r="K393" t="str">
        <f>"5.00"</f>
        <v>5.00</v>
      </c>
      <c r="L393" t="str">
        <f>"0.00"</f>
        <v>0.00</v>
      </c>
      <c r="M393" t="str">
        <f>"0.20"</f>
        <v>0.20</v>
      </c>
      <c r="N393" t="str">
        <f t="shared" si="131"/>
        <v>0.00</v>
      </c>
      <c r="O393" t="str">
        <f>"603283"</f>
        <v>603283</v>
      </c>
      <c r="P393" t="str">
        <f>"A400948245"</f>
        <v>A400948245</v>
      </c>
    </row>
    <row r="394" spans="1:16" x14ac:dyDescent="0.25">
      <c r="A394" t="str">
        <f t="shared" si="134"/>
        <v>人民币</v>
      </c>
      <c r="B394" t="str">
        <f>"赛腾股份"</f>
        <v>赛腾股份</v>
      </c>
      <c r="C394" t="str">
        <f>"20190919"</f>
        <v>20190919</v>
      </c>
      <c r="D394" t="str">
        <f>"25.300"</f>
        <v>25.300</v>
      </c>
      <c r="E394" t="str">
        <f>"800.00"</f>
        <v>800.00</v>
      </c>
      <c r="F394" t="str">
        <f>"-20246.47"</f>
        <v>-20246.47</v>
      </c>
      <c r="G394" t="str">
        <f>"86812.61"</f>
        <v>86812.61</v>
      </c>
      <c r="H394" t="str">
        <f>"800.00"</f>
        <v>800.00</v>
      </c>
      <c r="I394" t="str">
        <f>"224"</f>
        <v>224</v>
      </c>
      <c r="J394" t="str">
        <f>"证券买入(赛腾股份)"</f>
        <v>证券买入(赛腾股份)</v>
      </c>
      <c r="K394" t="str">
        <f>"6.07"</f>
        <v>6.07</v>
      </c>
      <c r="L394" t="str">
        <f>"0.00"</f>
        <v>0.00</v>
      </c>
      <c r="M394" t="str">
        <f>"0.40"</f>
        <v>0.40</v>
      </c>
      <c r="N394" t="str">
        <f t="shared" si="131"/>
        <v>0.00</v>
      </c>
      <c r="O394" t="str">
        <f>"603283"</f>
        <v>603283</v>
      </c>
      <c r="P394" t="str">
        <f>"A400948245"</f>
        <v>A400948245</v>
      </c>
    </row>
    <row r="395" spans="1:16" x14ac:dyDescent="0.25">
      <c r="A395" t="str">
        <f t="shared" si="134"/>
        <v>人民币</v>
      </c>
      <c r="B395" t="str">
        <f>"德宏股份"</f>
        <v>德宏股份</v>
      </c>
      <c r="C395" t="str">
        <f>"20190919"</f>
        <v>20190919</v>
      </c>
      <c r="D395" t="str">
        <f>"15.130"</f>
        <v>15.130</v>
      </c>
      <c r="E395" t="str">
        <f>"-3000.00"</f>
        <v>-3000.00</v>
      </c>
      <c r="F395" t="str">
        <f>"45330.08"</f>
        <v>45330.08</v>
      </c>
      <c r="G395" t="str">
        <f>"107059.08"</f>
        <v>107059.08</v>
      </c>
      <c r="H395" t="str">
        <f>"0.00"</f>
        <v>0.00</v>
      </c>
      <c r="I395" t="str">
        <f>"218"</f>
        <v>218</v>
      </c>
      <c r="J395" t="str">
        <f>"证券卖出(德宏股份)"</f>
        <v>证券卖出(德宏股份)</v>
      </c>
      <c r="K395" t="str">
        <f>"13.62"</f>
        <v>13.62</v>
      </c>
      <c r="L395" t="str">
        <f>"45.39"</f>
        <v>45.39</v>
      </c>
      <c r="M395" t="str">
        <f>"0.91"</f>
        <v>0.91</v>
      </c>
      <c r="N395" t="str">
        <f t="shared" si="131"/>
        <v>0.00</v>
      </c>
      <c r="O395" t="str">
        <f>"603701"</f>
        <v>603701</v>
      </c>
      <c r="P395" t="str">
        <f>"A400948245"</f>
        <v>A400948245</v>
      </c>
    </row>
    <row r="396" spans="1:16" x14ac:dyDescent="0.25">
      <c r="A396" t="str">
        <f t="shared" si="134"/>
        <v>人民币</v>
      </c>
      <c r="B396" t="str">
        <f>""</f>
        <v/>
      </c>
      <c r="C396" t="str">
        <f>"20190920"</f>
        <v>20190920</v>
      </c>
      <c r="D396" t="str">
        <f>"---"</f>
        <v>---</v>
      </c>
      <c r="E396" t="str">
        <f>"---"</f>
        <v>---</v>
      </c>
      <c r="F396" t="str">
        <f>"19.48"</f>
        <v>19.48</v>
      </c>
      <c r="G396" t="str">
        <f>"37593.13"</f>
        <v>37593.13</v>
      </c>
      <c r="H396" t="str">
        <f>"---"</f>
        <v>---</v>
      </c>
      <c r="I396" t="str">
        <f>"---"</f>
        <v>---</v>
      </c>
      <c r="J396" t="str">
        <f>"批量利息归本"</f>
        <v>批量利息归本</v>
      </c>
      <c r="K396" t="str">
        <f t="shared" ref="K396:P396" si="135">"---"</f>
        <v>---</v>
      </c>
      <c r="L396" t="str">
        <f t="shared" si="135"/>
        <v>---</v>
      </c>
      <c r="M396" t="str">
        <f t="shared" si="135"/>
        <v>---</v>
      </c>
      <c r="N396" t="str">
        <f t="shared" si="135"/>
        <v>---</v>
      </c>
      <c r="O396" t="str">
        <f t="shared" si="135"/>
        <v>---</v>
      </c>
      <c r="P396" t="str">
        <f t="shared" si="135"/>
        <v>---</v>
      </c>
    </row>
    <row r="397" spans="1:16" x14ac:dyDescent="0.25">
      <c r="A397" t="str">
        <f t="shared" si="134"/>
        <v>人民币</v>
      </c>
      <c r="B397" t="str">
        <f>"中海达"</f>
        <v>中海达</v>
      </c>
      <c r="C397" t="str">
        <f>"20190923"</f>
        <v>20190923</v>
      </c>
      <c r="D397" t="str">
        <f>"10.090"</f>
        <v>10.090</v>
      </c>
      <c r="E397" t="str">
        <f>"2000.00"</f>
        <v>2000.00</v>
      </c>
      <c r="F397" t="str">
        <f>"-20186.06"</f>
        <v>-20186.06</v>
      </c>
      <c r="G397" t="str">
        <f>"30530.32"</f>
        <v>30530.32</v>
      </c>
      <c r="H397" t="str">
        <f>"7000.00"</f>
        <v>7000.00</v>
      </c>
      <c r="I397" t="str">
        <f>"253"</f>
        <v>253</v>
      </c>
      <c r="J397" t="str">
        <f>"证券买入(中海达)"</f>
        <v>证券买入(中海达)</v>
      </c>
      <c r="K397" t="str">
        <f>"6.06"</f>
        <v>6.06</v>
      </c>
      <c r="L397" t="str">
        <f>"0.00"</f>
        <v>0.00</v>
      </c>
      <c r="M397" t="str">
        <f>"0.00"</f>
        <v>0.00</v>
      </c>
      <c r="N397" t="str">
        <f>"0.00"</f>
        <v>0.00</v>
      </c>
      <c r="O397" t="str">
        <f>"300177"</f>
        <v>300177</v>
      </c>
      <c r="P397" t="str">
        <f>"0153613480"</f>
        <v>0153613480</v>
      </c>
    </row>
    <row r="398" spans="1:16" x14ac:dyDescent="0.25">
      <c r="A398" t="str">
        <f t="shared" si="134"/>
        <v>人民币</v>
      </c>
      <c r="B398" t="str">
        <f>"中海达"</f>
        <v>中海达</v>
      </c>
      <c r="C398" t="str">
        <f>"20190923"</f>
        <v>20190923</v>
      </c>
      <c r="D398" t="str">
        <f>"10.230"</f>
        <v>10.230</v>
      </c>
      <c r="E398" t="str">
        <f>"-2000.00"</f>
        <v>-2000.00</v>
      </c>
      <c r="F398" t="str">
        <f>"20433.40"</f>
        <v>20433.40</v>
      </c>
      <c r="G398" t="str">
        <f>"50716.38"</f>
        <v>50716.38</v>
      </c>
      <c r="H398" t="str">
        <f>"5000.00"</f>
        <v>5000.00</v>
      </c>
      <c r="I398" t="str">
        <f>"250"</f>
        <v>250</v>
      </c>
      <c r="J398" t="str">
        <f>"证券卖出(中海达)"</f>
        <v>证券卖出(中海达)</v>
      </c>
      <c r="K398" t="str">
        <f>"6.14"</f>
        <v>6.14</v>
      </c>
      <c r="L398" t="str">
        <f>"20.46"</f>
        <v>20.46</v>
      </c>
      <c r="M398" t="str">
        <f>"0.00"</f>
        <v>0.00</v>
      </c>
      <c r="N398" t="str">
        <f>"0.00"</f>
        <v>0.00</v>
      </c>
      <c r="O398" t="str">
        <f>"300177"</f>
        <v>300177</v>
      </c>
      <c r="P398" t="str">
        <f>"0153613480"</f>
        <v>0153613480</v>
      </c>
    </row>
    <row r="399" spans="1:16" x14ac:dyDescent="0.25">
      <c r="A399" t="str">
        <f t="shared" si="134"/>
        <v>人民币</v>
      </c>
      <c r="B399" t="str">
        <f>"赛腾股份"</f>
        <v>赛腾股份</v>
      </c>
      <c r="C399" t="str">
        <f>"20190923"</f>
        <v>20190923</v>
      </c>
      <c r="D399" t="str">
        <f>"24.350"</f>
        <v>24.350</v>
      </c>
      <c r="E399" t="str">
        <f>"300.00"</f>
        <v>300.00</v>
      </c>
      <c r="F399" t="str">
        <f>"-7310.15"</f>
        <v>-7310.15</v>
      </c>
      <c r="G399" t="str">
        <f>"30282.98"</f>
        <v>30282.98</v>
      </c>
      <c r="H399" t="str">
        <f>"1500.00"</f>
        <v>1500.00</v>
      </c>
      <c r="I399" t="str">
        <f>"240"</f>
        <v>240</v>
      </c>
      <c r="J399" t="str">
        <f>"证券买入(赛腾股份)"</f>
        <v>证券买入(赛腾股份)</v>
      </c>
      <c r="K399" t="str">
        <f>"5.00"</f>
        <v>5.00</v>
      </c>
      <c r="L399" t="str">
        <f>"0.00"</f>
        <v>0.00</v>
      </c>
      <c r="M399" t="str">
        <f>"0.15"</f>
        <v>0.15</v>
      </c>
      <c r="N399" t="str">
        <f t="shared" ref="N399:N405" si="136">"0.00"</f>
        <v>0.00</v>
      </c>
      <c r="O399" t="str">
        <f>"603283"</f>
        <v>603283</v>
      </c>
      <c r="P399" t="str">
        <f>"A400948245"</f>
        <v>A400948245</v>
      </c>
    </row>
    <row r="400" spans="1:16" x14ac:dyDescent="0.25">
      <c r="A400" t="str">
        <f t="shared" si="134"/>
        <v>人民币</v>
      </c>
      <c r="B400" t="str">
        <f>"赛腾股份"</f>
        <v>赛腾股份</v>
      </c>
      <c r="C400" t="str">
        <f>"20190924"</f>
        <v>20190924</v>
      </c>
      <c r="D400" t="str">
        <f>"25.060"</f>
        <v>25.060</v>
      </c>
      <c r="E400" t="str">
        <f>"-300.00"</f>
        <v>-300.00</v>
      </c>
      <c r="F400" t="str">
        <f>"7505.33"</f>
        <v>7505.33</v>
      </c>
      <c r="G400" t="str">
        <f>"46893.60"</f>
        <v>46893.60</v>
      </c>
      <c r="H400" t="str">
        <f>"1200.00"</f>
        <v>1200.00</v>
      </c>
      <c r="I400" t="str">
        <f>"264"</f>
        <v>264</v>
      </c>
      <c r="J400" t="str">
        <f>"证券卖出(赛腾股份)"</f>
        <v>证券卖出(赛腾股份)</v>
      </c>
      <c r="K400" t="str">
        <f>"5.00"</f>
        <v>5.00</v>
      </c>
      <c r="L400" t="str">
        <f>"7.52"</f>
        <v>7.52</v>
      </c>
      <c r="M400" t="str">
        <f>"0.15"</f>
        <v>0.15</v>
      </c>
      <c r="N400" t="str">
        <f t="shared" si="136"/>
        <v>0.00</v>
      </c>
      <c r="O400" t="str">
        <f>"603283"</f>
        <v>603283</v>
      </c>
      <c r="P400" t="str">
        <f>"A400948245"</f>
        <v>A400948245</v>
      </c>
    </row>
    <row r="401" spans="1:16" x14ac:dyDescent="0.25">
      <c r="A401" t="str">
        <f t="shared" si="134"/>
        <v>人民币</v>
      </c>
      <c r="B401" t="str">
        <f>"中通国脉"</f>
        <v>中通国脉</v>
      </c>
      <c r="C401" t="str">
        <f>"20190924"</f>
        <v>20190924</v>
      </c>
      <c r="D401" t="str">
        <f>"22.180"</f>
        <v>22.180</v>
      </c>
      <c r="E401" t="str">
        <f>"-400.00"</f>
        <v>-400.00</v>
      </c>
      <c r="F401" t="str">
        <f>"8857.95"</f>
        <v>8857.95</v>
      </c>
      <c r="G401" t="str">
        <f>"39388.27"</f>
        <v>39388.27</v>
      </c>
      <c r="H401" t="str">
        <f>"3300.00"</f>
        <v>3300.00</v>
      </c>
      <c r="I401" t="str">
        <f>"261"</f>
        <v>261</v>
      </c>
      <c r="J401" t="str">
        <f>"证券卖出(中通国脉)"</f>
        <v>证券卖出(中通国脉)</v>
      </c>
      <c r="K401" t="str">
        <f>"5.00"</f>
        <v>5.00</v>
      </c>
      <c r="L401" t="str">
        <f>"8.87"</f>
        <v>8.87</v>
      </c>
      <c r="M401" t="str">
        <f>"0.18"</f>
        <v>0.18</v>
      </c>
      <c r="N401" t="str">
        <f t="shared" si="136"/>
        <v>0.00</v>
      </c>
      <c r="O401" t="str">
        <f>"603559"</f>
        <v>603559</v>
      </c>
      <c r="P401" t="str">
        <f>"A400948245"</f>
        <v>A400948245</v>
      </c>
    </row>
    <row r="402" spans="1:16" x14ac:dyDescent="0.25">
      <c r="A402" t="str">
        <f t="shared" si="134"/>
        <v>人民币</v>
      </c>
      <c r="B402" t="str">
        <f>"顺灏股份"</f>
        <v>顺灏股份</v>
      </c>
      <c r="C402" t="str">
        <f t="shared" ref="C402:C408" si="137">"20190925"</f>
        <v>20190925</v>
      </c>
      <c r="D402" t="str">
        <f>"7.110"</f>
        <v>7.110</v>
      </c>
      <c r="E402" t="str">
        <f>"1500.00"</f>
        <v>1500.00</v>
      </c>
      <c r="F402" t="str">
        <f>"-10670.00"</f>
        <v>-10670.00</v>
      </c>
      <c r="G402" t="str">
        <f>"10845.51"</f>
        <v>10845.51</v>
      </c>
      <c r="H402" t="str">
        <f>"9000.00"</f>
        <v>9000.00</v>
      </c>
      <c r="I402" t="str">
        <f>"281"</f>
        <v>281</v>
      </c>
      <c r="J402" t="str">
        <f>"证券买入(顺灏股份)"</f>
        <v>证券买入(顺灏股份)</v>
      </c>
      <c r="K402" t="str">
        <f>"5.00"</f>
        <v>5.00</v>
      </c>
      <c r="L402" t="str">
        <f>"0.00"</f>
        <v>0.00</v>
      </c>
      <c r="M402" t="str">
        <f>"0.00"</f>
        <v>0.00</v>
      </c>
      <c r="N402" t="str">
        <f t="shared" si="136"/>
        <v>0.00</v>
      </c>
      <c r="O402" t="str">
        <f>"002565"</f>
        <v>002565</v>
      </c>
      <c r="P402" t="str">
        <f>"0153613480"</f>
        <v>0153613480</v>
      </c>
    </row>
    <row r="403" spans="1:16" x14ac:dyDescent="0.25">
      <c r="A403" t="str">
        <f t="shared" si="134"/>
        <v>人民币</v>
      </c>
      <c r="B403" t="str">
        <f>"科博配号"</f>
        <v>科博配号</v>
      </c>
      <c r="C403" t="str">
        <f t="shared" si="137"/>
        <v>20190925</v>
      </c>
      <c r="D403" t="str">
        <f>"0.000"</f>
        <v>0.000</v>
      </c>
      <c r="E403" t="str">
        <f>"10.00"</f>
        <v>10.00</v>
      </c>
      <c r="F403" t="str">
        <f>"0.00"</f>
        <v>0.00</v>
      </c>
      <c r="G403" t="str">
        <f>"46892.72"</f>
        <v>46892.72</v>
      </c>
      <c r="H403" t="str">
        <f>"0.00"</f>
        <v>0.00</v>
      </c>
      <c r="I403" t="str">
        <f>"272"</f>
        <v>272</v>
      </c>
      <c r="J403" t="str">
        <f>"申购配号(科博配号)"</f>
        <v>申购配号(科博配号)</v>
      </c>
      <c r="K403" t="str">
        <f>"0.00"</f>
        <v>0.00</v>
      </c>
      <c r="L403" t="str">
        <f>"0.00"</f>
        <v>0.00</v>
      </c>
      <c r="M403" t="str">
        <f>"0.00"</f>
        <v>0.00</v>
      </c>
      <c r="N403" t="str">
        <f t="shared" si="136"/>
        <v>0.00</v>
      </c>
      <c r="O403" t="str">
        <f>"736786"</f>
        <v>736786</v>
      </c>
      <c r="P403" t="str">
        <f t="shared" ref="P403:P416" si="138">"A400948245"</f>
        <v>A400948245</v>
      </c>
    </row>
    <row r="404" spans="1:16" x14ac:dyDescent="0.25">
      <c r="A404" t="str">
        <f t="shared" si="134"/>
        <v>人民币</v>
      </c>
      <c r="B404" t="str">
        <f>"中通国脉"</f>
        <v>中通国脉</v>
      </c>
      <c r="C404" t="str">
        <f t="shared" si="137"/>
        <v>20190925</v>
      </c>
      <c r="D404" t="str">
        <f>"21.220"</f>
        <v>21.220</v>
      </c>
      <c r="E404" t="str">
        <f>"300.00"</f>
        <v>300.00</v>
      </c>
      <c r="F404" t="str">
        <f>"-6371.13"</f>
        <v>-6371.13</v>
      </c>
      <c r="G404" t="str">
        <f>"21515.51"</f>
        <v>21515.51</v>
      </c>
      <c r="H404" t="str">
        <f>"3600.00"</f>
        <v>3600.00</v>
      </c>
      <c r="I404" t="str">
        <f>"278"</f>
        <v>278</v>
      </c>
      <c r="J404" t="str">
        <f>"证券买入(中通国脉)"</f>
        <v>证券买入(中通国脉)</v>
      </c>
      <c r="K404" t="str">
        <f>"5.00"</f>
        <v>5.00</v>
      </c>
      <c r="L404" t="str">
        <f>"0.00"</f>
        <v>0.00</v>
      </c>
      <c r="M404" t="str">
        <f>"0.13"</f>
        <v>0.13</v>
      </c>
      <c r="N404" t="str">
        <f t="shared" si="136"/>
        <v>0.00</v>
      </c>
      <c r="O404" t="str">
        <f>"603559"</f>
        <v>603559</v>
      </c>
      <c r="P404" t="str">
        <f t="shared" si="138"/>
        <v>A400948245</v>
      </c>
    </row>
    <row r="405" spans="1:16" x14ac:dyDescent="0.25">
      <c r="A405" t="str">
        <f t="shared" si="134"/>
        <v>人民币</v>
      </c>
      <c r="B405" t="str">
        <f>"威派格"</f>
        <v>威派格</v>
      </c>
      <c r="C405" t="str">
        <f t="shared" si="137"/>
        <v>20190925</v>
      </c>
      <c r="D405" t="str">
        <f>"19.000"</f>
        <v>19.000</v>
      </c>
      <c r="E405" t="str">
        <f>"1000.00"</f>
        <v>1000.00</v>
      </c>
      <c r="F405" t="str">
        <f>"-19006.08"</f>
        <v>-19006.08</v>
      </c>
      <c r="G405" t="str">
        <f>"27886.64"</f>
        <v>27886.64</v>
      </c>
      <c r="H405" t="str">
        <f>"1000.00"</f>
        <v>1000.00</v>
      </c>
      <c r="I405" t="str">
        <f>"274"</f>
        <v>274</v>
      </c>
      <c r="J405" t="str">
        <f>"证券买入(威派格)"</f>
        <v>证券买入(威派格)</v>
      </c>
      <c r="K405" t="str">
        <f>"5.70"</f>
        <v>5.70</v>
      </c>
      <c r="L405" t="str">
        <f>"0.00"</f>
        <v>0.00</v>
      </c>
      <c r="M405" t="str">
        <f>"0.38"</f>
        <v>0.38</v>
      </c>
      <c r="N405" t="str">
        <f t="shared" si="136"/>
        <v>0.00</v>
      </c>
      <c r="O405" t="str">
        <f>"603956"</f>
        <v>603956</v>
      </c>
      <c r="P405" t="str">
        <f t="shared" si="138"/>
        <v>A400948245</v>
      </c>
    </row>
    <row r="406" spans="1:16" x14ac:dyDescent="0.25">
      <c r="A406" t="str">
        <f t="shared" si="134"/>
        <v>人民币</v>
      </c>
      <c r="B406" t="str">
        <f>"中通国脉"</f>
        <v>中通国脉</v>
      </c>
      <c r="C406" t="str">
        <f t="shared" si="137"/>
        <v>20190925</v>
      </c>
      <c r="D406" t="str">
        <f>"0.000"</f>
        <v>0.000</v>
      </c>
      <c r="E406" t="str">
        <f>"0.00"</f>
        <v>0.00</v>
      </c>
      <c r="F406" t="str">
        <f>"-0.44"</f>
        <v>-0.44</v>
      </c>
      <c r="G406" t="str">
        <f>"46892.72"</f>
        <v>46892.72</v>
      </c>
      <c r="H406" t="str">
        <f>"3300.00"</f>
        <v>3300.00</v>
      </c>
      <c r="I406" t="str">
        <f>"---"</f>
        <v>---</v>
      </c>
      <c r="J406" t="str">
        <f>"红利差异税扣税(中通国脉)"</f>
        <v>红利差异税扣税(中通国脉)</v>
      </c>
      <c r="K406" t="str">
        <f t="shared" ref="K406:N408" si="139">"---"</f>
        <v>---</v>
      </c>
      <c r="L406" t="str">
        <f t="shared" si="139"/>
        <v>---</v>
      </c>
      <c r="M406" t="str">
        <f t="shared" si="139"/>
        <v>---</v>
      </c>
      <c r="N406" t="str">
        <f t="shared" si="139"/>
        <v>---</v>
      </c>
      <c r="O406" t="str">
        <f>"603559"</f>
        <v>603559</v>
      </c>
      <c r="P406" t="str">
        <f t="shared" si="138"/>
        <v>A400948245</v>
      </c>
    </row>
    <row r="407" spans="1:16" x14ac:dyDescent="0.25">
      <c r="A407" t="str">
        <f t="shared" si="134"/>
        <v>人民币</v>
      </c>
      <c r="B407" t="str">
        <f>"中通国脉"</f>
        <v>中通国脉</v>
      </c>
      <c r="C407" t="str">
        <f t="shared" si="137"/>
        <v>20190925</v>
      </c>
      <c r="D407" t="str">
        <f>"0.000"</f>
        <v>0.000</v>
      </c>
      <c r="E407" t="str">
        <f>"0.00"</f>
        <v>0.00</v>
      </c>
      <c r="F407" t="str">
        <f>"-0.22"</f>
        <v>-0.22</v>
      </c>
      <c r="G407" t="str">
        <f>"46893.16"</f>
        <v>46893.16</v>
      </c>
      <c r="H407" t="str">
        <f>"3300.00"</f>
        <v>3300.00</v>
      </c>
      <c r="I407" t="str">
        <f>"---"</f>
        <v>---</v>
      </c>
      <c r="J407" t="str">
        <f>"红利差异税扣税(中通国脉)"</f>
        <v>红利差异税扣税(中通国脉)</v>
      </c>
      <c r="K407" t="str">
        <f t="shared" si="139"/>
        <v>---</v>
      </c>
      <c r="L407" t="str">
        <f t="shared" si="139"/>
        <v>---</v>
      </c>
      <c r="M407" t="str">
        <f t="shared" si="139"/>
        <v>---</v>
      </c>
      <c r="N407" t="str">
        <f t="shared" si="139"/>
        <v>---</v>
      </c>
      <c r="O407" t="str">
        <f>"603559"</f>
        <v>603559</v>
      </c>
      <c r="P407" t="str">
        <f t="shared" si="138"/>
        <v>A400948245</v>
      </c>
    </row>
    <row r="408" spans="1:16" x14ac:dyDescent="0.25">
      <c r="A408" t="str">
        <f t="shared" si="134"/>
        <v>人民币</v>
      </c>
      <c r="B408" t="str">
        <f>"中通国脉"</f>
        <v>中通国脉</v>
      </c>
      <c r="C408" t="str">
        <f t="shared" si="137"/>
        <v>20190925</v>
      </c>
      <c r="D408" t="str">
        <f>"0.000"</f>
        <v>0.000</v>
      </c>
      <c r="E408" t="str">
        <f>"0.00"</f>
        <v>0.00</v>
      </c>
      <c r="F408" t="str">
        <f>"-0.22"</f>
        <v>-0.22</v>
      </c>
      <c r="G408" t="str">
        <f>"46893.38"</f>
        <v>46893.38</v>
      </c>
      <c r="H408" t="str">
        <f>"3300.00"</f>
        <v>3300.00</v>
      </c>
      <c r="I408" t="str">
        <f>"---"</f>
        <v>---</v>
      </c>
      <c r="J408" t="str">
        <f>"红利差异税扣税(中通国脉)"</f>
        <v>红利差异税扣税(中通国脉)</v>
      </c>
      <c r="K408" t="str">
        <f t="shared" si="139"/>
        <v>---</v>
      </c>
      <c r="L408" t="str">
        <f t="shared" si="139"/>
        <v>---</v>
      </c>
      <c r="M408" t="str">
        <f t="shared" si="139"/>
        <v>---</v>
      </c>
      <c r="N408" t="str">
        <f t="shared" si="139"/>
        <v>---</v>
      </c>
      <c r="O408" t="str">
        <f>"603559"</f>
        <v>603559</v>
      </c>
      <c r="P408" t="str">
        <f t="shared" si="138"/>
        <v>A400948245</v>
      </c>
    </row>
    <row r="409" spans="1:16" x14ac:dyDescent="0.25">
      <c r="A409" t="str">
        <f t="shared" si="134"/>
        <v>人民币</v>
      </c>
      <c r="B409" t="str">
        <f>"赛腾股份"</f>
        <v>赛腾股份</v>
      </c>
      <c r="C409" t="str">
        <f t="shared" ref="C409:C414" si="140">"20190926"</f>
        <v>20190926</v>
      </c>
      <c r="D409" t="str">
        <f>"25.890"</f>
        <v>25.890</v>
      </c>
      <c r="E409" t="str">
        <f>"-1200.00"</f>
        <v>-1200.00</v>
      </c>
      <c r="F409" t="str">
        <f>"31026.99"</f>
        <v>31026.99</v>
      </c>
      <c r="G409" t="str">
        <f>"32422.61"</f>
        <v>32422.61</v>
      </c>
      <c r="H409" t="str">
        <f>"900.00"</f>
        <v>900.00</v>
      </c>
      <c r="I409" t="str">
        <f>"311"</f>
        <v>311</v>
      </c>
      <c r="J409" t="str">
        <f>"证券卖出(赛腾股份)"</f>
        <v>证券卖出(赛腾股份)</v>
      </c>
      <c r="K409" t="str">
        <f>"9.32"</f>
        <v>9.32</v>
      </c>
      <c r="L409" t="str">
        <f>"31.07"</f>
        <v>31.07</v>
      </c>
      <c r="M409" t="str">
        <f>"0.62"</f>
        <v>0.62</v>
      </c>
      <c r="N409" t="str">
        <f t="shared" ref="N409:N416" si="141">"0.00"</f>
        <v>0.00</v>
      </c>
      <c r="O409" t="str">
        <f>"603283"</f>
        <v>603283</v>
      </c>
      <c r="P409" t="str">
        <f t="shared" si="138"/>
        <v>A400948245</v>
      </c>
    </row>
    <row r="410" spans="1:16" x14ac:dyDescent="0.25">
      <c r="A410" t="str">
        <f t="shared" si="134"/>
        <v>人民币</v>
      </c>
      <c r="B410" t="str">
        <f>"中通国脉"</f>
        <v>中通国脉</v>
      </c>
      <c r="C410" t="str">
        <f t="shared" si="140"/>
        <v>20190926</v>
      </c>
      <c r="D410" t="str">
        <f>"20.180"</f>
        <v>20.180</v>
      </c>
      <c r="E410" t="str">
        <f>"500.00"</f>
        <v>500.00</v>
      </c>
      <c r="F410" t="str">
        <f>"-10095.20"</f>
        <v>-10095.20</v>
      </c>
      <c r="G410" t="str">
        <f>"1395.62"</f>
        <v>1395.62</v>
      </c>
      <c r="H410" t="str">
        <f>"4100.00"</f>
        <v>4100.00</v>
      </c>
      <c r="I410" t="str">
        <f>"304"</f>
        <v>304</v>
      </c>
      <c r="J410" t="str">
        <f>"证券买入(中通国脉)"</f>
        <v>证券买入(中通国脉)</v>
      </c>
      <c r="K410" t="str">
        <f>"5.00"</f>
        <v>5.00</v>
      </c>
      <c r="L410" t="str">
        <f>"0.00"</f>
        <v>0.00</v>
      </c>
      <c r="M410" t="str">
        <f>"0.20"</f>
        <v>0.20</v>
      </c>
      <c r="N410" t="str">
        <f t="shared" si="141"/>
        <v>0.00</v>
      </c>
      <c r="O410" t="str">
        <f>"603559"</f>
        <v>603559</v>
      </c>
      <c r="P410" t="str">
        <f t="shared" si="138"/>
        <v>A400948245</v>
      </c>
    </row>
    <row r="411" spans="1:16" x14ac:dyDescent="0.25">
      <c r="A411" t="str">
        <f t="shared" si="134"/>
        <v>人民币</v>
      </c>
      <c r="B411" t="str">
        <f>"赛腾股份"</f>
        <v>赛腾股份</v>
      </c>
      <c r="C411" t="str">
        <f t="shared" si="140"/>
        <v>20190926</v>
      </c>
      <c r="D411" t="str">
        <f>"23.100"</f>
        <v>23.100</v>
      </c>
      <c r="E411" t="str">
        <f>"500.00"</f>
        <v>500.00</v>
      </c>
      <c r="F411" t="str">
        <f>"-11555.23"</f>
        <v>-11555.23</v>
      </c>
      <c r="G411" t="str">
        <f>"11490.82"</f>
        <v>11490.82</v>
      </c>
      <c r="H411" t="str">
        <f>"2100.00"</f>
        <v>2100.00</v>
      </c>
      <c r="I411" t="str">
        <f>"301"</f>
        <v>301</v>
      </c>
      <c r="J411" t="str">
        <f>"证券买入(赛腾股份)"</f>
        <v>证券买入(赛腾股份)</v>
      </c>
      <c r="K411" t="str">
        <f>"5.00"</f>
        <v>5.00</v>
      </c>
      <c r="L411" t="str">
        <f>"0.00"</f>
        <v>0.00</v>
      </c>
      <c r="M411" t="str">
        <f>"0.23"</f>
        <v>0.23</v>
      </c>
      <c r="N411" t="str">
        <f t="shared" si="141"/>
        <v>0.00</v>
      </c>
      <c r="O411" t="str">
        <f>"603283"</f>
        <v>603283</v>
      </c>
      <c r="P411" t="str">
        <f t="shared" si="138"/>
        <v>A400948245</v>
      </c>
    </row>
    <row r="412" spans="1:16" x14ac:dyDescent="0.25">
      <c r="A412" t="str">
        <f t="shared" si="134"/>
        <v>人民币</v>
      </c>
      <c r="B412" t="str">
        <f>"赛腾股份"</f>
        <v>赛腾股份</v>
      </c>
      <c r="C412" t="str">
        <f t="shared" si="140"/>
        <v>20190926</v>
      </c>
      <c r="D412" t="str">
        <f>"23.980"</f>
        <v>23.980</v>
      </c>
      <c r="E412" t="str">
        <f>"400.00"</f>
        <v>400.00</v>
      </c>
      <c r="F412" t="str">
        <f>"-9597.19"</f>
        <v>-9597.19</v>
      </c>
      <c r="G412" t="str">
        <f>"23046.05"</f>
        <v>23046.05</v>
      </c>
      <c r="H412" t="str">
        <f>"1600.00"</f>
        <v>1600.00</v>
      </c>
      <c r="I412" t="str">
        <f>"298"</f>
        <v>298</v>
      </c>
      <c r="J412" t="str">
        <f>"证券买入(赛腾股份)"</f>
        <v>证券买入(赛腾股份)</v>
      </c>
      <c r="K412" t="str">
        <f>"5.00"</f>
        <v>5.00</v>
      </c>
      <c r="L412" t="str">
        <f>"0.00"</f>
        <v>0.00</v>
      </c>
      <c r="M412" t="str">
        <f>"0.19"</f>
        <v>0.19</v>
      </c>
      <c r="N412" t="str">
        <f t="shared" si="141"/>
        <v>0.00</v>
      </c>
      <c r="O412" t="str">
        <f>"603283"</f>
        <v>603283</v>
      </c>
      <c r="P412" t="str">
        <f t="shared" si="138"/>
        <v>A400948245</v>
      </c>
    </row>
    <row r="413" spans="1:16" x14ac:dyDescent="0.25">
      <c r="A413" t="str">
        <f t="shared" si="134"/>
        <v>人民币</v>
      </c>
      <c r="B413" t="str">
        <f>"威派格"</f>
        <v>威派格</v>
      </c>
      <c r="C413" t="str">
        <f t="shared" si="140"/>
        <v>20190926</v>
      </c>
      <c r="D413" t="str">
        <f>"21.800"</f>
        <v>21.800</v>
      </c>
      <c r="E413" t="str">
        <f>"-500.00"</f>
        <v>-500.00</v>
      </c>
      <c r="F413" t="str">
        <f>"10883.88"</f>
        <v>10883.88</v>
      </c>
      <c r="G413" t="str">
        <f>"32643.24"</f>
        <v>32643.24</v>
      </c>
      <c r="H413" t="str">
        <f>"0.00"</f>
        <v>0.00</v>
      </c>
      <c r="I413" t="str">
        <f>"295"</f>
        <v>295</v>
      </c>
      <c r="J413" t="str">
        <f>"证券卖出(威派格)"</f>
        <v>证券卖出(威派格)</v>
      </c>
      <c r="K413" t="str">
        <f>"5.00"</f>
        <v>5.00</v>
      </c>
      <c r="L413" t="str">
        <f>"10.90"</f>
        <v>10.90</v>
      </c>
      <c r="M413" t="str">
        <f>"0.22"</f>
        <v>0.22</v>
      </c>
      <c r="N413" t="str">
        <f t="shared" si="141"/>
        <v>0.00</v>
      </c>
      <c r="O413" t="str">
        <f>"603956"</f>
        <v>603956</v>
      </c>
      <c r="P413" t="str">
        <f t="shared" si="138"/>
        <v>A400948245</v>
      </c>
    </row>
    <row r="414" spans="1:16" x14ac:dyDescent="0.25">
      <c r="A414" t="str">
        <f t="shared" si="134"/>
        <v>人民币</v>
      </c>
      <c r="B414" t="str">
        <f>"威派格"</f>
        <v>威派格</v>
      </c>
      <c r="C414" t="str">
        <f t="shared" si="140"/>
        <v>20190926</v>
      </c>
      <c r="D414" t="str">
        <f>"21.860"</f>
        <v>21.860</v>
      </c>
      <c r="E414" t="str">
        <f>"-500.00"</f>
        <v>-500.00</v>
      </c>
      <c r="F414" t="str">
        <f>"10913.85"</f>
        <v>10913.85</v>
      </c>
      <c r="G414" t="str">
        <f>"21759.36"</f>
        <v>21759.36</v>
      </c>
      <c r="H414" t="str">
        <f>"500.00"</f>
        <v>500.00</v>
      </c>
      <c r="I414" t="str">
        <f>"291"</f>
        <v>291</v>
      </c>
      <c r="J414" t="str">
        <f>"证券卖出(威派格)"</f>
        <v>证券卖出(威派格)</v>
      </c>
      <c r="K414" t="str">
        <f>"5.00"</f>
        <v>5.00</v>
      </c>
      <c r="L414" t="str">
        <f>"10.93"</f>
        <v>10.93</v>
      </c>
      <c r="M414" t="str">
        <f>"0.22"</f>
        <v>0.22</v>
      </c>
      <c r="N414" t="str">
        <f t="shared" si="141"/>
        <v>0.00</v>
      </c>
      <c r="O414" t="str">
        <f>"603956"</f>
        <v>603956</v>
      </c>
      <c r="P414" t="str">
        <f t="shared" si="138"/>
        <v>A400948245</v>
      </c>
    </row>
    <row r="415" spans="1:16" x14ac:dyDescent="0.25">
      <c r="A415" t="str">
        <f t="shared" si="134"/>
        <v>人民币</v>
      </c>
      <c r="B415" t="str">
        <f>"赛腾股份"</f>
        <v>赛腾股份</v>
      </c>
      <c r="C415" t="str">
        <f>"20190927"</f>
        <v>20190927</v>
      </c>
      <c r="D415" t="str">
        <f>"29.360"</f>
        <v>29.360</v>
      </c>
      <c r="E415" t="str">
        <f>"-900.00"</f>
        <v>-900.00</v>
      </c>
      <c r="F415" t="str">
        <f>"26389.12"</f>
        <v>26389.12</v>
      </c>
      <c r="G415" t="str">
        <f>"58811.73"</f>
        <v>58811.73</v>
      </c>
      <c r="H415" t="str">
        <f>"0.00"</f>
        <v>0.00</v>
      </c>
      <c r="I415" t="str">
        <f>"320"</f>
        <v>320</v>
      </c>
      <c r="J415" t="str">
        <f>"证券卖出(赛腾股份)"</f>
        <v>证券卖出(赛腾股份)</v>
      </c>
      <c r="K415" t="str">
        <f>"7.93"</f>
        <v>7.93</v>
      </c>
      <c r="L415" t="str">
        <f>"26.42"</f>
        <v>26.42</v>
      </c>
      <c r="M415" t="str">
        <f>"0.53"</f>
        <v>0.53</v>
      </c>
      <c r="N415" t="str">
        <f t="shared" si="141"/>
        <v>0.00</v>
      </c>
      <c r="O415" t="str">
        <f>"603283"</f>
        <v>603283</v>
      </c>
      <c r="P415" t="str">
        <f t="shared" si="138"/>
        <v>A400948245</v>
      </c>
    </row>
    <row r="416" spans="1:16" x14ac:dyDescent="0.25">
      <c r="A416" t="str">
        <f t="shared" si="134"/>
        <v>人民币</v>
      </c>
      <c r="B416" t="str">
        <f>"中通国脉"</f>
        <v>中通国脉</v>
      </c>
      <c r="C416" t="str">
        <f>"20190930"</f>
        <v>20190930</v>
      </c>
      <c r="D416" t="str">
        <f>"20.150"</f>
        <v>20.150</v>
      </c>
      <c r="E416" t="str">
        <f>"500.00"</f>
        <v>500.00</v>
      </c>
      <c r="F416" t="str">
        <f>"-10080.20"</f>
        <v>-10080.20</v>
      </c>
      <c r="G416" t="str">
        <f>"18731.53"</f>
        <v>18731.53</v>
      </c>
      <c r="H416" t="str">
        <f>"4600.00"</f>
        <v>4600.00</v>
      </c>
      <c r="I416" t="str">
        <f>"328"</f>
        <v>328</v>
      </c>
      <c r="J416" t="str">
        <f>"证券买入(中通国脉)"</f>
        <v>证券买入(中通国脉)</v>
      </c>
      <c r="K416" t="str">
        <f>"5.00"</f>
        <v>5.00</v>
      </c>
      <c r="L416" t="str">
        <f>"0.00"</f>
        <v>0.00</v>
      </c>
      <c r="M416" t="str">
        <f>"0.20"</f>
        <v>0.20</v>
      </c>
      <c r="N416" t="str">
        <f t="shared" si="141"/>
        <v>0.00</v>
      </c>
      <c r="O416" t="str">
        <f>"603559"</f>
        <v>603559</v>
      </c>
      <c r="P416" t="str">
        <f t="shared" si="138"/>
        <v>A400948245</v>
      </c>
    </row>
    <row r="417" spans="1:16" x14ac:dyDescent="0.25">
      <c r="A417" t="str">
        <f t="shared" si="134"/>
        <v>人民币</v>
      </c>
      <c r="B417" t="str">
        <f>""</f>
        <v/>
      </c>
      <c r="C417" t="str">
        <f>"20190930"</f>
        <v>20190930</v>
      </c>
      <c r="D417" t="str">
        <f>"---"</f>
        <v>---</v>
      </c>
      <c r="E417" t="str">
        <f>"---"</f>
        <v>---</v>
      </c>
      <c r="F417" t="str">
        <f>"-30000.00"</f>
        <v>-30000.00</v>
      </c>
      <c r="G417" t="str">
        <f>"28811.73"</f>
        <v>28811.73</v>
      </c>
      <c r="H417" t="str">
        <f>"---"</f>
        <v>---</v>
      </c>
      <c r="I417" t="str">
        <f>"---"</f>
        <v>---</v>
      </c>
      <c r="J417" t="str">
        <f>"银行转取"</f>
        <v>银行转取</v>
      </c>
      <c r="K417" t="str">
        <f t="shared" ref="K417:P417" si="142">"---"</f>
        <v>---</v>
      </c>
      <c r="L417" t="str">
        <f t="shared" si="142"/>
        <v>---</v>
      </c>
      <c r="M417" t="str">
        <f t="shared" si="142"/>
        <v>---</v>
      </c>
      <c r="N417" t="str">
        <f t="shared" si="142"/>
        <v>---</v>
      </c>
      <c r="O417" t="str">
        <f t="shared" si="142"/>
        <v>---</v>
      </c>
      <c r="P417" t="str">
        <f t="shared" si="142"/>
        <v>---</v>
      </c>
    </row>
    <row r="418" spans="1:16" x14ac:dyDescent="0.25">
      <c r="A418" t="str">
        <f t="shared" si="134"/>
        <v>人民币</v>
      </c>
      <c r="B418" t="str">
        <f>"佳禾智能"</f>
        <v>佳禾智能</v>
      </c>
      <c r="C418" t="str">
        <f>"20191008"</f>
        <v>20191008</v>
      </c>
      <c r="D418" t="str">
        <f>"0.000"</f>
        <v>0.000</v>
      </c>
      <c r="E418" t="str">
        <f>"20.00"</f>
        <v>20.00</v>
      </c>
      <c r="F418" t="str">
        <f>"0.00"</f>
        <v>0.00</v>
      </c>
      <c r="G418" t="str">
        <f>"17908.55"</f>
        <v>17908.55</v>
      </c>
      <c r="H418" t="str">
        <f>"0.00"</f>
        <v>0.00</v>
      </c>
      <c r="I418" t="str">
        <f>"335"</f>
        <v>335</v>
      </c>
      <c r="J418" t="str">
        <f>"申购配号(佳禾智能)"</f>
        <v>申购配号(佳禾智能)</v>
      </c>
      <c r="K418" t="str">
        <f>"0.00"</f>
        <v>0.00</v>
      </c>
      <c r="L418" t="str">
        <f>"0.00"</f>
        <v>0.00</v>
      </c>
      <c r="M418" t="str">
        <f>"0.00"</f>
        <v>0.00</v>
      </c>
      <c r="N418" t="str">
        <f>"0.00"</f>
        <v>0.00</v>
      </c>
      <c r="O418" t="str">
        <f>"300793"</f>
        <v>300793</v>
      </c>
      <c r="P418" t="str">
        <f>"0153613480"</f>
        <v>0153613480</v>
      </c>
    </row>
    <row r="419" spans="1:16" x14ac:dyDescent="0.25">
      <c r="A419" t="str">
        <f t="shared" si="134"/>
        <v>人民币</v>
      </c>
      <c r="B419" t="str">
        <f>"顺灏股份"</f>
        <v>顺灏股份</v>
      </c>
      <c r="C419" t="str">
        <f>"20191008"</f>
        <v>20191008</v>
      </c>
      <c r="D419" t="str">
        <f>"7.000"</f>
        <v>7.000</v>
      </c>
      <c r="E419" t="str">
        <f>"3000.00"</f>
        <v>3000.00</v>
      </c>
      <c r="F419" t="str">
        <f>"-21006.30"</f>
        <v>-21006.30</v>
      </c>
      <c r="G419" t="str">
        <f>"17908.55"</f>
        <v>17908.55</v>
      </c>
      <c r="H419" t="str">
        <f>"12000.00"</f>
        <v>12000.00</v>
      </c>
      <c r="I419" t="str">
        <f>"337"</f>
        <v>337</v>
      </c>
      <c r="J419" t="str">
        <f>"证券买入(顺灏股份)"</f>
        <v>证券买入(顺灏股份)</v>
      </c>
      <c r="K419" t="str">
        <f>"6.30"</f>
        <v>6.30</v>
      </c>
      <c r="L419" t="str">
        <f>"0.00"</f>
        <v>0.00</v>
      </c>
      <c r="M419" t="str">
        <f>"0.00"</f>
        <v>0.00</v>
      </c>
      <c r="N419" t="str">
        <f>"0.00"</f>
        <v>0.00</v>
      </c>
      <c r="O419" t="str">
        <f>"002565"</f>
        <v>002565</v>
      </c>
      <c r="P419" t="str">
        <f>"0153613480"</f>
        <v>0153613480</v>
      </c>
    </row>
    <row r="420" spans="1:16" x14ac:dyDescent="0.25">
      <c r="A420" t="str">
        <f t="shared" si="134"/>
        <v>人民币</v>
      </c>
      <c r="B420" t="str">
        <f>"中通国脉"</f>
        <v>中通国脉</v>
      </c>
      <c r="C420" t="str">
        <f>"20191008"</f>
        <v>20191008</v>
      </c>
      <c r="D420" t="str">
        <f>"20.210"</f>
        <v>20.210</v>
      </c>
      <c r="E420" t="str">
        <f>"-1000.00"</f>
        <v>-1000.00</v>
      </c>
      <c r="F420" t="str">
        <f>"20183.32"</f>
        <v>20183.32</v>
      </c>
      <c r="G420" t="str">
        <f>"38914.85"</f>
        <v>38914.85</v>
      </c>
      <c r="H420" t="str">
        <f>"3600.00"</f>
        <v>3600.00</v>
      </c>
      <c r="I420" t="str">
        <f>"332"</f>
        <v>332</v>
      </c>
      <c r="J420" t="str">
        <f>"证券卖出(中通国脉)"</f>
        <v>证券卖出(中通国脉)</v>
      </c>
      <c r="K420" t="str">
        <f>"6.07"</f>
        <v>6.07</v>
      </c>
      <c r="L420" t="str">
        <f>"20.21"</f>
        <v>20.21</v>
      </c>
      <c r="M420" t="str">
        <f>"0.40"</f>
        <v>0.40</v>
      </c>
      <c r="N420" t="str">
        <f>"0.00"</f>
        <v>0.00</v>
      </c>
      <c r="O420" t="str">
        <f>"603559"</f>
        <v>603559</v>
      </c>
      <c r="P420" t="str">
        <f>"A400948245"</f>
        <v>A400948245</v>
      </c>
    </row>
    <row r="421" spans="1:16" x14ac:dyDescent="0.25">
      <c r="A421" t="str">
        <f t="shared" si="134"/>
        <v>人民币</v>
      </c>
      <c r="B421" t="str">
        <f>"交建配号"</f>
        <v>交建配号</v>
      </c>
      <c r="C421" t="str">
        <f>"20191009"</f>
        <v>20191009</v>
      </c>
      <c r="D421" t="str">
        <f>"0.000"</f>
        <v>0.000</v>
      </c>
      <c r="E421" t="str">
        <f>"9.00"</f>
        <v>9.00</v>
      </c>
      <c r="F421" t="str">
        <f>"0.00"</f>
        <v>0.00</v>
      </c>
      <c r="G421" t="str">
        <f>"17906.57"</f>
        <v>17906.57</v>
      </c>
      <c r="H421" t="str">
        <f>"0.00"</f>
        <v>0.00</v>
      </c>
      <c r="I421" t="str">
        <f>"348"</f>
        <v>348</v>
      </c>
      <c r="J421" t="str">
        <f>"申购配号(交建配号)"</f>
        <v>申购配号(交建配号)</v>
      </c>
      <c r="K421" t="str">
        <f>"0.00"</f>
        <v>0.00</v>
      </c>
      <c r="L421" t="str">
        <f>"0.00"</f>
        <v>0.00</v>
      </c>
      <c r="M421" t="str">
        <f>"0.00"</f>
        <v>0.00</v>
      </c>
      <c r="N421" t="str">
        <f>"0.00"</f>
        <v>0.00</v>
      </c>
      <c r="O421" t="str">
        <f>"736815"</f>
        <v>736815</v>
      </c>
      <c r="P421" t="str">
        <f>"A400948245"</f>
        <v>A400948245</v>
      </c>
    </row>
    <row r="422" spans="1:16" x14ac:dyDescent="0.25">
      <c r="A422" t="str">
        <f t="shared" si="134"/>
        <v>人民币</v>
      </c>
      <c r="B422" t="str">
        <f>"中通国脉"</f>
        <v>中通国脉</v>
      </c>
      <c r="C422" t="str">
        <f>"20191009"</f>
        <v>20191009</v>
      </c>
      <c r="D422" t="str">
        <f>"0.000"</f>
        <v>0.000</v>
      </c>
      <c r="E422" t="str">
        <f>"0.00"</f>
        <v>0.00</v>
      </c>
      <c r="F422" t="str">
        <f>"-1.76"</f>
        <v>-1.76</v>
      </c>
      <c r="G422" t="str">
        <f>"17906.57"</f>
        <v>17906.57</v>
      </c>
      <c r="H422" t="str">
        <f>"3600.00"</f>
        <v>3600.00</v>
      </c>
      <c r="I422" t="str">
        <f>"---"</f>
        <v>---</v>
      </c>
      <c r="J422" t="str">
        <f>"红利差异税扣税(中通国脉)"</f>
        <v>红利差异税扣税(中通国脉)</v>
      </c>
      <c r="K422" t="str">
        <f t="shared" ref="K422:N423" si="143">"---"</f>
        <v>---</v>
      </c>
      <c r="L422" t="str">
        <f t="shared" si="143"/>
        <v>---</v>
      </c>
      <c r="M422" t="str">
        <f t="shared" si="143"/>
        <v>---</v>
      </c>
      <c r="N422" t="str">
        <f t="shared" si="143"/>
        <v>---</v>
      </c>
      <c r="O422" t="str">
        <f>"603559"</f>
        <v>603559</v>
      </c>
      <c r="P422" t="str">
        <f>"A400948245"</f>
        <v>A400948245</v>
      </c>
    </row>
    <row r="423" spans="1:16" x14ac:dyDescent="0.25">
      <c r="A423" t="str">
        <f t="shared" si="134"/>
        <v>人民币</v>
      </c>
      <c r="B423" t="str">
        <f>"中通国脉"</f>
        <v>中通国脉</v>
      </c>
      <c r="C423" t="str">
        <f>"20191009"</f>
        <v>20191009</v>
      </c>
      <c r="D423" t="str">
        <f>"0.000"</f>
        <v>0.000</v>
      </c>
      <c r="E423" t="str">
        <f>"0.00"</f>
        <v>0.00</v>
      </c>
      <c r="F423" t="str">
        <f>"-0.22"</f>
        <v>-0.22</v>
      </c>
      <c r="G423" t="str">
        <f>"17908.33"</f>
        <v>17908.33</v>
      </c>
      <c r="H423" t="str">
        <f>"3600.00"</f>
        <v>3600.00</v>
      </c>
      <c r="I423" t="str">
        <f>"---"</f>
        <v>---</v>
      </c>
      <c r="J423" t="str">
        <f>"红利差异税扣税(中通国脉)"</f>
        <v>红利差异税扣税(中通国脉)</v>
      </c>
      <c r="K423" t="str">
        <f t="shared" si="143"/>
        <v>---</v>
      </c>
      <c r="L423" t="str">
        <f t="shared" si="143"/>
        <v>---</v>
      </c>
      <c r="M423" t="str">
        <f t="shared" si="143"/>
        <v>---</v>
      </c>
      <c r="N423" t="str">
        <f t="shared" si="143"/>
        <v>---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34"/>
        <v>人民币</v>
      </c>
      <c r="B424" t="str">
        <f>"米奥兰特"</f>
        <v>米奥兰特</v>
      </c>
      <c r="C424" t="str">
        <f>"20191010"</f>
        <v>20191010</v>
      </c>
      <c r="D424" t="str">
        <f>"0.000"</f>
        <v>0.000</v>
      </c>
      <c r="E424" t="str">
        <f>"20.00"</f>
        <v>20.00</v>
      </c>
      <c r="F424" t="str">
        <f>"0.00"</f>
        <v>0.00</v>
      </c>
      <c r="G424" t="str">
        <f>"81.22"</f>
        <v>81.22</v>
      </c>
      <c r="H424" t="str">
        <f>"0.00"</f>
        <v>0.00</v>
      </c>
      <c r="I424" t="str">
        <f>"351"</f>
        <v>351</v>
      </c>
      <c r="J424" t="str">
        <f>"申购配号(米奥兰特)"</f>
        <v>申购配号(米奥兰特)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>"0.00"</f>
        <v>0.00</v>
      </c>
      <c r="O424" t="str">
        <f>"300795"</f>
        <v>300795</v>
      </c>
      <c r="P424" t="str">
        <f>"0153613480"</f>
        <v>0153613480</v>
      </c>
    </row>
    <row r="425" spans="1:16" x14ac:dyDescent="0.25">
      <c r="A425" t="str">
        <f t="shared" si="134"/>
        <v>人民币</v>
      </c>
      <c r="B425" t="str">
        <f>"中海达"</f>
        <v>中海达</v>
      </c>
      <c r="C425" t="str">
        <f>"20191010"</f>
        <v>20191010</v>
      </c>
      <c r="D425" t="str">
        <f>"8.910"</f>
        <v>8.910</v>
      </c>
      <c r="E425" t="str">
        <f>"2000.00"</f>
        <v>2000.00</v>
      </c>
      <c r="F425" t="str">
        <f>"-17825.35"</f>
        <v>-17825.35</v>
      </c>
      <c r="G425" t="str">
        <f>"81.22"</f>
        <v>81.22</v>
      </c>
      <c r="H425" t="str">
        <f>"9000.00"</f>
        <v>9000.00</v>
      </c>
      <c r="I425" t="str">
        <f>"353"</f>
        <v>353</v>
      </c>
      <c r="J425" t="str">
        <f>"证券买入(中海达)"</f>
        <v>证券买入(中海达)</v>
      </c>
      <c r="K425" t="str">
        <f>"5.35"</f>
        <v>5.35</v>
      </c>
      <c r="L425" t="str">
        <f>"0.00"</f>
        <v>0.00</v>
      </c>
      <c r="M425" t="str">
        <f>"0.00"</f>
        <v>0.00</v>
      </c>
      <c r="N425" t="str">
        <f>"0.00"</f>
        <v>0.00</v>
      </c>
      <c r="O425" t="str">
        <f>"300177"</f>
        <v>300177</v>
      </c>
      <c r="P425" t="str">
        <f>"0153613480"</f>
        <v>0153613480</v>
      </c>
    </row>
    <row r="426" spans="1:16" x14ac:dyDescent="0.25">
      <c r="A426" t="str">
        <f t="shared" si="134"/>
        <v>人民币</v>
      </c>
      <c r="B426" t="str">
        <f>"中海达"</f>
        <v>中海达</v>
      </c>
      <c r="C426" t="str">
        <f>"20191014"</f>
        <v>20191014</v>
      </c>
      <c r="D426" t="str">
        <f>"9.080"</f>
        <v>9.080</v>
      </c>
      <c r="E426" t="str">
        <f>"-2000.00"</f>
        <v>-2000.00</v>
      </c>
      <c r="F426" t="str">
        <f>"18136.39"</f>
        <v>18136.39</v>
      </c>
      <c r="G426" t="str">
        <f>"18602.30"</f>
        <v>18602.30</v>
      </c>
      <c r="H426" t="str">
        <f>"8500.00"</f>
        <v>8500.00</v>
      </c>
      <c r="I426" t="str">
        <f>"370"</f>
        <v>370</v>
      </c>
      <c r="J426" t="str">
        <f>"证券卖出(中海达)"</f>
        <v>证券卖出(中海达)</v>
      </c>
      <c r="K426" t="str">
        <f>"5.45"</f>
        <v>5.45</v>
      </c>
      <c r="L426" t="str">
        <f>"18.16"</f>
        <v>18.16</v>
      </c>
      <c r="M426" t="str">
        <f t="shared" ref="M426:N428" si="144">"0.00"</f>
        <v>0.00</v>
      </c>
      <c r="N426" t="str">
        <f t="shared" si="144"/>
        <v>0.00</v>
      </c>
      <c r="O426" t="str">
        <f>"300177"</f>
        <v>300177</v>
      </c>
      <c r="P426" t="str">
        <f>"0153613480"</f>
        <v>0153613480</v>
      </c>
    </row>
    <row r="427" spans="1:16" x14ac:dyDescent="0.25">
      <c r="A427" t="str">
        <f t="shared" si="134"/>
        <v>人民币</v>
      </c>
      <c r="B427" t="str">
        <f>"中海达"</f>
        <v>中海达</v>
      </c>
      <c r="C427" t="str">
        <f>"20191014"</f>
        <v>20191014</v>
      </c>
      <c r="D427" t="str">
        <f>"9.090"</f>
        <v>9.090</v>
      </c>
      <c r="E427" t="str">
        <f>"1500.00"</f>
        <v>1500.00</v>
      </c>
      <c r="F427" t="str">
        <f>"-13640.00"</f>
        <v>-13640.00</v>
      </c>
      <c r="G427" t="str">
        <f>"465.91"</f>
        <v>465.91</v>
      </c>
      <c r="H427" t="str">
        <f>"10500.00"</f>
        <v>10500.00</v>
      </c>
      <c r="I427" t="str">
        <f>"365"</f>
        <v>365</v>
      </c>
      <c r="J427" t="str">
        <f>"证券买入(中海达)"</f>
        <v>证券买入(中海达)</v>
      </c>
      <c r="K427" t="str">
        <f>"5.00"</f>
        <v>5.00</v>
      </c>
      <c r="L427" t="str">
        <f>"0.00"</f>
        <v>0.00</v>
      </c>
      <c r="M427" t="str">
        <f t="shared" si="144"/>
        <v>0.00</v>
      </c>
      <c r="N427" t="str">
        <f t="shared" si="144"/>
        <v>0.00</v>
      </c>
      <c r="O427" t="str">
        <f>"300177"</f>
        <v>300177</v>
      </c>
      <c r="P427" t="str">
        <f>"0153613480"</f>
        <v>0153613480</v>
      </c>
    </row>
    <row r="428" spans="1:16" x14ac:dyDescent="0.25">
      <c r="A428" t="str">
        <f t="shared" si="134"/>
        <v>人民币</v>
      </c>
      <c r="B428" t="str">
        <f>"渝农配号"</f>
        <v>渝农配号</v>
      </c>
      <c r="C428" t="str">
        <f>"20191014"</f>
        <v>20191014</v>
      </c>
      <c r="D428" t="str">
        <f>"0.000"</f>
        <v>0.000</v>
      </c>
      <c r="E428" t="str">
        <f>"9.00"</f>
        <v>9.00</v>
      </c>
      <c r="F428" t="str">
        <f>"0.00"</f>
        <v>0.00</v>
      </c>
      <c r="G428" t="str">
        <f>"14105.91"</f>
        <v>14105.91</v>
      </c>
      <c r="H428" t="str">
        <f>"0.00"</f>
        <v>0.00</v>
      </c>
      <c r="I428" t="str">
        <f>"368"</f>
        <v>368</v>
      </c>
      <c r="J428" t="str">
        <f>"申购配号(渝农配号)"</f>
        <v>申购配号(渝农配号)</v>
      </c>
      <c r="K428" t="str">
        <f>"0.00"</f>
        <v>0.00</v>
      </c>
      <c r="L428" t="str">
        <f>"0.00"</f>
        <v>0.00</v>
      </c>
      <c r="M428" t="str">
        <f t="shared" si="144"/>
        <v>0.00</v>
      </c>
      <c r="N428" t="str">
        <f t="shared" si="144"/>
        <v>0.00</v>
      </c>
      <c r="O428" t="str">
        <f>"791077"</f>
        <v>791077</v>
      </c>
      <c r="P428" t="str">
        <f>"A400948245"</f>
        <v>A400948245</v>
      </c>
    </row>
    <row r="429" spans="1:16" x14ac:dyDescent="0.25">
      <c r="A429" t="str">
        <f t="shared" si="134"/>
        <v>人民币</v>
      </c>
      <c r="B429" t="str">
        <f>"华菱精工"</f>
        <v>华菱精工</v>
      </c>
      <c r="C429" t="str">
        <f>"20191014"</f>
        <v>20191014</v>
      </c>
      <c r="D429" t="str">
        <f>"12.984"</f>
        <v>12.984</v>
      </c>
      <c r="E429" t="str">
        <f>"2000.00"</f>
        <v>2000.00</v>
      </c>
      <c r="F429" t="str">
        <f>"-25975.31"</f>
        <v>-25975.31</v>
      </c>
      <c r="G429" t="str">
        <f>"14105.91"</f>
        <v>14105.91</v>
      </c>
      <c r="H429" t="str">
        <f>"2000.00"</f>
        <v>2000.00</v>
      </c>
      <c r="I429" t="str">
        <f>"361"</f>
        <v>361</v>
      </c>
      <c r="J429" t="str">
        <f>"证券买入(华菱精工)"</f>
        <v>证券买入(华菱精工)</v>
      </c>
      <c r="K429" t="str">
        <f>"7.79"</f>
        <v>7.79</v>
      </c>
      <c r="L429" t="str">
        <f>"0.00"</f>
        <v>0.00</v>
      </c>
      <c r="M429" t="str">
        <f>"0.52"</f>
        <v>0.52</v>
      </c>
      <c r="N429" t="str">
        <f>"0.00"</f>
        <v>0.00</v>
      </c>
      <c r="O429" t="str">
        <f>"603356"</f>
        <v>603356</v>
      </c>
      <c r="P429" t="str">
        <f>"A400948245"</f>
        <v>A400948245</v>
      </c>
    </row>
    <row r="430" spans="1:16" x14ac:dyDescent="0.25">
      <c r="A430" t="str">
        <f t="shared" si="134"/>
        <v>人民币</v>
      </c>
      <c r="B430" t="str">
        <f>""</f>
        <v/>
      </c>
      <c r="C430" t="str">
        <f>"20191014"</f>
        <v>20191014</v>
      </c>
      <c r="D430" t="str">
        <f>"---"</f>
        <v>---</v>
      </c>
      <c r="E430" t="str">
        <f>"---"</f>
        <v>---</v>
      </c>
      <c r="F430" t="str">
        <f>"40000.00"</f>
        <v>40000.00</v>
      </c>
      <c r="G430" t="str">
        <f>"40081.22"</f>
        <v>40081.22</v>
      </c>
      <c r="H430" t="str">
        <f>"---"</f>
        <v>---</v>
      </c>
      <c r="I430" t="str">
        <f>"---"</f>
        <v>---</v>
      </c>
      <c r="J430" t="str">
        <f>"银行转存"</f>
        <v>银行转存</v>
      </c>
      <c r="K430" t="str">
        <f t="shared" ref="K430:P430" si="145">"---"</f>
        <v>---</v>
      </c>
      <c r="L430" t="str">
        <f t="shared" si="145"/>
        <v>---</v>
      </c>
      <c r="M430" t="str">
        <f t="shared" si="145"/>
        <v>---</v>
      </c>
      <c r="N430" t="str">
        <f t="shared" si="145"/>
        <v>---</v>
      </c>
      <c r="O430" t="str">
        <f t="shared" si="145"/>
        <v>---</v>
      </c>
      <c r="P430" t="str">
        <f t="shared" si="145"/>
        <v>---</v>
      </c>
    </row>
    <row r="431" spans="1:16" x14ac:dyDescent="0.25">
      <c r="A431" t="str">
        <f t="shared" si="134"/>
        <v>人民币</v>
      </c>
      <c r="B431" t="str">
        <f>"中通国脉"</f>
        <v>中通国脉</v>
      </c>
      <c r="C431" t="str">
        <f>"20191015"</f>
        <v>20191015</v>
      </c>
      <c r="D431" t="str">
        <f>"20.420"</f>
        <v>20.420</v>
      </c>
      <c r="E431" t="str">
        <f>"500.00"</f>
        <v>500.00</v>
      </c>
      <c r="F431" t="str">
        <f>"-10215.20"</f>
        <v>-10215.20</v>
      </c>
      <c r="G431" t="str">
        <f>"8387.10"</f>
        <v>8387.10</v>
      </c>
      <c r="H431" t="str">
        <f>"4100.00"</f>
        <v>4100.00</v>
      </c>
      <c r="I431" t="str">
        <f>"377"</f>
        <v>377</v>
      </c>
      <c r="J431" t="str">
        <f>"证券买入(中通国脉)"</f>
        <v>证券买入(中通国脉)</v>
      </c>
      <c r="K431" t="str">
        <f>"5.00"</f>
        <v>5.00</v>
      </c>
      <c r="L431" t="str">
        <f>"0.00"</f>
        <v>0.00</v>
      </c>
      <c r="M431" t="str">
        <f>"0.20"</f>
        <v>0.20</v>
      </c>
      <c r="N431" t="str">
        <f t="shared" ref="N431:N436" si="146">"0.00"</f>
        <v>0.00</v>
      </c>
      <c r="O431" t="str">
        <f>"603559"</f>
        <v>603559</v>
      </c>
      <c r="P431" t="str">
        <f>"A400948245"</f>
        <v>A400948245</v>
      </c>
    </row>
    <row r="432" spans="1:16" x14ac:dyDescent="0.25">
      <c r="A432" t="str">
        <f t="shared" si="134"/>
        <v>人民币</v>
      </c>
      <c r="B432" t="str">
        <f>"祥鑫科技"</f>
        <v>祥鑫科技</v>
      </c>
      <c r="C432" t="str">
        <f t="shared" ref="C432:C437" si="147">"20191016"</f>
        <v>20191016</v>
      </c>
      <c r="D432" t="str">
        <f>"0.000"</f>
        <v>0.000</v>
      </c>
      <c r="E432" t="str">
        <f>"23.00"</f>
        <v>23.00</v>
      </c>
      <c r="F432" t="str">
        <f>"0.00"</f>
        <v>0.00</v>
      </c>
      <c r="G432" t="str">
        <f>"1063.52"</f>
        <v>1063.52</v>
      </c>
      <c r="H432" t="str">
        <f>"0.00"</f>
        <v>0.00</v>
      </c>
      <c r="I432" t="str">
        <f>"382"</f>
        <v>382</v>
      </c>
      <c r="J432" t="str">
        <f>"申购配号(祥鑫科技)"</f>
        <v>申购配号(祥鑫科技)</v>
      </c>
      <c r="K432" t="str">
        <f>"0.00"</f>
        <v>0.00</v>
      </c>
      <c r="L432" t="str">
        <f>"0.00"</f>
        <v>0.00</v>
      </c>
      <c r="M432" t="str">
        <f>"0.00"</f>
        <v>0.00</v>
      </c>
      <c r="N432" t="str">
        <f t="shared" si="146"/>
        <v>0.00</v>
      </c>
      <c r="O432" t="str">
        <f>"002965"</f>
        <v>002965</v>
      </c>
      <c r="P432" t="str">
        <f>"0153613480"</f>
        <v>0153613480</v>
      </c>
    </row>
    <row r="433" spans="1:16" x14ac:dyDescent="0.25">
      <c r="A433" t="str">
        <f t="shared" si="134"/>
        <v>人民币</v>
      </c>
      <c r="B433" t="str">
        <f>"豪尔赛"</f>
        <v>豪尔赛</v>
      </c>
      <c r="C433" t="str">
        <f t="shared" si="147"/>
        <v>20191016</v>
      </c>
      <c r="D433" t="str">
        <f>"0.000"</f>
        <v>0.000</v>
      </c>
      <c r="E433" t="str">
        <f>"23.00"</f>
        <v>23.00</v>
      </c>
      <c r="F433" t="str">
        <f>"0.00"</f>
        <v>0.00</v>
      </c>
      <c r="G433" t="str">
        <f>"1063.52"</f>
        <v>1063.52</v>
      </c>
      <c r="H433" t="str">
        <f>"0.00"</f>
        <v>0.00</v>
      </c>
      <c r="I433" t="str">
        <f>"384"</f>
        <v>384</v>
      </c>
      <c r="J433" t="str">
        <f>"申购配号(豪尔赛)"</f>
        <v>申购配号(豪尔赛)</v>
      </c>
      <c r="K433" t="str">
        <f>"0.00"</f>
        <v>0.00</v>
      </c>
      <c r="L433" t="str">
        <f>"0.00"</f>
        <v>0.00</v>
      </c>
      <c r="M433" t="str">
        <f>"0.00"</f>
        <v>0.00</v>
      </c>
      <c r="N433" t="str">
        <f t="shared" si="146"/>
        <v>0.00</v>
      </c>
      <c r="O433" t="str">
        <f>"002963"</f>
        <v>002963</v>
      </c>
      <c r="P433" t="str">
        <f>"0153613480"</f>
        <v>0153613480</v>
      </c>
    </row>
    <row r="434" spans="1:16" x14ac:dyDescent="0.25">
      <c r="A434" t="str">
        <f t="shared" si="134"/>
        <v>人民币</v>
      </c>
      <c r="B434" t="str">
        <f>"顺灏股份"</f>
        <v>顺灏股份</v>
      </c>
      <c r="C434" t="str">
        <f t="shared" si="147"/>
        <v>20191016</v>
      </c>
      <c r="D434" t="str">
        <f>"7.730"</f>
        <v>7.730</v>
      </c>
      <c r="E434" t="str">
        <f>"1500.00"</f>
        <v>1500.00</v>
      </c>
      <c r="F434" t="str">
        <f>"-11600.00"</f>
        <v>-11600.00</v>
      </c>
      <c r="G434" t="str">
        <f>"1063.52"</f>
        <v>1063.52</v>
      </c>
      <c r="H434" t="str">
        <f>"13500.00"</f>
        <v>13500.00</v>
      </c>
      <c r="I434" t="str">
        <f>"386"</f>
        <v>386</v>
      </c>
      <c r="J434" t="str">
        <f>"证券买入(顺灏股份)"</f>
        <v>证券买入(顺灏股份)</v>
      </c>
      <c r="K434" t="str">
        <f>"5.00"</f>
        <v>5.00</v>
      </c>
      <c r="L434" t="str">
        <f>"0.00"</f>
        <v>0.00</v>
      </c>
      <c r="M434" t="str">
        <f>"0.00"</f>
        <v>0.00</v>
      </c>
      <c r="N434" t="str">
        <f t="shared" si="146"/>
        <v>0.00</v>
      </c>
      <c r="O434" t="str">
        <f>"002565"</f>
        <v>002565</v>
      </c>
      <c r="P434" t="str">
        <f>"0153613480"</f>
        <v>0153613480</v>
      </c>
    </row>
    <row r="435" spans="1:16" x14ac:dyDescent="0.25">
      <c r="A435" t="str">
        <f t="shared" si="134"/>
        <v>人民币</v>
      </c>
      <c r="B435" t="str">
        <f>"华菱精工"</f>
        <v>华菱精工</v>
      </c>
      <c r="C435" t="str">
        <f t="shared" si="147"/>
        <v>20191016</v>
      </c>
      <c r="D435" t="str">
        <f>"12.910"</f>
        <v>12.910</v>
      </c>
      <c r="E435" t="str">
        <f>"2000.00"</f>
        <v>2000.00</v>
      </c>
      <c r="F435" t="str">
        <f>"-25828.27"</f>
        <v>-25828.27</v>
      </c>
      <c r="G435" t="str">
        <f>"12663.52"</f>
        <v>12663.52</v>
      </c>
      <c r="H435" t="str">
        <f>"4000.00"</f>
        <v>4000.00</v>
      </c>
      <c r="I435" t="str">
        <f>"394"</f>
        <v>394</v>
      </c>
      <c r="J435" t="str">
        <f>"证券买入(华菱精工)"</f>
        <v>证券买入(华菱精工)</v>
      </c>
      <c r="K435" t="str">
        <f>"7.75"</f>
        <v>7.75</v>
      </c>
      <c r="L435" t="str">
        <f>"0.00"</f>
        <v>0.00</v>
      </c>
      <c r="M435" t="str">
        <f>"0.52"</f>
        <v>0.52</v>
      </c>
      <c r="N435" t="str">
        <f t="shared" si="146"/>
        <v>0.00</v>
      </c>
      <c r="O435" t="str">
        <f>"603356"</f>
        <v>603356</v>
      </c>
      <c r="P435" t="str">
        <f>"A400948245"</f>
        <v>A400948245</v>
      </c>
    </row>
    <row r="436" spans="1:16" x14ac:dyDescent="0.25">
      <c r="A436" t="str">
        <f t="shared" si="134"/>
        <v>人民币</v>
      </c>
      <c r="B436" t="str">
        <f>"中通国脉"</f>
        <v>中通国脉</v>
      </c>
      <c r="C436" t="str">
        <f t="shared" si="147"/>
        <v>20191016</v>
      </c>
      <c r="D436" t="str">
        <f>"20.240"</f>
        <v>20.240</v>
      </c>
      <c r="E436" t="str">
        <f>"-500.00"</f>
        <v>-500.00</v>
      </c>
      <c r="F436" t="str">
        <f>"10104.69"</f>
        <v>10104.69</v>
      </c>
      <c r="G436" t="str">
        <f>"38491.79"</f>
        <v>38491.79</v>
      </c>
      <c r="H436" t="str">
        <f>"3600.00"</f>
        <v>3600.00</v>
      </c>
      <c r="I436" t="str">
        <f>"389"</f>
        <v>389</v>
      </c>
      <c r="J436" t="str">
        <f>"证券卖出(中通国脉)"</f>
        <v>证券卖出(中通国脉)</v>
      </c>
      <c r="K436" t="str">
        <f>"5.00"</f>
        <v>5.00</v>
      </c>
      <c r="L436" t="str">
        <f>"10.11"</f>
        <v>10.11</v>
      </c>
      <c r="M436" t="str">
        <f>"0.20"</f>
        <v>0.20</v>
      </c>
      <c r="N436" t="str">
        <f t="shared" si="146"/>
        <v>0.00</v>
      </c>
      <c r="O436" t="str">
        <f>"603559"</f>
        <v>603559</v>
      </c>
      <c r="P436" t="str">
        <f>"A400948245"</f>
        <v>A400948245</v>
      </c>
    </row>
    <row r="437" spans="1:16" x14ac:dyDescent="0.25">
      <c r="A437" t="str">
        <f t="shared" si="134"/>
        <v>人民币</v>
      </c>
      <c r="B437" t="str">
        <f>""</f>
        <v/>
      </c>
      <c r="C437" t="str">
        <f t="shared" si="147"/>
        <v>20191016</v>
      </c>
      <c r="D437" t="str">
        <f>"---"</f>
        <v>---</v>
      </c>
      <c r="E437" t="str">
        <f>"---"</f>
        <v>---</v>
      </c>
      <c r="F437" t="str">
        <f>"20000.00"</f>
        <v>20000.00</v>
      </c>
      <c r="G437" t="str">
        <f>"28387.10"</f>
        <v>28387.10</v>
      </c>
      <c r="H437" t="str">
        <f>"---"</f>
        <v>---</v>
      </c>
      <c r="I437" t="str">
        <f>"---"</f>
        <v>---</v>
      </c>
      <c r="J437" t="str">
        <f>"银行转存"</f>
        <v>银行转存</v>
      </c>
      <c r="K437" t="str">
        <f t="shared" ref="K437:P437" si="148">"---"</f>
        <v>---</v>
      </c>
      <c r="L437" t="str">
        <f t="shared" si="148"/>
        <v>---</v>
      </c>
      <c r="M437" t="str">
        <f t="shared" si="148"/>
        <v>---</v>
      </c>
      <c r="N437" t="str">
        <f t="shared" si="148"/>
        <v>---</v>
      </c>
      <c r="O437" t="str">
        <f t="shared" si="148"/>
        <v>---</v>
      </c>
      <c r="P437" t="str">
        <f t="shared" si="148"/>
        <v>---</v>
      </c>
    </row>
    <row r="438" spans="1:16" x14ac:dyDescent="0.25">
      <c r="A438" t="str">
        <f t="shared" si="134"/>
        <v>人民币</v>
      </c>
      <c r="B438" t="str">
        <f>"左江科技"</f>
        <v>左江科技</v>
      </c>
      <c r="C438" t="str">
        <f>"20191017"</f>
        <v>20191017</v>
      </c>
      <c r="D438" t="str">
        <f>"0.000"</f>
        <v>0.000</v>
      </c>
      <c r="E438" t="str">
        <f>"24.00"</f>
        <v>24.00</v>
      </c>
      <c r="F438" t="str">
        <f>"0.00"</f>
        <v>0.00</v>
      </c>
      <c r="G438" t="str">
        <f>"9928.52"</f>
        <v>9928.52</v>
      </c>
      <c r="H438" t="str">
        <f>"0.00"</f>
        <v>0.00</v>
      </c>
      <c r="I438" t="str">
        <f>"408"</f>
        <v>408</v>
      </c>
      <c r="J438" t="str">
        <f>"申购配号(左江科技)"</f>
        <v>申购配号(左江科技)</v>
      </c>
      <c r="K438" t="str">
        <f>"0.00"</f>
        <v>0.00</v>
      </c>
      <c r="L438" t="str">
        <f>"0.00"</f>
        <v>0.00</v>
      </c>
      <c r="M438" t="str">
        <f>"0.00"</f>
        <v>0.00</v>
      </c>
      <c r="N438" t="str">
        <f>"0.00"</f>
        <v>0.00</v>
      </c>
      <c r="O438" t="str">
        <f>"300799"</f>
        <v>300799</v>
      </c>
      <c r="P438" t="str">
        <f>"0153613480"</f>
        <v>0153613480</v>
      </c>
    </row>
    <row r="439" spans="1:16" x14ac:dyDescent="0.25">
      <c r="A439" t="str">
        <f t="shared" si="134"/>
        <v>人民币</v>
      </c>
      <c r="B439" t="str">
        <f>"顺灏股份"</f>
        <v>顺灏股份</v>
      </c>
      <c r="C439" t="str">
        <f>"20191017"</f>
        <v>20191017</v>
      </c>
      <c r="D439" t="str">
        <f>"7.420"</f>
        <v>7.420</v>
      </c>
      <c r="E439" t="str">
        <f>"1500.00"</f>
        <v>1500.00</v>
      </c>
      <c r="F439" t="str">
        <f>"-11135.00"</f>
        <v>-11135.00</v>
      </c>
      <c r="G439" t="str">
        <f>"9928.52"</f>
        <v>9928.52</v>
      </c>
      <c r="H439" t="str">
        <f>"15000.00"</f>
        <v>15000.00</v>
      </c>
      <c r="I439" t="str">
        <f>"413"</f>
        <v>413</v>
      </c>
      <c r="J439" t="str">
        <f>"证券买入(顺灏股份)"</f>
        <v>证券买入(顺灏股份)</v>
      </c>
      <c r="K439" t="str">
        <f>"5.00"</f>
        <v>5.00</v>
      </c>
      <c r="L439" t="str">
        <f t="shared" ref="L439:N440" si="149">"0.00"</f>
        <v>0.00</v>
      </c>
      <c r="M439" t="str">
        <f t="shared" si="149"/>
        <v>0.00</v>
      </c>
      <c r="N439" t="str">
        <f t="shared" si="149"/>
        <v>0.00</v>
      </c>
      <c r="O439" t="str">
        <f>"002565"</f>
        <v>002565</v>
      </c>
      <c r="P439" t="str">
        <f>"0153613480"</f>
        <v>0153613480</v>
      </c>
    </row>
    <row r="440" spans="1:16" x14ac:dyDescent="0.25">
      <c r="A440" t="str">
        <f t="shared" si="134"/>
        <v>人民币</v>
      </c>
      <c r="B440" t="str">
        <f>"麒盛配号"</f>
        <v>麒盛配号</v>
      </c>
      <c r="C440" t="str">
        <f>"20191017"</f>
        <v>20191017</v>
      </c>
      <c r="D440" t="str">
        <f>"0.000"</f>
        <v>0.000</v>
      </c>
      <c r="E440" t="str">
        <f>"9.00"</f>
        <v>9.00</v>
      </c>
      <c r="F440" t="str">
        <f>"0.00"</f>
        <v>0.00</v>
      </c>
      <c r="G440" t="str">
        <f>"21063.52"</f>
        <v>21063.52</v>
      </c>
      <c r="H440" t="str">
        <f>"0.00"</f>
        <v>0.00</v>
      </c>
      <c r="I440" t="str">
        <f>"410"</f>
        <v>410</v>
      </c>
      <c r="J440" t="str">
        <f>"申购配号(麒盛配号)"</f>
        <v>申购配号(麒盛配号)</v>
      </c>
      <c r="K440" t="str">
        <f>"0.00"</f>
        <v>0.00</v>
      </c>
      <c r="L440" t="str">
        <f t="shared" si="149"/>
        <v>0.00</v>
      </c>
      <c r="M440" t="str">
        <f t="shared" si="149"/>
        <v>0.00</v>
      </c>
      <c r="N440" t="str">
        <f t="shared" si="149"/>
        <v>0.00</v>
      </c>
      <c r="O440" t="str">
        <f>"736610"</f>
        <v>736610</v>
      </c>
      <c r="P440" t="str">
        <f>"A400948245"</f>
        <v>A400948245</v>
      </c>
    </row>
    <row r="441" spans="1:16" x14ac:dyDescent="0.25">
      <c r="A441" t="str">
        <f t="shared" si="134"/>
        <v>人民币</v>
      </c>
      <c r="B441" t="str">
        <f>""</f>
        <v/>
      </c>
      <c r="C441" t="str">
        <f>"20191017"</f>
        <v>20191017</v>
      </c>
      <c r="D441" t="str">
        <f>"---"</f>
        <v>---</v>
      </c>
      <c r="E441" t="str">
        <f>"---"</f>
        <v>---</v>
      </c>
      <c r="F441" t="str">
        <f>"20000.00"</f>
        <v>20000.00</v>
      </c>
      <c r="G441" t="str">
        <f>"21063.52"</f>
        <v>21063.52</v>
      </c>
      <c r="H441" t="str">
        <f>"---"</f>
        <v>---</v>
      </c>
      <c r="I441" t="str">
        <f>"---"</f>
        <v>---</v>
      </c>
      <c r="J441" t="str">
        <f>"银行转存"</f>
        <v>银行转存</v>
      </c>
      <c r="K441" t="str">
        <f t="shared" ref="K441:P441" si="150">"---"</f>
        <v>---</v>
      </c>
      <c r="L441" t="str">
        <f t="shared" si="150"/>
        <v>---</v>
      </c>
      <c r="M441" t="str">
        <f t="shared" si="150"/>
        <v>---</v>
      </c>
      <c r="N441" t="str">
        <f t="shared" si="150"/>
        <v>---</v>
      </c>
      <c r="O441" t="str">
        <f t="shared" si="150"/>
        <v>---</v>
      </c>
      <c r="P441" t="str">
        <f t="shared" si="150"/>
        <v>---</v>
      </c>
    </row>
    <row r="442" spans="1:16" x14ac:dyDescent="0.25">
      <c r="A442" t="str">
        <f t="shared" si="134"/>
        <v>人民币</v>
      </c>
      <c r="B442" t="str">
        <f>"中海达"</f>
        <v>中海达</v>
      </c>
      <c r="C442" t="str">
        <f>"20191021"</f>
        <v>20191021</v>
      </c>
      <c r="D442" t="str">
        <f>"8.400"</f>
        <v>8.400</v>
      </c>
      <c r="E442" t="str">
        <f>"-1100.00"</f>
        <v>-1100.00</v>
      </c>
      <c r="F442" t="str">
        <f>"9225.76"</f>
        <v>9225.76</v>
      </c>
      <c r="G442" t="str">
        <f>"9997.28"</f>
        <v>9997.28</v>
      </c>
      <c r="H442" t="str">
        <f>"8500.00"</f>
        <v>8500.00</v>
      </c>
      <c r="I442" t="str">
        <f>"425"</f>
        <v>425</v>
      </c>
      <c r="J442" t="str">
        <f>"证券卖出(中海达)"</f>
        <v>证券卖出(中海达)</v>
      </c>
      <c r="K442" t="str">
        <f>"5.00"</f>
        <v>5.00</v>
      </c>
      <c r="L442" t="str">
        <f>"9.24"</f>
        <v>9.24</v>
      </c>
      <c r="M442" t="str">
        <f t="shared" ref="M442:N446" si="151">"0.00"</f>
        <v>0.00</v>
      </c>
      <c r="N442" t="str">
        <f t="shared" si="151"/>
        <v>0.00</v>
      </c>
      <c r="O442" t="str">
        <f>"300177"</f>
        <v>300177</v>
      </c>
      <c r="P442" t="str">
        <f>"0153613480"</f>
        <v>0153613480</v>
      </c>
    </row>
    <row r="443" spans="1:16" x14ac:dyDescent="0.25">
      <c r="A443" t="str">
        <f t="shared" si="134"/>
        <v>人民币</v>
      </c>
      <c r="B443" t="str">
        <f>"中海达"</f>
        <v>中海达</v>
      </c>
      <c r="C443" t="str">
        <f>"20191021"</f>
        <v>20191021</v>
      </c>
      <c r="D443" t="str">
        <f>"8.320"</f>
        <v>8.320</v>
      </c>
      <c r="E443" t="str">
        <f>"1100.00"</f>
        <v>1100.00</v>
      </c>
      <c r="F443" t="str">
        <f>"-9157.00"</f>
        <v>-9157.00</v>
      </c>
      <c r="G443" t="str">
        <f>"771.52"</f>
        <v>771.52</v>
      </c>
      <c r="H443" t="str">
        <f>"9600.00"</f>
        <v>9600.00</v>
      </c>
      <c r="I443" t="str">
        <f>"422"</f>
        <v>422</v>
      </c>
      <c r="J443" t="str">
        <f>"证券买入(中海达)"</f>
        <v>证券买入(中海达)</v>
      </c>
      <c r="K443" t="str">
        <f>"5.00"</f>
        <v>5.00</v>
      </c>
      <c r="L443" t="str">
        <f>"0.00"</f>
        <v>0.00</v>
      </c>
      <c r="M443" t="str">
        <f t="shared" si="151"/>
        <v>0.00</v>
      </c>
      <c r="N443" t="str">
        <f t="shared" si="151"/>
        <v>0.00</v>
      </c>
      <c r="O443" t="str">
        <f>"300177"</f>
        <v>300177</v>
      </c>
      <c r="P443" t="str">
        <f>"0153613480"</f>
        <v>0153613480</v>
      </c>
    </row>
    <row r="444" spans="1:16" x14ac:dyDescent="0.25">
      <c r="A444" t="str">
        <f t="shared" si="134"/>
        <v>人民币</v>
      </c>
      <c r="B444" t="str">
        <f>"钢研纳克"</f>
        <v>钢研纳克</v>
      </c>
      <c r="C444" t="str">
        <f>"20191022"</f>
        <v>20191022</v>
      </c>
      <c r="D444" t="str">
        <f>"0.000"</f>
        <v>0.000</v>
      </c>
      <c r="E444" t="str">
        <f>"27.00"</f>
        <v>27.00</v>
      </c>
      <c r="F444" t="str">
        <f>"0.00"</f>
        <v>0.00</v>
      </c>
      <c r="G444" t="str">
        <f>"88352.16"</f>
        <v>88352.16</v>
      </c>
      <c r="H444" t="str">
        <f>"0.00"</f>
        <v>0.00</v>
      </c>
      <c r="I444" t="str">
        <f>"1"</f>
        <v>1</v>
      </c>
      <c r="J444" t="str">
        <f>"申购配号(钢研纳克)"</f>
        <v>申购配号(钢研纳克)</v>
      </c>
      <c r="K444" t="str">
        <f>"0.00"</f>
        <v>0.00</v>
      </c>
      <c r="L444" t="str">
        <f>"0.00"</f>
        <v>0.00</v>
      </c>
      <c r="M444" t="str">
        <f t="shared" si="151"/>
        <v>0.00</v>
      </c>
      <c r="N444" t="str">
        <f t="shared" si="151"/>
        <v>0.00</v>
      </c>
      <c r="O444" t="str">
        <f>"300797"</f>
        <v>300797</v>
      </c>
      <c r="P444" t="str">
        <f>"0153613480"</f>
        <v>0153613480</v>
      </c>
    </row>
    <row r="445" spans="1:16" x14ac:dyDescent="0.25">
      <c r="A445" t="str">
        <f t="shared" si="134"/>
        <v>人民币</v>
      </c>
      <c r="B445" t="str">
        <f>"中海达"</f>
        <v>中海达</v>
      </c>
      <c r="C445" t="str">
        <f>"20191022"</f>
        <v>20191022</v>
      </c>
      <c r="D445" t="str">
        <f>"8.400"</f>
        <v>8.400</v>
      </c>
      <c r="E445" t="str">
        <f>"1100.00"</f>
        <v>1100.00</v>
      </c>
      <c r="F445" t="str">
        <f>"-9245.00"</f>
        <v>-9245.00</v>
      </c>
      <c r="G445" t="str">
        <f>"88352.16"</f>
        <v>88352.16</v>
      </c>
      <c r="H445" t="str">
        <f>"9600.00"</f>
        <v>9600.00</v>
      </c>
      <c r="I445" t="str">
        <f>"9"</f>
        <v>9</v>
      </c>
      <c r="J445" t="str">
        <f>"证券买入(中海达)"</f>
        <v>证券买入(中海达)</v>
      </c>
      <c r="K445" t="str">
        <f>"5.00"</f>
        <v>5.00</v>
      </c>
      <c r="L445" t="str">
        <f>"0.00"</f>
        <v>0.00</v>
      </c>
      <c r="M445" t="str">
        <f t="shared" si="151"/>
        <v>0.00</v>
      </c>
      <c r="N445" t="str">
        <f t="shared" si="151"/>
        <v>0.00</v>
      </c>
      <c r="O445" t="str">
        <f>"300177"</f>
        <v>300177</v>
      </c>
      <c r="P445" t="str">
        <f>"0153613480"</f>
        <v>0153613480</v>
      </c>
    </row>
    <row r="446" spans="1:16" x14ac:dyDescent="0.25">
      <c r="A446" t="str">
        <f t="shared" si="134"/>
        <v>人民币</v>
      </c>
      <c r="B446" t="str">
        <f>"顺灏股份"</f>
        <v>顺灏股份</v>
      </c>
      <c r="C446" t="str">
        <f>"20191022"</f>
        <v>20191022</v>
      </c>
      <c r="D446" t="str">
        <f>"7.550"</f>
        <v>7.550</v>
      </c>
      <c r="E446" t="str">
        <f>"-4500.00"</f>
        <v>-4500.00</v>
      </c>
      <c r="F446" t="str">
        <f>"33930.82"</f>
        <v>33930.82</v>
      </c>
      <c r="G446" t="str">
        <f>"97597.16"</f>
        <v>97597.16</v>
      </c>
      <c r="H446" t="str">
        <f>"10500.00"</f>
        <v>10500.00</v>
      </c>
      <c r="I446" t="str">
        <f>"12"</f>
        <v>12</v>
      </c>
      <c r="J446" t="str">
        <f>"证券卖出(顺灏股份)"</f>
        <v>证券卖出(顺灏股份)</v>
      </c>
      <c r="K446" t="str">
        <f>"10.20"</f>
        <v>10.20</v>
      </c>
      <c r="L446" t="str">
        <f>"33.98"</f>
        <v>33.98</v>
      </c>
      <c r="M446" t="str">
        <f t="shared" si="151"/>
        <v>0.00</v>
      </c>
      <c r="N446" t="str">
        <f t="shared" si="151"/>
        <v>0.00</v>
      </c>
      <c r="O446" t="str">
        <f>"002565"</f>
        <v>002565</v>
      </c>
      <c r="P446" t="str">
        <f>"0153613480"</f>
        <v>0153613480</v>
      </c>
    </row>
    <row r="447" spans="1:16" x14ac:dyDescent="0.25">
      <c r="A447" t="str">
        <f t="shared" si="134"/>
        <v>人民币</v>
      </c>
      <c r="B447" t="str">
        <f>"华菱精工"</f>
        <v>华菱精工</v>
      </c>
      <c r="C447" t="str">
        <f>"20191022"</f>
        <v>20191022</v>
      </c>
      <c r="D447" t="str">
        <f>"13.440"</f>
        <v>13.440</v>
      </c>
      <c r="E447" t="str">
        <f>"-2000.00"</f>
        <v>-2000.00</v>
      </c>
      <c r="F447" t="str">
        <f>"26844.52"</f>
        <v>26844.52</v>
      </c>
      <c r="G447" t="str">
        <f>"63666.34"</f>
        <v>63666.34</v>
      </c>
      <c r="H447" t="str">
        <f>"0.00"</f>
        <v>0.00</v>
      </c>
      <c r="I447" t="str">
        <f>"19"</f>
        <v>19</v>
      </c>
      <c r="J447" t="str">
        <f>"证券卖出(华菱精工)"</f>
        <v>证券卖出(华菱精工)</v>
      </c>
      <c r="K447" t="str">
        <f>"8.07"</f>
        <v>8.07</v>
      </c>
      <c r="L447" t="str">
        <f>"26.87"</f>
        <v>26.87</v>
      </c>
      <c r="M447" t="str">
        <f>"0.54"</f>
        <v>0.54</v>
      </c>
      <c r="N447" t="str">
        <f t="shared" ref="N447:N459" si="152">"0.00"</f>
        <v>0.00</v>
      </c>
      <c r="O447" t="str">
        <f>"603356"</f>
        <v>603356</v>
      </c>
      <c r="P447" t="str">
        <f>"A400948245"</f>
        <v>A400948245</v>
      </c>
    </row>
    <row r="448" spans="1:16" x14ac:dyDescent="0.25">
      <c r="A448" t="str">
        <f t="shared" si="134"/>
        <v>人民币</v>
      </c>
      <c r="B448" t="str">
        <f>"华菱精工"</f>
        <v>华菱精工</v>
      </c>
      <c r="C448" t="str">
        <f>"20191022"</f>
        <v>20191022</v>
      </c>
      <c r="D448" t="str">
        <f>"13.430"</f>
        <v>13.430</v>
      </c>
      <c r="E448" t="str">
        <f>"-2000.00"</f>
        <v>-2000.00</v>
      </c>
      <c r="F448" t="str">
        <f>"26824.54"</f>
        <v>26824.54</v>
      </c>
      <c r="G448" t="str">
        <f>"36821.82"</f>
        <v>36821.82</v>
      </c>
      <c r="H448" t="str">
        <f>"2000.00"</f>
        <v>2000.00</v>
      </c>
      <c r="I448" t="str">
        <f>"16"</f>
        <v>16</v>
      </c>
      <c r="J448" t="str">
        <f>"证券卖出(华菱精工)"</f>
        <v>证券卖出(华菱精工)</v>
      </c>
      <c r="K448" t="str">
        <f>"8.06"</f>
        <v>8.06</v>
      </c>
      <c r="L448" t="str">
        <f>"26.86"</f>
        <v>26.86</v>
      </c>
      <c r="M448" t="str">
        <f>"0.54"</f>
        <v>0.54</v>
      </c>
      <c r="N448" t="str">
        <f t="shared" si="152"/>
        <v>0.00</v>
      </c>
      <c r="O448" t="str">
        <f>"603356"</f>
        <v>603356</v>
      </c>
      <c r="P448" t="str">
        <f>"A400948245"</f>
        <v>A400948245</v>
      </c>
    </row>
    <row r="449" spans="1:16" x14ac:dyDescent="0.25">
      <c r="A449" t="str">
        <f t="shared" si="134"/>
        <v>人民币</v>
      </c>
      <c r="B449" t="str">
        <f>"中海达"</f>
        <v>中海达</v>
      </c>
      <c r="C449" t="str">
        <f>"20191023"</f>
        <v>20191023</v>
      </c>
      <c r="D449" t="str">
        <f>"8.400"</f>
        <v>8.400</v>
      </c>
      <c r="E449" t="str">
        <f>"1400.00"</f>
        <v>1400.00</v>
      </c>
      <c r="F449" t="str">
        <f>"-11765.00"</f>
        <v>-11765.00</v>
      </c>
      <c r="G449" t="str">
        <f>"65819.03"</f>
        <v>65819.03</v>
      </c>
      <c r="H449" t="str">
        <f>"11000.00"</f>
        <v>11000.00</v>
      </c>
      <c r="I449" t="str">
        <f>"43"</f>
        <v>43</v>
      </c>
      <c r="J449" t="str">
        <f>"证券买入(中海达)"</f>
        <v>证券买入(中海达)</v>
      </c>
      <c r="K449" t="str">
        <f>"5.00"</f>
        <v>5.00</v>
      </c>
      <c r="L449" t="str">
        <f>"0.00"</f>
        <v>0.00</v>
      </c>
      <c r="M449" t="str">
        <f>"0.00"</f>
        <v>0.00</v>
      </c>
      <c r="N449" t="str">
        <f t="shared" si="152"/>
        <v>0.00</v>
      </c>
      <c r="O449" t="str">
        <f>"300177"</f>
        <v>300177</v>
      </c>
      <c r="P449" t="str">
        <f t="shared" ref="P449:P455" si="153">"0153613480"</f>
        <v>0153613480</v>
      </c>
    </row>
    <row r="450" spans="1:16" x14ac:dyDescent="0.25">
      <c r="A450" t="str">
        <f t="shared" ref="A450:A499" si="154">"人民币"</f>
        <v>人民币</v>
      </c>
      <c r="B450" t="str">
        <f>"顺灏股份"</f>
        <v>顺灏股份</v>
      </c>
      <c r="C450" t="str">
        <f>"20191023"</f>
        <v>20191023</v>
      </c>
      <c r="D450" t="str">
        <f>"7.680"</f>
        <v>7.680</v>
      </c>
      <c r="E450" t="str">
        <f>"3000.00"</f>
        <v>3000.00</v>
      </c>
      <c r="F450" t="str">
        <f>"-23046.91"</f>
        <v>-23046.91</v>
      </c>
      <c r="G450" t="str">
        <f>"77584.03"</f>
        <v>77584.03</v>
      </c>
      <c r="H450" t="str">
        <f>"12000.00"</f>
        <v>12000.00</v>
      </c>
      <c r="I450" t="str">
        <f>"38"</f>
        <v>38</v>
      </c>
      <c r="J450" t="str">
        <f>"证券买入(顺灏股份)"</f>
        <v>证券买入(顺灏股份)</v>
      </c>
      <c r="K450" t="str">
        <f>"6.91"</f>
        <v>6.91</v>
      </c>
      <c r="L450" t="str">
        <f>"0.00"</f>
        <v>0.00</v>
      </c>
      <c r="M450" t="str">
        <f>"0.00"</f>
        <v>0.00</v>
      </c>
      <c r="N450" t="str">
        <f t="shared" si="152"/>
        <v>0.00</v>
      </c>
      <c r="O450" t="str">
        <f>"002565"</f>
        <v>002565</v>
      </c>
      <c r="P450" t="str">
        <f t="shared" si="153"/>
        <v>0153613480</v>
      </c>
    </row>
    <row r="451" spans="1:16" x14ac:dyDescent="0.25">
      <c r="A451" t="str">
        <f t="shared" si="154"/>
        <v>人民币</v>
      </c>
      <c r="B451" t="str">
        <f>"顺灏股份"</f>
        <v>顺灏股份</v>
      </c>
      <c r="C451" t="str">
        <f>"20191023"</f>
        <v>20191023</v>
      </c>
      <c r="D451" t="str">
        <f>"7.800"</f>
        <v>7.800</v>
      </c>
      <c r="E451" t="str">
        <f>"-4000.00"</f>
        <v>-4000.00</v>
      </c>
      <c r="F451" t="str">
        <f>"31159.44"</f>
        <v>31159.44</v>
      </c>
      <c r="G451" t="str">
        <f>"100630.94"</f>
        <v>100630.94</v>
      </c>
      <c r="H451" t="str">
        <f>"9000.00"</f>
        <v>9000.00</v>
      </c>
      <c r="I451" t="str">
        <f>"35"</f>
        <v>35</v>
      </c>
      <c r="J451" t="str">
        <f>"证券卖出(顺灏股份)"</f>
        <v>证券卖出(顺灏股份)</v>
      </c>
      <c r="K451" t="str">
        <f>"9.36"</f>
        <v>9.36</v>
      </c>
      <c r="L451" t="str">
        <f>"31.20"</f>
        <v>31.20</v>
      </c>
      <c r="M451" t="str">
        <f>"0.00"</f>
        <v>0.00</v>
      </c>
      <c r="N451" t="str">
        <f t="shared" si="152"/>
        <v>0.00</v>
      </c>
      <c r="O451" t="str">
        <f>"002565"</f>
        <v>002565</v>
      </c>
      <c r="P451" t="str">
        <f t="shared" si="153"/>
        <v>0153613480</v>
      </c>
    </row>
    <row r="452" spans="1:16" x14ac:dyDescent="0.25">
      <c r="A452" t="str">
        <f t="shared" si="154"/>
        <v>人民币</v>
      </c>
      <c r="B452" t="str">
        <f>"顺灏股份"</f>
        <v>顺灏股份</v>
      </c>
      <c r="C452" t="str">
        <f>"20191023"</f>
        <v>20191023</v>
      </c>
      <c r="D452" t="str">
        <f>"7.550"</f>
        <v>7.550</v>
      </c>
      <c r="E452" t="str">
        <f>"2500.00"</f>
        <v>2500.00</v>
      </c>
      <c r="F452" t="str">
        <f>"-18880.66"</f>
        <v>-18880.66</v>
      </c>
      <c r="G452" t="str">
        <f>"69471.50"</f>
        <v>69471.50</v>
      </c>
      <c r="H452" t="str">
        <f>"13000.00"</f>
        <v>13000.00</v>
      </c>
      <c r="I452" t="str">
        <f>"29"</f>
        <v>29</v>
      </c>
      <c r="J452" t="str">
        <f>"证券买入(顺灏股份)"</f>
        <v>证券买入(顺灏股份)</v>
      </c>
      <c r="K452" t="str">
        <f>"5.66"</f>
        <v>5.66</v>
      </c>
      <c r="L452" t="str">
        <f>"0.00"</f>
        <v>0.00</v>
      </c>
      <c r="M452" t="str">
        <f>"0.00"</f>
        <v>0.00</v>
      </c>
      <c r="N452" t="str">
        <f t="shared" si="152"/>
        <v>0.00</v>
      </c>
      <c r="O452" t="str">
        <f>"002565"</f>
        <v>002565</v>
      </c>
      <c r="P452" t="str">
        <f t="shared" si="153"/>
        <v>0153613480</v>
      </c>
    </row>
    <row r="453" spans="1:16" x14ac:dyDescent="0.25">
      <c r="A453" t="str">
        <f t="shared" si="154"/>
        <v>人民币</v>
      </c>
      <c r="B453" t="str">
        <f>"力合科技"</f>
        <v>力合科技</v>
      </c>
      <c r="C453" t="str">
        <f>"20191024"</f>
        <v>20191024</v>
      </c>
      <c r="D453" t="str">
        <f>"0.000"</f>
        <v>0.000</v>
      </c>
      <c r="E453" t="str">
        <f>"29.00"</f>
        <v>29.00</v>
      </c>
      <c r="F453" t="str">
        <f>"0.00"</f>
        <v>0.00</v>
      </c>
      <c r="G453" t="str">
        <f>"28487.56"</f>
        <v>28487.56</v>
      </c>
      <c r="H453" t="str">
        <f>"0.00"</f>
        <v>0.00</v>
      </c>
      <c r="I453" t="str">
        <f>"60"</f>
        <v>60</v>
      </c>
      <c r="J453" t="str">
        <f>"申购配号(力合科技)"</f>
        <v>申购配号(力合科技)</v>
      </c>
      <c r="K453" t="str">
        <f>"0.00"</f>
        <v>0.00</v>
      </c>
      <c r="L453" t="str">
        <f>"0.00"</f>
        <v>0.00</v>
      </c>
      <c r="M453" t="str">
        <f>"0.00"</f>
        <v>0.00</v>
      </c>
      <c r="N453" t="str">
        <f t="shared" si="152"/>
        <v>0.00</v>
      </c>
      <c r="O453" t="str">
        <f>"300800"</f>
        <v>300800</v>
      </c>
      <c r="P453" t="str">
        <f t="shared" si="153"/>
        <v>0153613480</v>
      </c>
    </row>
    <row r="454" spans="1:16" x14ac:dyDescent="0.25">
      <c r="A454" t="str">
        <f t="shared" si="154"/>
        <v>人民币</v>
      </c>
      <c r="B454" t="str">
        <f>"顺灏股份"</f>
        <v>顺灏股份</v>
      </c>
      <c r="C454" t="str">
        <f>"20191024"</f>
        <v>20191024</v>
      </c>
      <c r="D454" t="str">
        <f>"7.380"</f>
        <v>7.380</v>
      </c>
      <c r="E454" t="str">
        <f>"3000.00"</f>
        <v>3000.00</v>
      </c>
      <c r="F454" t="str">
        <f>"-22146.64"</f>
        <v>-22146.64</v>
      </c>
      <c r="G454" t="str">
        <f>"28487.56"</f>
        <v>28487.56</v>
      </c>
      <c r="H454" t="str">
        <f>"17000.00"</f>
        <v>17000.00</v>
      </c>
      <c r="I454" t="str">
        <f>"62"</f>
        <v>62</v>
      </c>
      <c r="J454" t="str">
        <f>"证券买入(顺灏股份)"</f>
        <v>证券买入(顺灏股份)</v>
      </c>
      <c r="K454" t="str">
        <f>"6.64"</f>
        <v>6.64</v>
      </c>
      <c r="L454" t="str">
        <f>"0.00"</f>
        <v>0.00</v>
      </c>
      <c r="M454" t="str">
        <f>"0.00"</f>
        <v>0.00</v>
      </c>
      <c r="N454" t="str">
        <f t="shared" si="152"/>
        <v>0.00</v>
      </c>
      <c r="O454" t="str">
        <f>"002565"</f>
        <v>002565</v>
      </c>
      <c r="P454" t="str">
        <f t="shared" si="153"/>
        <v>0153613480</v>
      </c>
    </row>
    <row r="455" spans="1:16" x14ac:dyDescent="0.25">
      <c r="A455" t="str">
        <f t="shared" si="154"/>
        <v>人民币</v>
      </c>
      <c r="B455" t="str">
        <f>"顺灏股份"</f>
        <v>顺灏股份</v>
      </c>
      <c r="C455" t="str">
        <f>"20191024"</f>
        <v>20191024</v>
      </c>
      <c r="D455" t="str">
        <f>"7.530"</f>
        <v>7.530</v>
      </c>
      <c r="E455" t="str">
        <f>"2000.00"</f>
        <v>2000.00</v>
      </c>
      <c r="F455" t="str">
        <f>"-15065.00"</f>
        <v>-15065.00</v>
      </c>
      <c r="G455" t="str">
        <f>"50634.20"</f>
        <v>50634.20</v>
      </c>
      <c r="H455" t="str">
        <f>"14000.00"</f>
        <v>14000.00</v>
      </c>
      <c r="I455" t="str">
        <f>"54"</f>
        <v>54</v>
      </c>
      <c r="J455" t="str">
        <f>"证券买入(顺灏股份)"</f>
        <v>证券买入(顺灏股份)</v>
      </c>
      <c r="K455" t="str">
        <f>"5.00"</f>
        <v>5.00</v>
      </c>
      <c r="L455" t="str">
        <f>"0.00"</f>
        <v>0.00</v>
      </c>
      <c r="M455" t="str">
        <f>"0.00"</f>
        <v>0.00</v>
      </c>
      <c r="N455" t="str">
        <f t="shared" si="152"/>
        <v>0.00</v>
      </c>
      <c r="O455" t="str">
        <f>"002565"</f>
        <v>002565</v>
      </c>
      <c r="P455" t="str">
        <f t="shared" si="153"/>
        <v>0153613480</v>
      </c>
    </row>
    <row r="456" spans="1:16" x14ac:dyDescent="0.25">
      <c r="A456" t="str">
        <f t="shared" si="154"/>
        <v>人民币</v>
      </c>
      <c r="B456" t="str">
        <f>"中通国脉"</f>
        <v>中通国脉</v>
      </c>
      <c r="C456" t="str">
        <f>"20191024"</f>
        <v>20191024</v>
      </c>
      <c r="D456" t="str">
        <f>"18.900"</f>
        <v>18.900</v>
      </c>
      <c r="E456" t="str">
        <f>"-500.00"</f>
        <v>-500.00</v>
      </c>
      <c r="F456" t="str">
        <f>"9435.36"</f>
        <v>9435.36</v>
      </c>
      <c r="G456" t="str">
        <f>"65699.20"</f>
        <v>65699.20</v>
      </c>
      <c r="H456" t="str">
        <f>"3600.00"</f>
        <v>3600.00</v>
      </c>
      <c r="I456" t="str">
        <f>"67"</f>
        <v>67</v>
      </c>
      <c r="J456" t="str">
        <f>"证券卖出(中通国脉)"</f>
        <v>证券卖出(中通国脉)</v>
      </c>
      <c r="K456" t="str">
        <f>"5.00"</f>
        <v>5.00</v>
      </c>
      <c r="L456" t="str">
        <f>"9.45"</f>
        <v>9.45</v>
      </c>
      <c r="M456" t="str">
        <f>"0.19"</f>
        <v>0.19</v>
      </c>
      <c r="N456" t="str">
        <f t="shared" si="152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54"/>
        <v>人民币</v>
      </c>
      <c r="B457" t="str">
        <f>"中通国脉"</f>
        <v>中通国脉</v>
      </c>
      <c r="C457" t="str">
        <f>"20191024"</f>
        <v>20191024</v>
      </c>
      <c r="D457" t="str">
        <f>"19.100"</f>
        <v>19.100</v>
      </c>
      <c r="E457" t="str">
        <f>"500.00"</f>
        <v>500.00</v>
      </c>
      <c r="F457" t="str">
        <f>"-9555.19"</f>
        <v>-9555.19</v>
      </c>
      <c r="G457" t="str">
        <f>"56263.84"</f>
        <v>56263.84</v>
      </c>
      <c r="H457" t="str">
        <f>"4100.00"</f>
        <v>4100.00</v>
      </c>
      <c r="I457" t="str">
        <f>"50"</f>
        <v>50</v>
      </c>
      <c r="J457" t="str">
        <f>"证券买入(中通国脉)"</f>
        <v>证券买入(中通国脉)</v>
      </c>
      <c r="K457" t="str">
        <f>"5.00"</f>
        <v>5.00</v>
      </c>
      <c r="L457" t="str">
        <f>"0.00"</f>
        <v>0.00</v>
      </c>
      <c r="M457" t="str">
        <f>"0.19"</f>
        <v>0.19</v>
      </c>
      <c r="N457" t="str">
        <f t="shared" si="152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54"/>
        <v>人民币</v>
      </c>
      <c r="B458" t="str">
        <f>"顺灏股份"</f>
        <v>顺灏股份</v>
      </c>
      <c r="C458" t="str">
        <f>"20191025"</f>
        <v>20191025</v>
      </c>
      <c r="D458" t="str">
        <f>"7.600"</f>
        <v>7.600</v>
      </c>
      <c r="E458" t="str">
        <f>"-2000.00"</f>
        <v>-2000.00</v>
      </c>
      <c r="F458" t="str">
        <f>"15179.80"</f>
        <v>15179.80</v>
      </c>
      <c r="G458" t="str">
        <f>"19102.36"</f>
        <v>19102.36</v>
      </c>
      <c r="H458" t="str">
        <f>"17000.00"</f>
        <v>17000.00</v>
      </c>
      <c r="I458" t="str">
        <f>"81"</f>
        <v>81</v>
      </c>
      <c r="J458" t="str">
        <f>"证券卖出(顺灏股份)"</f>
        <v>证券卖出(顺灏股份)</v>
      </c>
      <c r="K458" t="str">
        <f>"5.00"</f>
        <v>5.00</v>
      </c>
      <c r="L458" t="str">
        <f>"15.20"</f>
        <v>15.20</v>
      </c>
      <c r="M458" t="str">
        <f>"0.00"</f>
        <v>0.00</v>
      </c>
      <c r="N458" t="str">
        <f t="shared" si="152"/>
        <v>0.00</v>
      </c>
      <c r="O458" t="str">
        <f>"002565"</f>
        <v>002565</v>
      </c>
      <c r="P458" t="str">
        <f>"0153613480"</f>
        <v>0153613480</v>
      </c>
    </row>
    <row r="459" spans="1:16" x14ac:dyDescent="0.25">
      <c r="A459" t="str">
        <f t="shared" si="154"/>
        <v>人民币</v>
      </c>
      <c r="B459" t="str">
        <f>"顺灏股份"</f>
        <v>顺灏股份</v>
      </c>
      <c r="C459" t="str">
        <f>"20191025"</f>
        <v>20191025</v>
      </c>
      <c r="D459" t="str">
        <f>"7.280"</f>
        <v>7.280</v>
      </c>
      <c r="E459" t="str">
        <f>"2000.00"</f>
        <v>2000.00</v>
      </c>
      <c r="F459" t="str">
        <f>"-14565.00"</f>
        <v>-14565.00</v>
      </c>
      <c r="G459" t="str">
        <f>"3922.56"</f>
        <v>3922.56</v>
      </c>
      <c r="H459" t="str">
        <f>"19000.00"</f>
        <v>19000.00</v>
      </c>
      <c r="I459" t="str">
        <f>"75"</f>
        <v>75</v>
      </c>
      <c r="J459" t="str">
        <f>"证券买入(顺灏股份)"</f>
        <v>证券买入(顺灏股份)</v>
      </c>
      <c r="K459" t="str">
        <f>"5.00"</f>
        <v>5.00</v>
      </c>
      <c r="L459" t="str">
        <f>"0.00"</f>
        <v>0.00</v>
      </c>
      <c r="M459" t="str">
        <f>"0.00"</f>
        <v>0.00</v>
      </c>
      <c r="N459" t="str">
        <f t="shared" si="152"/>
        <v>0.00</v>
      </c>
      <c r="O459" t="str">
        <f>"002565"</f>
        <v>002565</v>
      </c>
      <c r="P459" t="str">
        <f>"0153613480"</f>
        <v>0153613480</v>
      </c>
    </row>
    <row r="460" spans="1:16" x14ac:dyDescent="0.25">
      <c r="A460" t="str">
        <f t="shared" si="154"/>
        <v>人民币</v>
      </c>
      <c r="B460" t="str">
        <f>""</f>
        <v/>
      </c>
      <c r="C460" t="str">
        <f>"20191025"</f>
        <v>20191025</v>
      </c>
      <c r="D460" t="str">
        <f>"---"</f>
        <v>---</v>
      </c>
      <c r="E460" t="str">
        <f>"---"</f>
        <v>---</v>
      </c>
      <c r="F460" t="str">
        <f>"-10000.00"</f>
        <v>-10000.00</v>
      </c>
      <c r="G460" t="str">
        <f>"18487.56"</f>
        <v>18487.56</v>
      </c>
      <c r="H460" t="str">
        <f>"---"</f>
        <v>---</v>
      </c>
      <c r="I460" t="str">
        <f>"---"</f>
        <v>---</v>
      </c>
      <c r="J460" t="str">
        <f>"银行转取"</f>
        <v>银行转取</v>
      </c>
      <c r="K460" t="str">
        <f t="shared" ref="K460:P460" si="155">"---"</f>
        <v>---</v>
      </c>
      <c r="L460" t="str">
        <f t="shared" si="155"/>
        <v>---</v>
      </c>
      <c r="M460" t="str">
        <f t="shared" si="155"/>
        <v>---</v>
      </c>
      <c r="N460" t="str">
        <f t="shared" si="155"/>
        <v>---</v>
      </c>
      <c r="O460" t="str">
        <f t="shared" si="155"/>
        <v>---</v>
      </c>
      <c r="P460" t="str">
        <f t="shared" si="155"/>
        <v>---</v>
      </c>
    </row>
    <row r="461" spans="1:16" x14ac:dyDescent="0.25">
      <c r="A461" t="str">
        <f t="shared" si="154"/>
        <v>人民币</v>
      </c>
      <c r="B461" t="str">
        <f>"中海达"</f>
        <v>中海达</v>
      </c>
      <c r="C461" t="str">
        <f>"20191028"</f>
        <v>20191028</v>
      </c>
      <c r="D461" t="str">
        <f>"8.580"</f>
        <v>8.580</v>
      </c>
      <c r="E461" t="str">
        <f>"-2500.00"</f>
        <v>-2500.00</v>
      </c>
      <c r="F461" t="str">
        <f>"21422.11"</f>
        <v>21422.11</v>
      </c>
      <c r="G461" t="str">
        <f>"63624.40"</f>
        <v>63624.40</v>
      </c>
      <c r="H461" t="str">
        <f>"8500.00"</f>
        <v>8500.00</v>
      </c>
      <c r="I461" t="str">
        <f>"93"</f>
        <v>93</v>
      </c>
      <c r="J461" t="str">
        <f>"证券卖出(中海达)"</f>
        <v>证券卖出(中海达)</v>
      </c>
      <c r="K461" t="str">
        <f>"6.44"</f>
        <v>6.44</v>
      </c>
      <c r="L461" t="str">
        <f>"21.45"</f>
        <v>21.45</v>
      </c>
      <c r="M461" t="str">
        <f t="shared" ref="M461:N463" si="156">"0.00"</f>
        <v>0.00</v>
      </c>
      <c r="N461" t="str">
        <f t="shared" si="156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54"/>
        <v>人民币</v>
      </c>
      <c r="B462" t="str">
        <f>"顺灏股份"</f>
        <v>顺灏股份</v>
      </c>
      <c r="C462" t="str">
        <f>"20191028"</f>
        <v>20191028</v>
      </c>
      <c r="D462" t="str">
        <f>"7.710"</f>
        <v>7.710</v>
      </c>
      <c r="E462" t="str">
        <f>"-3000.00"</f>
        <v>-3000.00</v>
      </c>
      <c r="F462" t="str">
        <f>"23099.93"</f>
        <v>23099.93</v>
      </c>
      <c r="G462" t="str">
        <f>"42202.29"</f>
        <v>42202.29</v>
      </c>
      <c r="H462" t="str">
        <f>"14000.00"</f>
        <v>14000.00</v>
      </c>
      <c r="I462" t="str">
        <f>"86"</f>
        <v>86</v>
      </c>
      <c r="J462" t="str">
        <f>"证券卖出(顺灏股份)"</f>
        <v>证券卖出(顺灏股份)</v>
      </c>
      <c r="K462" t="str">
        <f>"6.94"</f>
        <v>6.94</v>
      </c>
      <c r="L462" t="str">
        <f>"23.13"</f>
        <v>23.13</v>
      </c>
      <c r="M462" t="str">
        <f t="shared" si="156"/>
        <v>0.00</v>
      </c>
      <c r="N462" t="str">
        <f t="shared" si="156"/>
        <v>0.00</v>
      </c>
      <c r="O462" t="str">
        <f>"002565"</f>
        <v>002565</v>
      </c>
      <c r="P462" t="str">
        <f>"0153613480"</f>
        <v>0153613480</v>
      </c>
    </row>
    <row r="463" spans="1:16" x14ac:dyDescent="0.25">
      <c r="A463" t="str">
        <f t="shared" si="154"/>
        <v>人民币</v>
      </c>
      <c r="B463" t="str">
        <f>"中海达"</f>
        <v>中海达</v>
      </c>
      <c r="C463" t="str">
        <f>"20191029"</f>
        <v>20191029</v>
      </c>
      <c r="D463" t="str">
        <f>"8.570"</f>
        <v>8.570</v>
      </c>
      <c r="E463" t="str">
        <f>"2000.00"</f>
        <v>2000.00</v>
      </c>
      <c r="F463" t="str">
        <f>"-17145.14"</f>
        <v>-17145.14</v>
      </c>
      <c r="G463" t="str">
        <f>"22570.78"</f>
        <v>22570.78</v>
      </c>
      <c r="H463" t="str">
        <f>"10500.00"</f>
        <v>10500.00</v>
      </c>
      <c r="I463" t="str">
        <f>"104"</f>
        <v>104</v>
      </c>
      <c r="J463" t="str">
        <f>"证券买入(中海达)"</f>
        <v>证券买入(中海达)</v>
      </c>
      <c r="K463" t="str">
        <f>"5.14"</f>
        <v>5.14</v>
      </c>
      <c r="L463" t="str">
        <f t="shared" ref="L463:L468" si="157">"0.00"</f>
        <v>0.00</v>
      </c>
      <c r="M463" t="str">
        <f t="shared" si="156"/>
        <v>0.00</v>
      </c>
      <c r="N463" t="str">
        <f t="shared" si="156"/>
        <v>0.00</v>
      </c>
      <c r="O463" t="str">
        <f>"300177"</f>
        <v>300177</v>
      </c>
      <c r="P463" t="str">
        <f>"0153613480"</f>
        <v>0153613480</v>
      </c>
    </row>
    <row r="464" spans="1:16" x14ac:dyDescent="0.25">
      <c r="A464" t="str">
        <f t="shared" si="154"/>
        <v>人民币</v>
      </c>
      <c r="B464" t="str">
        <f>"中通国脉"</f>
        <v>中通国脉</v>
      </c>
      <c r="C464" t="str">
        <f>"20191029"</f>
        <v>20191029</v>
      </c>
      <c r="D464" t="str">
        <f>"19.990"</f>
        <v>19.990</v>
      </c>
      <c r="E464" t="str">
        <f>"600.00"</f>
        <v>600.00</v>
      </c>
      <c r="F464" t="str">
        <f>"-11999.24"</f>
        <v>-11999.24</v>
      </c>
      <c r="G464" t="str">
        <f>"39715.92"</f>
        <v>39715.92</v>
      </c>
      <c r="H464" t="str">
        <f>"4800.00"</f>
        <v>4800.00</v>
      </c>
      <c r="I464" t="str">
        <f>"115"</f>
        <v>115</v>
      </c>
      <c r="J464" t="str">
        <f>"证券买入(中通国脉)"</f>
        <v>证券买入(中通国脉)</v>
      </c>
      <c r="K464" t="str">
        <f>"5.00"</f>
        <v>5.00</v>
      </c>
      <c r="L464" t="str">
        <f t="shared" si="157"/>
        <v>0.00</v>
      </c>
      <c r="M464" t="str">
        <f>"0.24"</f>
        <v>0.24</v>
      </c>
      <c r="N464" t="str">
        <f t="shared" ref="N464:N477" si="158">"0.00"</f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54"/>
        <v>人民币</v>
      </c>
      <c r="B465" t="str">
        <f>"中通国脉"</f>
        <v>中通国脉</v>
      </c>
      <c r="C465" t="str">
        <f>"20191029"</f>
        <v>20191029</v>
      </c>
      <c r="D465" t="str">
        <f>"19.840"</f>
        <v>19.840</v>
      </c>
      <c r="E465" t="str">
        <f>"600.00"</f>
        <v>600.00</v>
      </c>
      <c r="F465" t="str">
        <f>"-11909.24"</f>
        <v>-11909.24</v>
      </c>
      <c r="G465" t="str">
        <f>"51715.16"</f>
        <v>51715.16</v>
      </c>
      <c r="H465" t="str">
        <f>"4200.00"</f>
        <v>4200.00</v>
      </c>
      <c r="I465" t="str">
        <f>"101"</f>
        <v>101</v>
      </c>
      <c r="J465" t="str">
        <f>"证券买入(中通国脉)"</f>
        <v>证券买入(中通国脉)</v>
      </c>
      <c r="K465" t="str">
        <f>"5.00"</f>
        <v>5.00</v>
      </c>
      <c r="L465" t="str">
        <f t="shared" si="157"/>
        <v>0.00</v>
      </c>
      <c r="M465" t="str">
        <f>"0.24"</f>
        <v>0.24</v>
      </c>
      <c r="N465" t="str">
        <f t="shared" si="158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54"/>
        <v>人民币</v>
      </c>
      <c r="B466" t="str">
        <f>"筑博设计"</f>
        <v>筑博设计</v>
      </c>
      <c r="C466" t="str">
        <f>"20191030"</f>
        <v>20191030</v>
      </c>
      <c r="D466" t="str">
        <f>"0.000"</f>
        <v>0.000</v>
      </c>
      <c r="E466" t="str">
        <f>"20.00"</f>
        <v>20.00</v>
      </c>
      <c r="F466" t="str">
        <f>"0.00"</f>
        <v>0.00</v>
      </c>
      <c r="G466" t="str">
        <f>"24764.12"</f>
        <v>24764.12</v>
      </c>
      <c r="H466" t="str">
        <f>"0.00"</f>
        <v>0.00</v>
      </c>
      <c r="I466" t="str">
        <f>"123"</f>
        <v>123</v>
      </c>
      <c r="J466" t="str">
        <f>"申购配号(筑博设计)"</f>
        <v>申购配号(筑博设计)</v>
      </c>
      <c r="K466" t="str">
        <f>"0.00"</f>
        <v>0.00</v>
      </c>
      <c r="L466" t="str">
        <f t="shared" si="157"/>
        <v>0.00</v>
      </c>
      <c r="M466" t="str">
        <f t="shared" ref="M466:M471" si="159">"0.00"</f>
        <v>0.00</v>
      </c>
      <c r="N466" t="str">
        <f t="shared" si="158"/>
        <v>0.00</v>
      </c>
      <c r="O466" t="str">
        <f>"300564"</f>
        <v>300564</v>
      </c>
      <c r="P466" t="str">
        <f>"0153613480"</f>
        <v>0153613480</v>
      </c>
    </row>
    <row r="467" spans="1:16" x14ac:dyDescent="0.25">
      <c r="A467" t="str">
        <f t="shared" si="154"/>
        <v>人民币</v>
      </c>
      <c r="B467" t="str">
        <f>"广电计量"</f>
        <v>广电计量</v>
      </c>
      <c r="C467" t="str">
        <f>"20191030"</f>
        <v>20191030</v>
      </c>
      <c r="D467" t="str">
        <f>"0.000"</f>
        <v>0.000</v>
      </c>
      <c r="E467" t="str">
        <f>"32.00"</f>
        <v>32.00</v>
      </c>
      <c r="F467" t="str">
        <f>"0.00"</f>
        <v>0.00</v>
      </c>
      <c r="G467" t="str">
        <f>"24764.12"</f>
        <v>24764.12</v>
      </c>
      <c r="H467" t="str">
        <f>"0.00"</f>
        <v>0.00</v>
      </c>
      <c r="I467" t="str">
        <f>"125"</f>
        <v>125</v>
      </c>
      <c r="J467" t="str">
        <f>"申购配号(广电计量)"</f>
        <v>申购配号(广电计量)</v>
      </c>
      <c r="K467" t="str">
        <f>"0.00"</f>
        <v>0.00</v>
      </c>
      <c r="L467" t="str">
        <f t="shared" si="157"/>
        <v>0.00</v>
      </c>
      <c r="M467" t="str">
        <f t="shared" si="159"/>
        <v>0.00</v>
      </c>
      <c r="N467" t="str">
        <f t="shared" si="158"/>
        <v>0.00</v>
      </c>
      <c r="O467" t="str">
        <f>"002967"</f>
        <v>002967</v>
      </c>
      <c r="P467" t="str">
        <f>"0153613480"</f>
        <v>0153613480</v>
      </c>
    </row>
    <row r="468" spans="1:16" x14ac:dyDescent="0.25">
      <c r="A468" t="str">
        <f t="shared" si="154"/>
        <v>人民币</v>
      </c>
      <c r="B468" t="str">
        <f>"飞力达"</f>
        <v>飞力达</v>
      </c>
      <c r="C468" t="str">
        <f>"20191030"</f>
        <v>20191030</v>
      </c>
      <c r="D468" t="str">
        <f>"7.220"</f>
        <v>7.220</v>
      </c>
      <c r="E468" t="str">
        <f>"2000.00"</f>
        <v>2000.00</v>
      </c>
      <c r="F468" t="str">
        <f>"-14445.00"</f>
        <v>-14445.00</v>
      </c>
      <c r="G468" t="str">
        <f>"24764.12"</f>
        <v>24764.12</v>
      </c>
      <c r="H468" t="str">
        <f>"2000.00"</f>
        <v>2000.00</v>
      </c>
      <c r="I468" t="str">
        <f>"132"</f>
        <v>132</v>
      </c>
      <c r="J468" t="str">
        <f>"证券买入(飞力达)"</f>
        <v>证券买入(飞力达)</v>
      </c>
      <c r="K468" t="str">
        <f>"5.00"</f>
        <v>5.00</v>
      </c>
      <c r="L468" t="str">
        <f t="shared" si="157"/>
        <v>0.00</v>
      </c>
      <c r="M468" t="str">
        <f t="shared" si="159"/>
        <v>0.00</v>
      </c>
      <c r="N468" t="str">
        <f t="shared" si="158"/>
        <v>0.00</v>
      </c>
      <c r="O468" t="str">
        <f>"300240"</f>
        <v>300240</v>
      </c>
      <c r="P468" t="str">
        <f>"0153613480"</f>
        <v>0153613480</v>
      </c>
    </row>
    <row r="469" spans="1:16" x14ac:dyDescent="0.25">
      <c r="A469" t="str">
        <f t="shared" si="154"/>
        <v>人民币</v>
      </c>
      <c r="B469" t="str">
        <f>"中海达"</f>
        <v>中海达</v>
      </c>
      <c r="C469" t="str">
        <f>"20191030"</f>
        <v>20191030</v>
      </c>
      <c r="D469" t="str">
        <f>"8.330"</f>
        <v>8.330</v>
      </c>
      <c r="E469" t="str">
        <f>"-2000.00"</f>
        <v>-2000.00</v>
      </c>
      <c r="F469" t="str">
        <f>"16638.34"</f>
        <v>16638.34</v>
      </c>
      <c r="G469" t="str">
        <f>"39209.12"</f>
        <v>39209.12</v>
      </c>
      <c r="H469" t="str">
        <f>"8500.00"</f>
        <v>8500.00</v>
      </c>
      <c r="I469" t="str">
        <f>"129"</f>
        <v>129</v>
      </c>
      <c r="J469" t="str">
        <f>"证券卖出(中海达)"</f>
        <v>证券卖出(中海达)</v>
      </c>
      <c r="K469" t="str">
        <f>"5.00"</f>
        <v>5.00</v>
      </c>
      <c r="L469" t="str">
        <f>"16.66"</f>
        <v>16.66</v>
      </c>
      <c r="M469" t="str">
        <f t="shared" si="159"/>
        <v>0.00</v>
      </c>
      <c r="N469" t="str">
        <f t="shared" si="158"/>
        <v>0.00</v>
      </c>
      <c r="O469" t="str">
        <f>"300177"</f>
        <v>300177</v>
      </c>
      <c r="P469" t="str">
        <f>"0153613480"</f>
        <v>0153613480</v>
      </c>
    </row>
    <row r="470" spans="1:16" x14ac:dyDescent="0.25">
      <c r="A470" t="str">
        <f t="shared" si="154"/>
        <v>人民币</v>
      </c>
      <c r="B470" t="str">
        <f>"八方配号"</f>
        <v>八方配号</v>
      </c>
      <c r="C470" t="str">
        <f>"20191030"</f>
        <v>20191030</v>
      </c>
      <c r="D470" t="str">
        <f>"0.000"</f>
        <v>0.000</v>
      </c>
      <c r="E470" t="str">
        <f>"9.00"</f>
        <v>9.00</v>
      </c>
      <c r="F470" t="str">
        <f>"0.00"</f>
        <v>0.00</v>
      </c>
      <c r="G470" t="str">
        <f>"22570.78"</f>
        <v>22570.78</v>
      </c>
      <c r="H470" t="str">
        <f>"0.00"</f>
        <v>0.00</v>
      </c>
      <c r="I470" t="str">
        <f>"127"</f>
        <v>127</v>
      </c>
      <c r="J470" t="str">
        <f>"申购配号(八方配号)"</f>
        <v>申购配号(八方配号)</v>
      </c>
      <c r="K470" t="str">
        <f>"0.00"</f>
        <v>0.00</v>
      </c>
      <c r="L470" t="str">
        <f>"0.00"</f>
        <v>0.00</v>
      </c>
      <c r="M470" t="str">
        <f t="shared" si="159"/>
        <v>0.00</v>
      </c>
      <c r="N470" t="str">
        <f t="shared" si="158"/>
        <v>0.00</v>
      </c>
      <c r="O470" t="str">
        <f>"736489"</f>
        <v>736489</v>
      </c>
      <c r="P470" t="str">
        <f>"A400948245"</f>
        <v>A400948245</v>
      </c>
    </row>
    <row r="471" spans="1:16" x14ac:dyDescent="0.25">
      <c r="A471" t="str">
        <f t="shared" si="154"/>
        <v>人民币</v>
      </c>
      <c r="B471" t="str">
        <f>"飞力达"</f>
        <v>飞力达</v>
      </c>
      <c r="C471" t="str">
        <f>"20191031"</f>
        <v>20191031</v>
      </c>
      <c r="D471" t="str">
        <f>"7.570"</f>
        <v>7.570</v>
      </c>
      <c r="E471" t="str">
        <f>"-2000.00"</f>
        <v>-2000.00</v>
      </c>
      <c r="F471" t="str">
        <f>"15119.86"</f>
        <v>15119.86</v>
      </c>
      <c r="G471" t="str">
        <f>"40029.35"</f>
        <v>40029.35</v>
      </c>
      <c r="H471" t="str">
        <f>"0.00"</f>
        <v>0.00</v>
      </c>
      <c r="I471" t="str">
        <f>"141"</f>
        <v>141</v>
      </c>
      <c r="J471" t="str">
        <f>"证券卖出(飞力达)"</f>
        <v>证券卖出(飞力达)</v>
      </c>
      <c r="K471" t="str">
        <f>"5.00"</f>
        <v>5.00</v>
      </c>
      <c r="L471" t="str">
        <f>"15.14"</f>
        <v>15.14</v>
      </c>
      <c r="M471" t="str">
        <f t="shared" si="159"/>
        <v>0.00</v>
      </c>
      <c r="N471" t="str">
        <f t="shared" si="158"/>
        <v>0.00</v>
      </c>
      <c r="O471" t="str">
        <f>"300240"</f>
        <v>300240</v>
      </c>
      <c r="P471" t="str">
        <f>"0153613480"</f>
        <v>0153613480</v>
      </c>
    </row>
    <row r="472" spans="1:16" x14ac:dyDescent="0.25">
      <c r="A472" t="str">
        <f t="shared" si="154"/>
        <v>人民币</v>
      </c>
      <c r="B472" t="str">
        <f>"中通国脉"</f>
        <v>中通国脉</v>
      </c>
      <c r="C472" t="str">
        <f>"20191031"</f>
        <v>20191031</v>
      </c>
      <c r="D472" t="str">
        <f>"19.970"</f>
        <v>19.970</v>
      </c>
      <c r="E472" t="str">
        <f>"600.00"</f>
        <v>600.00</v>
      </c>
      <c r="F472" t="str">
        <f>"-11987.24"</f>
        <v>-11987.24</v>
      </c>
      <c r="G472" t="str">
        <f>"24909.49"</f>
        <v>24909.49</v>
      </c>
      <c r="H472" t="str">
        <f>"4800.00"</f>
        <v>4800.00</v>
      </c>
      <c r="I472" t="str">
        <f>"147"</f>
        <v>147</v>
      </c>
      <c r="J472" t="str">
        <f>"证券买入(中通国脉)"</f>
        <v>证券买入(中通国脉)</v>
      </c>
      <c r="K472" t="str">
        <f>"5.00"</f>
        <v>5.00</v>
      </c>
      <c r="L472" t="str">
        <f>"0.00"</f>
        <v>0.00</v>
      </c>
      <c r="M472" t="str">
        <f>"0.24"</f>
        <v>0.24</v>
      </c>
      <c r="N472" t="str">
        <f t="shared" si="158"/>
        <v>0.00</v>
      </c>
      <c r="O472" t="str">
        <f>"603559"</f>
        <v>603559</v>
      </c>
      <c r="P472" t="str">
        <f>"A400948245"</f>
        <v>A400948245</v>
      </c>
    </row>
    <row r="473" spans="1:16" x14ac:dyDescent="0.25">
      <c r="A473" t="str">
        <f t="shared" si="154"/>
        <v>人民币</v>
      </c>
      <c r="B473" t="str">
        <f>"中通国脉"</f>
        <v>中通国脉</v>
      </c>
      <c r="C473" t="str">
        <f>"20191031"</f>
        <v>20191031</v>
      </c>
      <c r="D473" t="str">
        <f>"20.250"</f>
        <v>20.250</v>
      </c>
      <c r="E473" t="str">
        <f>"-600.00"</f>
        <v>-600.00</v>
      </c>
      <c r="F473" t="str">
        <f>"12132.61"</f>
        <v>12132.61</v>
      </c>
      <c r="G473" t="str">
        <f>"36896.73"</f>
        <v>36896.73</v>
      </c>
      <c r="H473" t="str">
        <f>"4200.00"</f>
        <v>4200.00</v>
      </c>
      <c r="I473" t="str">
        <f>"144"</f>
        <v>144</v>
      </c>
      <c r="J473" t="str">
        <f>"证券卖出(中通国脉)"</f>
        <v>证券卖出(中通国脉)</v>
      </c>
      <c r="K473" t="str">
        <f>"5.00"</f>
        <v>5.00</v>
      </c>
      <c r="L473" t="str">
        <f>"12.15"</f>
        <v>12.15</v>
      </c>
      <c r="M473" t="str">
        <f>"0.24"</f>
        <v>0.24</v>
      </c>
      <c r="N473" t="str">
        <f t="shared" si="158"/>
        <v>0.00</v>
      </c>
      <c r="O473" t="str">
        <f>"603559"</f>
        <v>603559</v>
      </c>
      <c r="P473" t="str">
        <f>"A400948245"</f>
        <v>A400948245</v>
      </c>
    </row>
    <row r="474" spans="1:16" x14ac:dyDescent="0.25">
      <c r="A474" t="str">
        <f t="shared" si="154"/>
        <v>人民币</v>
      </c>
      <c r="B474" t="str">
        <f>"顺灏股份"</f>
        <v>顺灏股份</v>
      </c>
      <c r="C474" t="str">
        <f>"20191101"</f>
        <v>20191101</v>
      </c>
      <c r="D474" t="str">
        <f>"7.150"</f>
        <v>7.150</v>
      </c>
      <c r="E474" t="str">
        <f>"3000.00"</f>
        <v>3000.00</v>
      </c>
      <c r="F474" t="str">
        <f>"-21456.44"</f>
        <v>-21456.44</v>
      </c>
      <c r="G474" t="str">
        <f>"3575.02"</f>
        <v>3575.02</v>
      </c>
      <c r="H474" t="str">
        <f>"17000.00"</f>
        <v>17000.00</v>
      </c>
      <c r="I474" t="str">
        <f>"181"</f>
        <v>181</v>
      </c>
      <c r="J474" t="str">
        <f>"证券买入(顺灏股份)"</f>
        <v>证券买入(顺灏股份)</v>
      </c>
      <c r="K474" t="str">
        <f>"6.44"</f>
        <v>6.44</v>
      </c>
      <c r="L474" t="str">
        <f>"0.00"</f>
        <v>0.00</v>
      </c>
      <c r="M474" t="str">
        <f>"0.00"</f>
        <v>0.00</v>
      </c>
      <c r="N474" t="str">
        <f t="shared" si="158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54"/>
        <v>人民币</v>
      </c>
      <c r="B475" t="str">
        <f>"顺灏股份"</f>
        <v>顺灏股份</v>
      </c>
      <c r="C475" t="str">
        <f>"20191101"</f>
        <v>20191101</v>
      </c>
      <c r="D475" t="str">
        <f>"6.970"</f>
        <v>6.970</v>
      </c>
      <c r="E475" t="str">
        <f>"-3000.00"</f>
        <v>-3000.00</v>
      </c>
      <c r="F475" t="str">
        <f>"20882.80"</f>
        <v>20882.80</v>
      </c>
      <c r="G475" t="str">
        <f>"25031.46"</f>
        <v>25031.46</v>
      </c>
      <c r="H475" t="str">
        <f>"14000.00"</f>
        <v>14000.00</v>
      </c>
      <c r="I475" t="str">
        <f>"166"</f>
        <v>166</v>
      </c>
      <c r="J475" t="str">
        <f>"证券卖出(顺灏股份)"</f>
        <v>证券卖出(顺灏股份)</v>
      </c>
      <c r="K475" t="str">
        <f>"6.28"</f>
        <v>6.28</v>
      </c>
      <c r="L475" t="str">
        <f>"20.92"</f>
        <v>20.92</v>
      </c>
      <c r="M475" t="str">
        <f>"0.00"</f>
        <v>0.00</v>
      </c>
      <c r="N475" t="str">
        <f t="shared" si="158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54"/>
        <v>人民币</v>
      </c>
      <c r="B476" t="str">
        <f>"顺灏股份"</f>
        <v>顺灏股份</v>
      </c>
      <c r="C476" t="str">
        <f>"20191101"</f>
        <v>20191101</v>
      </c>
      <c r="D476" t="str">
        <f>"6.830"</f>
        <v>6.830</v>
      </c>
      <c r="E476" t="str">
        <f>"3000.00"</f>
        <v>3000.00</v>
      </c>
      <c r="F476" t="str">
        <f>"-20496.15"</f>
        <v>-20496.15</v>
      </c>
      <c r="G476" t="str">
        <f>"4148.66"</f>
        <v>4148.66</v>
      </c>
      <c r="H476" t="str">
        <f>"17000.00"</f>
        <v>17000.00</v>
      </c>
      <c r="I476" t="str">
        <f>"156"</f>
        <v>156</v>
      </c>
      <c r="J476" t="str">
        <f>"证券买入(顺灏股份)"</f>
        <v>证券买入(顺灏股份)</v>
      </c>
      <c r="K476" t="str">
        <f>"6.15"</f>
        <v>6.15</v>
      </c>
      <c r="L476" t="str">
        <f>"0.00"</f>
        <v>0.00</v>
      </c>
      <c r="M476" t="str">
        <f>"0.00"</f>
        <v>0.00</v>
      </c>
      <c r="N476" t="str">
        <f t="shared" si="158"/>
        <v>0.00</v>
      </c>
      <c r="O476" t="str">
        <f>"002565"</f>
        <v>002565</v>
      </c>
      <c r="P476" t="str">
        <f>"0153613480"</f>
        <v>0153613480</v>
      </c>
    </row>
    <row r="477" spans="1:16" x14ac:dyDescent="0.25">
      <c r="A477" t="str">
        <f t="shared" si="154"/>
        <v>人民币</v>
      </c>
      <c r="B477" t="str">
        <f>"中通国脉"</f>
        <v>中通国脉</v>
      </c>
      <c r="C477" t="str">
        <f>"20191101"</f>
        <v>20191101</v>
      </c>
      <c r="D477" t="str">
        <f>"20.540"</f>
        <v>20.540</v>
      </c>
      <c r="E477" t="str">
        <f>"-1200.00"</f>
        <v>-1200.00</v>
      </c>
      <c r="F477" t="str">
        <f>"24615.46"</f>
        <v>24615.46</v>
      </c>
      <c r="G477" t="str">
        <f>"24644.81"</f>
        <v>24644.81</v>
      </c>
      <c r="H477" t="str">
        <f>"3600.00"</f>
        <v>3600.00</v>
      </c>
      <c r="I477" t="str">
        <f>"177"</f>
        <v>177</v>
      </c>
      <c r="J477" t="str">
        <f>"证券卖出(中通国脉)"</f>
        <v>证券卖出(中通国脉)</v>
      </c>
      <c r="K477" t="str">
        <f>"7.40"</f>
        <v>7.40</v>
      </c>
      <c r="L477" t="str">
        <f>"24.65"</f>
        <v>24.65</v>
      </c>
      <c r="M477" t="str">
        <f>"0.49"</f>
        <v>0.49</v>
      </c>
      <c r="N477" t="str">
        <f t="shared" si="158"/>
        <v>0.00</v>
      </c>
      <c r="O477" t="str">
        <f>"603559"</f>
        <v>603559</v>
      </c>
      <c r="P477" t="str">
        <f>"A400948245"</f>
        <v>A400948245</v>
      </c>
    </row>
    <row r="478" spans="1:16" x14ac:dyDescent="0.25">
      <c r="A478" t="str">
        <f t="shared" si="154"/>
        <v>人民币</v>
      </c>
      <c r="B478" t="str">
        <f>""</f>
        <v/>
      </c>
      <c r="C478" t="str">
        <f>"20191101"</f>
        <v>20191101</v>
      </c>
      <c r="D478" t="str">
        <f>"---"</f>
        <v>---</v>
      </c>
      <c r="E478" t="str">
        <f>"---"</f>
        <v>---</v>
      </c>
      <c r="F478" t="str">
        <f>"-40000.00"</f>
        <v>-40000.00</v>
      </c>
      <c r="G478" t="str">
        <f>"29.35"</f>
        <v>29.35</v>
      </c>
      <c r="H478" t="str">
        <f>"---"</f>
        <v>---</v>
      </c>
      <c r="I478" t="str">
        <f>"---"</f>
        <v>---</v>
      </c>
      <c r="J478" t="str">
        <f>"银行转取"</f>
        <v>银行转取</v>
      </c>
      <c r="K478" t="str">
        <f t="shared" ref="K478:P478" si="160">"---"</f>
        <v>---</v>
      </c>
      <c r="L478" t="str">
        <f t="shared" si="160"/>
        <v>---</v>
      </c>
      <c r="M478" t="str">
        <f t="shared" si="160"/>
        <v>---</v>
      </c>
      <c r="N478" t="str">
        <f t="shared" si="160"/>
        <v>---</v>
      </c>
      <c r="O478" t="str">
        <f t="shared" si="160"/>
        <v>---</v>
      </c>
      <c r="P478" t="str">
        <f t="shared" si="160"/>
        <v>---</v>
      </c>
    </row>
    <row r="479" spans="1:16" x14ac:dyDescent="0.25">
      <c r="A479" t="str">
        <f t="shared" si="154"/>
        <v>人民币</v>
      </c>
      <c r="B479" t="str">
        <f>"顺灏股份"</f>
        <v>顺灏股份</v>
      </c>
      <c r="C479" t="str">
        <f t="shared" ref="C479:C485" si="161">"20191104"</f>
        <v>20191104</v>
      </c>
      <c r="D479" t="str">
        <f>"6.780"</f>
        <v>6.780</v>
      </c>
      <c r="E479" t="str">
        <f>"2900.00"</f>
        <v>2900.00</v>
      </c>
      <c r="F479" t="str">
        <f>"-19667.90"</f>
        <v>-19667.90</v>
      </c>
      <c r="G479" t="str">
        <f>"382.49"</f>
        <v>382.49</v>
      </c>
      <c r="H479" t="str">
        <f>"19900.00"</f>
        <v>19900.00</v>
      </c>
      <c r="I479" t="str">
        <f>"209"</f>
        <v>209</v>
      </c>
      <c r="J479" t="str">
        <f>"证券买入(顺灏股份)"</f>
        <v>证券买入(顺灏股份)</v>
      </c>
      <c r="K479" t="str">
        <f>"5.90"</f>
        <v>5.90</v>
      </c>
      <c r="L479" t="str">
        <f>"0.00"</f>
        <v>0.00</v>
      </c>
      <c r="M479" t="str">
        <f>"0.00"</f>
        <v>0.00</v>
      </c>
      <c r="N479" t="str">
        <f>"0.00"</f>
        <v>0.00</v>
      </c>
      <c r="O479" t="str">
        <f>"002565"</f>
        <v>002565</v>
      </c>
      <c r="P479" t="str">
        <f>"0153613480"</f>
        <v>0153613480</v>
      </c>
    </row>
    <row r="480" spans="1:16" x14ac:dyDescent="0.25">
      <c r="A480" t="str">
        <f t="shared" si="154"/>
        <v>人民币</v>
      </c>
      <c r="B480" t="str">
        <f>"顺灏股份"</f>
        <v>顺灏股份</v>
      </c>
      <c r="C480" t="str">
        <f t="shared" si="161"/>
        <v>20191104</v>
      </c>
      <c r="D480" t="str">
        <f>"6.820"</f>
        <v>6.820</v>
      </c>
      <c r="E480" t="str">
        <f>"-2000.00"</f>
        <v>-2000.00</v>
      </c>
      <c r="F480" t="str">
        <f>"13621.36"</f>
        <v>13621.36</v>
      </c>
      <c r="G480" t="str">
        <f>"20050.39"</f>
        <v>20050.39</v>
      </c>
      <c r="H480" t="str">
        <f>"17000.00"</f>
        <v>17000.00</v>
      </c>
      <c r="I480" t="str">
        <f>"200"</f>
        <v>200</v>
      </c>
      <c r="J480" t="str">
        <f>"证券卖出(顺灏股份)"</f>
        <v>证券卖出(顺灏股份)</v>
      </c>
      <c r="K480" t="str">
        <f>"5.00"</f>
        <v>5.00</v>
      </c>
      <c r="L480" t="str">
        <f>"13.64"</f>
        <v>13.64</v>
      </c>
      <c r="M480" t="str">
        <f t="shared" ref="M480:N483" si="162">"0.00"</f>
        <v>0.00</v>
      </c>
      <c r="N480" t="str">
        <f t="shared" si="162"/>
        <v>0.00</v>
      </c>
      <c r="O480" t="str">
        <f>"002565"</f>
        <v>002565</v>
      </c>
      <c r="P480" t="str">
        <f>"0153613480"</f>
        <v>0153613480</v>
      </c>
    </row>
    <row r="481" spans="1:16" x14ac:dyDescent="0.25">
      <c r="A481" t="str">
        <f t="shared" si="154"/>
        <v>人民币</v>
      </c>
      <c r="B481" t="str">
        <f>"顺灏股份"</f>
        <v>顺灏股份</v>
      </c>
      <c r="C481" t="str">
        <f t="shared" si="161"/>
        <v>20191104</v>
      </c>
      <c r="D481" t="str">
        <f>"6.800"</f>
        <v>6.800</v>
      </c>
      <c r="E481" t="str">
        <f>"-1230.00"</f>
        <v>-1230.00</v>
      </c>
      <c r="F481" t="str">
        <f>"8350.64"</f>
        <v>8350.64</v>
      </c>
      <c r="G481" t="str">
        <f>"6429.03"</f>
        <v>6429.03</v>
      </c>
      <c r="H481" t="str">
        <f>"19000.00"</f>
        <v>19000.00</v>
      </c>
      <c r="I481" t="str">
        <f>"197"</f>
        <v>197</v>
      </c>
      <c r="J481" t="str">
        <f>"证券卖出(顺灏股份)"</f>
        <v>证券卖出(顺灏股份)</v>
      </c>
      <c r="K481" t="str">
        <f>"5.00"</f>
        <v>5.00</v>
      </c>
      <c r="L481" t="str">
        <f>"8.36"</f>
        <v>8.36</v>
      </c>
      <c r="M481" t="str">
        <f t="shared" si="162"/>
        <v>0.00</v>
      </c>
      <c r="N481" t="str">
        <f t="shared" si="162"/>
        <v>0.00</v>
      </c>
      <c r="O481" t="str">
        <f>"002565"</f>
        <v>002565</v>
      </c>
      <c r="P481" t="str">
        <f>"0153613480"</f>
        <v>0153613480</v>
      </c>
    </row>
    <row r="482" spans="1:16" x14ac:dyDescent="0.25">
      <c r="A482" t="str">
        <f t="shared" si="154"/>
        <v>人民币</v>
      </c>
      <c r="B482" t="str">
        <f>"顺灏股份"</f>
        <v>顺灏股份</v>
      </c>
      <c r="C482" t="str">
        <f t="shared" si="161"/>
        <v>20191104</v>
      </c>
      <c r="D482" t="str">
        <f>"6.750"</f>
        <v>6.750</v>
      </c>
      <c r="E482" t="str">
        <f>"-1770.00"</f>
        <v>-1770.00</v>
      </c>
      <c r="F482" t="str">
        <f>"11930.55"</f>
        <v>11930.55</v>
      </c>
      <c r="G482" t="str">
        <f>"-1921.61"</f>
        <v>-1921.61</v>
      </c>
      <c r="H482" t="str">
        <f>"20230.00"</f>
        <v>20230.00</v>
      </c>
      <c r="I482" t="str">
        <f>"193"</f>
        <v>193</v>
      </c>
      <c r="J482" t="str">
        <f>"证券卖出(顺灏股份)"</f>
        <v>证券卖出(顺灏股份)</v>
      </c>
      <c r="K482" t="str">
        <f>"5.00"</f>
        <v>5.00</v>
      </c>
      <c r="L482" t="str">
        <f>"11.95"</f>
        <v>11.95</v>
      </c>
      <c r="M482" t="str">
        <f t="shared" si="162"/>
        <v>0.00</v>
      </c>
      <c r="N482" t="str">
        <f t="shared" si="162"/>
        <v>0.00</v>
      </c>
      <c r="O482" t="str">
        <f>"002565"</f>
        <v>002565</v>
      </c>
      <c r="P482" t="str">
        <f>"0153613480"</f>
        <v>0153613480</v>
      </c>
    </row>
    <row r="483" spans="1:16" x14ac:dyDescent="0.25">
      <c r="A483" t="str">
        <f t="shared" si="154"/>
        <v>人民币</v>
      </c>
      <c r="B483" t="str">
        <f>"顺灏股份"</f>
        <v>顺灏股份</v>
      </c>
      <c r="C483" t="str">
        <f t="shared" si="161"/>
        <v>20191104</v>
      </c>
      <c r="D483" t="str">
        <f>"6.590"</f>
        <v>6.590</v>
      </c>
      <c r="E483" t="str">
        <f>"5000.00"</f>
        <v>5000.00</v>
      </c>
      <c r="F483" t="str">
        <f>"-32959.89"</f>
        <v>-32959.89</v>
      </c>
      <c r="G483" t="str">
        <f>"-13852.16"</f>
        <v>-13852.16</v>
      </c>
      <c r="H483" t="str">
        <f>"22000.00"</f>
        <v>22000.00</v>
      </c>
      <c r="I483" t="str">
        <f>"189"</f>
        <v>189</v>
      </c>
      <c r="J483" t="str">
        <f>"证券买入(顺灏股份)"</f>
        <v>证券买入(顺灏股份)</v>
      </c>
      <c r="K483" t="str">
        <f>"9.89"</f>
        <v>9.89</v>
      </c>
      <c r="L483" t="str">
        <f>"0.00"</f>
        <v>0.00</v>
      </c>
      <c r="M483" t="str">
        <f t="shared" si="162"/>
        <v>0.00</v>
      </c>
      <c r="N483" t="str">
        <f t="shared" si="162"/>
        <v>0.00</v>
      </c>
      <c r="O483" t="str">
        <f>"002565"</f>
        <v>002565</v>
      </c>
      <c r="P483" t="str">
        <f>"0153613480"</f>
        <v>0153613480</v>
      </c>
    </row>
    <row r="484" spans="1:16" x14ac:dyDescent="0.25">
      <c r="A484" t="str">
        <f t="shared" si="154"/>
        <v>人民币</v>
      </c>
      <c r="B484" t="str">
        <f>"中通国脉"</f>
        <v>中通国脉</v>
      </c>
      <c r="C484" t="str">
        <f t="shared" si="161"/>
        <v>20191104</v>
      </c>
      <c r="D484" t="str">
        <f>"20.660"</f>
        <v>20.660</v>
      </c>
      <c r="E484" t="str">
        <f>"700.00"</f>
        <v>700.00</v>
      </c>
      <c r="F484" t="str">
        <f>"-14467.29"</f>
        <v>-14467.29</v>
      </c>
      <c r="G484" t="str">
        <f>"19107.73"</f>
        <v>19107.73</v>
      </c>
      <c r="H484" t="str">
        <f>"4300.00"</f>
        <v>4300.00</v>
      </c>
      <c r="I484" t="str">
        <f>"203"</f>
        <v>203</v>
      </c>
      <c r="J484" t="str">
        <f>"证券买入(中通国脉)"</f>
        <v>证券买入(中通国脉)</v>
      </c>
      <c r="K484" t="str">
        <f>"5.00"</f>
        <v>5.00</v>
      </c>
      <c r="L484" t="str">
        <f>"0.00"</f>
        <v>0.00</v>
      </c>
      <c r="M484" t="str">
        <f>"0.29"</f>
        <v>0.29</v>
      </c>
      <c r="N484" t="str">
        <f>"0.00"</f>
        <v>0.00</v>
      </c>
      <c r="O484" t="str">
        <f>"603559"</f>
        <v>603559</v>
      </c>
      <c r="P484" t="str">
        <f>"A400948245"</f>
        <v>A400948245</v>
      </c>
    </row>
    <row r="485" spans="1:16" x14ac:dyDescent="0.25">
      <c r="A485" t="str">
        <f t="shared" si="154"/>
        <v>人民币</v>
      </c>
      <c r="B485" t="str">
        <f>""</f>
        <v/>
      </c>
      <c r="C485" t="str">
        <f t="shared" si="161"/>
        <v>20191104</v>
      </c>
      <c r="D485" t="str">
        <f>"---"</f>
        <v>---</v>
      </c>
      <c r="E485" t="str">
        <f>"---"</f>
        <v>---</v>
      </c>
      <c r="F485" t="str">
        <f>"30000.00"</f>
        <v>30000.00</v>
      </c>
      <c r="G485" t="str">
        <f>"33575.02"</f>
        <v>33575.02</v>
      </c>
      <c r="H485" t="str">
        <f>"---"</f>
        <v>---</v>
      </c>
      <c r="I485" t="str">
        <f>"---"</f>
        <v>---</v>
      </c>
      <c r="J485" t="str">
        <f>"银行转存"</f>
        <v>银行转存</v>
      </c>
      <c r="K485" t="str">
        <f t="shared" ref="K485:P485" si="163">"---"</f>
        <v>---</v>
      </c>
      <c r="L485" t="str">
        <f t="shared" si="163"/>
        <v>---</v>
      </c>
      <c r="M485" t="str">
        <f t="shared" si="163"/>
        <v>---</v>
      </c>
      <c r="N485" t="str">
        <f t="shared" si="163"/>
        <v>---</v>
      </c>
      <c r="O485" t="str">
        <f t="shared" si="163"/>
        <v>---</v>
      </c>
      <c r="P485" t="str">
        <f t="shared" si="163"/>
        <v>---</v>
      </c>
    </row>
    <row r="486" spans="1:16" x14ac:dyDescent="0.25">
      <c r="A486" t="str">
        <f t="shared" si="154"/>
        <v>人民币</v>
      </c>
      <c r="B486" t="str">
        <f>"矩子科技"</f>
        <v>矩子科技</v>
      </c>
      <c r="C486" t="str">
        <f>"20191105"</f>
        <v>20191105</v>
      </c>
      <c r="D486" t="str">
        <f>"0.000"</f>
        <v>0.000</v>
      </c>
      <c r="E486" t="str">
        <f>"20.00"</f>
        <v>20.00</v>
      </c>
      <c r="F486" t="str">
        <f>"0.00"</f>
        <v>0.00</v>
      </c>
      <c r="G486" t="str">
        <f>"382.49"</f>
        <v>382.49</v>
      </c>
      <c r="H486" t="str">
        <f>"0.00"</f>
        <v>0.00</v>
      </c>
      <c r="I486" t="str">
        <f>"220"</f>
        <v>220</v>
      </c>
      <c r="J486" t="str">
        <f>"申购配号(矩子科技)"</f>
        <v>申购配号(矩子科技)</v>
      </c>
      <c r="K486" t="str">
        <f t="shared" ref="K486:N488" si="164">"0.00"</f>
        <v>0.00</v>
      </c>
      <c r="L486" t="str">
        <f t="shared" si="164"/>
        <v>0.00</v>
      </c>
      <c r="M486" t="str">
        <f t="shared" si="164"/>
        <v>0.00</v>
      </c>
      <c r="N486" t="str">
        <f t="shared" si="164"/>
        <v>0.00</v>
      </c>
      <c r="O486" t="str">
        <f>"300802"</f>
        <v>300802</v>
      </c>
      <c r="P486" t="str">
        <f t="shared" ref="P486:P491" si="165">"0153613480"</f>
        <v>0153613480</v>
      </c>
    </row>
    <row r="487" spans="1:16" x14ac:dyDescent="0.25">
      <c r="A487" t="str">
        <f t="shared" si="154"/>
        <v>人民币</v>
      </c>
      <c r="B487" t="str">
        <f>"贝斯美"</f>
        <v>贝斯美</v>
      </c>
      <c r="C487" t="str">
        <f>"20191105"</f>
        <v>20191105</v>
      </c>
      <c r="D487" t="str">
        <f>"0.000"</f>
        <v>0.000</v>
      </c>
      <c r="E487" t="str">
        <f>"24.00"</f>
        <v>24.00</v>
      </c>
      <c r="F487" t="str">
        <f>"0.00"</f>
        <v>0.00</v>
      </c>
      <c r="G487" t="str">
        <f>"382.49"</f>
        <v>382.49</v>
      </c>
      <c r="H487" t="str">
        <f>"0.00"</f>
        <v>0.00</v>
      </c>
      <c r="I487" t="str">
        <f>"222"</f>
        <v>222</v>
      </c>
      <c r="J487" t="str">
        <f>"申购配号(贝斯美)"</f>
        <v>申购配号(贝斯美)</v>
      </c>
      <c r="K487" t="str">
        <f t="shared" si="164"/>
        <v>0.00</v>
      </c>
      <c r="L487" t="str">
        <f t="shared" si="164"/>
        <v>0.00</v>
      </c>
      <c r="M487" t="str">
        <f t="shared" si="164"/>
        <v>0.00</v>
      </c>
      <c r="N487" t="str">
        <f t="shared" si="164"/>
        <v>0.00</v>
      </c>
      <c r="O487" t="str">
        <f>"300796"</f>
        <v>300796</v>
      </c>
      <c r="P487" t="str">
        <f t="shared" si="165"/>
        <v>0153613480</v>
      </c>
    </row>
    <row r="488" spans="1:16" x14ac:dyDescent="0.25">
      <c r="A488" t="str">
        <f t="shared" si="154"/>
        <v>人民币</v>
      </c>
      <c r="B488" t="str">
        <f>"指南针"</f>
        <v>指南针</v>
      </c>
      <c r="C488" t="str">
        <f>"20191106"</f>
        <v>20191106</v>
      </c>
      <c r="D488" t="str">
        <f>"0.000"</f>
        <v>0.000</v>
      </c>
      <c r="E488" t="str">
        <f>"34.00"</f>
        <v>34.00</v>
      </c>
      <c r="F488" t="str">
        <f>"0.00"</f>
        <v>0.00</v>
      </c>
      <c r="G488" t="str">
        <f>"13714.14"</f>
        <v>13714.14</v>
      </c>
      <c r="H488" t="str">
        <f>"0.00"</f>
        <v>0.00</v>
      </c>
      <c r="I488" t="str">
        <f>"226"</f>
        <v>226</v>
      </c>
      <c r="J488" t="str">
        <f>"申购配号(指南针)"</f>
        <v>申购配号(指南针)</v>
      </c>
      <c r="K488" t="str">
        <f t="shared" si="164"/>
        <v>0.00</v>
      </c>
      <c r="L488" t="str">
        <f t="shared" si="164"/>
        <v>0.00</v>
      </c>
      <c r="M488" t="str">
        <f t="shared" si="164"/>
        <v>0.00</v>
      </c>
      <c r="N488" t="str">
        <f t="shared" si="164"/>
        <v>0.00</v>
      </c>
      <c r="O488" t="str">
        <f>"300803"</f>
        <v>300803</v>
      </c>
      <c r="P488" t="str">
        <f t="shared" si="165"/>
        <v>0153613480</v>
      </c>
    </row>
    <row r="489" spans="1:16" x14ac:dyDescent="0.25">
      <c r="A489" t="str">
        <f t="shared" si="154"/>
        <v>人民币</v>
      </c>
      <c r="B489" t="str">
        <f>"中海达"</f>
        <v>中海达</v>
      </c>
      <c r="C489" t="str">
        <f>"20191106"</f>
        <v>20191106</v>
      </c>
      <c r="D489" t="str">
        <f>"8.900"</f>
        <v>8.900</v>
      </c>
      <c r="E489" t="str">
        <f>"-1500.00"</f>
        <v>-1500.00</v>
      </c>
      <c r="F489" t="str">
        <f>"13331.65"</f>
        <v>13331.65</v>
      </c>
      <c r="G489" t="str">
        <f>"13714.14"</f>
        <v>13714.14</v>
      </c>
      <c r="H489" t="str">
        <f>"7000.00"</f>
        <v>7000.00</v>
      </c>
      <c r="I489" t="str">
        <f>"231"</f>
        <v>231</v>
      </c>
      <c r="J489" t="str">
        <f>"证券卖出(中海达)"</f>
        <v>证券卖出(中海达)</v>
      </c>
      <c r="K489" t="str">
        <f>"5.00"</f>
        <v>5.00</v>
      </c>
      <c r="L489" t="str">
        <f>"13.35"</f>
        <v>13.35</v>
      </c>
      <c r="M489" t="str">
        <f t="shared" ref="M489:N491" si="166">"0.00"</f>
        <v>0.00</v>
      </c>
      <c r="N489" t="str">
        <f t="shared" si="166"/>
        <v>0.00</v>
      </c>
      <c r="O489" t="str">
        <f>"300177"</f>
        <v>300177</v>
      </c>
      <c r="P489" t="str">
        <f t="shared" si="165"/>
        <v>0153613480</v>
      </c>
    </row>
    <row r="490" spans="1:16" x14ac:dyDescent="0.25">
      <c r="A490" t="str">
        <f t="shared" si="154"/>
        <v>人民币</v>
      </c>
      <c r="B490" t="str">
        <f>"中海达"</f>
        <v>中海达</v>
      </c>
      <c r="C490" t="str">
        <f t="shared" ref="C490:C495" si="167">"20191107"</f>
        <v>20191107</v>
      </c>
      <c r="D490" t="str">
        <f>"8.920"</f>
        <v>8.920</v>
      </c>
      <c r="E490" t="str">
        <f>"-2000.00"</f>
        <v>-2000.00</v>
      </c>
      <c r="F490" t="str">
        <f>"17816.81"</f>
        <v>17816.81</v>
      </c>
      <c r="G490" t="str">
        <f>"59377.42"</f>
        <v>59377.42</v>
      </c>
      <c r="H490" t="str">
        <f>"0.00"</f>
        <v>0.00</v>
      </c>
      <c r="I490" t="str">
        <f>"252"</f>
        <v>252</v>
      </c>
      <c r="J490" t="str">
        <f>"证券卖出(中海达)"</f>
        <v>证券卖出(中海达)</v>
      </c>
      <c r="K490" t="str">
        <f>"5.35"</f>
        <v>5.35</v>
      </c>
      <c r="L490" t="str">
        <f>"17.84"</f>
        <v>17.84</v>
      </c>
      <c r="M490" t="str">
        <f t="shared" si="166"/>
        <v>0.00</v>
      </c>
      <c r="N490" t="str">
        <f t="shared" si="166"/>
        <v>0.00</v>
      </c>
      <c r="O490" t="str">
        <f>"300177"</f>
        <v>300177</v>
      </c>
      <c r="P490" t="str">
        <f t="shared" si="165"/>
        <v>0153613480</v>
      </c>
    </row>
    <row r="491" spans="1:16" x14ac:dyDescent="0.25">
      <c r="A491" t="str">
        <f t="shared" si="154"/>
        <v>人民币</v>
      </c>
      <c r="B491" t="str">
        <f>"中海达"</f>
        <v>中海达</v>
      </c>
      <c r="C491" t="str">
        <f t="shared" si="167"/>
        <v>20191107</v>
      </c>
      <c r="D491" t="str">
        <f>"8.900"</f>
        <v>8.900</v>
      </c>
      <c r="E491" t="str">
        <f>"-5000.00"</f>
        <v>-5000.00</v>
      </c>
      <c r="F491" t="str">
        <f>"44442.15"</f>
        <v>44442.15</v>
      </c>
      <c r="G491" t="str">
        <f>"41560.61"</f>
        <v>41560.61</v>
      </c>
      <c r="H491" t="str">
        <f>"2000.00"</f>
        <v>2000.00</v>
      </c>
      <c r="I491" t="str">
        <f>"246"</f>
        <v>246</v>
      </c>
      <c r="J491" t="str">
        <f>"证券卖出(中海达)"</f>
        <v>证券卖出(中海达)</v>
      </c>
      <c r="K491" t="str">
        <f>"13.35"</f>
        <v>13.35</v>
      </c>
      <c r="L491" t="str">
        <f>"44.50"</f>
        <v>44.50</v>
      </c>
      <c r="M491" t="str">
        <f t="shared" si="166"/>
        <v>0.00</v>
      </c>
      <c r="N491" t="str">
        <f t="shared" si="166"/>
        <v>0.00</v>
      </c>
      <c r="O491" t="str">
        <f>"300177"</f>
        <v>300177</v>
      </c>
      <c r="P491" t="str">
        <f t="shared" si="165"/>
        <v>0153613480</v>
      </c>
    </row>
    <row r="492" spans="1:16" x14ac:dyDescent="0.25">
      <c r="A492" t="str">
        <f t="shared" si="154"/>
        <v>人民币</v>
      </c>
      <c r="B492" t="str">
        <f>"赛腾股份"</f>
        <v>赛腾股份</v>
      </c>
      <c r="C492" t="str">
        <f t="shared" si="167"/>
        <v>20191107</v>
      </c>
      <c r="D492" t="str">
        <f>"28.000"</f>
        <v>28.000</v>
      </c>
      <c r="E492" t="str">
        <f>"500.00"</f>
        <v>500.00</v>
      </c>
      <c r="F492" t="str">
        <f>"-14005.28"</f>
        <v>-14005.28</v>
      </c>
      <c r="G492" t="str">
        <f>"-2881.54"</f>
        <v>-2881.54</v>
      </c>
      <c r="H492" t="str">
        <f>"1500.00"</f>
        <v>1500.00</v>
      </c>
      <c r="I492" t="str">
        <f>"261"</f>
        <v>261</v>
      </c>
      <c r="J492" t="str">
        <f>"证券买入(赛腾股份)"</f>
        <v>证券买入(赛腾股份)</v>
      </c>
      <c r="K492" t="str">
        <f>"5.00"</f>
        <v>5.00</v>
      </c>
      <c r="L492" t="str">
        <f>"0.00"</f>
        <v>0.00</v>
      </c>
      <c r="M492" t="str">
        <f>"0.28"</f>
        <v>0.28</v>
      </c>
      <c r="N492" t="str">
        <f t="shared" ref="N492:N499" si="168">"0.00"</f>
        <v>0.00</v>
      </c>
      <c r="O492" t="str">
        <f>"603283"</f>
        <v>603283</v>
      </c>
      <c r="P492" t="str">
        <f t="shared" ref="P492:P499" si="169">"A400948245"</f>
        <v>A400948245</v>
      </c>
    </row>
    <row r="493" spans="1:16" x14ac:dyDescent="0.25">
      <c r="A493" t="str">
        <f t="shared" si="154"/>
        <v>人民币</v>
      </c>
      <c r="B493" t="str">
        <f>"赛腾股份"</f>
        <v>赛腾股份</v>
      </c>
      <c r="C493" t="str">
        <f t="shared" si="167"/>
        <v>20191107</v>
      </c>
      <c r="D493" t="str">
        <f>"28.110"</f>
        <v>28.110</v>
      </c>
      <c r="E493" t="str">
        <f>"600.00"</f>
        <v>600.00</v>
      </c>
      <c r="F493" t="str">
        <f>"-16871.40"</f>
        <v>-16871.40</v>
      </c>
      <c r="G493" t="str">
        <f>"11123.74"</f>
        <v>11123.74</v>
      </c>
      <c r="H493" t="str">
        <f>"1000.00"</f>
        <v>1000.00</v>
      </c>
      <c r="I493" t="str">
        <f>"256"</f>
        <v>256</v>
      </c>
      <c r="J493" t="str">
        <f>"证券买入(赛腾股份)"</f>
        <v>证券买入(赛腾股份)</v>
      </c>
      <c r="K493" t="str">
        <f>"5.06"</f>
        <v>5.06</v>
      </c>
      <c r="L493" t="str">
        <f>"0.00"</f>
        <v>0.00</v>
      </c>
      <c r="M493" t="str">
        <f>"0.34"</f>
        <v>0.34</v>
      </c>
      <c r="N493" t="str">
        <f t="shared" si="168"/>
        <v>0.00</v>
      </c>
      <c r="O493" t="str">
        <f>"603283"</f>
        <v>603283</v>
      </c>
      <c r="P493" t="str">
        <f t="shared" si="169"/>
        <v>A400948245</v>
      </c>
    </row>
    <row r="494" spans="1:16" x14ac:dyDescent="0.25">
      <c r="A494" t="str">
        <f t="shared" si="154"/>
        <v>人民币</v>
      </c>
      <c r="B494" t="str">
        <f>"中通国脉"</f>
        <v>中通国脉</v>
      </c>
      <c r="C494" t="str">
        <f t="shared" si="167"/>
        <v>20191107</v>
      </c>
      <c r="D494" t="str">
        <f>"19.680"</f>
        <v>19.680</v>
      </c>
      <c r="E494" t="str">
        <f>"-1300.00"</f>
        <v>-1300.00</v>
      </c>
      <c r="F494" t="str">
        <f>"25550.22"</f>
        <v>25550.22</v>
      </c>
      <c r="G494" t="str">
        <f>"27995.14"</f>
        <v>27995.14</v>
      </c>
      <c r="H494" t="str">
        <f>"3000.00"</f>
        <v>3000.00</v>
      </c>
      <c r="I494" t="str">
        <f>"241"</f>
        <v>241</v>
      </c>
      <c r="J494" t="str">
        <f>"证券卖出(中通国脉)"</f>
        <v>证券卖出(中通国脉)</v>
      </c>
      <c r="K494" t="str">
        <f>"7.68"</f>
        <v>7.68</v>
      </c>
      <c r="L494" t="str">
        <f>"25.58"</f>
        <v>25.58</v>
      </c>
      <c r="M494" t="str">
        <f>"0.52"</f>
        <v>0.52</v>
      </c>
      <c r="N494" t="str">
        <f t="shared" si="168"/>
        <v>0.00</v>
      </c>
      <c r="O494" t="str">
        <f>"603559"</f>
        <v>603559</v>
      </c>
      <c r="P494" t="str">
        <f t="shared" si="169"/>
        <v>A400948245</v>
      </c>
    </row>
    <row r="495" spans="1:16" x14ac:dyDescent="0.25">
      <c r="A495" t="str">
        <f t="shared" si="154"/>
        <v>人民币</v>
      </c>
      <c r="B495" t="str">
        <f>"赛腾股份"</f>
        <v>赛腾股份</v>
      </c>
      <c r="C495" t="str">
        <f t="shared" si="167"/>
        <v>20191107</v>
      </c>
      <c r="D495" t="str">
        <f>"28.160"</f>
        <v>28.160</v>
      </c>
      <c r="E495" t="str">
        <f>"400.00"</f>
        <v>400.00</v>
      </c>
      <c r="F495" t="str">
        <f>"-11269.22"</f>
        <v>-11269.22</v>
      </c>
      <c r="G495" t="str">
        <f>"2444.92"</f>
        <v>2444.92</v>
      </c>
      <c r="H495" t="str">
        <f>"400.00"</f>
        <v>400.00</v>
      </c>
      <c r="I495" t="str">
        <f>"236"</f>
        <v>236</v>
      </c>
      <c r="J495" t="str">
        <f>"证券买入(赛腾股份)"</f>
        <v>证券买入(赛腾股份)</v>
      </c>
      <c r="K495" t="str">
        <f>"5.00"</f>
        <v>5.00</v>
      </c>
      <c r="L495" t="str">
        <f>"0.00"</f>
        <v>0.00</v>
      </c>
      <c r="M495" t="str">
        <f>"0.22"</f>
        <v>0.22</v>
      </c>
      <c r="N495" t="str">
        <f t="shared" si="168"/>
        <v>0.00</v>
      </c>
      <c r="O495" t="str">
        <f>"603283"</f>
        <v>603283</v>
      </c>
      <c r="P495" t="str">
        <f t="shared" si="169"/>
        <v>A400948245</v>
      </c>
    </row>
    <row r="496" spans="1:16" x14ac:dyDescent="0.25">
      <c r="A496" t="str">
        <f t="shared" si="154"/>
        <v>人民币</v>
      </c>
      <c r="B496" t="str">
        <f>"威派格"</f>
        <v>威派格</v>
      </c>
      <c r="C496" t="str">
        <f>"20191108"</f>
        <v>20191108</v>
      </c>
      <c r="D496" t="str">
        <f>"17.590"</f>
        <v>17.590</v>
      </c>
      <c r="E496" t="str">
        <f>"1000.00"</f>
        <v>1000.00</v>
      </c>
      <c r="F496" t="str">
        <f>"-17595.63"</f>
        <v>-17595.63</v>
      </c>
      <c r="G496" t="str">
        <f>"86091.52"</f>
        <v>86091.52</v>
      </c>
      <c r="H496" t="str">
        <f>"1000.00"</f>
        <v>1000.00</v>
      </c>
      <c r="I496" t="str">
        <f>"280"</f>
        <v>280</v>
      </c>
      <c r="J496" t="str">
        <f>"证券买入(威派格)"</f>
        <v>证券买入(威派格)</v>
      </c>
      <c r="K496" t="str">
        <f>"5.28"</f>
        <v>5.28</v>
      </c>
      <c r="L496" t="str">
        <f>"0.00"</f>
        <v>0.00</v>
      </c>
      <c r="M496" t="str">
        <f>"0.35"</f>
        <v>0.35</v>
      </c>
      <c r="N496" t="str">
        <f t="shared" si="168"/>
        <v>0.00</v>
      </c>
      <c r="O496" t="str">
        <f>"603956"</f>
        <v>603956</v>
      </c>
      <c r="P496" t="str">
        <f t="shared" si="169"/>
        <v>A400948245</v>
      </c>
    </row>
    <row r="497" spans="1:16" x14ac:dyDescent="0.25">
      <c r="A497" t="str">
        <f t="shared" si="154"/>
        <v>人民币</v>
      </c>
      <c r="B497" t="str">
        <f>"赛腾股份"</f>
        <v>赛腾股份</v>
      </c>
      <c r="C497" t="str">
        <f>"20191108"</f>
        <v>20191108</v>
      </c>
      <c r="D497" t="str">
        <f>"29.760"</f>
        <v>29.760</v>
      </c>
      <c r="E497" t="str">
        <f>"-500.00"</f>
        <v>-500.00</v>
      </c>
      <c r="F497" t="str">
        <f>"14859.82"</f>
        <v>14859.82</v>
      </c>
      <c r="G497" t="str">
        <f>"103687.15"</f>
        <v>103687.15</v>
      </c>
      <c r="H497" t="str">
        <f>"0.00"</f>
        <v>0.00</v>
      </c>
      <c r="I497" t="str">
        <f>"276"</f>
        <v>276</v>
      </c>
      <c r="J497" t="str">
        <f>"证券卖出(赛腾股份)"</f>
        <v>证券卖出(赛腾股份)</v>
      </c>
      <c r="K497" t="str">
        <f>"5.00"</f>
        <v>5.00</v>
      </c>
      <c r="L497" t="str">
        <f>"14.88"</f>
        <v>14.88</v>
      </c>
      <c r="M497" t="str">
        <f>"0.30"</f>
        <v>0.30</v>
      </c>
      <c r="N497" t="str">
        <f t="shared" si="168"/>
        <v>0.00</v>
      </c>
      <c r="O497" t="str">
        <f>"603283"</f>
        <v>603283</v>
      </c>
      <c r="P497" t="str">
        <f t="shared" si="169"/>
        <v>A400948245</v>
      </c>
    </row>
    <row r="498" spans="1:16" x14ac:dyDescent="0.25">
      <c r="A498" t="str">
        <f t="shared" si="154"/>
        <v>人民币</v>
      </c>
      <c r="B498" t="str">
        <f>"赛腾股份"</f>
        <v>赛腾股份</v>
      </c>
      <c r="C498" t="str">
        <f>"20191108"</f>
        <v>20191108</v>
      </c>
      <c r="D498" t="str">
        <f>"29.610"</f>
        <v>29.610</v>
      </c>
      <c r="E498" t="str">
        <f>"-500.00"</f>
        <v>-500.00</v>
      </c>
      <c r="F498" t="str">
        <f>"14784.89"</f>
        <v>14784.89</v>
      </c>
      <c r="G498" t="str">
        <f>"88827.33"</f>
        <v>88827.33</v>
      </c>
      <c r="H498" t="str">
        <f>"500.00"</f>
        <v>500.00</v>
      </c>
      <c r="I498" t="str">
        <f>"273"</f>
        <v>273</v>
      </c>
      <c r="J498" t="str">
        <f>"证券卖出(赛腾股份)"</f>
        <v>证券卖出(赛腾股份)</v>
      </c>
      <c r="K498" t="str">
        <f>"5.00"</f>
        <v>5.00</v>
      </c>
      <c r="L498" t="str">
        <f>"14.81"</f>
        <v>14.81</v>
      </c>
      <c r="M498" t="str">
        <f>"0.30"</f>
        <v>0.30</v>
      </c>
      <c r="N498" t="str">
        <f t="shared" si="168"/>
        <v>0.00</v>
      </c>
      <c r="O498" t="str">
        <f>"603283"</f>
        <v>603283</v>
      </c>
      <c r="P498" t="str">
        <f t="shared" si="169"/>
        <v>A400948245</v>
      </c>
    </row>
    <row r="499" spans="1:16" x14ac:dyDescent="0.25">
      <c r="A499" t="str">
        <f t="shared" si="154"/>
        <v>人民币</v>
      </c>
      <c r="B499" t="str">
        <f>"赛腾股份"</f>
        <v>赛腾股份</v>
      </c>
      <c r="C499" t="str">
        <f>"20191108"</f>
        <v>20191108</v>
      </c>
      <c r="D499" t="str">
        <f>"29.370"</f>
        <v>29.370</v>
      </c>
      <c r="E499" t="str">
        <f>"-500.00"</f>
        <v>-500.00</v>
      </c>
      <c r="F499" t="str">
        <f>"14665.02"</f>
        <v>14665.02</v>
      </c>
      <c r="G499" t="str">
        <f>"74042.44"</f>
        <v>74042.44</v>
      </c>
      <c r="H499" t="str">
        <f>"1000.00"</f>
        <v>1000.00</v>
      </c>
      <c r="I499" t="str">
        <f>"270"</f>
        <v>270</v>
      </c>
      <c r="J499" t="str">
        <f>"证券卖出(赛腾股份)"</f>
        <v>证券卖出(赛腾股份)</v>
      </c>
      <c r="K499" t="str">
        <f>"5.00"</f>
        <v>5.00</v>
      </c>
      <c r="L499" t="str">
        <f>"14.69"</f>
        <v>14.69</v>
      </c>
      <c r="M499" t="str">
        <f>"0.29"</f>
        <v>0.29</v>
      </c>
      <c r="N499" t="str">
        <f t="shared" si="168"/>
        <v>0.00</v>
      </c>
      <c r="O499" t="str">
        <f>"603283"</f>
        <v>603283</v>
      </c>
      <c r="P499" t="str">
        <f t="shared" si="169"/>
        <v>A400948245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Renzhong</dc:creator>
  <cp:lastModifiedBy>Wang, Renzhong</cp:lastModifiedBy>
  <dcterms:created xsi:type="dcterms:W3CDTF">2019-11-11T05:29:41Z</dcterms:created>
  <dcterms:modified xsi:type="dcterms:W3CDTF">2019-11-11T05:31:22Z</dcterms:modified>
</cp:coreProperties>
</file>