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ltar\OneDrive - Empresa Generadora de Electricidad Haina\Carpeta compartida - Esperanza\08 - Operaciones\02- Seguimiento de Generacion\6-Registro de Generacion\"/>
    </mc:Choice>
  </mc:AlternateContent>
  <xr:revisionPtr revIDLastSave="64" documentId="11_D0C1F114ED196A720CE08A146C708EAF19795DB6" xr6:coauthVersionLast="47" xr6:coauthVersionMax="47" xr10:uidLastSave="{35F94AAE-E92E-4AA7-AD1E-2080371AFEDD}"/>
  <bookViews>
    <workbookView xWindow="-120" yWindow="-120" windowWidth="28920" windowHeight="12420" xr2:uid="{00000000-000D-0000-FFFF-FFFF00000000}"/>
  </bookViews>
  <sheets>
    <sheet name="Reporte Diario 2024" sheetId="1" r:id="rId1"/>
    <sheet name="Diaria" sheetId="2" r:id="rId2"/>
    <sheet name="Mensual" sheetId="4" r:id="rId3"/>
    <sheet name="Anual" sheetId="6" r:id="rId4"/>
  </sheets>
  <definedNames>
    <definedName name="Agosto">'Reporte Diario 2024'!$C$218:$C$248</definedName>
    <definedName name="DICIEMBRE">'Reporte Diario 2024'!$C$340:$C$370</definedName>
    <definedName name="GA">Anual!$AI$5:INDEX(Anual!$AI$5:$AI$35,MATCH(LOOKUP(9.99E+307,1/((Diaria!$AH$5:$AH$35&gt;0)*1),Diaria!$AH$5:$AH$35),DICIEMBRE,0))</definedName>
    <definedName name="GAD">INDEX(Anual!$AI$5:$AI$35,MATCH(LOOKUP(9.99E+307,1/((Diaria!$AH$5:$AH$35&gt;0)*1),Diaria!$AH$5:$AH$35),DICIEMBRE,0))</definedName>
    <definedName name="GAM">Mensual!$AI$5:INDEX(Mensual!$AI$5:$AI$35,MATCH(LOOKUP(9.99E+307,1/((Diaria!$AH$5:$AH$35&gt;0)*1),Diaria!$AH$5:$AH$35),DICIEMBRE,0))</definedName>
    <definedName name="GAP">Anual!$AJ$5:INDEX(Anual!$AJ$5:$AJ$35,MATCH(LOOKUP(9.99E+307,1/((Diaria!$AH$5:$AH$35&gt;0)*1),Diaria!$AH$5:$AH$35),DICIEMBRE,0))</definedName>
    <definedName name="GAPD">INDEX(Anual!$AJ$5:$AJ$35,MATCH(LOOKUP(9.99E+307,1/((Diaria!$AH$5:$AH$35&gt;0)*1),Diaria!$AH$5:$AH$35),DICIEMBRE,0))</definedName>
    <definedName name="GD">INDEX(Diaria!$AH$5:$AH$35,MATCH(LOOKUP(9.99E+307,1/((Diaria!$AH$5:$AH$35&gt;0)*1),Diaria!$AH$5:$AH$35),DICIEMBRE,0))</definedName>
    <definedName name="GM">Diaria!$AH$5:INDEX(Diaria!$AH$5:$AH$35,MATCH(LOOKUP(9.99E+307,1/((Diaria!$AH$5:$AH$35&gt;0)*1),Diaria!$AH$5:$AH$35),DICIEMBRE,0))</definedName>
    <definedName name="GPM">Mensual!$AJ$5:INDEX(Mensual!$AJ$5:$AJ$35,MATCH(LOOKUP(9.99E+307,1/((Diaria!$AH$5:$AH$35&gt;0)*1),Diaria!$AH$5:$AH$34),DICIEMBRE,0))</definedName>
    <definedName name="IM">Diaria!$AK$5:INDEX(Diaria!$AK$5:$AK$35,MATCH(LOOKUP(9.99E+307,1/((Diaria!$AK$5:$AK$35&gt;0)*1),Diaria!$AH$5:$AH$35),DICIEMBRE,0))</definedName>
    <definedName name="Julio">'Reporte Diario 2024'!$C$187:$C$217</definedName>
    <definedName name="NOVIEMBRE">'Reporte Diario 2024'!$C$310:$C$339</definedName>
    <definedName name="Octubre">'Reporte Diario 2024'!$C$279:$C$309</definedName>
    <definedName name="SEPTIEMBRE">'Reporte Diario 2024'!$C$249:$C$278</definedName>
    <definedName name="SMJULIO">Mensual!$T$5:$T$35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5" i="1" l="1"/>
  <c r="M354" i="1" l="1"/>
  <c r="M353" i="1"/>
  <c r="M352" i="1"/>
  <c r="M348" i="1" l="1"/>
  <c r="M347" i="1" l="1"/>
  <c r="M346" i="1"/>
  <c r="M341" i="1" l="1"/>
  <c r="AJ5" i="4" l="1"/>
  <c r="AH5" i="2" l="1" a="1"/>
  <c r="AH5" i="2" s="1"/>
  <c r="AI5" i="4" l="1"/>
  <c r="AK5" i="4" s="1"/>
  <c r="AH28" i="2"/>
  <c r="AH12" i="2"/>
  <c r="AH27" i="2"/>
  <c r="AH11" i="2"/>
  <c r="AH26" i="2"/>
  <c r="AH10" i="2"/>
  <c r="AH25" i="2"/>
  <c r="AH9" i="2"/>
  <c r="AH32" i="2"/>
  <c r="AH16" i="2"/>
  <c r="AH23" i="2"/>
  <c r="AH22" i="2"/>
  <c r="AH6" i="2"/>
  <c r="AH20" i="2"/>
  <c r="AH35" i="2"/>
  <c r="AH19" i="2"/>
  <c r="AH34" i="2"/>
  <c r="AH18" i="2"/>
  <c r="AH33" i="2"/>
  <c r="AH17" i="2"/>
  <c r="AH24" i="2"/>
  <c r="AH8" i="2"/>
  <c r="AH31" i="2"/>
  <c r="AH15" i="2"/>
  <c r="AH7" i="2"/>
  <c r="AH30" i="2"/>
  <c r="AH14" i="2"/>
  <c r="AH29" i="2"/>
  <c r="AH21" i="2"/>
  <c r="AH13" i="2"/>
  <c r="M336" i="1"/>
  <c r="AI36" i="2" l="1"/>
  <c r="AJ36" i="4" s="1"/>
  <c r="AK28" i="2"/>
  <c r="AJ33" i="6"/>
  <c r="AI33" i="4"/>
  <c r="AK33" i="2"/>
  <c r="AI33" i="6"/>
  <c r="AJ33" i="4"/>
  <c r="AJ34" i="6"/>
  <c r="AI34" i="4"/>
  <c r="AK34" i="2"/>
  <c r="AI34" i="6"/>
  <c r="AJ34" i="4"/>
  <c r="AJ32" i="6"/>
  <c r="AI32" i="4"/>
  <c r="AK32" i="2"/>
  <c r="AJ32" i="4"/>
  <c r="AI32" i="6"/>
  <c r="AK25" i="2"/>
  <c r="AK24" i="2"/>
  <c r="AI6" i="4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J6" i="4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16" i="2"/>
  <c r="AJ31" i="2"/>
  <c r="AI31" i="4"/>
  <c r="AK31" i="2"/>
  <c r="AI31" i="6"/>
  <c r="AJ31" i="4"/>
  <c r="AJ31" i="6"/>
  <c r="AJ35" i="6"/>
  <c r="AI35" i="4"/>
  <c r="AK35" i="4" s="1"/>
  <c r="AK35" i="2"/>
  <c r="AI35" i="6"/>
  <c r="AK35" i="6" s="1"/>
  <c r="AJ35" i="4"/>
  <c r="AJ35" i="2"/>
  <c r="AK29" i="2"/>
  <c r="AJ22" i="4"/>
  <c r="AJ23" i="4" s="1"/>
  <c r="AJ24" i="4" s="1"/>
  <c r="AJ25" i="4" s="1"/>
  <c r="AJ26" i="4" s="1"/>
  <c r="AJ27" i="4" s="1"/>
  <c r="AJ28" i="4" s="1"/>
  <c r="AJ29" i="4" s="1"/>
  <c r="AJ30" i="4" s="1"/>
  <c r="AI22" i="4"/>
  <c r="AI23" i="4" s="1"/>
  <c r="AI24" i="4" s="1"/>
  <c r="AI25" i="4" s="1"/>
  <c r="AI26" i="4" s="1"/>
  <c r="AI27" i="4" s="1"/>
  <c r="AI28" i="4" s="1"/>
  <c r="AI29" i="4" s="1"/>
  <c r="AI30" i="4" s="1"/>
  <c r="AJ26" i="2"/>
  <c r="AJ30" i="2"/>
  <c r="AJ20" i="2"/>
  <c r="AJ10" i="2"/>
  <c r="AJ22" i="2"/>
  <c r="AJ32" i="2"/>
  <c r="AJ12" i="2"/>
  <c r="AJ33" i="2"/>
  <c r="AJ14" i="2"/>
  <c r="AJ24" i="2"/>
  <c r="AJ27" i="2"/>
  <c r="AJ25" i="2"/>
  <c r="AJ6" i="2"/>
  <c r="AJ8" i="2"/>
  <c r="AJ19" i="2"/>
  <c r="AJ17" i="2"/>
  <c r="AJ29" i="2"/>
  <c r="AJ15" i="2"/>
  <c r="AJ11" i="2"/>
  <c r="AJ9" i="2"/>
  <c r="AJ13" i="2"/>
  <c r="AJ23" i="2"/>
  <c r="AH36" i="2"/>
  <c r="AI36" i="4" s="1"/>
  <c r="AJ5" i="2"/>
  <c r="AJ28" i="2"/>
  <c r="AJ18" i="2"/>
  <c r="AJ21" i="2"/>
  <c r="AJ7" i="2"/>
  <c r="AJ34" i="2"/>
  <c r="M330" i="1"/>
  <c r="AK36" i="4" l="1"/>
  <c r="AK10" i="4"/>
  <c r="AK9" i="4"/>
  <c r="AK8" i="4"/>
  <c r="AK7" i="4"/>
  <c r="AK6" i="4"/>
  <c r="AK11" i="4"/>
  <c r="AJ36" i="2"/>
  <c r="M328" i="1"/>
  <c r="AK12" i="4" l="1"/>
  <c r="M294" i="1"/>
  <c r="AK13" i="4" l="1"/>
  <c r="M323" i="1"/>
  <c r="AK14" i="4" l="1"/>
  <c r="M322" i="1"/>
  <c r="AK15" i="4" l="1"/>
  <c r="M321" i="1"/>
  <c r="AK16" i="4" l="1"/>
  <c r="M320" i="1"/>
  <c r="AK17" i="4" l="1"/>
  <c r="M319" i="1"/>
  <c r="M318" i="1"/>
  <c r="M317" i="1"/>
  <c r="AK18" i="4" l="1"/>
  <c r="M316" i="1"/>
  <c r="AK19" i="4" l="1"/>
  <c r="M315" i="1"/>
  <c r="AK20" i="4" l="1"/>
  <c r="M314" i="1"/>
  <c r="AK21" i="4" l="1"/>
  <c r="M313" i="1"/>
  <c r="M310" i="1"/>
  <c r="M312" i="1"/>
  <c r="AK22" i="4" l="1"/>
  <c r="AG35" i="6"/>
  <c r="AF35" i="6"/>
  <c r="AG35" i="4"/>
  <c r="AG5" i="4"/>
  <c r="AF35" i="4"/>
  <c r="AK23" i="4" l="1"/>
  <c r="AD5" i="2" a="1"/>
  <c r="AD6" i="2" s="1"/>
  <c r="AK24" i="4" l="1"/>
  <c r="AG6" i="4"/>
  <c r="AD29" i="2"/>
  <c r="AF29" i="2" s="1"/>
  <c r="AD13" i="2"/>
  <c r="AD20" i="2"/>
  <c r="AD19" i="2"/>
  <c r="AD34" i="2"/>
  <c r="AD8" i="2"/>
  <c r="AD21" i="2"/>
  <c r="AD28" i="2"/>
  <c r="AD27" i="2"/>
  <c r="AD18" i="2"/>
  <c r="AD33" i="2"/>
  <c r="AD17" i="2"/>
  <c r="AD32" i="2"/>
  <c r="AD7" i="2"/>
  <c r="AD5" i="2"/>
  <c r="AD12" i="2"/>
  <c r="AD11" i="2"/>
  <c r="AD26" i="2"/>
  <c r="AD10" i="2"/>
  <c r="AD25" i="2"/>
  <c r="AD9" i="2"/>
  <c r="AD24" i="2"/>
  <c r="AD16" i="2"/>
  <c r="AD31" i="2"/>
  <c r="AD23" i="2"/>
  <c r="AD15" i="2"/>
  <c r="AD30" i="2"/>
  <c r="AD22" i="2"/>
  <c r="AD14" i="2"/>
  <c r="M308" i="1"/>
  <c r="AK25" i="4" l="1"/>
  <c r="AF5" i="4"/>
  <c r="AG7" i="4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F9" i="2"/>
  <c r="AF26" i="2"/>
  <c r="AF22" i="2"/>
  <c r="AF10" i="2"/>
  <c r="AF8" i="2"/>
  <c r="AF32" i="2"/>
  <c r="AF14" i="2"/>
  <c r="AF23" i="2"/>
  <c r="AF24" i="2"/>
  <c r="AF6" i="2"/>
  <c r="AF28" i="2"/>
  <c r="AF15" i="2"/>
  <c r="AF16" i="2"/>
  <c r="AF21" i="2"/>
  <c r="AF34" i="2"/>
  <c r="AF5" i="2"/>
  <c r="AE36" i="2"/>
  <c r="AG36" i="4" s="1"/>
  <c r="AD36" i="2"/>
  <c r="AF7" i="2"/>
  <c r="AF13" i="2"/>
  <c r="AF33" i="2"/>
  <c r="AF12" i="2"/>
  <c r="AF20" i="2"/>
  <c r="AF25" i="2"/>
  <c r="AF27" i="2"/>
  <c r="AF31" i="2"/>
  <c r="AF19" i="2"/>
  <c r="AF17" i="2"/>
  <c r="AF11" i="2"/>
  <c r="AF30" i="2"/>
  <c r="AF18" i="2"/>
  <c r="B14" i="2"/>
  <c r="AK26" i="4" l="1"/>
  <c r="AF36" i="4"/>
  <c r="AH36" i="4" s="1"/>
  <c r="AH5" i="4"/>
  <c r="AF6" i="4"/>
  <c r="AF36" i="2"/>
  <c r="M307" i="1"/>
  <c r="AK27" i="4" l="1"/>
  <c r="AH6" i="4"/>
  <c r="AF7" i="4"/>
  <c r="M302" i="1"/>
  <c r="AK28" i="4" l="1"/>
  <c r="AF8" i="4"/>
  <c r="AH7" i="4"/>
  <c r="M296" i="1"/>
  <c r="AK29" i="4" l="1"/>
  <c r="AH8" i="4"/>
  <c r="AF9" i="4"/>
  <c r="M295" i="1"/>
  <c r="AK30" i="4" l="1"/>
  <c r="AH9" i="4"/>
  <c r="AF10" i="4"/>
  <c r="M293" i="1"/>
  <c r="AK31" i="4" l="1"/>
  <c r="AH10" i="4"/>
  <c r="AF11" i="4"/>
  <c r="M253" i="1"/>
  <c r="AK32" i="4" l="1"/>
  <c r="AH11" i="4"/>
  <c r="AF12" i="4"/>
  <c r="M290" i="1"/>
  <c r="M289" i="1"/>
  <c r="AK31" i="6" l="1"/>
  <c r="AK34" i="4"/>
  <c r="AK33" i="4"/>
  <c r="AH12" i="4"/>
  <c r="AF13" i="4"/>
  <c r="M288" i="1"/>
  <c r="AK32" i="6" l="1"/>
  <c r="AH13" i="4"/>
  <c r="AF14" i="4"/>
  <c r="M287" i="1"/>
  <c r="AK34" i="6" l="1"/>
  <c r="AK33" i="6"/>
  <c r="AH14" i="4"/>
  <c r="AF15" i="4"/>
  <c r="M279" i="1"/>
  <c r="AH15" i="4" l="1"/>
  <c r="AF16" i="4"/>
  <c r="AD5" i="4"/>
  <c r="AH16" i="4" l="1"/>
  <c r="AF17" i="4"/>
  <c r="Z5" i="2" a="1"/>
  <c r="Z5" i="2" s="1"/>
  <c r="AH17" i="4" l="1"/>
  <c r="AF18" i="4"/>
  <c r="AC5" i="4"/>
  <c r="AE5" i="4" s="1"/>
  <c r="AB5" i="2"/>
  <c r="Z35" i="2"/>
  <c r="AB35" i="2" s="1"/>
  <c r="Z12" i="2"/>
  <c r="Z27" i="2"/>
  <c r="Z18" i="2"/>
  <c r="Z25" i="2"/>
  <c r="Z9" i="2"/>
  <c r="Z16" i="2"/>
  <c r="Z8" i="2"/>
  <c r="Z31" i="2"/>
  <c r="Z23" i="2"/>
  <c r="Z15" i="2"/>
  <c r="Z7" i="2"/>
  <c r="Z28" i="2"/>
  <c r="Z19" i="2"/>
  <c r="Z34" i="2"/>
  <c r="Z10" i="2"/>
  <c r="Z17" i="2"/>
  <c r="Z32" i="2"/>
  <c r="Z30" i="2"/>
  <c r="Z22" i="2"/>
  <c r="Z14" i="2"/>
  <c r="Z6" i="2"/>
  <c r="Z20" i="2"/>
  <c r="Z11" i="2"/>
  <c r="Z26" i="2"/>
  <c r="Z33" i="2"/>
  <c r="Z24" i="2"/>
  <c r="Z29" i="2"/>
  <c r="Z21" i="2"/>
  <c r="Z13" i="2"/>
  <c r="M273" i="1"/>
  <c r="AH18" i="4" l="1"/>
  <c r="AF19" i="4"/>
  <c r="Z36" i="2"/>
  <c r="AA36" i="2"/>
  <c r="AD36" i="4" s="1"/>
  <c r="AC37" i="4" s="1"/>
  <c r="AC6" i="4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D6" i="4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B34" i="2"/>
  <c r="AB32" i="2"/>
  <c r="AC36" i="4"/>
  <c r="AE36" i="4" s="1"/>
  <c r="AB28" i="2"/>
  <c r="AB26" i="2"/>
  <c r="AB10" i="2"/>
  <c r="AB21" i="2"/>
  <c r="AB24" i="2"/>
  <c r="AB20" i="2"/>
  <c r="AB13" i="2"/>
  <c r="AB18" i="2"/>
  <c r="AB16" i="2"/>
  <c r="AB12" i="2"/>
  <c r="AB8" i="2"/>
  <c r="AB30" i="2"/>
  <c r="AB19" i="2"/>
  <c r="AB33" i="2"/>
  <c r="AB31" i="2"/>
  <c r="AB22" i="2"/>
  <c r="AB25" i="2"/>
  <c r="AB23" i="2"/>
  <c r="AB14" i="2"/>
  <c r="AB27" i="2"/>
  <c r="AB17" i="2"/>
  <c r="AB15" i="2"/>
  <c r="AB6" i="2"/>
  <c r="AB11" i="2"/>
  <c r="AB9" i="2"/>
  <c r="AB7" i="2"/>
  <c r="AB29" i="2"/>
  <c r="M272" i="1"/>
  <c r="M271" i="1"/>
  <c r="AF20" i="4" l="1"/>
  <c r="AH19" i="4"/>
  <c r="AE27" i="4"/>
  <c r="AC28" i="4"/>
  <c r="AC29" i="4" s="1"/>
  <c r="AC30" i="4" s="1"/>
  <c r="AC31" i="4" s="1"/>
  <c r="AC32" i="4" s="1"/>
  <c r="AC33" i="4" s="1"/>
  <c r="AC34" i="4" s="1"/>
  <c r="AC35" i="4" s="1"/>
  <c r="AE35" i="4" s="1"/>
  <c r="AE26" i="4"/>
  <c r="AE25" i="4"/>
  <c r="AE8" i="4"/>
  <c r="AE7" i="4"/>
  <c r="AE6" i="4"/>
  <c r="AE28" i="4"/>
  <c r="AE9" i="4"/>
  <c r="AB36" i="2"/>
  <c r="M268" i="1"/>
  <c r="M270" i="1"/>
  <c r="M269" i="1"/>
  <c r="AF21" i="4" l="1"/>
  <c r="AH20" i="4"/>
  <c r="AE10" i="4"/>
  <c r="AE29" i="4"/>
  <c r="M267" i="1"/>
  <c r="AH21" i="4" l="1"/>
  <c r="AF22" i="4"/>
  <c r="AE30" i="4"/>
  <c r="AE11" i="4"/>
  <c r="M266" i="1"/>
  <c r="AH22" i="4" l="1"/>
  <c r="AF23" i="4"/>
  <c r="AE12" i="4"/>
  <c r="AE31" i="4"/>
  <c r="M265" i="1"/>
  <c r="AH23" i="4" l="1"/>
  <c r="AF24" i="4"/>
  <c r="AE32" i="4"/>
  <c r="AE13" i="4"/>
  <c r="M264" i="1"/>
  <c r="AH24" i="4" l="1"/>
  <c r="AF25" i="4"/>
  <c r="AE14" i="4"/>
  <c r="AE34" i="4"/>
  <c r="AE33" i="4"/>
  <c r="M263" i="1"/>
  <c r="M262" i="1"/>
  <c r="M261" i="1"/>
  <c r="AH25" i="4" l="1"/>
  <c r="AF26" i="4"/>
  <c r="AE15" i="4"/>
  <c r="M259" i="1"/>
  <c r="AH26" i="4" l="1"/>
  <c r="AF27" i="4"/>
  <c r="AE16" i="4"/>
  <c r="M258" i="1"/>
  <c r="AH27" i="4" l="1"/>
  <c r="AF28" i="4"/>
  <c r="AE17" i="4"/>
  <c r="M240" i="1"/>
  <c r="M254" i="1"/>
  <c r="M256" i="1"/>
  <c r="M257" i="1"/>
  <c r="AH28" i="4" l="1"/>
  <c r="AF29" i="4"/>
  <c r="AE18" i="4"/>
  <c r="M252" i="1"/>
  <c r="AH29" i="4" l="1"/>
  <c r="AF30" i="4"/>
  <c r="AH35" i="6"/>
  <c r="AH35" i="4"/>
  <c r="AE19" i="4"/>
  <c r="J250" i="1"/>
  <c r="AH30" i="4" l="1"/>
  <c r="AF31" i="4"/>
  <c r="AE20" i="4"/>
  <c r="AA5" i="4"/>
  <c r="V5" i="2" a="1"/>
  <c r="V5" i="2" s="1"/>
  <c r="AH31" i="4" l="1"/>
  <c r="AF32" i="4"/>
  <c r="AE21" i="4"/>
  <c r="Z5" i="4"/>
  <c r="AB5" i="4" s="1"/>
  <c r="V20" i="2"/>
  <c r="V34" i="2"/>
  <c r="V28" i="2"/>
  <c r="V12" i="2"/>
  <c r="V35" i="2"/>
  <c r="V27" i="2"/>
  <c r="V19" i="2"/>
  <c r="V11" i="2"/>
  <c r="V26" i="2"/>
  <c r="V18" i="2"/>
  <c r="V10" i="2"/>
  <c r="V33" i="2"/>
  <c r="V25" i="2"/>
  <c r="V17" i="2"/>
  <c r="V9" i="2"/>
  <c r="V32" i="2"/>
  <c r="V24" i="2"/>
  <c r="V16" i="2"/>
  <c r="V8" i="2"/>
  <c r="V31" i="2"/>
  <c r="V23" i="2"/>
  <c r="V15" i="2"/>
  <c r="V7" i="2"/>
  <c r="V30" i="2"/>
  <c r="V22" i="2"/>
  <c r="V14" i="2"/>
  <c r="V6" i="2"/>
  <c r="V29" i="2"/>
  <c r="V21" i="2"/>
  <c r="V13" i="2"/>
  <c r="AH32" i="4" l="1"/>
  <c r="AF33" i="4"/>
  <c r="AE22" i="4"/>
  <c r="Z6" i="4"/>
  <c r="Z7" i="4" s="1"/>
  <c r="Z8" i="4" s="1"/>
  <c r="AA6" i="4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V36" i="2"/>
  <c r="Z36" i="4" s="1"/>
  <c r="X35" i="2"/>
  <c r="AH33" i="4" l="1"/>
  <c r="AF34" i="4"/>
  <c r="AH34" i="4" s="1"/>
  <c r="AE23" i="4"/>
  <c r="AE24" i="4"/>
  <c r="AB8" i="4"/>
  <c r="Z9" i="4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AB34" i="4" s="1"/>
  <c r="AB7" i="4"/>
  <c r="AB6" i="4"/>
  <c r="X27" i="2"/>
  <c r="M245" i="1"/>
  <c r="AB9" i="4" l="1"/>
  <c r="AB10" i="4"/>
  <c r="X17" i="2"/>
  <c r="X14" i="2"/>
  <c r="W36" i="2"/>
  <c r="AA36" i="4" s="1"/>
  <c r="Z37" i="4" s="1"/>
  <c r="X5" i="2"/>
  <c r="X16" i="2"/>
  <c r="X25" i="2"/>
  <c r="Y35" i="2"/>
  <c r="X10" i="2"/>
  <c r="X32" i="2"/>
  <c r="X22" i="2"/>
  <c r="X19" i="2"/>
  <c r="X33" i="2"/>
  <c r="X31" i="2"/>
  <c r="X6" i="2"/>
  <c r="X11" i="2"/>
  <c r="X9" i="2"/>
  <c r="X23" i="2"/>
  <c r="X24" i="2"/>
  <c r="X26" i="2"/>
  <c r="X8" i="2"/>
  <c r="X15" i="2"/>
  <c r="X29" i="2"/>
  <c r="X28" i="2"/>
  <c r="X34" i="2"/>
  <c r="X7" i="2"/>
  <c r="X21" i="2"/>
  <c r="X20" i="2"/>
  <c r="X18" i="2"/>
  <c r="X30" i="2"/>
  <c r="X13" i="2"/>
  <c r="X12" i="2"/>
  <c r="M238" i="1"/>
  <c r="X36" i="2" l="1"/>
  <c r="AB11" i="4"/>
  <c r="M236" i="1"/>
  <c r="J238" i="1"/>
  <c r="AB12" i="4" l="1"/>
  <c r="M235" i="1"/>
  <c r="M234" i="1"/>
  <c r="M233" i="1"/>
  <c r="AB13" i="4" l="1"/>
  <c r="M231" i="1"/>
  <c r="M228" i="1"/>
  <c r="M226" i="1"/>
  <c r="M225" i="1"/>
  <c r="M220" i="1"/>
  <c r="AB14" i="4" l="1"/>
  <c r="X5" i="4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R5" i="2" a="1"/>
  <c r="R5" i="2" s="1"/>
  <c r="S6" i="2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AB15" i="4" l="1"/>
  <c r="W5" i="4"/>
  <c r="Y5" i="4" s="1"/>
  <c r="R28" i="2"/>
  <c r="R12" i="2"/>
  <c r="R27" i="2"/>
  <c r="R26" i="2"/>
  <c r="R10" i="2"/>
  <c r="R25" i="2"/>
  <c r="R9" i="2"/>
  <c r="R24" i="2"/>
  <c r="R16" i="2"/>
  <c r="R31" i="2"/>
  <c r="R23" i="2"/>
  <c r="R15" i="2"/>
  <c r="R7" i="2"/>
  <c r="R30" i="2"/>
  <c r="T30" i="2" s="1"/>
  <c r="R22" i="2"/>
  <c r="R14" i="2"/>
  <c r="R6" i="2"/>
  <c r="R20" i="2"/>
  <c r="R35" i="2"/>
  <c r="R19" i="2"/>
  <c r="R11" i="2"/>
  <c r="R34" i="2"/>
  <c r="R18" i="2"/>
  <c r="R33" i="2"/>
  <c r="R17" i="2"/>
  <c r="R32" i="2"/>
  <c r="R8" i="2"/>
  <c r="R29" i="2"/>
  <c r="R21" i="2"/>
  <c r="R13" i="2"/>
  <c r="M198" i="1"/>
  <c r="M212" i="1"/>
  <c r="M211" i="1"/>
  <c r="M210" i="1"/>
  <c r="M209" i="1"/>
  <c r="M208" i="1"/>
  <c r="M207" i="1"/>
  <c r="M205" i="1"/>
  <c r="M204" i="1"/>
  <c r="M203" i="1"/>
  <c r="M196" i="1"/>
  <c r="M195" i="1"/>
  <c r="M194" i="1"/>
  <c r="AB16" i="4" l="1"/>
  <c r="W6" i="4"/>
  <c r="Y6" i="4" s="1"/>
  <c r="S36" i="2"/>
  <c r="X36" i="4" s="1"/>
  <c r="W37" i="4" s="1"/>
  <c r="U25" i="2"/>
  <c r="T16" i="2"/>
  <c r="T29" i="2"/>
  <c r="T8" i="2"/>
  <c r="T9" i="2"/>
  <c r="T28" i="2"/>
  <c r="T15" i="2"/>
  <c r="T22" i="2"/>
  <c r="R36" i="2"/>
  <c r="W36" i="4" s="1"/>
  <c r="T5" i="2"/>
  <c r="T26" i="2"/>
  <c r="T6" i="2"/>
  <c r="T7" i="2"/>
  <c r="T20" i="2"/>
  <c r="T23" i="2"/>
  <c r="T18" i="2"/>
  <c r="T13" i="2"/>
  <c r="T14" i="2"/>
  <c r="T27" i="2"/>
  <c r="T34" i="2"/>
  <c r="T10" i="2"/>
  <c r="T33" i="2"/>
  <c r="T21" i="2"/>
  <c r="T11" i="2"/>
  <c r="T35" i="2"/>
  <c r="T32" i="2"/>
  <c r="T25" i="2"/>
  <c r="T12" i="2"/>
  <c r="T31" i="2"/>
  <c r="T24" i="2"/>
  <c r="T17" i="2"/>
  <c r="T19" i="2"/>
  <c r="J190" i="1"/>
  <c r="AB17" i="4" l="1"/>
  <c r="W7" i="4"/>
  <c r="W8" i="4" s="1"/>
  <c r="Y8" i="4" s="1"/>
  <c r="T36" i="2"/>
  <c r="J189" i="1"/>
  <c r="C36" i="2"/>
  <c r="N5" i="2" a="1"/>
  <c r="N5" i="2" s="1"/>
  <c r="O6" i="2"/>
  <c r="AB18" i="4" l="1"/>
  <c r="Y7" i="4"/>
  <c r="W9" i="4"/>
  <c r="Y9" i="4" s="1"/>
  <c r="T5" i="4"/>
  <c r="P5" i="2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R5" i="4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AB19" i="4" l="1"/>
  <c r="W10" i="4"/>
  <c r="Y10" i="4" s="1"/>
  <c r="M187" i="1"/>
  <c r="AB20" i="4" l="1"/>
  <c r="W11" i="4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M184" i="1"/>
  <c r="L34" i="2"/>
  <c r="L32" i="2"/>
  <c r="L33" i="2"/>
  <c r="AB21" i="4" l="1"/>
  <c r="Y12" i="4"/>
  <c r="Y11" i="4"/>
  <c r="Y13" i="4"/>
  <c r="V5" i="4"/>
  <c r="L31" i="2"/>
  <c r="AB22" i="4" l="1"/>
  <c r="Y14" i="4"/>
  <c r="L30" i="2"/>
  <c r="AB23" i="4" l="1"/>
  <c r="Y15" i="4"/>
  <c r="L29" i="2"/>
  <c r="AB24" i="4" l="1"/>
  <c r="Y16" i="4"/>
  <c r="L28" i="2"/>
  <c r="AB25" i="4" l="1"/>
  <c r="Y17" i="4"/>
  <c r="M179" i="1"/>
  <c r="L25" i="2"/>
  <c r="L26" i="2"/>
  <c r="L27" i="2"/>
  <c r="AB26" i="4" l="1"/>
  <c r="Y18" i="4"/>
  <c r="L24" i="2"/>
  <c r="AB27" i="4" l="1"/>
  <c r="Y19" i="4"/>
  <c r="L23" i="2"/>
  <c r="AB28" i="4" l="1"/>
  <c r="Y20" i="4"/>
  <c r="L22" i="2"/>
  <c r="AB29" i="4" l="1"/>
  <c r="Y21" i="4"/>
  <c r="L21" i="2"/>
  <c r="AB30" i="4" l="1"/>
  <c r="Y22" i="4"/>
  <c r="M171" i="1"/>
  <c r="M170" i="1"/>
  <c r="L18" i="2"/>
  <c r="L19" i="2"/>
  <c r="L20" i="2"/>
  <c r="AB31" i="4" l="1"/>
  <c r="Y23" i="4"/>
  <c r="M169" i="1"/>
  <c r="AB32" i="4" l="1"/>
  <c r="Y24" i="4"/>
  <c r="L17" i="2"/>
  <c r="AB33" i="4" l="1"/>
  <c r="Y25" i="4"/>
  <c r="L16" i="2"/>
  <c r="AB35" i="6" l="1"/>
  <c r="AB35" i="4"/>
  <c r="AB36" i="4" s="1"/>
  <c r="Y26" i="4"/>
  <c r="L15" i="2"/>
  <c r="Y27" i="4" l="1"/>
  <c r="M166" i="1"/>
  <c r="L14" i="2"/>
  <c r="Y28" i="4" l="1"/>
  <c r="L11" i="2"/>
  <c r="L12" i="2"/>
  <c r="L13" i="2"/>
  <c r="M165" i="1"/>
  <c r="M164" i="1"/>
  <c r="M163" i="1"/>
  <c r="Y29" i="4" l="1"/>
  <c r="M162" i="1"/>
  <c r="L10" i="2"/>
  <c r="Y30" i="4" l="1"/>
  <c r="M161" i="1"/>
  <c r="L9" i="2"/>
  <c r="Y31" i="4" l="1"/>
  <c r="L8" i="2"/>
  <c r="M160" i="1"/>
  <c r="J160" i="1"/>
  <c r="M8" i="2" s="1"/>
  <c r="J163" i="1"/>
  <c r="M11" i="2" s="1"/>
  <c r="Y32" i="4" l="1"/>
  <c r="L7" i="2"/>
  <c r="Y33" i="4" l="1"/>
  <c r="M157" i="1"/>
  <c r="O157" i="1"/>
  <c r="L156" i="1"/>
  <c r="L6" i="2"/>
  <c r="L5" i="2"/>
  <c r="Y35" i="4" l="1"/>
  <c r="Y34" i="4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Y36" i="4" l="1"/>
  <c r="S5" i="4"/>
  <c r="S6" i="4"/>
  <c r="Q25" i="4"/>
  <c r="S16" i="4"/>
  <c r="S7" i="4"/>
  <c r="J35" i="2"/>
  <c r="Q26" i="4" l="1"/>
  <c r="S17" i="4"/>
  <c r="S8" i="4"/>
  <c r="L36" i="2"/>
  <c r="Q36" i="4" s="1"/>
  <c r="J34" i="2"/>
  <c r="M155" i="1"/>
  <c r="M154" i="1"/>
  <c r="J33" i="2"/>
  <c r="J32" i="2"/>
  <c r="M153" i="1"/>
  <c r="Q27" i="4" l="1"/>
  <c r="S9" i="4"/>
  <c r="J31" i="2"/>
  <c r="M152" i="1"/>
  <c r="S24" i="4" l="1"/>
  <c r="Q28" i="4"/>
  <c r="S23" i="4"/>
  <c r="S10" i="4"/>
  <c r="M151" i="1"/>
  <c r="M150" i="1"/>
  <c r="M149" i="1"/>
  <c r="J29" i="2"/>
  <c r="J30" i="2"/>
  <c r="J28" i="2"/>
  <c r="Q29" i="4" l="1"/>
  <c r="S25" i="4"/>
  <c r="S11" i="4"/>
  <c r="J27" i="2"/>
  <c r="M148" i="1"/>
  <c r="S26" i="4" l="1"/>
  <c r="Q30" i="4"/>
  <c r="S12" i="4"/>
  <c r="J26" i="2"/>
  <c r="M147" i="1"/>
  <c r="Q31" i="4" l="1"/>
  <c r="S27" i="4"/>
  <c r="S13" i="4"/>
  <c r="M146" i="1"/>
  <c r="S28" i="4" l="1"/>
  <c r="Q32" i="4"/>
  <c r="S14" i="4"/>
  <c r="J25" i="2"/>
  <c r="Q33" i="4" l="1"/>
  <c r="S29" i="4"/>
  <c r="S15" i="4"/>
  <c r="J24" i="2"/>
  <c r="S30" i="4" l="1"/>
  <c r="Q34" i="4"/>
  <c r="J21" i="2"/>
  <c r="J22" i="2"/>
  <c r="J23" i="2"/>
  <c r="S31" i="4" l="1"/>
  <c r="J20" i="2"/>
  <c r="S32" i="4" l="1"/>
  <c r="S18" i="4"/>
  <c r="J19" i="2"/>
  <c r="R36" i="4" l="1"/>
  <c r="S33" i="4"/>
  <c r="S19" i="4"/>
  <c r="J18" i="2"/>
  <c r="L134" i="1"/>
  <c r="S20" i="4" l="1"/>
  <c r="J17" i="2"/>
  <c r="S21" i="4" l="1"/>
  <c r="J14" i="2"/>
  <c r="J15" i="2"/>
  <c r="J16" i="2"/>
  <c r="S22" i="4" l="1"/>
  <c r="M134" i="1"/>
  <c r="J13" i="2" l="1"/>
  <c r="J12" i="2" l="1"/>
  <c r="J11" i="2" l="1"/>
  <c r="M132" i="1"/>
  <c r="J10" i="2" l="1"/>
  <c r="M131" i="1"/>
  <c r="J7" i="2" l="1"/>
  <c r="J8" i="2"/>
  <c r="J9" i="2"/>
  <c r="M130" i="1"/>
  <c r="J6" i="2" l="1"/>
  <c r="O6" i="4" l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J5" i="2" l="1"/>
  <c r="N5" i="4" l="1"/>
  <c r="J36" i="2"/>
  <c r="N36" i="4" s="1"/>
  <c r="H34" i="2"/>
  <c r="N6" i="4" l="1"/>
  <c r="P5" i="4"/>
  <c r="H30" i="2"/>
  <c r="H31" i="2"/>
  <c r="H32" i="2"/>
  <c r="H33" i="2"/>
  <c r="N7" i="4" l="1"/>
  <c r="P6" i="4"/>
  <c r="H29" i="2"/>
  <c r="S35" i="6" l="1"/>
  <c r="S34" i="4"/>
  <c r="S35" i="4"/>
  <c r="N8" i="4"/>
  <c r="P7" i="4"/>
  <c r="H28" i="2"/>
  <c r="S36" i="4" l="1"/>
  <c r="N9" i="4"/>
  <c r="P8" i="4"/>
  <c r="H27" i="2"/>
  <c r="N10" i="4" l="1"/>
  <c r="P9" i="4"/>
  <c r="H26" i="2"/>
  <c r="N11" i="4" l="1"/>
  <c r="P10" i="4"/>
  <c r="H23" i="2"/>
  <c r="H24" i="2"/>
  <c r="H25" i="2"/>
  <c r="N12" i="4" l="1"/>
  <c r="P11" i="4"/>
  <c r="H22" i="2"/>
  <c r="N13" i="4" l="1"/>
  <c r="P12" i="4"/>
  <c r="H21" i="2"/>
  <c r="P13" i="4" l="1"/>
  <c r="N14" i="4"/>
  <c r="H20" i="2"/>
  <c r="N15" i="4" l="1"/>
  <c r="P14" i="4"/>
  <c r="H19" i="2"/>
  <c r="N16" i="4" l="1"/>
  <c r="P15" i="4"/>
  <c r="H17" i="2"/>
  <c r="H18" i="2"/>
  <c r="N17" i="4" l="1"/>
  <c r="P16" i="4"/>
  <c r="H16" i="2"/>
  <c r="N18" i="4" l="1"/>
  <c r="P17" i="4"/>
  <c r="H15" i="2"/>
  <c r="N19" i="4" l="1"/>
  <c r="P18" i="4"/>
  <c r="H14" i="2"/>
  <c r="N20" i="4" l="1"/>
  <c r="P19" i="4"/>
  <c r="H13" i="2"/>
  <c r="N21" i="4" l="1"/>
  <c r="P20" i="4"/>
  <c r="H12" i="2"/>
  <c r="N22" i="4" l="1"/>
  <c r="P21" i="4"/>
  <c r="H11" i="2"/>
  <c r="N23" i="4" l="1"/>
  <c r="P22" i="4"/>
  <c r="H9" i="2"/>
  <c r="H10" i="2"/>
  <c r="N24" i="4" l="1"/>
  <c r="P23" i="4"/>
  <c r="H8" i="2"/>
  <c r="N25" i="4" l="1"/>
  <c r="P24" i="4"/>
  <c r="H7" i="2"/>
  <c r="P25" i="4" l="1"/>
  <c r="N26" i="4"/>
  <c r="H6" i="2"/>
  <c r="N27" i="4" l="1"/>
  <c r="P26" i="4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L5" i="6" s="1"/>
  <c r="C5" i="4"/>
  <c r="N28" i="4" l="1"/>
  <c r="P27" i="4"/>
  <c r="L6" i="6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L6" i="4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6" i="4" s="1"/>
  <c r="H5" i="2"/>
  <c r="O20" i="6" l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N29" i="4"/>
  <c r="P28" i="4"/>
  <c r="K5" i="4"/>
  <c r="K6" i="4" s="1"/>
  <c r="K7" i="4" s="1"/>
  <c r="H36" i="2"/>
  <c r="K36" i="4" s="1"/>
  <c r="U35" i="6" l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M5" i="4"/>
  <c r="N30" i="4"/>
  <c r="P29" i="4"/>
  <c r="M6" i="4"/>
  <c r="K8" i="4"/>
  <c r="M7" i="4"/>
  <c r="J95" i="1"/>
  <c r="G35" i="2" s="1"/>
  <c r="J94" i="1"/>
  <c r="G34" i="2" s="1"/>
  <c r="AA5" i="6" l="1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D5" i="6" s="1"/>
  <c r="AD6" i="6" s="1"/>
  <c r="N31" i="4"/>
  <c r="P30" i="4"/>
  <c r="K9" i="4"/>
  <c r="M8" i="4"/>
  <c r="J86" i="1"/>
  <c r="J88" i="1"/>
  <c r="J90" i="1"/>
  <c r="J89" i="1"/>
  <c r="J92" i="1"/>
  <c r="G32" i="2" s="1"/>
  <c r="J93" i="1"/>
  <c r="G33" i="2" s="1"/>
  <c r="J91" i="1"/>
  <c r="G31" i="2" s="1"/>
  <c r="AD7" i="6" l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G5" i="6" s="1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J5" i="6" s="1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N32" i="4"/>
  <c r="P31" i="4"/>
  <c r="M9" i="4"/>
  <c r="K10" i="4"/>
  <c r="F18" i="2"/>
  <c r="P32" i="4" l="1"/>
  <c r="N33" i="4"/>
  <c r="K11" i="4"/>
  <c r="M10" i="4"/>
  <c r="F17" i="2"/>
  <c r="N34" i="4" l="1"/>
  <c r="P33" i="4"/>
  <c r="M11" i="4"/>
  <c r="K12" i="4"/>
  <c r="F11" i="2"/>
  <c r="N35" i="4" l="1"/>
  <c r="P35" i="4" s="1"/>
  <c r="P34" i="4"/>
  <c r="K13" i="4"/>
  <c r="M12" i="4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I5" i="4"/>
  <c r="I6" i="4" s="1"/>
  <c r="I7" i="4" s="1"/>
  <c r="I8" i="4" s="1"/>
  <c r="I9" i="4" s="1"/>
  <c r="I10" i="4" s="1"/>
  <c r="B37" i="4"/>
  <c r="G35" i="6"/>
  <c r="G34" i="6"/>
  <c r="P36" i="4" l="1"/>
  <c r="M13" i="4"/>
  <c r="K14" i="4"/>
  <c r="I11" i="4"/>
  <c r="F35" i="2"/>
  <c r="F6" i="2"/>
  <c r="F7" i="2"/>
  <c r="F8" i="2"/>
  <c r="F9" i="2"/>
  <c r="F10" i="2"/>
  <c r="F12" i="2"/>
  <c r="F13" i="2"/>
  <c r="F14" i="2"/>
  <c r="F15" i="2"/>
  <c r="F16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5" i="2"/>
  <c r="B37" i="2"/>
  <c r="K15" i="4" l="1"/>
  <c r="M14" i="4"/>
  <c r="H5" i="4"/>
  <c r="H6" i="4" s="1"/>
  <c r="H7" i="4" s="1"/>
  <c r="H8" i="4" s="1"/>
  <c r="H9" i="4" s="1"/>
  <c r="I12" i="4"/>
  <c r="F36" i="4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6" i="2"/>
  <c r="D7" i="2"/>
  <c r="D8" i="2"/>
  <c r="D9" i="2"/>
  <c r="D10" i="2"/>
  <c r="D11" i="2"/>
  <c r="D12" i="2"/>
  <c r="D13" i="2"/>
  <c r="D5" i="2"/>
  <c r="E5" i="4" s="1"/>
  <c r="G5" i="4" s="1"/>
  <c r="B7" i="2"/>
  <c r="B35" i="2"/>
  <c r="B6" i="2"/>
  <c r="B8" i="2"/>
  <c r="B9" i="2"/>
  <c r="B10" i="2"/>
  <c r="B11" i="2"/>
  <c r="B12" i="2"/>
  <c r="B13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5" i="2"/>
  <c r="K16" i="4" l="1"/>
  <c r="M15" i="4"/>
  <c r="J9" i="4"/>
  <c r="H10" i="4"/>
  <c r="I13" i="4"/>
  <c r="B5" i="6"/>
  <c r="D5" i="6" s="1"/>
  <c r="B5" i="4"/>
  <c r="E6" i="4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E5" i="2" s="1"/>
  <c r="J37" i="1"/>
  <c r="E6" i="2" s="1"/>
  <c r="J38" i="1"/>
  <c r="E7" i="2" s="1"/>
  <c r="J39" i="1"/>
  <c r="E8" i="2" s="1"/>
  <c r="J40" i="1"/>
  <c r="E9" i="2" s="1"/>
  <c r="J41" i="1"/>
  <c r="E10" i="2" s="1"/>
  <c r="J42" i="1"/>
  <c r="E11" i="2" s="1"/>
  <c r="J43" i="1"/>
  <c r="E12" i="2" s="1"/>
  <c r="J44" i="1"/>
  <c r="E13" i="2" s="1"/>
  <c r="J45" i="1"/>
  <c r="E14" i="2" s="1"/>
  <c r="J46" i="1"/>
  <c r="E15" i="2" s="1"/>
  <c r="J47" i="1"/>
  <c r="E16" i="2" s="1"/>
  <c r="J48" i="1"/>
  <c r="E17" i="2" s="1"/>
  <c r="J49" i="1"/>
  <c r="E18" i="2" s="1"/>
  <c r="J50" i="1"/>
  <c r="E19" i="2" s="1"/>
  <c r="J51" i="1"/>
  <c r="E20" i="2" s="1"/>
  <c r="J52" i="1"/>
  <c r="E21" i="2" s="1"/>
  <c r="J53" i="1"/>
  <c r="E22" i="2" s="1"/>
  <c r="J54" i="1"/>
  <c r="E23" i="2" s="1"/>
  <c r="J55" i="1"/>
  <c r="E24" i="2" s="1"/>
  <c r="J56" i="1"/>
  <c r="E25" i="2" s="1"/>
  <c r="J57" i="1"/>
  <c r="E26" i="2" s="1"/>
  <c r="J58" i="1"/>
  <c r="E27" i="2" s="1"/>
  <c r="J59" i="1"/>
  <c r="E28" i="2" s="1"/>
  <c r="J60" i="1"/>
  <c r="E29" i="2" s="1"/>
  <c r="J61" i="1"/>
  <c r="E30" i="2" s="1"/>
  <c r="J62" i="1"/>
  <c r="E31" i="2" s="1"/>
  <c r="J63" i="1"/>
  <c r="E32" i="2" s="1"/>
  <c r="J64" i="1"/>
  <c r="E33" i="2" s="1"/>
  <c r="J65" i="1"/>
  <c r="G5" i="2" s="1"/>
  <c r="J66" i="1"/>
  <c r="G6" i="2" s="1"/>
  <c r="J67" i="1"/>
  <c r="G7" i="2" s="1"/>
  <c r="J68" i="1"/>
  <c r="G8" i="2" s="1"/>
  <c r="J69" i="1"/>
  <c r="G9" i="2" s="1"/>
  <c r="J70" i="1"/>
  <c r="G10" i="2" s="1"/>
  <c r="J71" i="1"/>
  <c r="G11" i="2" s="1"/>
  <c r="J72" i="1"/>
  <c r="G12" i="2" s="1"/>
  <c r="J73" i="1"/>
  <c r="G13" i="2" s="1"/>
  <c r="J74" i="1"/>
  <c r="G14" i="2" s="1"/>
  <c r="J75" i="1"/>
  <c r="G15" i="2" s="1"/>
  <c r="J76" i="1"/>
  <c r="G16" i="2" s="1"/>
  <c r="J77" i="1"/>
  <c r="G17" i="2" s="1"/>
  <c r="J78" i="1"/>
  <c r="G18" i="2" s="1"/>
  <c r="J79" i="1"/>
  <c r="G19" i="2" s="1"/>
  <c r="J80" i="1"/>
  <c r="G20" i="2" s="1"/>
  <c r="J81" i="1"/>
  <c r="G21" i="2" s="1"/>
  <c r="J82" i="1"/>
  <c r="G22" i="2" s="1"/>
  <c r="J83" i="1"/>
  <c r="G23" i="2" s="1"/>
  <c r="J84" i="1"/>
  <c r="G24" i="2" s="1"/>
  <c r="J85" i="1"/>
  <c r="G25" i="2" s="1"/>
  <c r="G26" i="2"/>
  <c r="J87" i="1"/>
  <c r="G27" i="2" s="1"/>
  <c r="G28" i="2"/>
  <c r="G29" i="2"/>
  <c r="G30" i="2"/>
  <c r="J96" i="1"/>
  <c r="I5" i="2" s="1"/>
  <c r="J97" i="1"/>
  <c r="I6" i="2" s="1"/>
  <c r="J98" i="1"/>
  <c r="I7" i="2" s="1"/>
  <c r="J99" i="1"/>
  <c r="I8" i="2" s="1"/>
  <c r="J100" i="1"/>
  <c r="I9" i="2" s="1"/>
  <c r="J101" i="1"/>
  <c r="I10" i="2" s="1"/>
  <c r="J102" i="1"/>
  <c r="I11" i="2" s="1"/>
  <c r="J103" i="1"/>
  <c r="I12" i="2" s="1"/>
  <c r="J104" i="1"/>
  <c r="I13" i="2" s="1"/>
  <c r="J105" i="1"/>
  <c r="I14" i="2" s="1"/>
  <c r="J106" i="1"/>
  <c r="I15" i="2" s="1"/>
  <c r="J107" i="1"/>
  <c r="I16" i="2" s="1"/>
  <c r="J108" i="1"/>
  <c r="I17" i="2" s="1"/>
  <c r="J109" i="1"/>
  <c r="I18" i="2" s="1"/>
  <c r="J110" i="1"/>
  <c r="I19" i="2" s="1"/>
  <c r="J111" i="1"/>
  <c r="I20" i="2" s="1"/>
  <c r="J112" i="1"/>
  <c r="I21" i="2" s="1"/>
  <c r="J113" i="1"/>
  <c r="I22" i="2" s="1"/>
  <c r="J114" i="1"/>
  <c r="I23" i="2" s="1"/>
  <c r="J115" i="1"/>
  <c r="I24" i="2" s="1"/>
  <c r="J116" i="1"/>
  <c r="I25" i="2" s="1"/>
  <c r="J117" i="1"/>
  <c r="I26" i="2" s="1"/>
  <c r="J118" i="1"/>
  <c r="I27" i="2" s="1"/>
  <c r="J119" i="1"/>
  <c r="I28" i="2" s="1"/>
  <c r="J120" i="1"/>
  <c r="I29" i="2" s="1"/>
  <c r="J121" i="1"/>
  <c r="I30" i="2" s="1"/>
  <c r="J122" i="1"/>
  <c r="I31" i="2" s="1"/>
  <c r="J123" i="1"/>
  <c r="I32" i="2" s="1"/>
  <c r="J124" i="1"/>
  <c r="I33" i="2" s="1"/>
  <c r="J125" i="1"/>
  <c r="I34" i="2" s="1"/>
  <c r="J126" i="1"/>
  <c r="K5" i="2" s="1"/>
  <c r="J127" i="1"/>
  <c r="K6" i="2" s="1"/>
  <c r="J128" i="1"/>
  <c r="K7" i="2" s="1"/>
  <c r="J129" i="1"/>
  <c r="K8" i="2" s="1"/>
  <c r="J130" i="1"/>
  <c r="K9" i="2" s="1"/>
  <c r="J131" i="1"/>
  <c r="K10" i="2" s="1"/>
  <c r="J132" i="1"/>
  <c r="K11" i="2" s="1"/>
  <c r="J133" i="1"/>
  <c r="K12" i="2" s="1"/>
  <c r="J134" i="1"/>
  <c r="K13" i="2" s="1"/>
  <c r="J135" i="1"/>
  <c r="K14" i="2" s="1"/>
  <c r="J136" i="1"/>
  <c r="K15" i="2" s="1"/>
  <c r="J137" i="1"/>
  <c r="K16" i="2" s="1"/>
  <c r="J138" i="1"/>
  <c r="K17" i="2" s="1"/>
  <c r="J139" i="1"/>
  <c r="K18" i="2" s="1"/>
  <c r="J140" i="1"/>
  <c r="K19" i="2" s="1"/>
  <c r="J141" i="1"/>
  <c r="K20" i="2" s="1"/>
  <c r="J142" i="1"/>
  <c r="K21" i="2" s="1"/>
  <c r="J143" i="1"/>
  <c r="K22" i="2" s="1"/>
  <c r="J144" i="1"/>
  <c r="K23" i="2" s="1"/>
  <c r="J145" i="1"/>
  <c r="K24" i="2" s="1"/>
  <c r="J146" i="1"/>
  <c r="K25" i="2" s="1"/>
  <c r="J147" i="1"/>
  <c r="K26" i="2" s="1"/>
  <c r="J148" i="1"/>
  <c r="K27" i="2" s="1"/>
  <c r="J149" i="1"/>
  <c r="K28" i="2" s="1"/>
  <c r="J150" i="1"/>
  <c r="K29" i="2" s="1"/>
  <c r="J151" i="1"/>
  <c r="K30" i="2" s="1"/>
  <c r="J152" i="1"/>
  <c r="K31" i="2" s="1"/>
  <c r="J153" i="1"/>
  <c r="K32" i="2" s="1"/>
  <c r="J154" i="1"/>
  <c r="K33" i="2" s="1"/>
  <c r="J155" i="1"/>
  <c r="K34" i="2" s="1"/>
  <c r="J156" i="1"/>
  <c r="J157" i="1"/>
  <c r="M5" i="2" s="1"/>
  <c r="J158" i="1"/>
  <c r="J159" i="1"/>
  <c r="J161" i="1"/>
  <c r="M9" i="2" s="1"/>
  <c r="J162" i="1"/>
  <c r="M10" i="2" s="1"/>
  <c r="J164" i="1"/>
  <c r="M12" i="2" s="1"/>
  <c r="J165" i="1"/>
  <c r="M13" i="2" s="1"/>
  <c r="J166" i="1"/>
  <c r="M14" i="2" s="1"/>
  <c r="J167" i="1"/>
  <c r="M15" i="2" s="1"/>
  <c r="J168" i="1"/>
  <c r="M16" i="2" s="1"/>
  <c r="J169" i="1"/>
  <c r="M17" i="2" s="1"/>
  <c r="J170" i="1"/>
  <c r="M18" i="2" s="1"/>
  <c r="J171" i="1"/>
  <c r="M19" i="2" s="1"/>
  <c r="J172" i="1"/>
  <c r="M20" i="2" s="1"/>
  <c r="J173" i="1"/>
  <c r="M21" i="2" s="1"/>
  <c r="J174" i="1"/>
  <c r="M22" i="2" s="1"/>
  <c r="J175" i="1"/>
  <c r="M23" i="2" s="1"/>
  <c r="J176" i="1"/>
  <c r="M24" i="2" s="1"/>
  <c r="J177" i="1"/>
  <c r="M25" i="2" s="1"/>
  <c r="J178" i="1"/>
  <c r="M26" i="2" s="1"/>
  <c r="J179" i="1"/>
  <c r="M27" i="2" s="1"/>
  <c r="J180" i="1"/>
  <c r="M28" i="2" s="1"/>
  <c r="J181" i="1"/>
  <c r="M29" i="2" s="1"/>
  <c r="J182" i="1"/>
  <c r="M30" i="2" s="1"/>
  <c r="J183" i="1"/>
  <c r="M31" i="2" s="1"/>
  <c r="J184" i="1"/>
  <c r="M32" i="2" s="1"/>
  <c r="J185" i="1"/>
  <c r="M33" i="2" s="1"/>
  <c r="J186" i="1"/>
  <c r="M34" i="2" s="1"/>
  <c r="J187" i="1"/>
  <c r="Q5" i="2" s="1"/>
  <c r="J188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U5" i="2" s="1"/>
  <c r="J219" i="1"/>
  <c r="U6" i="2" s="1"/>
  <c r="J220" i="1"/>
  <c r="U7" i="2" s="1"/>
  <c r="J221" i="1"/>
  <c r="U8" i="2" s="1"/>
  <c r="J222" i="1"/>
  <c r="U9" i="2" s="1"/>
  <c r="J223" i="1"/>
  <c r="U10" i="2" s="1"/>
  <c r="J224" i="1"/>
  <c r="U11" i="2" s="1"/>
  <c r="J225" i="1"/>
  <c r="U12" i="2" s="1"/>
  <c r="J226" i="1"/>
  <c r="U13" i="2" s="1"/>
  <c r="J227" i="1"/>
  <c r="U14" i="2" s="1"/>
  <c r="J228" i="1"/>
  <c r="U15" i="2" s="1"/>
  <c r="J229" i="1"/>
  <c r="U16" i="2" s="1"/>
  <c r="J230" i="1"/>
  <c r="U17" i="2" s="1"/>
  <c r="J231" i="1"/>
  <c r="U18" i="2" s="1"/>
  <c r="J232" i="1"/>
  <c r="U19" i="2" s="1"/>
  <c r="J233" i="1"/>
  <c r="U20" i="2" s="1"/>
  <c r="J234" i="1"/>
  <c r="U21" i="2" s="1"/>
  <c r="J235" i="1"/>
  <c r="U22" i="2" s="1"/>
  <c r="J236" i="1"/>
  <c r="U23" i="2" s="1"/>
  <c r="J237" i="1"/>
  <c r="U24" i="2" s="1"/>
  <c r="J239" i="1"/>
  <c r="U26" i="2" s="1"/>
  <c r="J240" i="1"/>
  <c r="U27" i="2" s="1"/>
  <c r="J241" i="1"/>
  <c r="U28" i="2" s="1"/>
  <c r="J242" i="1"/>
  <c r="U29" i="2" s="1"/>
  <c r="J243" i="1"/>
  <c r="U30" i="2" s="1"/>
  <c r="J244" i="1"/>
  <c r="U31" i="2" s="1"/>
  <c r="J245" i="1"/>
  <c r="U32" i="2" s="1"/>
  <c r="J246" i="1"/>
  <c r="U33" i="2" s="1"/>
  <c r="J247" i="1"/>
  <c r="U34" i="2" s="1"/>
  <c r="J248" i="1"/>
  <c r="U35" i="2" s="1"/>
  <c r="J249" i="1"/>
  <c r="Y5" i="2" s="1"/>
  <c r="Y6" i="2"/>
  <c r="J251" i="1"/>
  <c r="Y7" i="2" s="1"/>
  <c r="J252" i="1"/>
  <c r="Y8" i="2" s="1"/>
  <c r="J253" i="1"/>
  <c r="Y9" i="2" s="1"/>
  <c r="J254" i="1"/>
  <c r="Y10" i="2" s="1"/>
  <c r="J255" i="1"/>
  <c r="Y11" i="2" s="1"/>
  <c r="J256" i="1"/>
  <c r="Y12" i="2" s="1"/>
  <c r="J257" i="1"/>
  <c r="Y13" i="2" s="1"/>
  <c r="J258" i="1"/>
  <c r="Y14" i="2" s="1"/>
  <c r="J259" i="1"/>
  <c r="Y15" i="2" s="1"/>
  <c r="J260" i="1"/>
  <c r="Y16" i="2" s="1"/>
  <c r="J261" i="1"/>
  <c r="Y17" i="2" s="1"/>
  <c r="J262" i="1"/>
  <c r="Y18" i="2" s="1"/>
  <c r="J263" i="1"/>
  <c r="Y19" i="2" s="1"/>
  <c r="J264" i="1"/>
  <c r="Y20" i="2" s="1"/>
  <c r="J265" i="1"/>
  <c r="Y21" i="2" s="1"/>
  <c r="J266" i="1"/>
  <c r="Y22" i="2" s="1"/>
  <c r="J267" i="1"/>
  <c r="Y23" i="2" s="1"/>
  <c r="J268" i="1"/>
  <c r="Y24" i="2" s="1"/>
  <c r="J269" i="1"/>
  <c r="Y25" i="2" s="1"/>
  <c r="J270" i="1"/>
  <c r="Y26" i="2" s="1"/>
  <c r="J271" i="1"/>
  <c r="Y27" i="2" s="1"/>
  <c r="J272" i="1"/>
  <c r="Y28" i="2" s="1"/>
  <c r="J273" i="1"/>
  <c r="Y29" i="2" s="1"/>
  <c r="J274" i="1"/>
  <c r="Y30" i="2" s="1"/>
  <c r="J275" i="1"/>
  <c r="Y31" i="2" s="1"/>
  <c r="J276" i="1"/>
  <c r="Y32" i="2" s="1"/>
  <c r="J277" i="1"/>
  <c r="Y33" i="2" s="1"/>
  <c r="J278" i="1"/>
  <c r="Y34" i="2" s="1"/>
  <c r="J279" i="1"/>
  <c r="AC5" i="2" s="1"/>
  <c r="J280" i="1"/>
  <c r="AC6" i="2" s="1"/>
  <c r="J281" i="1"/>
  <c r="AC7" i="2" s="1"/>
  <c r="J282" i="1"/>
  <c r="AC8" i="2" s="1"/>
  <c r="J283" i="1"/>
  <c r="AC9" i="2" s="1"/>
  <c r="J284" i="1"/>
  <c r="AC10" i="2" s="1"/>
  <c r="J285" i="1"/>
  <c r="AC11" i="2" s="1"/>
  <c r="J286" i="1"/>
  <c r="AC12" i="2" s="1"/>
  <c r="J287" i="1"/>
  <c r="AC13" i="2" s="1"/>
  <c r="J288" i="1"/>
  <c r="AC14" i="2" s="1"/>
  <c r="J289" i="1"/>
  <c r="AC15" i="2" s="1"/>
  <c r="J290" i="1"/>
  <c r="AC16" i="2" s="1"/>
  <c r="J291" i="1"/>
  <c r="AC17" i="2" s="1"/>
  <c r="J292" i="1"/>
  <c r="AC18" i="2" s="1"/>
  <c r="J293" i="1"/>
  <c r="AC19" i="2" s="1"/>
  <c r="J294" i="1"/>
  <c r="AC20" i="2" s="1"/>
  <c r="J295" i="1"/>
  <c r="AC21" i="2" s="1"/>
  <c r="J296" i="1"/>
  <c r="AC22" i="2" s="1"/>
  <c r="J297" i="1"/>
  <c r="AC23" i="2" s="1"/>
  <c r="J298" i="1"/>
  <c r="AC24" i="2" s="1"/>
  <c r="J299" i="1"/>
  <c r="AC25" i="2" s="1"/>
  <c r="J300" i="1"/>
  <c r="AC26" i="2" s="1"/>
  <c r="J301" i="1"/>
  <c r="AC27" i="2" s="1"/>
  <c r="J302" i="1"/>
  <c r="AC28" i="2" s="1"/>
  <c r="J303" i="1"/>
  <c r="AC29" i="2" s="1"/>
  <c r="J304" i="1"/>
  <c r="AC30" i="2" s="1"/>
  <c r="J305" i="1"/>
  <c r="AC31" i="2" s="1"/>
  <c r="J306" i="1"/>
  <c r="AC32" i="2" s="1"/>
  <c r="J307" i="1"/>
  <c r="AC33" i="2" s="1"/>
  <c r="J308" i="1"/>
  <c r="AC34" i="2" s="1"/>
  <c r="J309" i="1"/>
  <c r="AC35" i="2" s="1"/>
  <c r="J310" i="1"/>
  <c r="AG5" i="2" s="1"/>
  <c r="J311" i="1"/>
  <c r="AG6" i="2" s="1"/>
  <c r="J312" i="1"/>
  <c r="AG7" i="2" s="1"/>
  <c r="J313" i="1"/>
  <c r="AG8" i="2" s="1"/>
  <c r="J314" i="1"/>
  <c r="AG9" i="2" s="1"/>
  <c r="J315" i="1"/>
  <c r="AG10" i="2" s="1"/>
  <c r="J316" i="1"/>
  <c r="AG11" i="2" s="1"/>
  <c r="J317" i="1"/>
  <c r="AG12" i="2" s="1"/>
  <c r="J318" i="1"/>
  <c r="AG13" i="2" s="1"/>
  <c r="J319" i="1"/>
  <c r="AG14" i="2" s="1"/>
  <c r="J320" i="1"/>
  <c r="AG15" i="2" s="1"/>
  <c r="J321" i="1"/>
  <c r="AG16" i="2" s="1"/>
  <c r="J322" i="1"/>
  <c r="AG17" i="2" s="1"/>
  <c r="J323" i="1"/>
  <c r="AG18" i="2" s="1"/>
  <c r="J324" i="1"/>
  <c r="AG19" i="2" s="1"/>
  <c r="J325" i="1"/>
  <c r="AG20" i="2" s="1"/>
  <c r="J326" i="1"/>
  <c r="AG21" i="2" s="1"/>
  <c r="J327" i="1"/>
  <c r="AG22" i="2" s="1"/>
  <c r="J328" i="1"/>
  <c r="AG23" i="2" s="1"/>
  <c r="J329" i="1"/>
  <c r="AG24" i="2" s="1"/>
  <c r="J330" i="1"/>
  <c r="AG25" i="2" s="1"/>
  <c r="J331" i="1"/>
  <c r="AG26" i="2" s="1"/>
  <c r="J332" i="1"/>
  <c r="AG27" i="2" s="1"/>
  <c r="J333" i="1"/>
  <c r="AG28" i="2" s="1"/>
  <c r="J334" i="1"/>
  <c r="AG29" i="2" s="1"/>
  <c r="J335" i="1"/>
  <c r="AG30" i="2" s="1"/>
  <c r="J336" i="1"/>
  <c r="AG31" i="2" s="1"/>
  <c r="J337" i="1"/>
  <c r="AG32" i="2" s="1"/>
  <c r="J338" i="1"/>
  <c r="AG33" i="2" s="1"/>
  <c r="J339" i="1"/>
  <c r="AG34" i="2" s="1"/>
  <c r="J340" i="1"/>
  <c r="AK5" i="2" s="1"/>
  <c r="J341" i="1"/>
  <c r="AK6" i="2" s="1"/>
  <c r="J342" i="1"/>
  <c r="AK7" i="2" s="1"/>
  <c r="J343" i="1"/>
  <c r="AK8" i="2" s="1"/>
  <c r="J344" i="1"/>
  <c r="AK9" i="2" s="1"/>
  <c r="J345" i="1"/>
  <c r="AK10" i="2" s="1"/>
  <c r="J346" i="1"/>
  <c r="AK11" i="2" s="1"/>
  <c r="J347" i="1"/>
  <c r="AK12" i="2" s="1"/>
  <c r="J348" i="1"/>
  <c r="AK13" i="2" s="1"/>
  <c r="J349" i="1"/>
  <c r="AK14" i="2" s="1"/>
  <c r="J350" i="1"/>
  <c r="AK15" i="2" s="1"/>
  <c r="J351" i="1"/>
  <c r="AK16" i="2" s="1"/>
  <c r="J352" i="1"/>
  <c r="AK17" i="2" s="1"/>
  <c r="J353" i="1"/>
  <c r="AK18" i="2" s="1"/>
  <c r="J354" i="1"/>
  <c r="AK19" i="2" s="1"/>
  <c r="J355" i="1"/>
  <c r="AK20" i="2" s="1"/>
  <c r="J356" i="1"/>
  <c r="AK21" i="2" s="1"/>
  <c r="J357" i="1"/>
  <c r="AK22" i="2" s="1"/>
  <c r="J358" i="1"/>
  <c r="AK23" i="2" s="1"/>
  <c r="J359" i="1"/>
  <c r="J360" i="1"/>
  <c r="J361" i="1"/>
  <c r="AK26" i="2" s="1"/>
  <c r="J362" i="1"/>
  <c r="AK27" i="2" s="1"/>
  <c r="J363" i="1"/>
  <c r="J364" i="1"/>
  <c r="J365" i="1"/>
  <c r="AK30" i="2" s="1"/>
  <c r="J366" i="1"/>
  <c r="J367" i="1"/>
  <c r="J368" i="1"/>
  <c r="J369" i="1"/>
  <c r="J370" i="1"/>
  <c r="AK36" i="2" l="1"/>
  <c r="AC36" i="2"/>
  <c r="AG36" i="2"/>
  <c r="Y36" i="2"/>
  <c r="U36" i="2"/>
  <c r="I36" i="2"/>
  <c r="G36" i="2"/>
  <c r="E36" i="2"/>
  <c r="M7" i="2"/>
  <c r="M159" i="1"/>
  <c r="M158" i="1"/>
  <c r="M6" i="2"/>
  <c r="M36" i="2" s="1"/>
  <c r="M156" i="1"/>
  <c r="K35" i="2"/>
  <c r="K36" i="2" s="1"/>
  <c r="M16" i="4"/>
  <c r="K17" i="4"/>
  <c r="B6" i="6"/>
  <c r="B7" i="6" s="1"/>
  <c r="H11" i="4"/>
  <c r="J10" i="4"/>
  <c r="I14" i="4"/>
  <c r="D5" i="4"/>
  <c r="B6" i="4"/>
  <c r="E7" i="4"/>
  <c r="G6" i="4"/>
  <c r="B36" i="2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K18" i="4" l="1"/>
  <c r="M17" i="4"/>
  <c r="D6" i="6"/>
  <c r="H12" i="4"/>
  <c r="J11" i="4"/>
  <c r="I15" i="4"/>
  <c r="D6" i="4"/>
  <c r="B7" i="4"/>
  <c r="B8" i="6"/>
  <c r="D7" i="6"/>
  <c r="E8" i="4"/>
  <c r="G7" i="4"/>
  <c r="F36" i="2"/>
  <c r="D36" i="2"/>
  <c r="K19" i="4" l="1"/>
  <c r="M18" i="4"/>
  <c r="H13" i="4"/>
  <c r="J12" i="4"/>
  <c r="I16" i="4"/>
  <c r="B9" i="6"/>
  <c r="D8" i="6"/>
  <c r="D7" i="4"/>
  <c r="B8" i="4"/>
  <c r="E9" i="4"/>
  <c r="G8" i="4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l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K20" i="4"/>
  <c r="M19" i="4"/>
  <c r="H14" i="4"/>
  <c r="J13" i="4"/>
  <c r="I17" i="4"/>
  <c r="D8" i="4"/>
  <c r="B9" i="4"/>
  <c r="B10" i="6"/>
  <c r="D9" i="6"/>
  <c r="E10" i="4"/>
  <c r="G9" i="4"/>
  <c r="A311" i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B351" i="1"/>
  <c r="AB350" i="1"/>
  <c r="AB347" i="1"/>
  <c r="AB348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K21" i="4" l="1"/>
  <c r="M20" i="4"/>
  <c r="H15" i="4"/>
  <c r="J14" i="4"/>
  <c r="I18" i="4"/>
  <c r="I19" i="4" s="1"/>
  <c r="B11" i="6"/>
  <c r="D10" i="6"/>
  <c r="D9" i="4"/>
  <c r="B10" i="4"/>
  <c r="E11" i="4"/>
  <c r="G10" i="4"/>
  <c r="AC403" i="1"/>
  <c r="K22" i="4" l="1"/>
  <c r="M21" i="4"/>
  <c r="H16" i="4"/>
  <c r="J15" i="4"/>
  <c r="I20" i="4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D10" i="4"/>
  <c r="B11" i="4"/>
  <c r="B12" i="6"/>
  <c r="D11" i="6"/>
  <c r="E12" i="4"/>
  <c r="G11" i="4"/>
  <c r="S331" i="1"/>
  <c r="S329" i="1"/>
  <c r="S330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M22" i="4" l="1"/>
  <c r="K23" i="4"/>
  <c r="H17" i="4"/>
  <c r="J16" i="4"/>
  <c r="B13" i="6"/>
  <c r="D12" i="6"/>
  <c r="D11" i="4"/>
  <c r="B12" i="4"/>
  <c r="E13" i="4"/>
  <c r="G12" i="4"/>
  <c r="S18" i="1"/>
  <c r="Y18" i="1"/>
  <c r="AB18" i="1"/>
  <c r="S19" i="1"/>
  <c r="Y19" i="1"/>
  <c r="AB19" i="1"/>
  <c r="S20" i="1"/>
  <c r="Y20" i="1"/>
  <c r="AB20" i="1"/>
  <c r="S21" i="1"/>
  <c r="Y21" i="1"/>
  <c r="AB21" i="1"/>
  <c r="S22" i="1"/>
  <c r="Y22" i="1"/>
  <c r="AB22" i="1"/>
  <c r="S23" i="1"/>
  <c r="Y23" i="1"/>
  <c r="AB23" i="1"/>
  <c r="S24" i="1"/>
  <c r="Y24" i="1"/>
  <c r="AB24" i="1"/>
  <c r="S25" i="1"/>
  <c r="Y25" i="1"/>
  <c r="AB25" i="1"/>
  <c r="S26" i="1"/>
  <c r="Y26" i="1"/>
  <c r="AB26" i="1"/>
  <c r="S27" i="1"/>
  <c r="Y27" i="1"/>
  <c r="AB27" i="1"/>
  <c r="S28" i="1"/>
  <c r="Y28" i="1"/>
  <c r="AB28" i="1"/>
  <c r="S29" i="1"/>
  <c r="Y29" i="1"/>
  <c r="AB29" i="1"/>
  <c r="S30" i="1"/>
  <c r="Y30" i="1"/>
  <c r="AB30" i="1"/>
  <c r="S31" i="1"/>
  <c r="Y31" i="1"/>
  <c r="AB31" i="1"/>
  <c r="S32" i="1"/>
  <c r="Y32" i="1"/>
  <c r="AB32" i="1"/>
  <c r="S33" i="1"/>
  <c r="Y33" i="1"/>
  <c r="AB33" i="1"/>
  <c r="S34" i="1"/>
  <c r="Y34" i="1"/>
  <c r="AB34" i="1"/>
  <c r="S35" i="1"/>
  <c r="Y35" i="1"/>
  <c r="AB35" i="1"/>
  <c r="S36" i="1"/>
  <c r="T36" i="1" s="1"/>
  <c r="Y36" i="1"/>
  <c r="Z36" i="1" s="1"/>
  <c r="AB36" i="1"/>
  <c r="AC36" i="1" s="1"/>
  <c r="S37" i="1"/>
  <c r="Y37" i="1"/>
  <c r="AB37" i="1"/>
  <c r="S38" i="1"/>
  <c r="Y38" i="1"/>
  <c r="AB38" i="1"/>
  <c r="S39" i="1"/>
  <c r="Y39" i="1"/>
  <c r="AB39" i="1"/>
  <c r="S40" i="1"/>
  <c r="Y40" i="1"/>
  <c r="AB40" i="1"/>
  <c r="S41" i="1"/>
  <c r="Y41" i="1"/>
  <c r="AB41" i="1"/>
  <c r="S42" i="1"/>
  <c r="Y42" i="1"/>
  <c r="AB42" i="1"/>
  <c r="S43" i="1"/>
  <c r="Y43" i="1"/>
  <c r="AB43" i="1"/>
  <c r="S44" i="1"/>
  <c r="Y44" i="1"/>
  <c r="AB44" i="1"/>
  <c r="S45" i="1"/>
  <c r="Y45" i="1"/>
  <c r="AB45" i="1"/>
  <c r="S46" i="1"/>
  <c r="Y46" i="1"/>
  <c r="AB46" i="1"/>
  <c r="S47" i="1"/>
  <c r="Y47" i="1"/>
  <c r="AB47" i="1"/>
  <c r="S48" i="1"/>
  <c r="Y48" i="1"/>
  <c r="AB48" i="1"/>
  <c r="S49" i="1"/>
  <c r="Y49" i="1"/>
  <c r="AB49" i="1"/>
  <c r="S50" i="1"/>
  <c r="Y50" i="1"/>
  <c r="AB50" i="1"/>
  <c r="S51" i="1"/>
  <c r="Y51" i="1"/>
  <c r="AB51" i="1"/>
  <c r="S52" i="1"/>
  <c r="Y52" i="1"/>
  <c r="AB52" i="1"/>
  <c r="S53" i="1"/>
  <c r="Y53" i="1"/>
  <c r="AB53" i="1"/>
  <c r="S54" i="1"/>
  <c r="Y54" i="1"/>
  <c r="AB54" i="1"/>
  <c r="S55" i="1"/>
  <c r="Y55" i="1"/>
  <c r="AB55" i="1"/>
  <c r="S56" i="1"/>
  <c r="Y56" i="1"/>
  <c r="AB56" i="1"/>
  <c r="S57" i="1"/>
  <c r="Y57" i="1"/>
  <c r="AB57" i="1"/>
  <c r="S58" i="1"/>
  <c r="Y58" i="1"/>
  <c r="AB58" i="1"/>
  <c r="S59" i="1"/>
  <c r="Y59" i="1"/>
  <c r="AB59" i="1"/>
  <c r="S60" i="1"/>
  <c r="Y60" i="1"/>
  <c r="AB60" i="1"/>
  <c r="S61" i="1"/>
  <c r="Y61" i="1"/>
  <c r="AB61" i="1"/>
  <c r="S62" i="1"/>
  <c r="Y62" i="1"/>
  <c r="AB62" i="1"/>
  <c r="S63" i="1"/>
  <c r="Y63" i="1"/>
  <c r="AB63" i="1"/>
  <c r="S64" i="1"/>
  <c r="Y64" i="1"/>
  <c r="AB64" i="1"/>
  <c r="S65" i="1"/>
  <c r="Y65" i="1"/>
  <c r="AB65" i="1"/>
  <c r="S66" i="1"/>
  <c r="Y66" i="1"/>
  <c r="AB66" i="1"/>
  <c r="S67" i="1"/>
  <c r="Y67" i="1"/>
  <c r="AB67" i="1"/>
  <c r="S68" i="1"/>
  <c r="Y68" i="1"/>
  <c r="AB68" i="1"/>
  <c r="S69" i="1"/>
  <c r="Y69" i="1"/>
  <c r="AB69" i="1"/>
  <c r="S70" i="1"/>
  <c r="Y70" i="1"/>
  <c r="AB70" i="1"/>
  <c r="S71" i="1"/>
  <c r="Y71" i="1"/>
  <c r="AB71" i="1"/>
  <c r="S72" i="1"/>
  <c r="Y72" i="1"/>
  <c r="AB72" i="1"/>
  <c r="S73" i="1"/>
  <c r="Y73" i="1"/>
  <c r="AB73" i="1"/>
  <c r="S74" i="1"/>
  <c r="Y74" i="1"/>
  <c r="AB74" i="1"/>
  <c r="S75" i="1"/>
  <c r="Y75" i="1"/>
  <c r="AB75" i="1"/>
  <c r="S76" i="1"/>
  <c r="Y76" i="1"/>
  <c r="AB76" i="1"/>
  <c r="S77" i="1"/>
  <c r="Y77" i="1"/>
  <c r="AB77" i="1"/>
  <c r="S78" i="1"/>
  <c r="Y78" i="1"/>
  <c r="AB78" i="1"/>
  <c r="S79" i="1"/>
  <c r="Y79" i="1"/>
  <c r="AB79" i="1"/>
  <c r="S80" i="1"/>
  <c r="Y80" i="1"/>
  <c r="AB80" i="1"/>
  <c r="S81" i="1"/>
  <c r="Y81" i="1"/>
  <c r="AB81" i="1"/>
  <c r="S82" i="1"/>
  <c r="Y82" i="1"/>
  <c r="AB82" i="1"/>
  <c r="S83" i="1"/>
  <c r="Y83" i="1"/>
  <c r="AB83" i="1"/>
  <c r="S84" i="1"/>
  <c r="Y84" i="1"/>
  <c r="AB84" i="1"/>
  <c r="S85" i="1"/>
  <c r="Y85" i="1"/>
  <c r="AB85" i="1"/>
  <c r="S86" i="1"/>
  <c r="Y86" i="1"/>
  <c r="AB86" i="1"/>
  <c r="S87" i="1"/>
  <c r="Y87" i="1"/>
  <c r="AB87" i="1"/>
  <c r="S88" i="1"/>
  <c r="Y88" i="1"/>
  <c r="AB88" i="1"/>
  <c r="S89" i="1"/>
  <c r="Y89" i="1"/>
  <c r="AB89" i="1"/>
  <c r="S90" i="1"/>
  <c r="Y90" i="1"/>
  <c r="AB90" i="1"/>
  <c r="S91" i="1"/>
  <c r="Y91" i="1"/>
  <c r="AB91" i="1"/>
  <c r="S92" i="1"/>
  <c r="Y92" i="1"/>
  <c r="AB92" i="1"/>
  <c r="S93" i="1"/>
  <c r="Y93" i="1"/>
  <c r="AB93" i="1"/>
  <c r="S94" i="1"/>
  <c r="Y94" i="1"/>
  <c r="AB94" i="1"/>
  <c r="S95" i="1"/>
  <c r="Y95" i="1"/>
  <c r="AB95" i="1"/>
  <c r="S96" i="1"/>
  <c r="Y96" i="1"/>
  <c r="AB96" i="1"/>
  <c r="S97" i="1"/>
  <c r="Y97" i="1"/>
  <c r="AB97" i="1"/>
  <c r="S98" i="1"/>
  <c r="Y98" i="1"/>
  <c r="AB98" i="1"/>
  <c r="S99" i="1"/>
  <c r="Y99" i="1"/>
  <c r="AB99" i="1"/>
  <c r="S100" i="1"/>
  <c r="Y100" i="1"/>
  <c r="AB100" i="1"/>
  <c r="S101" i="1"/>
  <c r="Y101" i="1"/>
  <c r="AB101" i="1"/>
  <c r="S102" i="1"/>
  <c r="Y102" i="1"/>
  <c r="AB102" i="1"/>
  <c r="S103" i="1"/>
  <c r="Y103" i="1"/>
  <c r="AB103" i="1"/>
  <c r="S104" i="1"/>
  <c r="Y104" i="1"/>
  <c r="AB104" i="1"/>
  <c r="S105" i="1"/>
  <c r="Y105" i="1"/>
  <c r="AB105" i="1"/>
  <c r="S106" i="1"/>
  <c r="Y106" i="1"/>
  <c r="AB106" i="1"/>
  <c r="S107" i="1"/>
  <c r="Y107" i="1"/>
  <c r="AB107" i="1"/>
  <c r="S108" i="1"/>
  <c r="Y108" i="1"/>
  <c r="AB108" i="1"/>
  <c r="S109" i="1"/>
  <c r="Y109" i="1"/>
  <c r="AB109" i="1"/>
  <c r="S110" i="1"/>
  <c r="Y110" i="1"/>
  <c r="AB110" i="1"/>
  <c r="S111" i="1"/>
  <c r="Y111" i="1"/>
  <c r="AB111" i="1"/>
  <c r="S112" i="1"/>
  <c r="Y112" i="1"/>
  <c r="AB112" i="1"/>
  <c r="S113" i="1"/>
  <c r="Y113" i="1"/>
  <c r="AB113" i="1"/>
  <c r="S114" i="1"/>
  <c r="Y114" i="1"/>
  <c r="AB114" i="1"/>
  <c r="S115" i="1"/>
  <c r="Y115" i="1"/>
  <c r="AB115" i="1"/>
  <c r="S116" i="1"/>
  <c r="Y116" i="1"/>
  <c r="AB116" i="1"/>
  <c r="S117" i="1"/>
  <c r="Y117" i="1"/>
  <c r="AB117" i="1"/>
  <c r="S118" i="1"/>
  <c r="Y118" i="1"/>
  <c r="AB118" i="1"/>
  <c r="S119" i="1"/>
  <c r="Y119" i="1"/>
  <c r="AB119" i="1"/>
  <c r="S120" i="1"/>
  <c r="Y120" i="1"/>
  <c r="AB120" i="1"/>
  <c r="S121" i="1"/>
  <c r="Y121" i="1"/>
  <c r="AB121" i="1"/>
  <c r="S122" i="1"/>
  <c r="Y122" i="1"/>
  <c r="AB122" i="1"/>
  <c r="S123" i="1"/>
  <c r="Y123" i="1"/>
  <c r="AB123" i="1"/>
  <c r="S124" i="1"/>
  <c r="Y124" i="1"/>
  <c r="AB124" i="1"/>
  <c r="S125" i="1"/>
  <c r="Y125" i="1"/>
  <c r="AB125" i="1"/>
  <c r="S126" i="1"/>
  <c r="Y126" i="1"/>
  <c r="AB126" i="1"/>
  <c r="S127" i="1"/>
  <c r="Y127" i="1"/>
  <c r="AB127" i="1"/>
  <c r="S128" i="1"/>
  <c r="Y128" i="1"/>
  <c r="AB128" i="1"/>
  <c r="S129" i="1"/>
  <c r="Y129" i="1"/>
  <c r="AB129" i="1"/>
  <c r="S130" i="1"/>
  <c r="Y130" i="1"/>
  <c r="AB130" i="1"/>
  <c r="S131" i="1"/>
  <c r="Y131" i="1"/>
  <c r="AB131" i="1"/>
  <c r="S132" i="1"/>
  <c r="Y132" i="1"/>
  <c r="AB132" i="1"/>
  <c r="S133" i="1"/>
  <c r="Y133" i="1"/>
  <c r="AB133" i="1"/>
  <c r="S134" i="1"/>
  <c r="Y134" i="1"/>
  <c r="AB134" i="1"/>
  <c r="S135" i="1"/>
  <c r="Y135" i="1"/>
  <c r="AB135" i="1"/>
  <c r="S136" i="1"/>
  <c r="Y136" i="1"/>
  <c r="AB136" i="1"/>
  <c r="S137" i="1"/>
  <c r="Y137" i="1"/>
  <c r="AB137" i="1"/>
  <c r="S138" i="1"/>
  <c r="Y138" i="1"/>
  <c r="AB138" i="1"/>
  <c r="S139" i="1"/>
  <c r="Y139" i="1"/>
  <c r="AB139" i="1"/>
  <c r="S140" i="1"/>
  <c r="Y140" i="1"/>
  <c r="AB140" i="1"/>
  <c r="S141" i="1"/>
  <c r="Y141" i="1"/>
  <c r="AB141" i="1"/>
  <c r="S142" i="1"/>
  <c r="Y142" i="1"/>
  <c r="AB142" i="1"/>
  <c r="S143" i="1"/>
  <c r="Y143" i="1"/>
  <c r="AB143" i="1"/>
  <c r="S144" i="1"/>
  <c r="Y144" i="1"/>
  <c r="AB144" i="1"/>
  <c r="S145" i="1"/>
  <c r="Y145" i="1"/>
  <c r="AB145" i="1"/>
  <c r="S146" i="1"/>
  <c r="Y146" i="1"/>
  <c r="AB146" i="1"/>
  <c r="S147" i="1"/>
  <c r="Y147" i="1"/>
  <c r="AB147" i="1"/>
  <c r="S148" i="1"/>
  <c r="Y148" i="1"/>
  <c r="AB148" i="1"/>
  <c r="S149" i="1"/>
  <c r="Y149" i="1"/>
  <c r="AB149" i="1"/>
  <c r="S150" i="1"/>
  <c r="Y150" i="1"/>
  <c r="AB150" i="1"/>
  <c r="S151" i="1"/>
  <c r="Y151" i="1"/>
  <c r="AB151" i="1"/>
  <c r="S152" i="1"/>
  <c r="Y152" i="1"/>
  <c r="AB152" i="1"/>
  <c r="S153" i="1"/>
  <c r="Y153" i="1"/>
  <c r="AB153" i="1"/>
  <c r="S154" i="1"/>
  <c r="Y154" i="1"/>
  <c r="AB154" i="1"/>
  <c r="S155" i="1"/>
  <c r="Y155" i="1"/>
  <c r="AB155" i="1"/>
  <c r="S156" i="1"/>
  <c r="Y156" i="1"/>
  <c r="AB156" i="1"/>
  <c r="S157" i="1"/>
  <c r="Y157" i="1"/>
  <c r="AB157" i="1"/>
  <c r="S158" i="1"/>
  <c r="Y158" i="1"/>
  <c r="AB158" i="1"/>
  <c r="S159" i="1"/>
  <c r="Y159" i="1"/>
  <c r="AB159" i="1"/>
  <c r="S160" i="1"/>
  <c r="Y160" i="1"/>
  <c r="AB160" i="1"/>
  <c r="S161" i="1"/>
  <c r="Y161" i="1"/>
  <c r="AB161" i="1"/>
  <c r="S162" i="1"/>
  <c r="Y162" i="1"/>
  <c r="AB162" i="1"/>
  <c r="S163" i="1"/>
  <c r="Y163" i="1"/>
  <c r="AB163" i="1"/>
  <c r="S164" i="1"/>
  <c r="Y164" i="1"/>
  <c r="AB164" i="1"/>
  <c r="S165" i="1"/>
  <c r="Y165" i="1"/>
  <c r="AB165" i="1"/>
  <c r="S166" i="1"/>
  <c r="Y166" i="1"/>
  <c r="AB166" i="1"/>
  <c r="S167" i="1"/>
  <c r="Y167" i="1"/>
  <c r="AB167" i="1"/>
  <c r="S168" i="1"/>
  <c r="Y168" i="1"/>
  <c r="AB168" i="1"/>
  <c r="S169" i="1"/>
  <c r="Y169" i="1"/>
  <c r="AB169" i="1"/>
  <c r="S170" i="1"/>
  <c r="Y170" i="1"/>
  <c r="AB170" i="1"/>
  <c r="S171" i="1"/>
  <c r="Y171" i="1"/>
  <c r="AB171" i="1"/>
  <c r="S172" i="1"/>
  <c r="Y172" i="1"/>
  <c r="AB172" i="1"/>
  <c r="S173" i="1"/>
  <c r="Y173" i="1"/>
  <c r="AB173" i="1"/>
  <c r="S174" i="1"/>
  <c r="Y174" i="1"/>
  <c r="AB174" i="1"/>
  <c r="S175" i="1"/>
  <c r="Y175" i="1"/>
  <c r="AB175" i="1"/>
  <c r="S176" i="1"/>
  <c r="V176" i="1"/>
  <c r="Y176" i="1"/>
  <c r="AB176" i="1"/>
  <c r="S177" i="1"/>
  <c r="Y177" i="1"/>
  <c r="AB177" i="1"/>
  <c r="S178" i="1"/>
  <c r="Y178" i="1"/>
  <c r="AB178" i="1"/>
  <c r="S179" i="1"/>
  <c r="Y179" i="1"/>
  <c r="AB179" i="1"/>
  <c r="S180" i="1"/>
  <c r="Y180" i="1"/>
  <c r="AB180" i="1"/>
  <c r="S181" i="1"/>
  <c r="Y181" i="1"/>
  <c r="AB181" i="1"/>
  <c r="S182" i="1"/>
  <c r="Y182" i="1"/>
  <c r="AB182" i="1"/>
  <c r="S183" i="1"/>
  <c r="Y183" i="1"/>
  <c r="AB183" i="1"/>
  <c r="S184" i="1"/>
  <c r="Y184" i="1"/>
  <c r="AB184" i="1"/>
  <c r="S185" i="1"/>
  <c r="Y185" i="1"/>
  <c r="AB185" i="1"/>
  <c r="S186" i="1"/>
  <c r="Y186" i="1"/>
  <c r="AB186" i="1"/>
  <c r="S187" i="1"/>
  <c r="Y187" i="1"/>
  <c r="AB187" i="1"/>
  <c r="S188" i="1"/>
  <c r="Y188" i="1"/>
  <c r="AB188" i="1"/>
  <c r="S189" i="1"/>
  <c r="Y189" i="1"/>
  <c r="AB189" i="1"/>
  <c r="S190" i="1"/>
  <c r="Y190" i="1"/>
  <c r="AB190" i="1"/>
  <c r="S191" i="1"/>
  <c r="Y191" i="1"/>
  <c r="AB191" i="1"/>
  <c r="S192" i="1"/>
  <c r="Y192" i="1"/>
  <c r="AB192" i="1"/>
  <c r="S193" i="1"/>
  <c r="Y193" i="1"/>
  <c r="AB193" i="1"/>
  <c r="S194" i="1"/>
  <c r="Y194" i="1"/>
  <c r="AB194" i="1"/>
  <c r="S195" i="1"/>
  <c r="Y195" i="1"/>
  <c r="AB195" i="1"/>
  <c r="S196" i="1"/>
  <c r="Y196" i="1"/>
  <c r="AB196" i="1"/>
  <c r="S197" i="1"/>
  <c r="Y197" i="1"/>
  <c r="AB197" i="1"/>
  <c r="S198" i="1"/>
  <c r="Y198" i="1"/>
  <c r="AB198" i="1"/>
  <c r="S199" i="1"/>
  <c r="Y199" i="1"/>
  <c r="AB199" i="1"/>
  <c r="S200" i="1"/>
  <c r="Y200" i="1"/>
  <c r="AB200" i="1"/>
  <c r="S201" i="1"/>
  <c r="Y201" i="1"/>
  <c r="AB201" i="1"/>
  <c r="S202" i="1"/>
  <c r="Y202" i="1"/>
  <c r="AB202" i="1"/>
  <c r="S203" i="1"/>
  <c r="Y203" i="1"/>
  <c r="AB203" i="1"/>
  <c r="S204" i="1"/>
  <c r="Y204" i="1"/>
  <c r="AB204" i="1"/>
  <c r="S205" i="1"/>
  <c r="Y205" i="1"/>
  <c r="AB205" i="1"/>
  <c r="S206" i="1"/>
  <c r="Y206" i="1"/>
  <c r="AB206" i="1"/>
  <c r="S207" i="1"/>
  <c r="Y207" i="1"/>
  <c r="AB207" i="1"/>
  <c r="S208" i="1"/>
  <c r="Y208" i="1"/>
  <c r="AB208" i="1"/>
  <c r="S209" i="1"/>
  <c r="Y209" i="1"/>
  <c r="AB209" i="1"/>
  <c r="S210" i="1"/>
  <c r="Y210" i="1"/>
  <c r="AB210" i="1"/>
  <c r="S211" i="1"/>
  <c r="Y211" i="1"/>
  <c r="AB211" i="1"/>
  <c r="S212" i="1"/>
  <c r="Y212" i="1"/>
  <c r="AB212" i="1"/>
  <c r="S213" i="1"/>
  <c r="Y213" i="1"/>
  <c r="AB213" i="1"/>
  <c r="S214" i="1"/>
  <c r="Y214" i="1"/>
  <c r="AB214" i="1"/>
  <c r="S215" i="1"/>
  <c r="Y215" i="1"/>
  <c r="AB215" i="1"/>
  <c r="S216" i="1"/>
  <c r="Y216" i="1"/>
  <c r="AB216" i="1"/>
  <c r="S217" i="1"/>
  <c r="Y217" i="1"/>
  <c r="AB217" i="1"/>
  <c r="S218" i="1"/>
  <c r="Y218" i="1"/>
  <c r="AB218" i="1"/>
  <c r="S219" i="1"/>
  <c r="Y219" i="1"/>
  <c r="AB219" i="1"/>
  <c r="S220" i="1"/>
  <c r="Y220" i="1"/>
  <c r="AB220" i="1"/>
  <c r="S221" i="1"/>
  <c r="Y221" i="1"/>
  <c r="AB221" i="1"/>
  <c r="S222" i="1"/>
  <c r="Y222" i="1"/>
  <c r="AB222" i="1"/>
  <c r="S223" i="1"/>
  <c r="Y223" i="1"/>
  <c r="AB223" i="1"/>
  <c r="S224" i="1"/>
  <c r="Y224" i="1"/>
  <c r="AB224" i="1"/>
  <c r="S225" i="1"/>
  <c r="Y225" i="1"/>
  <c r="AB225" i="1"/>
  <c r="S226" i="1"/>
  <c r="Y226" i="1"/>
  <c r="AB226" i="1"/>
  <c r="S227" i="1"/>
  <c r="Y227" i="1"/>
  <c r="AB227" i="1"/>
  <c r="S228" i="1"/>
  <c r="Y228" i="1"/>
  <c r="AB228" i="1"/>
  <c r="S229" i="1"/>
  <c r="Y229" i="1"/>
  <c r="AB229" i="1"/>
  <c r="S230" i="1"/>
  <c r="Y230" i="1"/>
  <c r="AB230" i="1"/>
  <c r="S231" i="1"/>
  <c r="Y231" i="1"/>
  <c r="AB231" i="1"/>
  <c r="S232" i="1"/>
  <c r="Y232" i="1"/>
  <c r="AB232" i="1"/>
  <c r="S233" i="1"/>
  <c r="Y233" i="1"/>
  <c r="AB233" i="1"/>
  <c r="S234" i="1"/>
  <c r="Y234" i="1"/>
  <c r="AB234" i="1"/>
  <c r="S235" i="1"/>
  <c r="Y235" i="1"/>
  <c r="AB235" i="1"/>
  <c r="S236" i="1"/>
  <c r="Y236" i="1"/>
  <c r="AB236" i="1"/>
  <c r="S237" i="1"/>
  <c r="Y237" i="1"/>
  <c r="AB237" i="1"/>
  <c r="S238" i="1"/>
  <c r="Y238" i="1"/>
  <c r="AB238" i="1"/>
  <c r="S239" i="1"/>
  <c r="Y239" i="1"/>
  <c r="AB239" i="1"/>
  <c r="S240" i="1"/>
  <c r="Y240" i="1"/>
  <c r="AB240" i="1"/>
  <c r="S241" i="1"/>
  <c r="Y241" i="1"/>
  <c r="AB241" i="1"/>
  <c r="S242" i="1"/>
  <c r="Y242" i="1"/>
  <c r="AB242" i="1"/>
  <c r="S243" i="1"/>
  <c r="Y243" i="1"/>
  <c r="AB243" i="1"/>
  <c r="S244" i="1"/>
  <c r="Y244" i="1"/>
  <c r="AB244" i="1"/>
  <c r="S245" i="1"/>
  <c r="Y245" i="1"/>
  <c r="AB245" i="1"/>
  <c r="S246" i="1"/>
  <c r="Y246" i="1"/>
  <c r="AB246" i="1"/>
  <c r="S247" i="1"/>
  <c r="Y247" i="1"/>
  <c r="AB247" i="1"/>
  <c r="S248" i="1"/>
  <c r="Y248" i="1"/>
  <c r="AB248" i="1"/>
  <c r="S249" i="1"/>
  <c r="Y249" i="1"/>
  <c r="AB249" i="1"/>
  <c r="S250" i="1"/>
  <c r="Y250" i="1"/>
  <c r="AB250" i="1"/>
  <c r="S251" i="1"/>
  <c r="Y251" i="1"/>
  <c r="AB251" i="1"/>
  <c r="S252" i="1"/>
  <c r="Y252" i="1"/>
  <c r="AB252" i="1"/>
  <c r="S253" i="1"/>
  <c r="Y253" i="1"/>
  <c r="AB253" i="1"/>
  <c r="S254" i="1"/>
  <c r="Y254" i="1"/>
  <c r="AB254" i="1"/>
  <c r="S255" i="1"/>
  <c r="Y255" i="1"/>
  <c r="AB255" i="1"/>
  <c r="S256" i="1"/>
  <c r="Y256" i="1"/>
  <c r="AB256" i="1"/>
  <c r="S257" i="1"/>
  <c r="Y257" i="1"/>
  <c r="AB257" i="1"/>
  <c r="S258" i="1"/>
  <c r="Y258" i="1"/>
  <c r="AB258" i="1"/>
  <c r="S259" i="1"/>
  <c r="Y259" i="1"/>
  <c r="AB259" i="1"/>
  <c r="S260" i="1"/>
  <c r="Y260" i="1"/>
  <c r="AB260" i="1"/>
  <c r="S261" i="1"/>
  <c r="Y261" i="1"/>
  <c r="AB261" i="1"/>
  <c r="S262" i="1"/>
  <c r="Y262" i="1"/>
  <c r="AB262" i="1"/>
  <c r="S263" i="1"/>
  <c r="Y263" i="1"/>
  <c r="AB263" i="1"/>
  <c r="S264" i="1"/>
  <c r="Y264" i="1"/>
  <c r="AB264" i="1"/>
  <c r="S265" i="1"/>
  <c r="Y265" i="1"/>
  <c r="AB265" i="1"/>
  <c r="S266" i="1"/>
  <c r="Y266" i="1"/>
  <c r="AB266" i="1"/>
  <c r="S267" i="1"/>
  <c r="Y267" i="1"/>
  <c r="AB267" i="1"/>
  <c r="S268" i="1"/>
  <c r="Y268" i="1"/>
  <c r="AB268" i="1"/>
  <c r="S269" i="1"/>
  <c r="Y269" i="1"/>
  <c r="AB269" i="1"/>
  <c r="S270" i="1"/>
  <c r="Y270" i="1"/>
  <c r="AB270" i="1"/>
  <c r="S271" i="1"/>
  <c r="V271" i="1"/>
  <c r="Y271" i="1"/>
  <c r="AB271" i="1"/>
  <c r="S272" i="1"/>
  <c r="Y272" i="1"/>
  <c r="AB272" i="1"/>
  <c r="S273" i="1"/>
  <c r="Y273" i="1"/>
  <c r="AB273" i="1"/>
  <c r="S274" i="1"/>
  <c r="Y274" i="1"/>
  <c r="AB274" i="1"/>
  <c r="S275" i="1"/>
  <c r="Y275" i="1"/>
  <c r="AB275" i="1"/>
  <c r="S276" i="1"/>
  <c r="Y276" i="1"/>
  <c r="AB276" i="1"/>
  <c r="S277" i="1"/>
  <c r="Y277" i="1"/>
  <c r="AB277" i="1"/>
  <c r="S278" i="1"/>
  <c r="Y278" i="1"/>
  <c r="AB278" i="1"/>
  <c r="S279" i="1"/>
  <c r="Y279" i="1"/>
  <c r="AB279" i="1"/>
  <c r="S280" i="1"/>
  <c r="Y280" i="1"/>
  <c r="AB280" i="1"/>
  <c r="S281" i="1"/>
  <c r="Y281" i="1"/>
  <c r="AB281" i="1"/>
  <c r="S282" i="1"/>
  <c r="Y282" i="1"/>
  <c r="AB282" i="1"/>
  <c r="S283" i="1"/>
  <c r="Y283" i="1"/>
  <c r="AB283" i="1"/>
  <c r="S284" i="1"/>
  <c r="Y284" i="1"/>
  <c r="AB284" i="1"/>
  <c r="S285" i="1"/>
  <c r="Y285" i="1"/>
  <c r="AB285" i="1"/>
  <c r="S286" i="1"/>
  <c r="Y286" i="1"/>
  <c r="AB286" i="1"/>
  <c r="S287" i="1"/>
  <c r="Y287" i="1"/>
  <c r="AB287" i="1"/>
  <c r="S288" i="1"/>
  <c r="Y288" i="1"/>
  <c r="AB288" i="1"/>
  <c r="S289" i="1"/>
  <c r="Y289" i="1"/>
  <c r="AB289" i="1"/>
  <c r="S290" i="1"/>
  <c r="Y290" i="1"/>
  <c r="AB290" i="1"/>
  <c r="S291" i="1"/>
  <c r="Y291" i="1"/>
  <c r="AB291" i="1"/>
  <c r="S292" i="1"/>
  <c r="Y292" i="1"/>
  <c r="AB292" i="1"/>
  <c r="S293" i="1"/>
  <c r="Y293" i="1"/>
  <c r="AB293" i="1"/>
  <c r="S294" i="1"/>
  <c r="Y294" i="1"/>
  <c r="AB294" i="1"/>
  <c r="S295" i="1"/>
  <c r="Y295" i="1"/>
  <c r="AB295" i="1"/>
  <c r="S296" i="1"/>
  <c r="Y296" i="1"/>
  <c r="AB296" i="1"/>
  <c r="S297" i="1"/>
  <c r="Y297" i="1"/>
  <c r="AB297" i="1"/>
  <c r="S298" i="1"/>
  <c r="Y298" i="1"/>
  <c r="AB298" i="1"/>
  <c r="S299" i="1"/>
  <c r="Y299" i="1"/>
  <c r="AB299" i="1"/>
  <c r="S300" i="1"/>
  <c r="Y300" i="1"/>
  <c r="AB300" i="1"/>
  <c r="S301" i="1"/>
  <c r="Y301" i="1"/>
  <c r="AB301" i="1"/>
  <c r="S302" i="1"/>
  <c r="Y302" i="1"/>
  <c r="AB302" i="1"/>
  <c r="S303" i="1"/>
  <c r="Y303" i="1"/>
  <c r="AB303" i="1"/>
  <c r="S304" i="1"/>
  <c r="Y304" i="1"/>
  <c r="AB304" i="1"/>
  <c r="S305" i="1"/>
  <c r="Y305" i="1"/>
  <c r="AB305" i="1"/>
  <c r="S306" i="1"/>
  <c r="Y306" i="1"/>
  <c r="AB306" i="1"/>
  <c r="S307" i="1"/>
  <c r="Y307" i="1"/>
  <c r="AB307" i="1"/>
  <c r="S308" i="1"/>
  <c r="Y308" i="1"/>
  <c r="AB308" i="1"/>
  <c r="S309" i="1"/>
  <c r="Y309" i="1"/>
  <c r="AB309" i="1"/>
  <c r="S310" i="1"/>
  <c r="Y310" i="1"/>
  <c r="AB310" i="1"/>
  <c r="S311" i="1"/>
  <c r="Y311" i="1"/>
  <c r="AB311" i="1"/>
  <c r="S312" i="1"/>
  <c r="V312" i="1"/>
  <c r="Y312" i="1"/>
  <c r="AB312" i="1"/>
  <c r="S313" i="1"/>
  <c r="V313" i="1"/>
  <c r="Y313" i="1"/>
  <c r="AB313" i="1"/>
  <c r="S314" i="1"/>
  <c r="V314" i="1"/>
  <c r="Y314" i="1"/>
  <c r="AB314" i="1"/>
  <c r="S315" i="1"/>
  <c r="V315" i="1"/>
  <c r="Y315" i="1"/>
  <c r="AB315" i="1"/>
  <c r="S316" i="1"/>
  <c r="V316" i="1"/>
  <c r="Y316" i="1"/>
  <c r="AB316" i="1"/>
  <c r="S317" i="1"/>
  <c r="V317" i="1"/>
  <c r="Y317" i="1"/>
  <c r="AB317" i="1"/>
  <c r="S318" i="1"/>
  <c r="V318" i="1"/>
  <c r="Y318" i="1"/>
  <c r="AB318" i="1"/>
  <c r="S319" i="1"/>
  <c r="V319" i="1"/>
  <c r="Y319" i="1"/>
  <c r="AB319" i="1"/>
  <c r="S320" i="1"/>
  <c r="V320" i="1"/>
  <c r="Y320" i="1"/>
  <c r="AB320" i="1"/>
  <c r="S321" i="1"/>
  <c r="V321" i="1"/>
  <c r="Y321" i="1"/>
  <c r="AB321" i="1"/>
  <c r="S322" i="1"/>
  <c r="V322" i="1"/>
  <c r="Y322" i="1"/>
  <c r="AB322" i="1"/>
  <c r="S323" i="1"/>
  <c r="V323" i="1"/>
  <c r="Y323" i="1"/>
  <c r="AB323" i="1"/>
  <c r="S324" i="1"/>
  <c r="V324" i="1"/>
  <c r="Y324" i="1"/>
  <c r="AB324" i="1"/>
  <c r="S325" i="1"/>
  <c r="V325" i="1"/>
  <c r="Y325" i="1"/>
  <c r="AB325" i="1"/>
  <c r="S326" i="1"/>
  <c r="V326" i="1"/>
  <c r="Y326" i="1"/>
  <c r="AB326" i="1"/>
  <c r="S327" i="1"/>
  <c r="V327" i="1"/>
  <c r="Y327" i="1"/>
  <c r="AB327" i="1"/>
  <c r="S328" i="1"/>
  <c r="V328" i="1"/>
  <c r="Y328" i="1"/>
  <c r="AB328" i="1"/>
  <c r="V329" i="1"/>
  <c r="Y329" i="1"/>
  <c r="AB329" i="1"/>
  <c r="V330" i="1"/>
  <c r="Y330" i="1"/>
  <c r="AB330" i="1"/>
  <c r="V331" i="1"/>
  <c r="Y331" i="1"/>
  <c r="AB331" i="1"/>
  <c r="V332" i="1"/>
  <c r="Y332" i="1"/>
  <c r="AB332" i="1"/>
  <c r="V333" i="1"/>
  <c r="Y333" i="1"/>
  <c r="AB333" i="1"/>
  <c r="V334" i="1"/>
  <c r="Y334" i="1"/>
  <c r="AB334" i="1"/>
  <c r="V335" i="1"/>
  <c r="Y335" i="1"/>
  <c r="AB335" i="1"/>
  <c r="V336" i="1"/>
  <c r="Y336" i="1"/>
  <c r="AB336" i="1"/>
  <c r="V337" i="1"/>
  <c r="Y337" i="1"/>
  <c r="AB337" i="1"/>
  <c r="V338" i="1"/>
  <c r="Y338" i="1"/>
  <c r="AB338" i="1"/>
  <c r="V339" i="1"/>
  <c r="Y339" i="1"/>
  <c r="AB339" i="1"/>
  <c r="V340" i="1"/>
  <c r="Y340" i="1"/>
  <c r="AB340" i="1"/>
  <c r="V341" i="1"/>
  <c r="Y341" i="1"/>
  <c r="AB341" i="1"/>
  <c r="V342" i="1"/>
  <c r="Y342" i="1"/>
  <c r="AB342" i="1"/>
  <c r="V343" i="1"/>
  <c r="Y343" i="1"/>
  <c r="AB343" i="1"/>
  <c r="V344" i="1"/>
  <c r="Y344" i="1"/>
  <c r="AB344" i="1"/>
  <c r="V345" i="1"/>
  <c r="Y345" i="1"/>
  <c r="AB345" i="1"/>
  <c r="V346" i="1"/>
  <c r="Y346" i="1"/>
  <c r="AB346" i="1"/>
  <c r="V347" i="1"/>
  <c r="Y347" i="1"/>
  <c r="V348" i="1"/>
  <c r="Y348" i="1"/>
  <c r="V349" i="1"/>
  <c r="Y349" i="1"/>
  <c r="AB349" i="1"/>
  <c r="V350" i="1"/>
  <c r="Y350" i="1"/>
  <c r="V351" i="1"/>
  <c r="Y351" i="1"/>
  <c r="V352" i="1"/>
  <c r="Y352" i="1"/>
  <c r="V353" i="1"/>
  <c r="Y353" i="1"/>
  <c r="V354" i="1"/>
  <c r="Y354" i="1"/>
  <c r="V355" i="1"/>
  <c r="Y355" i="1"/>
  <c r="V356" i="1"/>
  <c r="Y356" i="1"/>
  <c r="V357" i="1"/>
  <c r="Y357" i="1"/>
  <c r="V358" i="1"/>
  <c r="Y358" i="1"/>
  <c r="V359" i="1"/>
  <c r="Y359" i="1"/>
  <c r="V360" i="1"/>
  <c r="Y360" i="1"/>
  <c r="V361" i="1"/>
  <c r="Y361" i="1"/>
  <c r="V362" i="1"/>
  <c r="Y362" i="1"/>
  <c r="V363" i="1"/>
  <c r="Y363" i="1"/>
  <c r="V364" i="1"/>
  <c r="Y364" i="1"/>
  <c r="V365" i="1"/>
  <c r="Y365" i="1"/>
  <c r="V366" i="1"/>
  <c r="Y366" i="1"/>
  <c r="V367" i="1"/>
  <c r="Y367" i="1"/>
  <c r="V368" i="1"/>
  <c r="Y368" i="1"/>
  <c r="V369" i="1"/>
  <c r="Y369" i="1"/>
  <c r="V370" i="1"/>
  <c r="Y370" i="1"/>
  <c r="V371" i="1"/>
  <c r="Y371" i="1"/>
  <c r="V372" i="1"/>
  <c r="Y372" i="1"/>
  <c r="V373" i="1"/>
  <c r="Y373" i="1"/>
  <c r="V374" i="1"/>
  <c r="Y374" i="1"/>
  <c r="V375" i="1"/>
  <c r="Y375" i="1"/>
  <c r="V376" i="1"/>
  <c r="Y376" i="1"/>
  <c r="V377" i="1"/>
  <c r="Y377" i="1"/>
  <c r="V378" i="1"/>
  <c r="Y378" i="1"/>
  <c r="V379" i="1"/>
  <c r="Y379" i="1"/>
  <c r="V380" i="1"/>
  <c r="Y380" i="1"/>
  <c r="V381" i="1"/>
  <c r="Y381" i="1"/>
  <c r="V382" i="1"/>
  <c r="Y382" i="1"/>
  <c r="V383" i="1"/>
  <c r="Y383" i="1"/>
  <c r="V384" i="1"/>
  <c r="Y384" i="1"/>
  <c r="V385" i="1"/>
  <c r="Y385" i="1"/>
  <c r="V386" i="1"/>
  <c r="Y386" i="1"/>
  <c r="V387" i="1"/>
  <c r="Y387" i="1"/>
  <c r="V388" i="1"/>
  <c r="Y388" i="1"/>
  <c r="V389" i="1"/>
  <c r="Y389" i="1"/>
  <c r="V390" i="1"/>
  <c r="Y390" i="1"/>
  <c r="V391" i="1"/>
  <c r="Y391" i="1"/>
  <c r="V392" i="1"/>
  <c r="Y392" i="1"/>
  <c r="V393" i="1"/>
  <c r="Y393" i="1"/>
  <c r="V394" i="1"/>
  <c r="Y394" i="1"/>
  <c r="V395" i="1"/>
  <c r="Y395" i="1"/>
  <c r="V396" i="1"/>
  <c r="Y396" i="1"/>
  <c r="V397" i="1"/>
  <c r="Y397" i="1"/>
  <c r="V398" i="1"/>
  <c r="Y398" i="1"/>
  <c r="V399" i="1"/>
  <c r="Y399" i="1"/>
  <c r="V400" i="1"/>
  <c r="Y400" i="1"/>
  <c r="V401" i="1"/>
  <c r="Y401" i="1"/>
  <c r="V402" i="1"/>
  <c r="Y402" i="1"/>
  <c r="V403" i="1"/>
  <c r="Y403" i="1"/>
  <c r="V404" i="1"/>
  <c r="Y404" i="1"/>
  <c r="V405" i="1"/>
  <c r="Y405" i="1"/>
  <c r="V406" i="1"/>
  <c r="Y406" i="1"/>
  <c r="V407" i="1"/>
  <c r="Y407" i="1"/>
  <c r="V408" i="1"/>
  <c r="Y408" i="1"/>
  <c r="V409" i="1"/>
  <c r="Y409" i="1"/>
  <c r="V410" i="1"/>
  <c r="Y410" i="1"/>
  <c r="V311" i="1"/>
  <c r="K24" i="4" l="1"/>
  <c r="M23" i="4"/>
  <c r="H18" i="4"/>
  <c r="J17" i="4"/>
  <c r="D12" i="4"/>
  <c r="B13" i="4"/>
  <c r="B14" i="6"/>
  <c r="D13" i="6"/>
  <c r="E14" i="4"/>
  <c r="G13" i="4"/>
  <c r="T37" i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279" i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126" i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310" i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157" i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65" i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X371" i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AA403" i="1"/>
  <c r="W340" i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Z403" i="1"/>
  <c r="K25" i="4" l="1"/>
  <c r="M24" i="4"/>
  <c r="J18" i="4"/>
  <c r="H19" i="4"/>
  <c r="B15" i="6"/>
  <c r="D14" i="6"/>
  <c r="D13" i="4"/>
  <c r="B14" i="4"/>
  <c r="E15" i="4"/>
  <c r="G14" i="4"/>
  <c r="V310" i="1"/>
  <c r="K26" i="4" l="1"/>
  <c r="M25" i="4"/>
  <c r="H20" i="4"/>
  <c r="J19" i="4"/>
  <c r="D14" i="4"/>
  <c r="B15" i="4"/>
  <c r="B16" i="6"/>
  <c r="D15" i="6"/>
  <c r="E16" i="4"/>
  <c r="G15" i="4"/>
  <c r="V309" i="1"/>
  <c r="K27" i="4" l="1"/>
  <c r="M26" i="4"/>
  <c r="H21" i="4"/>
  <c r="J20" i="4"/>
  <c r="B17" i="6"/>
  <c r="D16" i="6"/>
  <c r="D15" i="4"/>
  <c r="B16" i="4"/>
  <c r="E17" i="4"/>
  <c r="G16" i="4"/>
  <c r="V308" i="1"/>
  <c r="K28" i="4" l="1"/>
  <c r="M27" i="4"/>
  <c r="H22" i="4"/>
  <c r="J21" i="4"/>
  <c r="D16" i="4"/>
  <c r="B17" i="4"/>
  <c r="B18" i="6"/>
  <c r="D17" i="6"/>
  <c r="E18" i="4"/>
  <c r="G17" i="4"/>
  <c r="V307" i="1"/>
  <c r="V306" i="1"/>
  <c r="V305" i="1"/>
  <c r="K29" i="4" l="1"/>
  <c r="M28" i="4"/>
  <c r="H23" i="4"/>
  <c r="J22" i="4"/>
  <c r="B19" i="6"/>
  <c r="D18" i="6"/>
  <c r="D17" i="4"/>
  <c r="B18" i="4"/>
  <c r="E19" i="4"/>
  <c r="G18" i="4"/>
  <c r="V304" i="1"/>
  <c r="K30" i="4" l="1"/>
  <c r="M29" i="4"/>
  <c r="H24" i="4"/>
  <c r="J23" i="4"/>
  <c r="D18" i="4"/>
  <c r="B19" i="4"/>
  <c r="B20" i="6"/>
  <c r="D19" i="6"/>
  <c r="E20" i="4"/>
  <c r="G19" i="4"/>
  <c r="V303" i="1"/>
  <c r="K31" i="4" l="1"/>
  <c r="M30" i="4"/>
  <c r="H25" i="4"/>
  <c r="J24" i="4"/>
  <c r="B21" i="6"/>
  <c r="D20" i="6"/>
  <c r="D19" i="4"/>
  <c r="B20" i="4"/>
  <c r="E21" i="4"/>
  <c r="G20" i="4"/>
  <c r="V302" i="1"/>
  <c r="K32" i="4" l="1"/>
  <c r="M31" i="4"/>
  <c r="H26" i="4"/>
  <c r="J25" i="4"/>
  <c r="D20" i="4"/>
  <c r="B21" i="4"/>
  <c r="B22" i="6"/>
  <c r="D21" i="6"/>
  <c r="E22" i="4"/>
  <c r="G21" i="4"/>
  <c r="V301" i="1"/>
  <c r="K33" i="4" l="1"/>
  <c r="M32" i="4"/>
  <c r="H27" i="4"/>
  <c r="J26" i="4"/>
  <c r="B23" i="6"/>
  <c r="D22" i="6"/>
  <c r="D21" i="4"/>
  <c r="B22" i="4"/>
  <c r="E23" i="4"/>
  <c r="G22" i="4"/>
  <c r="V300" i="1"/>
  <c r="V299" i="1"/>
  <c r="V298" i="1"/>
  <c r="K34" i="4" l="1"/>
  <c r="M34" i="4" s="1"/>
  <c r="M33" i="4"/>
  <c r="H28" i="4"/>
  <c r="J27" i="4"/>
  <c r="D22" i="4"/>
  <c r="B23" i="4"/>
  <c r="B24" i="6"/>
  <c r="D23" i="6"/>
  <c r="E24" i="4"/>
  <c r="G23" i="4"/>
  <c r="V297" i="1"/>
  <c r="M36" i="4" l="1"/>
  <c r="H29" i="4"/>
  <c r="J28" i="4"/>
  <c r="B25" i="6"/>
  <c r="D24" i="6"/>
  <c r="D23" i="4"/>
  <c r="B24" i="4"/>
  <c r="E25" i="4"/>
  <c r="G24" i="4"/>
  <c r="V296" i="1"/>
  <c r="H30" i="4" l="1"/>
  <c r="J29" i="4"/>
  <c r="D24" i="4"/>
  <c r="B25" i="4"/>
  <c r="B26" i="6"/>
  <c r="D25" i="6"/>
  <c r="E26" i="4"/>
  <c r="G25" i="4"/>
  <c r="V295" i="1"/>
  <c r="J30" i="4" l="1"/>
  <c r="H31" i="4"/>
  <c r="B27" i="6"/>
  <c r="D26" i="6"/>
  <c r="D25" i="4"/>
  <c r="B26" i="4"/>
  <c r="E27" i="4"/>
  <c r="G26" i="4"/>
  <c r="V294" i="1"/>
  <c r="J31" i="4" l="1"/>
  <c r="H32" i="4"/>
  <c r="D26" i="4"/>
  <c r="B27" i="4"/>
  <c r="B28" i="6"/>
  <c r="D27" i="6"/>
  <c r="E28" i="4"/>
  <c r="G27" i="4"/>
  <c r="V293" i="1"/>
  <c r="V292" i="1"/>
  <c r="V291" i="1"/>
  <c r="H33" i="4" l="1"/>
  <c r="J32" i="4"/>
  <c r="D27" i="4"/>
  <c r="B28" i="4"/>
  <c r="B29" i="6"/>
  <c r="D28" i="6"/>
  <c r="E29" i="4"/>
  <c r="G28" i="4"/>
  <c r="V290" i="1"/>
  <c r="H34" i="4" l="1"/>
  <c r="J33" i="4"/>
  <c r="B30" i="6"/>
  <c r="D29" i="6"/>
  <c r="D28" i="4"/>
  <c r="B29" i="4"/>
  <c r="E30" i="4"/>
  <c r="G29" i="4"/>
  <c r="V289" i="1"/>
  <c r="H35" i="4" l="1"/>
  <c r="H36" i="4" s="1"/>
  <c r="J34" i="4"/>
  <c r="D29" i="4"/>
  <c r="B30" i="4"/>
  <c r="B31" i="6"/>
  <c r="D30" i="6"/>
  <c r="E31" i="4"/>
  <c r="G30" i="4"/>
  <c r="V288" i="1"/>
  <c r="J35" i="4" l="1"/>
  <c r="B32" i="6"/>
  <c r="D31" i="6"/>
  <c r="D30" i="4"/>
  <c r="B31" i="4"/>
  <c r="E32" i="4"/>
  <c r="G31" i="4"/>
  <c r="V287" i="1"/>
  <c r="D31" i="4" l="1"/>
  <c r="B32" i="4"/>
  <c r="B33" i="6"/>
  <c r="D32" i="6"/>
  <c r="E33" i="4"/>
  <c r="E36" i="4" s="1"/>
  <c r="G32" i="4"/>
  <c r="V286" i="1"/>
  <c r="V285" i="1"/>
  <c r="V284" i="1"/>
  <c r="B34" i="6" l="1"/>
  <c r="D33" i="6"/>
  <c r="D32" i="4"/>
  <c r="B33" i="4"/>
  <c r="G33" i="4"/>
  <c r="V283" i="1"/>
  <c r="G36" i="4" l="1"/>
  <c r="D33" i="4"/>
  <c r="B34" i="4"/>
  <c r="B35" i="4" s="1"/>
  <c r="B35" i="6"/>
  <c r="D34" i="6"/>
  <c r="J5" i="4"/>
  <c r="V282" i="1"/>
  <c r="B36" i="4" l="1"/>
  <c r="E5" i="6"/>
  <c r="D35" i="6"/>
  <c r="J6" i="4"/>
  <c r="V281" i="1"/>
  <c r="D36" i="4" l="1"/>
  <c r="E6" i="6"/>
  <c r="G5" i="6"/>
  <c r="J8" i="4"/>
  <c r="J7" i="4"/>
  <c r="V280" i="1"/>
  <c r="V279" i="1"/>
  <c r="V278" i="1"/>
  <c r="V277" i="1"/>
  <c r="J36" i="4" l="1"/>
  <c r="E7" i="6"/>
  <c r="G6" i="6"/>
  <c r="W279" i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V276" i="1"/>
  <c r="E8" i="6" l="1"/>
  <c r="G7" i="6"/>
  <c r="V275" i="1"/>
  <c r="E9" i="6" l="1"/>
  <c r="G8" i="6"/>
  <c r="V274" i="1"/>
  <c r="E10" i="6" l="1"/>
  <c r="G9" i="6"/>
  <c r="V273" i="1"/>
  <c r="E11" i="6" l="1"/>
  <c r="G10" i="6"/>
  <c r="V272" i="1"/>
  <c r="V270" i="1"/>
  <c r="V269" i="1"/>
  <c r="V268" i="1"/>
  <c r="E12" i="6" l="1"/>
  <c r="G11" i="6"/>
  <c r="V267" i="1"/>
  <c r="E13" i="6" l="1"/>
  <c r="G12" i="6"/>
  <c r="V266" i="1"/>
  <c r="E14" i="6" l="1"/>
  <c r="G13" i="6"/>
  <c r="V265" i="1"/>
  <c r="V264" i="1"/>
  <c r="V263" i="1"/>
  <c r="E15" i="6" l="1"/>
  <c r="G14" i="6"/>
  <c r="V262" i="1"/>
  <c r="E16" i="6" l="1"/>
  <c r="G15" i="6"/>
  <c r="V261" i="1"/>
  <c r="E17" i="6" l="1"/>
  <c r="G16" i="6"/>
  <c r="V260" i="1"/>
  <c r="E18" i="6" l="1"/>
  <c r="G17" i="6"/>
  <c r="V259" i="1"/>
  <c r="E19" i="6" l="1"/>
  <c r="G18" i="6"/>
  <c r="V258" i="1"/>
  <c r="V257" i="1"/>
  <c r="V256" i="1"/>
  <c r="E20" i="6" l="1"/>
  <c r="G19" i="6"/>
  <c r="V255" i="1"/>
  <c r="E21" i="6" l="1"/>
  <c r="G20" i="6"/>
  <c r="V254" i="1"/>
  <c r="E22" i="6" l="1"/>
  <c r="G21" i="6"/>
  <c r="V253" i="1"/>
  <c r="E23" i="6" l="1"/>
  <c r="G22" i="6"/>
  <c r="V252" i="1"/>
  <c r="E24" i="6" l="1"/>
  <c r="G23" i="6"/>
  <c r="V251" i="1"/>
  <c r="V250" i="1"/>
  <c r="V249" i="1"/>
  <c r="E25" i="6" l="1"/>
  <c r="G24" i="6"/>
  <c r="V248" i="1"/>
  <c r="E26" i="6" l="1"/>
  <c r="G25" i="6"/>
  <c r="V247" i="1"/>
  <c r="E27" i="6" l="1"/>
  <c r="G26" i="6"/>
  <c r="V246" i="1"/>
  <c r="E28" i="6" l="1"/>
  <c r="G27" i="6"/>
  <c r="V245" i="1"/>
  <c r="E29" i="6" l="1"/>
  <c r="G28" i="6"/>
  <c r="V244" i="1"/>
  <c r="V243" i="1"/>
  <c r="V242" i="1"/>
  <c r="E30" i="6" l="1"/>
  <c r="G29" i="6"/>
  <c r="V241" i="1"/>
  <c r="E31" i="6" l="1"/>
  <c r="G30" i="6"/>
  <c r="V240" i="1"/>
  <c r="E32" i="6" l="1"/>
  <c r="G31" i="6"/>
  <c r="V239" i="1"/>
  <c r="E33" i="6" l="1"/>
  <c r="G32" i="6"/>
  <c r="V238" i="1"/>
  <c r="H5" i="6" l="1"/>
  <c r="G33" i="6"/>
  <c r="V237" i="1"/>
  <c r="V236" i="1"/>
  <c r="V235" i="1"/>
  <c r="J5" i="6" l="1"/>
  <c r="H6" i="6"/>
  <c r="V234" i="1"/>
  <c r="J6" i="6" l="1"/>
  <c r="H7" i="6"/>
  <c r="V233" i="1"/>
  <c r="H8" i="6" l="1"/>
  <c r="J7" i="6"/>
  <c r="V232" i="1"/>
  <c r="V231" i="1"/>
  <c r="J8" i="6" l="1"/>
  <c r="H9" i="6"/>
  <c r="V230" i="1"/>
  <c r="V229" i="1"/>
  <c r="V228" i="1"/>
  <c r="J9" i="6" l="1"/>
  <c r="H10" i="6"/>
  <c r="V227" i="1"/>
  <c r="J10" i="6" l="1"/>
  <c r="H11" i="6"/>
  <c r="V226" i="1"/>
  <c r="J11" i="6" l="1"/>
  <c r="H12" i="6"/>
  <c r="V214" i="1"/>
  <c r="V215" i="1"/>
  <c r="V216" i="1"/>
  <c r="V217" i="1"/>
  <c r="V218" i="1"/>
  <c r="V219" i="1"/>
  <c r="V220" i="1"/>
  <c r="V221" i="1"/>
  <c r="V222" i="1"/>
  <c r="V223" i="1"/>
  <c r="V224" i="1"/>
  <c r="V225" i="1"/>
  <c r="H13" i="6" l="1"/>
  <c r="J12" i="6"/>
  <c r="W218" i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V213" i="1"/>
  <c r="H14" i="6" l="1"/>
  <c r="J13" i="6"/>
  <c r="V212" i="1"/>
  <c r="J14" i="6" l="1"/>
  <c r="H15" i="6"/>
  <c r="V211" i="1"/>
  <c r="J15" i="6" l="1"/>
  <c r="H16" i="6"/>
  <c r="V210" i="1"/>
  <c r="V209" i="1"/>
  <c r="V208" i="1"/>
  <c r="V207" i="1"/>
  <c r="V206" i="1"/>
  <c r="V205" i="1"/>
  <c r="J16" i="6" l="1"/>
  <c r="H17" i="6"/>
  <c r="V204" i="1"/>
  <c r="V203" i="1"/>
  <c r="V202" i="1"/>
  <c r="V201" i="1"/>
  <c r="V200" i="1"/>
  <c r="J17" i="6" l="1"/>
  <c r="H18" i="6"/>
  <c r="V199" i="1"/>
  <c r="J18" i="6" l="1"/>
  <c r="H19" i="6"/>
  <c r="V198" i="1"/>
  <c r="H20" i="6" l="1"/>
  <c r="J19" i="6"/>
  <c r="V197" i="1"/>
  <c r="H21" i="6" l="1"/>
  <c r="J20" i="6"/>
  <c r="V196" i="1"/>
  <c r="J21" i="6" l="1"/>
  <c r="H22" i="6"/>
  <c r="V195" i="1"/>
  <c r="V194" i="1"/>
  <c r="V193" i="1"/>
  <c r="J22" i="6" l="1"/>
  <c r="H23" i="6"/>
  <c r="V192" i="1"/>
  <c r="J23" i="6" l="1"/>
  <c r="H24" i="6"/>
  <c r="V191" i="1"/>
  <c r="J24" i="6" l="1"/>
  <c r="H25" i="6"/>
  <c r="V190" i="1"/>
  <c r="J25" i="6" l="1"/>
  <c r="H26" i="6"/>
  <c r="V189" i="1"/>
  <c r="H27" i="6" l="1"/>
  <c r="J26" i="6"/>
  <c r="V188" i="1"/>
  <c r="V187" i="1"/>
  <c r="V186" i="1"/>
  <c r="H28" i="6" l="1"/>
  <c r="J27" i="6"/>
  <c r="W187" i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V185" i="1"/>
  <c r="J28" i="6" l="1"/>
  <c r="H29" i="6"/>
  <c r="V184" i="1"/>
  <c r="J29" i="6" l="1"/>
  <c r="H30" i="6"/>
  <c r="V183" i="1"/>
  <c r="J30" i="6" l="1"/>
  <c r="H31" i="6"/>
  <c r="V182" i="1"/>
  <c r="J31" i="6" l="1"/>
  <c r="H32" i="6"/>
  <c r="V181" i="1"/>
  <c r="H33" i="6" l="1"/>
  <c r="J32" i="6"/>
  <c r="V178" i="1"/>
  <c r="V179" i="1"/>
  <c r="V180" i="1"/>
  <c r="V177" i="1"/>
  <c r="H34" i="6" l="1"/>
  <c r="J33" i="6"/>
  <c r="V175" i="1"/>
  <c r="V174" i="1"/>
  <c r="V173" i="1"/>
  <c r="V172" i="1"/>
  <c r="H35" i="6" l="1"/>
  <c r="J34" i="6"/>
  <c r="V171" i="1"/>
  <c r="J35" i="6" l="1"/>
  <c r="K5" i="6"/>
  <c r="V170" i="1"/>
  <c r="M5" i="6" l="1"/>
  <c r="K6" i="6"/>
  <c r="K7" i="6" s="1"/>
  <c r="V169" i="1"/>
  <c r="M6" i="6" l="1"/>
  <c r="V168" i="1"/>
  <c r="K8" i="6" l="1"/>
  <c r="M7" i="6"/>
  <c r="V167" i="1"/>
  <c r="V166" i="1"/>
  <c r="K9" i="6" l="1"/>
  <c r="M8" i="6"/>
  <c r="V165" i="1"/>
  <c r="K10" i="6" l="1"/>
  <c r="M9" i="6"/>
  <c r="V164" i="1"/>
  <c r="K11" i="6" l="1"/>
  <c r="M10" i="6"/>
  <c r="S7" i="1"/>
  <c r="Y7" i="1"/>
  <c r="AB7" i="1"/>
  <c r="S8" i="1"/>
  <c r="Y8" i="1"/>
  <c r="AB8" i="1"/>
  <c r="S9" i="1"/>
  <c r="Y9" i="1"/>
  <c r="AB9" i="1"/>
  <c r="S10" i="1"/>
  <c r="Y10" i="1"/>
  <c r="AB10" i="1"/>
  <c r="S11" i="1"/>
  <c r="Y11" i="1"/>
  <c r="AB11" i="1"/>
  <c r="S12" i="1"/>
  <c r="Y12" i="1"/>
  <c r="AB12" i="1"/>
  <c r="S13" i="1"/>
  <c r="Y13" i="1"/>
  <c r="AB13" i="1"/>
  <c r="S14" i="1"/>
  <c r="Y14" i="1"/>
  <c r="AB14" i="1"/>
  <c r="S15" i="1"/>
  <c r="Y15" i="1"/>
  <c r="AB15" i="1"/>
  <c r="S16" i="1"/>
  <c r="Y16" i="1"/>
  <c r="AB16" i="1"/>
  <c r="S17" i="1"/>
  <c r="Y17" i="1"/>
  <c r="AB17" i="1"/>
  <c r="AB6" i="1"/>
  <c r="Y6" i="1"/>
  <c r="S6" i="1"/>
  <c r="AB5" i="1"/>
  <c r="Z5" i="1"/>
  <c r="Y5" i="1"/>
  <c r="S5" i="1"/>
  <c r="U5" i="1" s="1"/>
  <c r="U6" i="1" s="1"/>
  <c r="M11" i="6" l="1"/>
  <c r="K12" i="6"/>
  <c r="AA370" i="1"/>
  <c r="Z125" i="1"/>
  <c r="Z309" i="1"/>
  <c r="Z95" i="1"/>
  <c r="Z370" i="1"/>
  <c r="Z401" i="1"/>
  <c r="Z248" i="1"/>
  <c r="Z186" i="1"/>
  <c r="Z64" i="1"/>
  <c r="Z339" i="1"/>
  <c r="Z278" i="1"/>
  <c r="Z217" i="1"/>
  <c r="Z156" i="1"/>
  <c r="AC370" i="1"/>
  <c r="AC401" i="1"/>
  <c r="AC309" i="1"/>
  <c r="AC217" i="1"/>
  <c r="AC248" i="1"/>
  <c r="AC156" i="1"/>
  <c r="AC186" i="1"/>
  <c r="AC95" i="1"/>
  <c r="AD370" i="1"/>
  <c r="AC125" i="1"/>
  <c r="AC64" i="1"/>
  <c r="AC278" i="1"/>
  <c r="AC339" i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Z29" i="1"/>
  <c r="Z48" i="1"/>
  <c r="Z55" i="1"/>
  <c r="Z76" i="1"/>
  <c r="Z88" i="1"/>
  <c r="Z195" i="1"/>
  <c r="Z207" i="1"/>
  <c r="Z22" i="1"/>
  <c r="Z34" i="1"/>
  <c r="Z41" i="1"/>
  <c r="Z60" i="1"/>
  <c r="Z69" i="1"/>
  <c r="Z81" i="1"/>
  <c r="Z127" i="1"/>
  <c r="Z140" i="1"/>
  <c r="Z148" i="1"/>
  <c r="Z153" i="1"/>
  <c r="Z179" i="1"/>
  <c r="Z188" i="1"/>
  <c r="Z200" i="1"/>
  <c r="Z212" i="1"/>
  <c r="Z73" i="1"/>
  <c r="Z27" i="1"/>
  <c r="Z46" i="1"/>
  <c r="Z53" i="1"/>
  <c r="Z74" i="1"/>
  <c r="Z86" i="1"/>
  <c r="Z130" i="1"/>
  <c r="Z135" i="1"/>
  <c r="Z166" i="1"/>
  <c r="Z174" i="1"/>
  <c r="Z184" i="1"/>
  <c r="Z193" i="1"/>
  <c r="Z205" i="1"/>
  <c r="Z26" i="1"/>
  <c r="Z20" i="1"/>
  <c r="Z32" i="1"/>
  <c r="Z39" i="1"/>
  <c r="Z51" i="1"/>
  <c r="Z58" i="1"/>
  <c r="Z67" i="1"/>
  <c r="Z79" i="1"/>
  <c r="Z94" i="1"/>
  <c r="Z143" i="1"/>
  <c r="Z151" i="1"/>
  <c r="Z198" i="1"/>
  <c r="Z210" i="1"/>
  <c r="Z25" i="1"/>
  <c r="Z44" i="1"/>
  <c r="Z63" i="1"/>
  <c r="Z65" i="1"/>
  <c r="Z72" i="1"/>
  <c r="Z84" i="1"/>
  <c r="Z133" i="1"/>
  <c r="Z138" i="1"/>
  <c r="Z182" i="1"/>
  <c r="Z191" i="1"/>
  <c r="Z203" i="1"/>
  <c r="Z18" i="1"/>
  <c r="Z30" i="1"/>
  <c r="Z37" i="1"/>
  <c r="Z49" i="1"/>
  <c r="Z56" i="1"/>
  <c r="Z77" i="1"/>
  <c r="Z164" i="1"/>
  <c r="Z172" i="1"/>
  <c r="Z196" i="1"/>
  <c r="Z208" i="1"/>
  <c r="Z66" i="1"/>
  <c r="Z23" i="1"/>
  <c r="Z35" i="1"/>
  <c r="Z42" i="1"/>
  <c r="Z61" i="1"/>
  <c r="Z70" i="1"/>
  <c r="Z82" i="1"/>
  <c r="Z92" i="1"/>
  <c r="Z149" i="1"/>
  <c r="Z180" i="1"/>
  <c r="Z189" i="1"/>
  <c r="Z201" i="1"/>
  <c r="Z183" i="1"/>
  <c r="Z28" i="1"/>
  <c r="Z47" i="1"/>
  <c r="Z54" i="1"/>
  <c r="Z75" i="1"/>
  <c r="Z87" i="1"/>
  <c r="Z100" i="1"/>
  <c r="Z136" i="1"/>
  <c r="Z185" i="1"/>
  <c r="Z187" i="1"/>
  <c r="Z194" i="1"/>
  <c r="Z206" i="1"/>
  <c r="Z219" i="1"/>
  <c r="Z192" i="1"/>
  <c r="Z21" i="1"/>
  <c r="Z33" i="1"/>
  <c r="Z40" i="1"/>
  <c r="Z52" i="1"/>
  <c r="Z59" i="1"/>
  <c r="Z68" i="1"/>
  <c r="Z80" i="1"/>
  <c r="Z126" i="1"/>
  <c r="Z147" i="1"/>
  <c r="Z152" i="1"/>
  <c r="Z162" i="1"/>
  <c r="Z170" i="1"/>
  <c r="Z178" i="1"/>
  <c r="Z199" i="1"/>
  <c r="Z211" i="1"/>
  <c r="Z225" i="1"/>
  <c r="Z85" i="1"/>
  <c r="Z19" i="1"/>
  <c r="Z31" i="1"/>
  <c r="Z38" i="1"/>
  <c r="Z50" i="1"/>
  <c r="Z57" i="1"/>
  <c r="Z78" i="1"/>
  <c r="Z142" i="1"/>
  <c r="Z155" i="1"/>
  <c r="Z157" i="1"/>
  <c r="Z197" i="1"/>
  <c r="Z209" i="1"/>
  <c r="Z24" i="1"/>
  <c r="Z43" i="1"/>
  <c r="Z62" i="1"/>
  <c r="Z71" i="1"/>
  <c r="Z83" i="1"/>
  <c r="Z132" i="1"/>
  <c r="Z160" i="1"/>
  <c r="Z168" i="1"/>
  <c r="Z176" i="1"/>
  <c r="Z181" i="1"/>
  <c r="Z190" i="1"/>
  <c r="Z202" i="1"/>
  <c r="Z45" i="1"/>
  <c r="Z90" i="1"/>
  <c r="Z134" i="1"/>
  <c r="Z204" i="1"/>
  <c r="Z410" i="1"/>
  <c r="Z402" i="1"/>
  <c r="Z407" i="1"/>
  <c r="Z321" i="1"/>
  <c r="Z360" i="1"/>
  <c r="Z326" i="1"/>
  <c r="Z367" i="1"/>
  <c r="Z362" i="1"/>
  <c r="Z265" i="1"/>
  <c r="Z315" i="1"/>
  <c r="Z300" i="1"/>
  <c r="Z292" i="1"/>
  <c r="Z247" i="1"/>
  <c r="Z215" i="1"/>
  <c r="Z261" i="1"/>
  <c r="Z267" i="1"/>
  <c r="Z175" i="1"/>
  <c r="Z340" i="1"/>
  <c r="Z395" i="1"/>
  <c r="Z329" i="1"/>
  <c r="Z366" i="1"/>
  <c r="Z334" i="1"/>
  <c r="Z375" i="1"/>
  <c r="Z241" i="1"/>
  <c r="Z266" i="1"/>
  <c r="Z317" i="1"/>
  <c r="Z302" i="1"/>
  <c r="Z255" i="1"/>
  <c r="Z226" i="1"/>
  <c r="Z269" i="1"/>
  <c r="Z272" i="1"/>
  <c r="Z163" i="1"/>
  <c r="Z105" i="1"/>
  <c r="Z102" i="1"/>
  <c r="Z139" i="1"/>
  <c r="Z93" i="1"/>
  <c r="Z263" i="1"/>
  <c r="Z234" i="1"/>
  <c r="Z224" i="1"/>
  <c r="Z274" i="1"/>
  <c r="Z249" i="1"/>
  <c r="Z331" i="1"/>
  <c r="Z398" i="1"/>
  <c r="Z322" i="1"/>
  <c r="Z337" i="1"/>
  <c r="Z374" i="1"/>
  <c r="Z354" i="1"/>
  <c r="Z383" i="1"/>
  <c r="Z268" i="1"/>
  <c r="Z293" i="1"/>
  <c r="Z319" i="1"/>
  <c r="Z304" i="1"/>
  <c r="Z124" i="1"/>
  <c r="Z399" i="1"/>
  <c r="Z408" i="1"/>
  <c r="Z330" i="1"/>
  <c r="Z363" i="1"/>
  <c r="Z382" i="1"/>
  <c r="Z355" i="1"/>
  <c r="Z378" i="1"/>
  <c r="Z343" i="1"/>
  <c r="Z295" i="1"/>
  <c r="Z284" i="1"/>
  <c r="Z306" i="1"/>
  <c r="Z213" i="1"/>
  <c r="Z271" i="1"/>
  <c r="Z242" i="1"/>
  <c r="Z232" i="1"/>
  <c r="Z276" i="1"/>
  <c r="Z158" i="1"/>
  <c r="Z109" i="1"/>
  <c r="Z106" i="1"/>
  <c r="Z128" i="1"/>
  <c r="Z288" i="1"/>
  <c r="Z273" i="1"/>
  <c r="Z240" i="1"/>
  <c r="Z154" i="1"/>
  <c r="Z111" i="1"/>
  <c r="Z108" i="1"/>
  <c r="Z347" i="1"/>
  <c r="Z253" i="1"/>
  <c r="Z101" i="1"/>
  <c r="Z107" i="1"/>
  <c r="Z323" i="1"/>
  <c r="Z400" i="1"/>
  <c r="Z338" i="1"/>
  <c r="Z371" i="1"/>
  <c r="Z327" i="1"/>
  <c r="Z364" i="1"/>
  <c r="Z386" i="1"/>
  <c r="Z342" i="1"/>
  <c r="Z297" i="1"/>
  <c r="Z308" i="1"/>
  <c r="Z220" i="1"/>
  <c r="Z250" i="1"/>
  <c r="Z280" i="1"/>
  <c r="Z406" i="1"/>
  <c r="Z394" i="1"/>
  <c r="Z350" i="1"/>
  <c r="Z379" i="1"/>
  <c r="Z335" i="1"/>
  <c r="Z372" i="1"/>
  <c r="Z324" i="1"/>
  <c r="Z333" i="1"/>
  <c r="Z299" i="1"/>
  <c r="Z262" i="1"/>
  <c r="Z310" i="1"/>
  <c r="Z228" i="1"/>
  <c r="Z275" i="1"/>
  <c r="Z258" i="1"/>
  <c r="Z256" i="1"/>
  <c r="Z282" i="1"/>
  <c r="Z223" i="1"/>
  <c r="Z150" i="1"/>
  <c r="Z113" i="1"/>
  <c r="Z110" i="1"/>
  <c r="Z159" i="1"/>
  <c r="Z390" i="1"/>
  <c r="Z251" i="1"/>
  <c r="Z397" i="1"/>
  <c r="Z393" i="1"/>
  <c r="Z351" i="1"/>
  <c r="Z387" i="1"/>
  <c r="Z361" i="1"/>
  <c r="Z380" i="1"/>
  <c r="Z332" i="1"/>
  <c r="Z325" i="1"/>
  <c r="Z301" i="1"/>
  <c r="Z291" i="1"/>
  <c r="Z312" i="1"/>
  <c r="Z236" i="1"/>
  <c r="Z277" i="1"/>
  <c r="Z216" i="1"/>
  <c r="Z264" i="1"/>
  <c r="Z218" i="1"/>
  <c r="Z214" i="1"/>
  <c r="Z146" i="1"/>
  <c r="Z115" i="1"/>
  <c r="Z112" i="1"/>
  <c r="Z129" i="1"/>
  <c r="Z303" i="1"/>
  <c r="Z257" i="1"/>
  <c r="Z314" i="1"/>
  <c r="Z244" i="1"/>
  <c r="Z279" i="1"/>
  <c r="Z221" i="1"/>
  <c r="Z227" i="1"/>
  <c r="Z177" i="1"/>
  <c r="Z131" i="1"/>
  <c r="Z114" i="1"/>
  <c r="Z296" i="1"/>
  <c r="Z120" i="1"/>
  <c r="Z365" i="1"/>
  <c r="Z239" i="1"/>
  <c r="Z167" i="1"/>
  <c r="Z91" i="1"/>
  <c r="Z161" i="1"/>
  <c r="Z391" i="1"/>
  <c r="Z358" i="1"/>
  <c r="Z320" i="1"/>
  <c r="Z369" i="1"/>
  <c r="Z388" i="1"/>
  <c r="Z341" i="1"/>
  <c r="Z222" i="1"/>
  <c r="Z117" i="1"/>
  <c r="Z97" i="1"/>
  <c r="Z352" i="1"/>
  <c r="Z311" i="1"/>
  <c r="Z270" i="1"/>
  <c r="Z245" i="1"/>
  <c r="Z99" i="1"/>
  <c r="Z353" i="1"/>
  <c r="Z313" i="1"/>
  <c r="Z259" i="1"/>
  <c r="Z122" i="1"/>
  <c r="Z165" i="1"/>
  <c r="Z104" i="1"/>
  <c r="Z409" i="1"/>
  <c r="Z389" i="1"/>
  <c r="Z359" i="1"/>
  <c r="Z328" i="1"/>
  <c r="Z377" i="1"/>
  <c r="Z344" i="1"/>
  <c r="Z348" i="1"/>
  <c r="Z305" i="1"/>
  <c r="Z289" i="1"/>
  <c r="Z316" i="1"/>
  <c r="Z252" i="1"/>
  <c r="Z281" i="1"/>
  <c r="Z229" i="1"/>
  <c r="Z235" i="1"/>
  <c r="Z230" i="1"/>
  <c r="Z173" i="1"/>
  <c r="Z145" i="1"/>
  <c r="Z119" i="1"/>
  <c r="Z116" i="1"/>
  <c r="Z89" i="1"/>
  <c r="Z318" i="1"/>
  <c r="Z283" i="1"/>
  <c r="Z237" i="1"/>
  <c r="Z243" i="1"/>
  <c r="Z171" i="1"/>
  <c r="Z121" i="1"/>
  <c r="Z118" i="1"/>
  <c r="Z381" i="1"/>
  <c r="Z376" i="1"/>
  <c r="Z346" i="1"/>
  <c r="Z231" i="1"/>
  <c r="Z169" i="1"/>
  <c r="Z396" i="1"/>
  <c r="Z384" i="1"/>
  <c r="Z233" i="1"/>
  <c r="Z298" i="1"/>
  <c r="Z287" i="1"/>
  <c r="Z98" i="1"/>
  <c r="Z103" i="1"/>
  <c r="Z137" i="1"/>
  <c r="Z405" i="1"/>
  <c r="Z404" i="1"/>
  <c r="Z368" i="1"/>
  <c r="Z336" i="1"/>
  <c r="Z385" i="1"/>
  <c r="Z345" i="1"/>
  <c r="Z349" i="1"/>
  <c r="Z307" i="1"/>
  <c r="Z294" i="1"/>
  <c r="Z260" i="1"/>
  <c r="Z238" i="1"/>
  <c r="Z144" i="1"/>
  <c r="Z356" i="1"/>
  <c r="Z285" i="1"/>
  <c r="Z123" i="1"/>
  <c r="Z357" i="1"/>
  <c r="Z254" i="1"/>
  <c r="Z141" i="1"/>
  <c r="Z373" i="1"/>
  <c r="Z290" i="1"/>
  <c r="Z246" i="1"/>
  <c r="Z392" i="1"/>
  <c r="Z286" i="1"/>
  <c r="Z96" i="1"/>
  <c r="AA7" i="1"/>
  <c r="AA18" i="1"/>
  <c r="AA30" i="1"/>
  <c r="AA42" i="1"/>
  <c r="AA54" i="1"/>
  <c r="AA66" i="1"/>
  <c r="AA78" i="1"/>
  <c r="AA90" i="1"/>
  <c r="AA102" i="1"/>
  <c r="AA114" i="1"/>
  <c r="AA126" i="1"/>
  <c r="AA138" i="1"/>
  <c r="AA150" i="1"/>
  <c r="AA162" i="1"/>
  <c r="AA174" i="1"/>
  <c r="AA186" i="1"/>
  <c r="AA198" i="1"/>
  <c r="AA210" i="1"/>
  <c r="AA222" i="1"/>
  <c r="AA234" i="1"/>
  <c r="AA246" i="1"/>
  <c r="AA258" i="1"/>
  <c r="AA270" i="1"/>
  <c r="AA343" i="1"/>
  <c r="AA345" i="1"/>
  <c r="AA8" i="1"/>
  <c r="AA19" i="1"/>
  <c r="AA31" i="1"/>
  <c r="AA43" i="1"/>
  <c r="AA55" i="1"/>
  <c r="AA67" i="1"/>
  <c r="AA79" i="1"/>
  <c r="AA91" i="1"/>
  <c r="AA103" i="1"/>
  <c r="AA115" i="1"/>
  <c r="AA127" i="1"/>
  <c r="AA139" i="1"/>
  <c r="AA151" i="1"/>
  <c r="AA163" i="1"/>
  <c r="AA175" i="1"/>
  <c r="AA187" i="1"/>
  <c r="AA199" i="1"/>
  <c r="AA211" i="1"/>
  <c r="AA223" i="1"/>
  <c r="AA235" i="1"/>
  <c r="AA247" i="1"/>
  <c r="AA259" i="1"/>
  <c r="AA271" i="1"/>
  <c r="AA344" i="1"/>
  <c r="AA6" i="1"/>
  <c r="AA20" i="1"/>
  <c r="AA32" i="1"/>
  <c r="AA44" i="1"/>
  <c r="AA56" i="1"/>
  <c r="AA68" i="1"/>
  <c r="AA80" i="1"/>
  <c r="AA92" i="1"/>
  <c r="AA104" i="1"/>
  <c r="AA116" i="1"/>
  <c r="AA128" i="1"/>
  <c r="AA140" i="1"/>
  <c r="AA152" i="1"/>
  <c r="AA164" i="1"/>
  <c r="AA176" i="1"/>
  <c r="AA188" i="1"/>
  <c r="AA200" i="1"/>
  <c r="AA212" i="1"/>
  <c r="AA224" i="1"/>
  <c r="AA236" i="1"/>
  <c r="AA248" i="1"/>
  <c r="AA260" i="1"/>
  <c r="AA272" i="1"/>
  <c r="AA308" i="1"/>
  <c r="AA9" i="1"/>
  <c r="AA21" i="1"/>
  <c r="AA33" i="1"/>
  <c r="AA45" i="1"/>
  <c r="AA57" i="1"/>
  <c r="AA69" i="1"/>
  <c r="AA81" i="1"/>
  <c r="AA93" i="1"/>
  <c r="AA105" i="1"/>
  <c r="AA117" i="1"/>
  <c r="AA129" i="1"/>
  <c r="AA141" i="1"/>
  <c r="AA153" i="1"/>
  <c r="AA165" i="1"/>
  <c r="AA177" i="1"/>
  <c r="AA189" i="1"/>
  <c r="AA201" i="1"/>
  <c r="AA213" i="1"/>
  <c r="AA225" i="1"/>
  <c r="AA237" i="1"/>
  <c r="AA249" i="1"/>
  <c r="AA261" i="1"/>
  <c r="AA273" i="1"/>
  <c r="AA285" i="1"/>
  <c r="AA357" i="1"/>
  <c r="AA10" i="1"/>
  <c r="AA22" i="1"/>
  <c r="AA34" i="1"/>
  <c r="AA46" i="1"/>
  <c r="AA58" i="1"/>
  <c r="AA70" i="1"/>
  <c r="AA82" i="1"/>
  <c r="AA94" i="1"/>
  <c r="AA106" i="1"/>
  <c r="AA118" i="1"/>
  <c r="AA130" i="1"/>
  <c r="AA142" i="1"/>
  <c r="AA154" i="1"/>
  <c r="AA166" i="1"/>
  <c r="AA178" i="1"/>
  <c r="AA190" i="1"/>
  <c r="AA202" i="1"/>
  <c r="AA214" i="1"/>
  <c r="AA226" i="1"/>
  <c r="AA238" i="1"/>
  <c r="AA250" i="1"/>
  <c r="AA262" i="1"/>
  <c r="AA274" i="1"/>
  <c r="AA286" i="1"/>
  <c r="AA298" i="1"/>
  <c r="AA11" i="1"/>
  <c r="AA23" i="1"/>
  <c r="AA35" i="1"/>
  <c r="AA47" i="1"/>
  <c r="AA59" i="1"/>
  <c r="AA71" i="1"/>
  <c r="AA83" i="1"/>
  <c r="AA95" i="1"/>
  <c r="AA107" i="1"/>
  <c r="AA119" i="1"/>
  <c r="AA131" i="1"/>
  <c r="AA143" i="1"/>
  <c r="AA155" i="1"/>
  <c r="AA167" i="1"/>
  <c r="AA179" i="1"/>
  <c r="AA191" i="1"/>
  <c r="AA203" i="1"/>
  <c r="AA215" i="1"/>
  <c r="AA227" i="1"/>
  <c r="AA239" i="1"/>
  <c r="AA251" i="1"/>
  <c r="AA263" i="1"/>
  <c r="AA275" i="1"/>
  <c r="AA287" i="1"/>
  <c r="AA299" i="1"/>
  <c r="AA311" i="1"/>
  <c r="AA323" i="1"/>
  <c r="AA335" i="1"/>
  <c r="AA347" i="1"/>
  <c r="AA359" i="1"/>
  <c r="AA254" i="1"/>
  <c r="AA290" i="1"/>
  <c r="AA338" i="1"/>
  <c r="AA292" i="1"/>
  <c r="AA340" i="1"/>
  <c r="AA329" i="1"/>
  <c r="AA294" i="1"/>
  <c r="AA354" i="1"/>
  <c r="AA319" i="1"/>
  <c r="AA332" i="1"/>
  <c r="AA321" i="1"/>
  <c r="AA322" i="1"/>
  <c r="AA12" i="1"/>
  <c r="AA24" i="1"/>
  <c r="AA36" i="1"/>
  <c r="AA48" i="1"/>
  <c r="AA60" i="1"/>
  <c r="AA72" i="1"/>
  <c r="AA84" i="1"/>
  <c r="AA96" i="1"/>
  <c r="AA108" i="1"/>
  <c r="AA120" i="1"/>
  <c r="AA132" i="1"/>
  <c r="AA144" i="1"/>
  <c r="AA156" i="1"/>
  <c r="AA168" i="1"/>
  <c r="AA180" i="1"/>
  <c r="AA192" i="1"/>
  <c r="AA204" i="1"/>
  <c r="AA216" i="1"/>
  <c r="AA228" i="1"/>
  <c r="AA240" i="1"/>
  <c r="AA252" i="1"/>
  <c r="AA264" i="1"/>
  <c r="AA276" i="1"/>
  <c r="AA288" i="1"/>
  <c r="AA300" i="1"/>
  <c r="AA312" i="1"/>
  <c r="AA324" i="1"/>
  <c r="AA336" i="1"/>
  <c r="AA348" i="1"/>
  <c r="AA360" i="1"/>
  <c r="AA266" i="1"/>
  <c r="AA314" i="1"/>
  <c r="AA350" i="1"/>
  <c r="AA316" i="1"/>
  <c r="AA352" i="1"/>
  <c r="AA365" i="1"/>
  <c r="AA318" i="1"/>
  <c r="AA295" i="1"/>
  <c r="AA355" i="1"/>
  <c r="AA297" i="1"/>
  <c r="AA346" i="1"/>
  <c r="AA13" i="1"/>
  <c r="AA25" i="1"/>
  <c r="AA37" i="1"/>
  <c r="AA49" i="1"/>
  <c r="AA61" i="1"/>
  <c r="AA73" i="1"/>
  <c r="AA85" i="1"/>
  <c r="AA97" i="1"/>
  <c r="AA109" i="1"/>
  <c r="AA121" i="1"/>
  <c r="AA133" i="1"/>
  <c r="AA145" i="1"/>
  <c r="AA157" i="1"/>
  <c r="AA169" i="1"/>
  <c r="AA181" i="1"/>
  <c r="AA193" i="1"/>
  <c r="AA205" i="1"/>
  <c r="AA217" i="1"/>
  <c r="AA229" i="1"/>
  <c r="AA241" i="1"/>
  <c r="AA253" i="1"/>
  <c r="AA265" i="1"/>
  <c r="AA277" i="1"/>
  <c r="AA289" i="1"/>
  <c r="AA301" i="1"/>
  <c r="AA313" i="1"/>
  <c r="AA325" i="1"/>
  <c r="AA337" i="1"/>
  <c r="AA349" i="1"/>
  <c r="AA361" i="1"/>
  <c r="AA242" i="1"/>
  <c r="AA278" i="1"/>
  <c r="AA326" i="1"/>
  <c r="AA362" i="1"/>
  <c r="AA328" i="1"/>
  <c r="AA305" i="1"/>
  <c r="AA353" i="1"/>
  <c r="AA330" i="1"/>
  <c r="AA307" i="1"/>
  <c r="AA296" i="1"/>
  <c r="AA356" i="1"/>
  <c r="AA334" i="1"/>
  <c r="AA14" i="1"/>
  <c r="AA26" i="1"/>
  <c r="AA38" i="1"/>
  <c r="AA50" i="1"/>
  <c r="AA62" i="1"/>
  <c r="AA74" i="1"/>
  <c r="AA86" i="1"/>
  <c r="AA98" i="1"/>
  <c r="AA110" i="1"/>
  <c r="AA122" i="1"/>
  <c r="AA134" i="1"/>
  <c r="AA146" i="1"/>
  <c r="AA158" i="1"/>
  <c r="AA170" i="1"/>
  <c r="AA182" i="1"/>
  <c r="AA194" i="1"/>
  <c r="AA206" i="1"/>
  <c r="AA218" i="1"/>
  <c r="AA230" i="1"/>
  <c r="AA302" i="1"/>
  <c r="AA364" i="1"/>
  <c r="AA306" i="1"/>
  <c r="AA284" i="1"/>
  <c r="AA358" i="1"/>
  <c r="AA15" i="1"/>
  <c r="AA27" i="1"/>
  <c r="AA39" i="1"/>
  <c r="AA51" i="1"/>
  <c r="AA63" i="1"/>
  <c r="AA75" i="1"/>
  <c r="AA87" i="1"/>
  <c r="AA99" i="1"/>
  <c r="AA111" i="1"/>
  <c r="AA123" i="1"/>
  <c r="AA135" i="1"/>
  <c r="AA147" i="1"/>
  <c r="AA159" i="1"/>
  <c r="AA171" i="1"/>
  <c r="AA183" i="1"/>
  <c r="AA195" i="1"/>
  <c r="AA207" i="1"/>
  <c r="AA219" i="1"/>
  <c r="AA231" i="1"/>
  <c r="AA243" i="1"/>
  <c r="AA255" i="1"/>
  <c r="AA267" i="1"/>
  <c r="AA279" i="1"/>
  <c r="AA291" i="1"/>
  <c r="AA303" i="1"/>
  <c r="AA315" i="1"/>
  <c r="AA327" i="1"/>
  <c r="AA339" i="1"/>
  <c r="AA351" i="1"/>
  <c r="AA363" i="1"/>
  <c r="AA232" i="1"/>
  <c r="AA256" i="1"/>
  <c r="AA268" i="1"/>
  <c r="AA304" i="1"/>
  <c r="AA293" i="1"/>
  <c r="AA341" i="1"/>
  <c r="AA342" i="1"/>
  <c r="AA283" i="1"/>
  <c r="AA320" i="1"/>
  <c r="AA309" i="1"/>
  <c r="AA310" i="1"/>
  <c r="AA16" i="1"/>
  <c r="AA28" i="1"/>
  <c r="AA40" i="1"/>
  <c r="AA52" i="1"/>
  <c r="AA64" i="1"/>
  <c r="AA76" i="1"/>
  <c r="AA88" i="1"/>
  <c r="AA100" i="1"/>
  <c r="AA112" i="1"/>
  <c r="AA124" i="1"/>
  <c r="AA136" i="1"/>
  <c r="AA148" i="1"/>
  <c r="AA160" i="1"/>
  <c r="AA172" i="1"/>
  <c r="AA184" i="1"/>
  <c r="AA196" i="1"/>
  <c r="AA208" i="1"/>
  <c r="AA220" i="1"/>
  <c r="AA244" i="1"/>
  <c r="AA280" i="1"/>
  <c r="AA317" i="1"/>
  <c r="AA5" i="1"/>
  <c r="AA17" i="1"/>
  <c r="AA29" i="1"/>
  <c r="AA41" i="1"/>
  <c r="AA53" i="1"/>
  <c r="AA65" i="1"/>
  <c r="AA77" i="1"/>
  <c r="AA89" i="1"/>
  <c r="AA101" i="1"/>
  <c r="AA113" i="1"/>
  <c r="AA125" i="1"/>
  <c r="AA137" i="1"/>
  <c r="AA149" i="1"/>
  <c r="AA161" i="1"/>
  <c r="AA173" i="1"/>
  <c r="AA185" i="1"/>
  <c r="AA197" i="1"/>
  <c r="AA209" i="1"/>
  <c r="AA221" i="1"/>
  <c r="AA233" i="1"/>
  <c r="AA245" i="1"/>
  <c r="AA257" i="1"/>
  <c r="AA269" i="1"/>
  <c r="AA281" i="1"/>
  <c r="AA282" i="1"/>
  <c r="AA331" i="1"/>
  <c r="AA333" i="1"/>
  <c r="AA369" i="1"/>
  <c r="AA371" i="1"/>
  <c r="AA398" i="1"/>
  <c r="AA366" i="1"/>
  <c r="AA377" i="1"/>
  <c r="AA379" i="1"/>
  <c r="AA408" i="1"/>
  <c r="AA374" i="1"/>
  <c r="AA385" i="1"/>
  <c r="AA387" i="1"/>
  <c r="AA373" i="1"/>
  <c r="AA376" i="1"/>
  <c r="AA393" i="1"/>
  <c r="AA395" i="1"/>
  <c r="AA381" i="1"/>
  <c r="AA367" i="1"/>
  <c r="AA401" i="1"/>
  <c r="AA389" i="1"/>
  <c r="AA375" i="1"/>
  <c r="AA409" i="1"/>
  <c r="AA382" i="1"/>
  <c r="AA397" i="1"/>
  <c r="AA383" i="1"/>
  <c r="AA378" i="1"/>
  <c r="AA392" i="1"/>
  <c r="AA405" i="1"/>
  <c r="AA396" i="1"/>
  <c r="AA391" i="1"/>
  <c r="AA386" i="1"/>
  <c r="AA372" i="1"/>
  <c r="AA390" i="1"/>
  <c r="AA410" i="1"/>
  <c r="AA404" i="1"/>
  <c r="AA399" i="1"/>
  <c r="AA394" i="1"/>
  <c r="AA380" i="1"/>
  <c r="AA400" i="1"/>
  <c r="AA406" i="1"/>
  <c r="AA407" i="1"/>
  <c r="AA402" i="1"/>
  <c r="AA388" i="1"/>
  <c r="AA384" i="1"/>
  <c r="AA368" i="1"/>
  <c r="AC388" i="1"/>
  <c r="AC404" i="1"/>
  <c r="AC358" i="1"/>
  <c r="AC362" i="1"/>
  <c r="AC384" i="1"/>
  <c r="AC357" i="1"/>
  <c r="AC372" i="1"/>
  <c r="AC354" i="1"/>
  <c r="AC376" i="1"/>
  <c r="AC364" i="1"/>
  <c r="AC396" i="1"/>
  <c r="AC395" i="1"/>
  <c r="AC368" i="1"/>
  <c r="AC410" i="1"/>
  <c r="AC365" i="1"/>
  <c r="AC387" i="1"/>
  <c r="AC393" i="1"/>
  <c r="AC360" i="1"/>
  <c r="AC409" i="1"/>
  <c r="AC351" i="1"/>
  <c r="AC379" i="1"/>
  <c r="AC385" i="1"/>
  <c r="AC352" i="1"/>
  <c r="AC397" i="1"/>
  <c r="AC389" i="1"/>
  <c r="AC371" i="1"/>
  <c r="AC377" i="1"/>
  <c r="AC399" i="1"/>
  <c r="AC369" i="1"/>
  <c r="AC392" i="1"/>
  <c r="AC381" i="1"/>
  <c r="AC406" i="1"/>
  <c r="AC363" i="1"/>
  <c r="AC391" i="1"/>
  <c r="AC380" i="1"/>
  <c r="AC398" i="1"/>
  <c r="AC355" i="1"/>
  <c r="AC361" i="1"/>
  <c r="AC383" i="1"/>
  <c r="AC386" i="1"/>
  <c r="AC366" i="1"/>
  <c r="AC405" i="1"/>
  <c r="AC390" i="1"/>
  <c r="AC402" i="1"/>
  <c r="AC353" i="1"/>
  <c r="AC375" i="1"/>
  <c r="AC400" i="1"/>
  <c r="AC378" i="1"/>
  <c r="AC373" i="1"/>
  <c r="AC382" i="1"/>
  <c r="AC394" i="1"/>
  <c r="AC408" i="1"/>
  <c r="AC367" i="1"/>
  <c r="AC407" i="1"/>
  <c r="AC356" i="1"/>
  <c r="AC374" i="1"/>
  <c r="AC359" i="1"/>
  <c r="AC18" i="1"/>
  <c r="AD24" i="1"/>
  <c r="AD29" i="1"/>
  <c r="AD229" i="1"/>
  <c r="AC240" i="1"/>
  <c r="AD258" i="1"/>
  <c r="AD23" i="1"/>
  <c r="AD34" i="1"/>
  <c r="AD18" i="1"/>
  <c r="AD28" i="1"/>
  <c r="AD33" i="1"/>
  <c r="AD39" i="1"/>
  <c r="AD47" i="1"/>
  <c r="AC224" i="1"/>
  <c r="AD237" i="1"/>
  <c r="AD253" i="1"/>
  <c r="AD291" i="1"/>
  <c r="AD27" i="1"/>
  <c r="AD132" i="1"/>
  <c r="AD216" i="1"/>
  <c r="AD285" i="1"/>
  <c r="AD22" i="1"/>
  <c r="AD21" i="1"/>
  <c r="AD32" i="1"/>
  <c r="AD38" i="1"/>
  <c r="AC145" i="1"/>
  <c r="AD221" i="1"/>
  <c r="AD20" i="1"/>
  <c r="AD25" i="1"/>
  <c r="AD42" i="1"/>
  <c r="AD96" i="1"/>
  <c r="AD26" i="1"/>
  <c r="AD31" i="1"/>
  <c r="AD37" i="1"/>
  <c r="AC99" i="1"/>
  <c r="AD181" i="1"/>
  <c r="AC232" i="1"/>
  <c r="AD245" i="1"/>
  <c r="AD19" i="1"/>
  <c r="AD30" i="1"/>
  <c r="AD35" i="1"/>
  <c r="AD36" i="1"/>
  <c r="AD41" i="1"/>
  <c r="AC256" i="1"/>
  <c r="AD40" i="1"/>
  <c r="AD48" i="1"/>
  <c r="AD72" i="1"/>
  <c r="AD342" i="1"/>
  <c r="AD332" i="1"/>
  <c r="AD361" i="1"/>
  <c r="AD356" i="1"/>
  <c r="AD340" i="1"/>
  <c r="AD391" i="1"/>
  <c r="AD368" i="1"/>
  <c r="AD374" i="1"/>
  <c r="AD399" i="1"/>
  <c r="AD408" i="1"/>
  <c r="AD385" i="1"/>
  <c r="AD324" i="1"/>
  <c r="AD401" i="1"/>
  <c r="AC269" i="1"/>
  <c r="AC306" i="1"/>
  <c r="AC322" i="1"/>
  <c r="AC338" i="1"/>
  <c r="AC276" i="1"/>
  <c r="AD298" i="1"/>
  <c r="AD314" i="1"/>
  <c r="AC267" i="1"/>
  <c r="AC297" i="1"/>
  <c r="AC315" i="1"/>
  <c r="AC331" i="1"/>
  <c r="AD293" i="1"/>
  <c r="AD309" i="1"/>
  <c r="AC285" i="1"/>
  <c r="AD157" i="1"/>
  <c r="AD202" i="1"/>
  <c r="AC210" i="1"/>
  <c r="AD248" i="1"/>
  <c r="AC218" i="1"/>
  <c r="AD251" i="1"/>
  <c r="AD276" i="1"/>
  <c r="AD218" i="1"/>
  <c r="AD246" i="1"/>
  <c r="AD225" i="1"/>
  <c r="AD257" i="1"/>
  <c r="AD228" i="1"/>
  <c r="AD260" i="1"/>
  <c r="AC281" i="1"/>
  <c r="AC242" i="1"/>
  <c r="AD273" i="1"/>
  <c r="AD226" i="1"/>
  <c r="AD154" i="1"/>
  <c r="AC173" i="1"/>
  <c r="AC189" i="1"/>
  <c r="AC205" i="1"/>
  <c r="AC147" i="1"/>
  <c r="AD171" i="1"/>
  <c r="AD155" i="1"/>
  <c r="AD140" i="1"/>
  <c r="AC143" i="1"/>
  <c r="AC176" i="1"/>
  <c r="AC194" i="1"/>
  <c r="AC157" i="1"/>
  <c r="AD174" i="1"/>
  <c r="AD190" i="1"/>
  <c r="AC104" i="1"/>
  <c r="AC120" i="1"/>
  <c r="AC136" i="1"/>
  <c r="AC152" i="1"/>
  <c r="AD66" i="1"/>
  <c r="AC97" i="1"/>
  <c r="AD116" i="1"/>
  <c r="AC76" i="1"/>
  <c r="AD68" i="1"/>
  <c r="AD53" i="1"/>
  <c r="AC103" i="1"/>
  <c r="AC119" i="1"/>
  <c r="AC137" i="1"/>
  <c r="AD79" i="1"/>
  <c r="AD105" i="1"/>
  <c r="AD121" i="1"/>
  <c r="AC58" i="1"/>
  <c r="AD333" i="1"/>
  <c r="AD396" i="1"/>
  <c r="AD394" i="1"/>
  <c r="AD364" i="1"/>
  <c r="AC349" i="1"/>
  <c r="AD338" i="1"/>
  <c r="AD365" i="1"/>
  <c r="AD393" i="1"/>
  <c r="AD379" i="1"/>
  <c r="AD402" i="1"/>
  <c r="AD410" i="1"/>
  <c r="AC289" i="1"/>
  <c r="AC308" i="1"/>
  <c r="AC324" i="1"/>
  <c r="AC340" i="1"/>
  <c r="AC280" i="1"/>
  <c r="AD300" i="1"/>
  <c r="AD316" i="1"/>
  <c r="AD283" i="1"/>
  <c r="AC299" i="1"/>
  <c r="AC317" i="1"/>
  <c r="AC333" i="1"/>
  <c r="AD295" i="1"/>
  <c r="AD311" i="1"/>
  <c r="AD288" i="1"/>
  <c r="AD195" i="1"/>
  <c r="AD203" i="1"/>
  <c r="AD217" i="1"/>
  <c r="AC251" i="1"/>
  <c r="AC222" i="1"/>
  <c r="AC254" i="1"/>
  <c r="AD278" i="1"/>
  <c r="AD219" i="1"/>
  <c r="AC249" i="1"/>
  <c r="AC228" i="1"/>
  <c r="AC260" i="1"/>
  <c r="AC231" i="1"/>
  <c r="AC263" i="1"/>
  <c r="AD214" i="1"/>
  <c r="AD247" i="1"/>
  <c r="AD275" i="1"/>
  <c r="AC229" i="1"/>
  <c r="AD185" i="1"/>
  <c r="AD158" i="1"/>
  <c r="AC175" i="1"/>
  <c r="AC191" i="1"/>
  <c r="AC207" i="1"/>
  <c r="AC151" i="1"/>
  <c r="AD173" i="1"/>
  <c r="AC159" i="1"/>
  <c r="AD141" i="1"/>
  <c r="AC162" i="1"/>
  <c r="AC178" i="1"/>
  <c r="AC20" i="1"/>
  <c r="AD323" i="1"/>
  <c r="AD341" i="1"/>
  <c r="AD339" i="1"/>
  <c r="AD378" i="1"/>
  <c r="AD336" i="1"/>
  <c r="AD376" i="1"/>
  <c r="AD334" i="1"/>
  <c r="AD404" i="1"/>
  <c r="AD377" i="1"/>
  <c r="AC294" i="1"/>
  <c r="AC310" i="1"/>
  <c r="AC326" i="1"/>
  <c r="AC342" i="1"/>
  <c r="AC282" i="1"/>
  <c r="AD302" i="1"/>
  <c r="AD318" i="1"/>
  <c r="AD287" i="1"/>
  <c r="AC301" i="1"/>
  <c r="AC319" i="1"/>
  <c r="AC335" i="1"/>
  <c r="AD297" i="1"/>
  <c r="AD313" i="1"/>
  <c r="AC291" i="1"/>
  <c r="AD196" i="1"/>
  <c r="AD204" i="1"/>
  <c r="AD224" i="1"/>
  <c r="AD256" i="1"/>
  <c r="AD227" i="1"/>
  <c r="AD259" i="1"/>
  <c r="AD280" i="1"/>
  <c r="AD222" i="1"/>
  <c r="AD254" i="1"/>
  <c r="AD233" i="1"/>
  <c r="AD265" i="1"/>
  <c r="AD236" i="1"/>
  <c r="AD268" i="1"/>
  <c r="AD215" i="1"/>
  <c r="AC250" i="1"/>
  <c r="AD277" i="1"/>
  <c r="AD234" i="1"/>
  <c r="AC161" i="1"/>
  <c r="AC177" i="1"/>
  <c r="AC193" i="1"/>
  <c r="AC209" i="1"/>
  <c r="AC155" i="1"/>
  <c r="AD175" i="1"/>
  <c r="AD127" i="1"/>
  <c r="AD142" i="1"/>
  <c r="AC164" i="1"/>
  <c r="AC180" i="1"/>
  <c r="AC198" i="1"/>
  <c r="AD162" i="1"/>
  <c r="AD178" i="1"/>
  <c r="AD194" i="1"/>
  <c r="AD143" i="1"/>
  <c r="AC74" i="1"/>
  <c r="AC108" i="1"/>
  <c r="AC124" i="1"/>
  <c r="AC140" i="1"/>
  <c r="AC158" i="1"/>
  <c r="AD74" i="1"/>
  <c r="AD104" i="1"/>
  <c r="AD120" i="1"/>
  <c r="AD89" i="1"/>
  <c r="AD76" i="1"/>
  <c r="AC70" i="1"/>
  <c r="AC107" i="1"/>
  <c r="AC123" i="1"/>
  <c r="AC141" i="1"/>
  <c r="AD87" i="1"/>
  <c r="AD109" i="1"/>
  <c r="AD93" i="1"/>
  <c r="AC91" i="1"/>
  <c r="AC80" i="1"/>
  <c r="AC60" i="1"/>
  <c r="AC345" i="1"/>
  <c r="AD346" i="1"/>
  <c r="AD343" i="1"/>
  <c r="AD372" i="1"/>
  <c r="AD349" i="1"/>
  <c r="AD373" i="1"/>
  <c r="AD351" i="1"/>
  <c r="AD387" i="1"/>
  <c r="AD353" i="1"/>
  <c r="AD392" i="1"/>
  <c r="AD369" i="1"/>
  <c r="AD398" i="1"/>
  <c r="AD335" i="1"/>
  <c r="AC296" i="1"/>
  <c r="AC312" i="1"/>
  <c r="AC328" i="1"/>
  <c r="AC344" i="1"/>
  <c r="AC286" i="1"/>
  <c r="AD304" i="1"/>
  <c r="AC283" i="1"/>
  <c r="AC290" i="1"/>
  <c r="AC303" i="1"/>
  <c r="AC321" i="1"/>
  <c r="AC337" i="1"/>
  <c r="AD299" i="1"/>
  <c r="AD315" i="1"/>
  <c r="AD395" i="1"/>
  <c r="AD388" i="1"/>
  <c r="AD347" i="1"/>
  <c r="AD380" i="1"/>
  <c r="AD375" i="1"/>
  <c r="AD357" i="1"/>
  <c r="AD329" i="1"/>
  <c r="AD381" i="1"/>
  <c r="AD359" i="1"/>
  <c r="AC300" i="1"/>
  <c r="AC316" i="1"/>
  <c r="AC332" i="1"/>
  <c r="AC348" i="1"/>
  <c r="AD270" i="1"/>
  <c r="AC292" i="1"/>
  <c r="AD308" i="1"/>
  <c r="AD292" i="1"/>
  <c r="AD290" i="1"/>
  <c r="AC307" i="1"/>
  <c r="AC325" i="1"/>
  <c r="AC261" i="1"/>
  <c r="AD303" i="1"/>
  <c r="AD319" i="1"/>
  <c r="AD320" i="1"/>
  <c r="AD330" i="1"/>
  <c r="AD199" i="1"/>
  <c r="AD207" i="1"/>
  <c r="AC235" i="1"/>
  <c r="AD193" i="1"/>
  <c r="AC238" i="1"/>
  <c r="AC270" i="1"/>
  <c r="AD286" i="1"/>
  <c r="AC233" i="1"/>
  <c r="AD212" i="1"/>
  <c r="AC244" i="1"/>
  <c r="AC214" i="1"/>
  <c r="AC247" i="1"/>
  <c r="AC275" i="1"/>
  <c r="AD231" i="1"/>
  <c r="AD263" i="1"/>
  <c r="AD183" i="1"/>
  <c r="AC245" i="1"/>
  <c r="AC167" i="1"/>
  <c r="AC183" i="1"/>
  <c r="AC199" i="1"/>
  <c r="AC215" i="1"/>
  <c r="AD165" i="1"/>
  <c r="AD128" i="1"/>
  <c r="AD137" i="1"/>
  <c r="AD156" i="1"/>
  <c r="AC170" i="1"/>
  <c r="AC188" i="1"/>
  <c r="AC204" i="1"/>
  <c r="AD168" i="1"/>
  <c r="AD184" i="1"/>
  <c r="AC153" i="1"/>
  <c r="AD125" i="1"/>
  <c r="AC94" i="1"/>
  <c r="AC114" i="1"/>
  <c r="AC130" i="1"/>
  <c r="AC146" i="1"/>
  <c r="AD60" i="1"/>
  <c r="AD83" i="1"/>
  <c r="AD110" i="1"/>
  <c r="AD57" i="1"/>
  <c r="AC100" i="1"/>
  <c r="AD85" i="1"/>
  <c r="AC90" i="1"/>
  <c r="AC113" i="1"/>
  <c r="AC131" i="1"/>
  <c r="AD70" i="1"/>
  <c r="AD98" i="1"/>
  <c r="AD115" i="1"/>
  <c r="AD43" i="1"/>
  <c r="AC75" i="1"/>
  <c r="AC59" i="1"/>
  <c r="AC43" i="1"/>
  <c r="AD149" i="1"/>
  <c r="AD325" i="1"/>
  <c r="AD400" i="1"/>
  <c r="AD348" i="1"/>
  <c r="AD355" i="1"/>
  <c r="AD358" i="1"/>
  <c r="AD352" i="1"/>
  <c r="AC318" i="1"/>
  <c r="AD269" i="1"/>
  <c r="AD312" i="1"/>
  <c r="AC311" i="1"/>
  <c r="AD301" i="1"/>
  <c r="AD153" i="1"/>
  <c r="AD209" i="1"/>
  <c r="AD211" i="1"/>
  <c r="AD274" i="1"/>
  <c r="AC241" i="1"/>
  <c r="AC252" i="1"/>
  <c r="AC255" i="1"/>
  <c r="AD239" i="1"/>
  <c r="AC221" i="1"/>
  <c r="AD344" i="1"/>
  <c r="AD362" i="1"/>
  <c r="AD360" i="1"/>
  <c r="AD354" i="1"/>
  <c r="AD407" i="1"/>
  <c r="AC347" i="1"/>
  <c r="AC320" i="1"/>
  <c r="AC272" i="1"/>
  <c r="AC287" i="1"/>
  <c r="AC313" i="1"/>
  <c r="AD305" i="1"/>
  <c r="AD197" i="1"/>
  <c r="AC227" i="1"/>
  <c r="AC230" i="1"/>
  <c r="AD282" i="1"/>
  <c r="AC257" i="1"/>
  <c r="AC268" i="1"/>
  <c r="AC271" i="1"/>
  <c r="AD255" i="1"/>
  <c r="AC237" i="1"/>
  <c r="AC181" i="1"/>
  <c r="AC213" i="1"/>
  <c r="AD179" i="1"/>
  <c r="AD152" i="1"/>
  <c r="AC184" i="1"/>
  <c r="AD160" i="1"/>
  <c r="AD186" i="1"/>
  <c r="AD144" i="1"/>
  <c r="AD91" i="1"/>
  <c r="AC122" i="1"/>
  <c r="AC148" i="1"/>
  <c r="AD75" i="1"/>
  <c r="AD114" i="1"/>
  <c r="AD97" i="1"/>
  <c r="AD54" i="1"/>
  <c r="AC115" i="1"/>
  <c r="AD51" i="1"/>
  <c r="AD103" i="1"/>
  <c r="AD101" i="1"/>
  <c r="AC54" i="1"/>
  <c r="AC67" i="1"/>
  <c r="AC49" i="1"/>
  <c r="AC31" i="1"/>
  <c r="AC42" i="1"/>
  <c r="AC24" i="1"/>
  <c r="AD164" i="1"/>
  <c r="AC126" i="1"/>
  <c r="AD118" i="1"/>
  <c r="AC78" i="1"/>
  <c r="AC117" i="1"/>
  <c r="AD107" i="1"/>
  <c r="AD50" i="1"/>
  <c r="AC65" i="1"/>
  <c r="AC47" i="1"/>
  <c r="AD331" i="1"/>
  <c r="AD337" i="1"/>
  <c r="AD384" i="1"/>
  <c r="AD403" i="1"/>
  <c r="AD406" i="1"/>
  <c r="AD409" i="1"/>
  <c r="AC334" i="1"/>
  <c r="AD289" i="1"/>
  <c r="AD266" i="1"/>
  <c r="AC327" i="1"/>
  <c r="AD317" i="1"/>
  <c r="AD200" i="1"/>
  <c r="AD243" i="1"/>
  <c r="AD213" i="1"/>
  <c r="AD220" i="1"/>
  <c r="AC266" i="1"/>
  <c r="AC187" i="1"/>
  <c r="AD151" i="1"/>
  <c r="AC192" i="1"/>
  <c r="AD192" i="1"/>
  <c r="AC102" i="1"/>
  <c r="AC154" i="1"/>
  <c r="AD122" i="1"/>
  <c r="AC86" i="1"/>
  <c r="AD386" i="1"/>
  <c r="AD366" i="1"/>
  <c r="AD326" i="1"/>
  <c r="AC330" i="1"/>
  <c r="AC274" i="1"/>
  <c r="AC265" i="1"/>
  <c r="AC323" i="1"/>
  <c r="AD307" i="1"/>
  <c r="AD198" i="1"/>
  <c r="AD232" i="1"/>
  <c r="AD235" i="1"/>
  <c r="AD284" i="1"/>
  <c r="AD189" i="1"/>
  <c r="AD187" i="1"/>
  <c r="AC273" i="1"/>
  <c r="AC258" i="1"/>
  <c r="AD242" i="1"/>
  <c r="AC185" i="1"/>
  <c r="AC219" i="1"/>
  <c r="AD147" i="1"/>
  <c r="AD159" i="1"/>
  <c r="AC190" i="1"/>
  <c r="AD188" i="1"/>
  <c r="AD133" i="1"/>
  <c r="AD99" i="1"/>
  <c r="AC150" i="1"/>
  <c r="AD82" i="1"/>
  <c r="AD55" i="1"/>
  <c r="AD52" i="1"/>
  <c r="AC66" i="1"/>
  <c r="AC83" i="1"/>
  <c r="AC29" i="1"/>
  <c r="AC40" i="1"/>
  <c r="AC22" i="1"/>
  <c r="AD240" i="1"/>
  <c r="AD191" i="1"/>
  <c r="AC277" i="1"/>
  <c r="AD250" i="1"/>
  <c r="AD129" i="1"/>
  <c r="AD134" i="1"/>
  <c r="AD166" i="1"/>
  <c r="AC128" i="1"/>
  <c r="AC89" i="1"/>
  <c r="AD56" i="1"/>
  <c r="AC121" i="1"/>
  <c r="AD321" i="1"/>
  <c r="AD367" i="1"/>
  <c r="AC298" i="1"/>
  <c r="AC336" i="1"/>
  <c r="AD294" i="1"/>
  <c r="AC264" i="1"/>
  <c r="AC329" i="1"/>
  <c r="AD261" i="1"/>
  <c r="AD201" i="1"/>
  <c r="AC243" i="1"/>
  <c r="AC246" i="1"/>
  <c r="AC212" i="1"/>
  <c r="AC220" i="1"/>
  <c r="AC223" i="1"/>
  <c r="AC279" i="1"/>
  <c r="AD271" i="1"/>
  <c r="AC253" i="1"/>
  <c r="AC163" i="1"/>
  <c r="AC195" i="1"/>
  <c r="AD161" i="1"/>
  <c r="AD135" i="1"/>
  <c r="AC166" i="1"/>
  <c r="AC196" i="1"/>
  <c r="AD170" i="1"/>
  <c r="AC106" i="1"/>
  <c r="AC132" i="1"/>
  <c r="AC160" i="1"/>
  <c r="AD94" i="1"/>
  <c r="AD124" i="1"/>
  <c r="AD69" i="1"/>
  <c r="AD95" i="1"/>
  <c r="AC127" i="1"/>
  <c r="AD78" i="1"/>
  <c r="AD113" i="1"/>
  <c r="AD130" i="1"/>
  <c r="AD145" i="1"/>
  <c r="AC88" i="1"/>
  <c r="AC62" i="1"/>
  <c r="AC85" i="1"/>
  <c r="AC56" i="1"/>
  <c r="AD62" i="1"/>
  <c r="AC79" i="1"/>
  <c r="AC61" i="1"/>
  <c r="AC41" i="1"/>
  <c r="AC25" i="1"/>
  <c r="AC34" i="1"/>
  <c r="AC32" i="1"/>
  <c r="AD345" i="1"/>
  <c r="AD383" i="1"/>
  <c r="AD382" i="1"/>
  <c r="AD397" i="1"/>
  <c r="AC350" i="1"/>
  <c r="AC295" i="1"/>
  <c r="AD206" i="1"/>
  <c r="AD267" i="1"/>
  <c r="AD241" i="1"/>
  <c r="AD281" i="1"/>
  <c r="AC169" i="1"/>
  <c r="AD167" i="1"/>
  <c r="AC172" i="1"/>
  <c r="AD176" i="1"/>
  <c r="AC138" i="1"/>
  <c r="AD106" i="1"/>
  <c r="AD84" i="1"/>
  <c r="AC133" i="1"/>
  <c r="AD119" i="1"/>
  <c r="AC72" i="1"/>
  <c r="AD44" i="1"/>
  <c r="AC55" i="1"/>
  <c r="AC21" i="1"/>
  <c r="AC30" i="1"/>
  <c r="AD389" i="1"/>
  <c r="AD390" i="1"/>
  <c r="AC305" i="1"/>
  <c r="AD328" i="1"/>
  <c r="AD208" i="1"/>
  <c r="AD272" i="1"/>
  <c r="AD249" i="1"/>
  <c r="AC234" i="1"/>
  <c r="AC343" i="1"/>
  <c r="AD371" i="1"/>
  <c r="AD405" i="1"/>
  <c r="AD363" i="1"/>
  <c r="AC302" i="1"/>
  <c r="AC346" i="1"/>
  <c r="AD296" i="1"/>
  <c r="AC293" i="1"/>
  <c r="AC341" i="1"/>
  <c r="AD262" i="1"/>
  <c r="AD205" i="1"/>
  <c r="AC259" i="1"/>
  <c r="AC262" i="1"/>
  <c r="AC225" i="1"/>
  <c r="AC236" i="1"/>
  <c r="AC239" i="1"/>
  <c r="AD223" i="1"/>
  <c r="AD279" i="1"/>
  <c r="AC165" i="1"/>
  <c r="AC197" i="1"/>
  <c r="AD163" i="1"/>
  <c r="AD136" i="1"/>
  <c r="AC168" i="1"/>
  <c r="AC200" i="1"/>
  <c r="AD172" i="1"/>
  <c r="AD81" i="1"/>
  <c r="AC110" i="1"/>
  <c r="AC134" i="1"/>
  <c r="AD59" i="1"/>
  <c r="AD102" i="1"/>
  <c r="AD58" i="1"/>
  <c r="AD77" i="1"/>
  <c r="AC98" i="1"/>
  <c r="AC129" i="1"/>
  <c r="AD86" i="1"/>
  <c r="AD117" i="1"/>
  <c r="AD131" i="1"/>
  <c r="AD61" i="1"/>
  <c r="AC77" i="1"/>
  <c r="AC57" i="1"/>
  <c r="AC39" i="1"/>
  <c r="AC23" i="1"/>
  <c r="AC50" i="1"/>
  <c r="AD327" i="1"/>
  <c r="AC304" i="1"/>
  <c r="AD306" i="1"/>
  <c r="AC284" i="1"/>
  <c r="AD264" i="1"/>
  <c r="AD230" i="1"/>
  <c r="AD244" i="1"/>
  <c r="AC226" i="1"/>
  <c r="AC201" i="1"/>
  <c r="AD138" i="1"/>
  <c r="AC202" i="1"/>
  <c r="AC112" i="1"/>
  <c r="AD64" i="1"/>
  <c r="AC68" i="1"/>
  <c r="AC105" i="1"/>
  <c r="AD90" i="1"/>
  <c r="AC52" i="1"/>
  <c r="AC73" i="1"/>
  <c r="AC37" i="1"/>
  <c r="AC48" i="1"/>
  <c r="AD350" i="1"/>
  <c r="AC314" i="1"/>
  <c r="AD310" i="1"/>
  <c r="AC288" i="1"/>
  <c r="AD322" i="1"/>
  <c r="AD210" i="1"/>
  <c r="AD238" i="1"/>
  <c r="AD252" i="1"/>
  <c r="AC216" i="1"/>
  <c r="AD139" i="1"/>
  <c r="AD73" i="1"/>
  <c r="AD108" i="1"/>
  <c r="AC135" i="1"/>
  <c r="AD146" i="1"/>
  <c r="AD45" i="1"/>
  <c r="AC35" i="1"/>
  <c r="AC171" i="1"/>
  <c r="AC174" i="1"/>
  <c r="AC116" i="1"/>
  <c r="AC84" i="1"/>
  <c r="AD71" i="1"/>
  <c r="AD88" i="1"/>
  <c r="AC27" i="1"/>
  <c r="AC44" i="1"/>
  <c r="AC149" i="1"/>
  <c r="AC118" i="1"/>
  <c r="AD80" i="1"/>
  <c r="AC38" i="1"/>
  <c r="AD148" i="1"/>
  <c r="AC82" i="1"/>
  <c r="AD112" i="1"/>
  <c r="AC139" i="1"/>
  <c r="AD126" i="1"/>
  <c r="AC81" i="1"/>
  <c r="AC33" i="1"/>
  <c r="AC46" i="1"/>
  <c r="AC71" i="1"/>
  <c r="AC203" i="1"/>
  <c r="AC206" i="1"/>
  <c r="AC142" i="1"/>
  <c r="AD92" i="1"/>
  <c r="AC101" i="1"/>
  <c r="AD49" i="1"/>
  <c r="AC63" i="1"/>
  <c r="AC28" i="1"/>
  <c r="AC53" i="1"/>
  <c r="AD150" i="1"/>
  <c r="AD180" i="1"/>
  <c r="AC109" i="1"/>
  <c r="AC51" i="1"/>
  <c r="AD182" i="1"/>
  <c r="AC111" i="1"/>
  <c r="AC87" i="1"/>
  <c r="AC45" i="1"/>
  <c r="AC179" i="1"/>
  <c r="AC92" i="1"/>
  <c r="AC69" i="1"/>
  <c r="AC211" i="1"/>
  <c r="AC208" i="1"/>
  <c r="AC144" i="1"/>
  <c r="AD100" i="1"/>
  <c r="AD111" i="1"/>
  <c r="AD63" i="1"/>
  <c r="AC26" i="1"/>
  <c r="AD169" i="1"/>
  <c r="AD65" i="1"/>
  <c r="AD123" i="1"/>
  <c r="AD177" i="1"/>
  <c r="AD67" i="1"/>
  <c r="AC96" i="1"/>
  <c r="AD46" i="1"/>
  <c r="AC182" i="1"/>
  <c r="AC93" i="1"/>
  <c r="AC19" i="1"/>
  <c r="AC6" i="1"/>
  <c r="AC7" i="1"/>
  <c r="AD7" i="1"/>
  <c r="AC8" i="1"/>
  <c r="AD8" i="1"/>
  <c r="AC10" i="1"/>
  <c r="AD10" i="1"/>
  <c r="AC12" i="1"/>
  <c r="AD12" i="1"/>
  <c r="AC14" i="1"/>
  <c r="AD14" i="1"/>
  <c r="AC16" i="1"/>
  <c r="AD16" i="1"/>
  <c r="AD6" i="1"/>
  <c r="AD5" i="1"/>
  <c r="Z7" i="1"/>
  <c r="Z9" i="1"/>
  <c r="Z6" i="1"/>
  <c r="AC17" i="1"/>
  <c r="AC9" i="1"/>
  <c r="Z8" i="1"/>
  <c r="Z10" i="1"/>
  <c r="Z12" i="1"/>
  <c r="Z14" i="1"/>
  <c r="Z16" i="1"/>
  <c r="Z11" i="1"/>
  <c r="Z15" i="1"/>
  <c r="Z17" i="1"/>
  <c r="Z13" i="1"/>
  <c r="AD17" i="1"/>
  <c r="AD15" i="1"/>
  <c r="AD13" i="1"/>
  <c r="AD11" i="1"/>
  <c r="AD9" i="1"/>
  <c r="AC15" i="1"/>
  <c r="AC13" i="1"/>
  <c r="AC11" i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AC5" i="1"/>
  <c r="V163" i="1"/>
  <c r="K13" i="6" l="1"/>
  <c r="M12" i="6"/>
  <c r="U310" i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V162" i="1"/>
  <c r="K14" i="6" l="1"/>
  <c r="M13" i="6"/>
  <c r="V161" i="1"/>
  <c r="K15" i="6" l="1"/>
  <c r="M14" i="6"/>
  <c r="V160" i="1"/>
  <c r="V159" i="1"/>
  <c r="V158" i="1"/>
  <c r="K16" i="6" l="1"/>
  <c r="M15" i="6"/>
  <c r="V157" i="1"/>
  <c r="M16" i="6" l="1"/>
  <c r="K17" i="6"/>
  <c r="V156" i="1"/>
  <c r="K18" i="6" l="1"/>
  <c r="M17" i="6"/>
  <c r="V155" i="1"/>
  <c r="K19" i="6" l="1"/>
  <c r="M18" i="6"/>
  <c r="V154" i="1"/>
  <c r="K20" i="6" l="1"/>
  <c r="M19" i="6"/>
  <c r="V153" i="1"/>
  <c r="V152" i="1"/>
  <c r="V151" i="1"/>
  <c r="K21" i="6" l="1"/>
  <c r="M20" i="6"/>
  <c r="V150" i="1"/>
  <c r="K22" i="6" l="1"/>
  <c r="M21" i="6"/>
  <c r="V149" i="1"/>
  <c r="M22" i="6" l="1"/>
  <c r="K23" i="6"/>
  <c r="V148" i="1"/>
  <c r="K24" i="6" l="1"/>
  <c r="M23" i="6"/>
  <c r="V147" i="1"/>
  <c r="K25" i="6" l="1"/>
  <c r="M24" i="6"/>
  <c r="V146" i="1"/>
  <c r="V145" i="1"/>
  <c r="V144" i="1"/>
  <c r="K26" i="6" l="1"/>
  <c r="M25" i="6"/>
  <c r="V143" i="1"/>
  <c r="K27" i="6" l="1"/>
  <c r="M26" i="6"/>
  <c r="V142" i="1"/>
  <c r="K28" i="6" l="1"/>
  <c r="M27" i="6"/>
  <c r="V141" i="1"/>
  <c r="K29" i="6" l="1"/>
  <c r="M28" i="6"/>
  <c r="V140" i="1"/>
  <c r="K30" i="6" l="1"/>
  <c r="M29" i="6"/>
  <c r="V139" i="1"/>
  <c r="V138" i="1"/>
  <c r="V137" i="1"/>
  <c r="K31" i="6" l="1"/>
  <c r="M30" i="6"/>
  <c r="V136" i="1"/>
  <c r="K32" i="6" l="1"/>
  <c r="M31" i="6"/>
  <c r="V135" i="1"/>
  <c r="K33" i="6" l="1"/>
  <c r="M32" i="6"/>
  <c r="V134" i="1"/>
  <c r="K34" i="6" l="1"/>
  <c r="N5" i="6" s="1"/>
  <c r="M33" i="6"/>
  <c r="V133" i="1"/>
  <c r="N6" i="6" l="1"/>
  <c r="P5" i="6"/>
  <c r="M34" i="6"/>
  <c r="V132" i="1"/>
  <c r="N7" i="6" l="1"/>
  <c r="P6" i="6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W36" i="1" s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N8" i="6" l="1"/>
  <c r="P7" i="6"/>
  <c r="W37" i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126" i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65" i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N9" i="6" l="1"/>
  <c r="P8" i="6"/>
  <c r="N10" i="6" l="1"/>
  <c r="P9" i="6"/>
  <c r="N11" i="6" l="1"/>
  <c r="P10" i="6"/>
  <c r="N12" i="6" l="1"/>
  <c r="P11" i="6"/>
  <c r="N13" i="6" l="1"/>
  <c r="P12" i="6"/>
  <c r="P13" i="6" l="1"/>
  <c r="N14" i="6"/>
  <c r="N15" i="6" l="1"/>
  <c r="P14" i="6"/>
  <c r="N16" i="6" l="1"/>
  <c r="P15" i="6"/>
  <c r="N17" i="6" l="1"/>
  <c r="P16" i="6"/>
  <c r="N18" i="6" l="1"/>
  <c r="P17" i="6"/>
  <c r="N19" i="6" l="1"/>
  <c r="P18" i="6"/>
  <c r="N20" i="6" l="1"/>
  <c r="P19" i="6"/>
  <c r="N21" i="6" l="1"/>
  <c r="P20" i="6"/>
  <c r="N22" i="6" l="1"/>
  <c r="P21" i="6"/>
  <c r="N23" i="6" l="1"/>
  <c r="P22" i="6"/>
  <c r="N24" i="6" l="1"/>
  <c r="P23" i="6"/>
  <c r="N25" i="6" l="1"/>
  <c r="P24" i="6"/>
  <c r="P25" i="6" l="1"/>
  <c r="N26" i="6"/>
  <c r="N27" i="6" l="1"/>
  <c r="P26" i="6"/>
  <c r="N28" i="6" l="1"/>
  <c r="P27" i="6"/>
  <c r="N29" i="6" l="1"/>
  <c r="P28" i="6"/>
  <c r="N30" i="6" l="1"/>
  <c r="P29" i="6"/>
  <c r="N31" i="6" l="1"/>
  <c r="P30" i="6"/>
  <c r="N32" i="6" l="1"/>
  <c r="P31" i="6"/>
  <c r="P32" i="6" l="1"/>
  <c r="N33" i="6"/>
  <c r="P33" i="6" l="1"/>
  <c r="N34" i="6"/>
  <c r="N35" i="6" l="1"/>
  <c r="P34" i="6"/>
  <c r="P35" i="6" l="1"/>
  <c r="Q5" i="6"/>
  <c r="Q6" i="6" l="1"/>
  <c r="S5" i="6"/>
  <c r="Q7" i="6" l="1"/>
  <c r="S6" i="6"/>
  <c r="Q8" i="6" l="1"/>
  <c r="S7" i="6"/>
  <c r="Q9" i="6" l="1"/>
  <c r="S8" i="6"/>
  <c r="Q10" i="6" l="1"/>
  <c r="S9" i="6"/>
  <c r="Q11" i="6" l="1"/>
  <c r="S10" i="6"/>
  <c r="Q12" i="6" l="1"/>
  <c r="S11" i="6"/>
  <c r="Q13" i="6" l="1"/>
  <c r="S12" i="6"/>
  <c r="Q14" i="6" l="1"/>
  <c r="S13" i="6"/>
  <c r="Q15" i="6" l="1"/>
  <c r="S14" i="6"/>
  <c r="Q16" i="6" l="1"/>
  <c r="S15" i="6"/>
  <c r="Q17" i="6" l="1"/>
  <c r="S16" i="6"/>
  <c r="Q18" i="6" l="1"/>
  <c r="S17" i="6"/>
  <c r="Q19" i="6" l="1"/>
  <c r="S18" i="6"/>
  <c r="Q20" i="6" l="1"/>
  <c r="S19" i="6"/>
  <c r="Q21" i="6" l="1"/>
  <c r="S20" i="6"/>
  <c r="Q22" i="6" l="1"/>
  <c r="S21" i="6"/>
  <c r="Q23" i="6" l="1"/>
  <c r="S22" i="6"/>
  <c r="S23" i="6" l="1"/>
  <c r="Q24" i="6"/>
  <c r="Q25" i="6" l="1"/>
  <c r="S24" i="6"/>
  <c r="Q26" i="6" l="1"/>
  <c r="S25" i="6"/>
  <c r="S26" i="6" l="1"/>
  <c r="Q27" i="6"/>
  <c r="S27" i="6" l="1"/>
  <c r="Q28" i="6"/>
  <c r="S28" i="6" l="1"/>
  <c r="Q29" i="6"/>
  <c r="S29" i="6" l="1"/>
  <c r="Q30" i="6"/>
  <c r="S30" i="6" l="1"/>
  <c r="Q31" i="6"/>
  <c r="S31" i="6" l="1"/>
  <c r="Q32" i="6"/>
  <c r="S32" i="6" l="1"/>
  <c r="Q33" i="6"/>
  <c r="S33" i="6" l="1"/>
  <c r="Q34" i="6"/>
  <c r="T5" i="6" s="1"/>
  <c r="S34" i="6" l="1"/>
  <c r="V5" i="6" l="1"/>
  <c r="N36" i="2" l="1"/>
  <c r="D38" i="2" s="1"/>
  <c r="F39" i="2" s="1"/>
  <c r="Q30" i="2"/>
  <c r="P30" i="2"/>
  <c r="P32" i="2"/>
  <c r="Q32" i="2"/>
  <c r="P31" i="2"/>
  <c r="Q31" i="2"/>
  <c r="P17" i="2"/>
  <c r="Q17" i="2"/>
  <c r="P33" i="2"/>
  <c r="Q33" i="2"/>
  <c r="P14" i="2"/>
  <c r="Q14" i="2"/>
  <c r="Q15" i="2"/>
  <c r="P15" i="2"/>
  <c r="Q9" i="2"/>
  <c r="P9" i="2"/>
  <c r="Q18" i="2"/>
  <c r="P18" i="2"/>
  <c r="P34" i="2"/>
  <c r="Q34" i="2"/>
  <c r="P7" i="2"/>
  <c r="Q7" i="2"/>
  <c r="P16" i="2"/>
  <c r="Q16" i="2"/>
  <c r="P25" i="2"/>
  <c r="Q25" i="2"/>
  <c r="P19" i="2"/>
  <c r="Q19" i="2"/>
  <c r="Q27" i="2"/>
  <c r="P27" i="2"/>
  <c r="Q35" i="2"/>
  <c r="P35" i="2"/>
  <c r="T6" i="6"/>
  <c r="V6" i="6" s="1"/>
  <c r="P6" i="2"/>
  <c r="T6" i="4"/>
  <c r="V6" i="4" s="1"/>
  <c r="Q6" i="2"/>
  <c r="O36" i="2"/>
  <c r="U36" i="4" s="1"/>
  <c r="P23" i="2"/>
  <c r="Q23" i="2"/>
  <c r="Q24" i="2"/>
  <c r="P24" i="2"/>
  <c r="P26" i="2"/>
  <c r="Q26" i="2"/>
  <c r="Q12" i="2"/>
  <c r="P12" i="2"/>
  <c r="P28" i="2"/>
  <c r="Q28" i="2"/>
  <c r="P22" i="2"/>
  <c r="Q22" i="2"/>
  <c r="P8" i="2"/>
  <c r="P10" i="2"/>
  <c r="P11" i="2"/>
  <c r="Q11" i="2"/>
  <c r="Q10" i="2" s="1"/>
  <c r="Q8" i="2" s="1"/>
  <c r="Q20" i="2"/>
  <c r="P20" i="2"/>
  <c r="Q13" i="2"/>
  <c r="P13" i="2"/>
  <c r="Q21" i="2"/>
  <c r="P21" i="2"/>
  <c r="Q29" i="2"/>
  <c r="P29" i="2"/>
  <c r="T36" i="4" l="1"/>
  <c r="E38" i="4"/>
  <c r="H39" i="4" s="1"/>
  <c r="Q36" i="2"/>
  <c r="T7" i="4"/>
  <c r="T7" i="6"/>
  <c r="P36" i="2"/>
  <c r="V7" i="4" l="1"/>
  <c r="T8" i="4"/>
  <c r="V7" i="6"/>
  <c r="T8" i="6"/>
  <c r="V8" i="6" l="1"/>
  <c r="T9" i="6"/>
  <c r="V8" i="4"/>
  <c r="T9" i="4"/>
  <c r="V9" i="4" l="1"/>
  <c r="T10" i="4"/>
  <c r="V9" i="6"/>
  <c r="T10" i="6"/>
  <c r="V10" i="6" l="1"/>
  <c r="T11" i="6"/>
  <c r="V10" i="4"/>
  <c r="T11" i="4"/>
  <c r="V11" i="6" l="1"/>
  <c r="T12" i="6"/>
  <c r="V11" i="4"/>
  <c r="T12" i="4"/>
  <c r="V12" i="4" l="1"/>
  <c r="T13" i="4"/>
  <c r="V12" i="6"/>
  <c r="T13" i="6"/>
  <c r="V13" i="6" l="1"/>
  <c r="T14" i="6"/>
  <c r="V13" i="4"/>
  <c r="T14" i="4"/>
  <c r="V14" i="4" l="1"/>
  <c r="T15" i="4"/>
  <c r="V14" i="6"/>
  <c r="T15" i="6"/>
  <c r="V15" i="6" l="1"/>
  <c r="T16" i="6"/>
  <c r="V15" i="4"/>
  <c r="T16" i="4"/>
  <c r="V16" i="6" l="1"/>
  <c r="T17" i="6"/>
  <c r="V16" i="4"/>
  <c r="T17" i="4"/>
  <c r="V17" i="6" l="1"/>
  <c r="T18" i="6"/>
  <c r="V17" i="4"/>
  <c r="T18" i="4"/>
  <c r="V18" i="4" l="1"/>
  <c r="T19" i="4"/>
  <c r="V18" i="6"/>
  <c r="T19" i="6"/>
  <c r="V19" i="6" l="1"/>
  <c r="T20" i="6"/>
  <c r="V19" i="4"/>
  <c r="T20" i="4"/>
  <c r="V20" i="4" l="1"/>
  <c r="T21" i="4"/>
  <c r="V20" i="6"/>
  <c r="T21" i="6"/>
  <c r="V21" i="6" l="1"/>
  <c r="T22" i="6"/>
  <c r="V21" i="4"/>
  <c r="T22" i="4"/>
  <c r="V22" i="4" l="1"/>
  <c r="T23" i="4"/>
  <c r="V22" i="6"/>
  <c r="T23" i="6"/>
  <c r="V23" i="6" l="1"/>
  <c r="T24" i="6"/>
  <c r="V23" i="4"/>
  <c r="T24" i="4"/>
  <c r="V24" i="4" l="1"/>
  <c r="T25" i="4"/>
  <c r="V24" i="6"/>
  <c r="T25" i="6"/>
  <c r="V25" i="6" l="1"/>
  <c r="T26" i="6"/>
  <c r="V25" i="4"/>
  <c r="T26" i="4"/>
  <c r="V26" i="4" l="1"/>
  <c r="T27" i="4"/>
  <c r="V26" i="6"/>
  <c r="T27" i="6"/>
  <c r="V27" i="6" l="1"/>
  <c r="T28" i="6"/>
  <c r="V27" i="4"/>
  <c r="T28" i="4"/>
  <c r="V28" i="4" l="1"/>
  <c r="T29" i="4"/>
  <c r="V28" i="6"/>
  <c r="T29" i="6"/>
  <c r="V29" i="6" l="1"/>
  <c r="T30" i="6"/>
  <c r="V29" i="4"/>
  <c r="T30" i="4"/>
  <c r="V30" i="4" l="1"/>
  <c r="T31" i="4"/>
  <c r="V30" i="6"/>
  <c r="T31" i="6"/>
  <c r="V31" i="6" l="1"/>
  <c r="T32" i="6"/>
  <c r="V31" i="4"/>
  <c r="T32" i="4"/>
  <c r="V32" i="4" l="1"/>
  <c r="T33" i="4"/>
  <c r="V32" i="6"/>
  <c r="T33" i="6"/>
  <c r="V33" i="6" l="1"/>
  <c r="T34" i="6"/>
  <c r="V33" i="4"/>
  <c r="T34" i="4"/>
  <c r="V34" i="4" l="1"/>
  <c r="T35" i="4"/>
  <c r="V35" i="4" s="1"/>
  <c r="V36" i="4" s="1"/>
  <c r="V34" i="6"/>
  <c r="T35" i="6"/>
  <c r="V35" i="6" l="1"/>
  <c r="W5" i="6"/>
  <c r="Y5" i="6" l="1"/>
  <c r="W6" i="6"/>
  <c r="Y6" i="6" l="1"/>
  <c r="W7" i="6"/>
  <c r="Y7" i="6" l="1"/>
  <c r="W8" i="6"/>
  <c r="Y8" i="6" l="1"/>
  <c r="W9" i="6"/>
  <c r="Y9" i="6" l="1"/>
  <c r="W10" i="6"/>
  <c r="Y10" i="6" l="1"/>
  <c r="W11" i="6"/>
  <c r="Y11" i="6" l="1"/>
  <c r="W12" i="6"/>
  <c r="Y12" i="6" l="1"/>
  <c r="W13" i="6"/>
  <c r="Y13" i="6" l="1"/>
  <c r="W14" i="6"/>
  <c r="Y14" i="6" l="1"/>
  <c r="W15" i="6"/>
  <c r="Y15" i="6" l="1"/>
  <c r="W16" i="6"/>
  <c r="Y16" i="6" l="1"/>
  <c r="W17" i="6"/>
  <c r="Y17" i="6" l="1"/>
  <c r="W18" i="6"/>
  <c r="Y18" i="6" l="1"/>
  <c r="W19" i="6"/>
  <c r="Y19" i="6" l="1"/>
  <c r="W20" i="6"/>
  <c r="Y20" i="6" l="1"/>
  <c r="W21" i="6"/>
  <c r="Y21" i="6" l="1"/>
  <c r="W22" i="6"/>
  <c r="Y22" i="6" l="1"/>
  <c r="W23" i="6"/>
  <c r="Y23" i="6" l="1"/>
  <c r="W24" i="6"/>
  <c r="Y24" i="6" l="1"/>
  <c r="W25" i="6"/>
  <c r="Y25" i="6" l="1"/>
  <c r="W26" i="6"/>
  <c r="Y26" i="6" l="1"/>
  <c r="W27" i="6"/>
  <c r="Y27" i="6" l="1"/>
  <c r="W28" i="6"/>
  <c r="Y28" i="6" l="1"/>
  <c r="W29" i="6"/>
  <c r="Y29" i="6" l="1"/>
  <c r="W30" i="6"/>
  <c r="Y30" i="6" l="1"/>
  <c r="W31" i="6"/>
  <c r="Y31" i="6" l="1"/>
  <c r="W32" i="6"/>
  <c r="Y32" i="6" l="1"/>
  <c r="W33" i="6"/>
  <c r="Y33" i="6" l="1"/>
  <c r="W34" i="6"/>
  <c r="Y34" i="6" l="1"/>
  <c r="W35" i="6"/>
  <c r="Y35" i="6" l="1"/>
  <c r="Z5" i="6"/>
  <c r="Z6" i="6" l="1"/>
  <c r="AB5" i="6"/>
  <c r="AB6" i="6" l="1"/>
  <c r="Z7" i="6"/>
  <c r="AB7" i="6" l="1"/>
  <c r="Z8" i="6"/>
  <c r="AB8" i="6" l="1"/>
  <c r="Z9" i="6"/>
  <c r="AB9" i="6" l="1"/>
  <c r="Z10" i="6"/>
  <c r="AB10" i="6" l="1"/>
  <c r="Z11" i="6"/>
  <c r="AB11" i="6" l="1"/>
  <c r="Z12" i="6"/>
  <c r="AB12" i="6" l="1"/>
  <c r="Z13" i="6"/>
  <c r="AB13" i="6" l="1"/>
  <c r="Z14" i="6"/>
  <c r="AB14" i="6" l="1"/>
  <c r="Z15" i="6"/>
  <c r="AB15" i="6" l="1"/>
  <c r="Z16" i="6"/>
  <c r="AB16" i="6" l="1"/>
  <c r="Z17" i="6"/>
  <c r="AB17" i="6" l="1"/>
  <c r="Z18" i="6"/>
  <c r="AB18" i="6" l="1"/>
  <c r="Z19" i="6"/>
  <c r="AB19" i="6" l="1"/>
  <c r="Z20" i="6"/>
  <c r="AB20" i="6" l="1"/>
  <c r="Z21" i="6"/>
  <c r="AB21" i="6" l="1"/>
  <c r="Z22" i="6"/>
  <c r="AB22" i="6" l="1"/>
  <c r="Z23" i="6"/>
  <c r="AB23" i="6" l="1"/>
  <c r="Z24" i="6"/>
  <c r="AB24" i="6" l="1"/>
  <c r="Z25" i="6"/>
  <c r="AB25" i="6" l="1"/>
  <c r="Z26" i="6"/>
  <c r="AB26" i="6" l="1"/>
  <c r="Z27" i="6"/>
  <c r="AB27" i="6" l="1"/>
  <c r="Z28" i="6"/>
  <c r="AB28" i="6" l="1"/>
  <c r="Z29" i="6"/>
  <c r="AB29" i="6" l="1"/>
  <c r="Z30" i="6"/>
  <c r="AB30" i="6" l="1"/>
  <c r="Z31" i="6"/>
  <c r="AB31" i="6" l="1"/>
  <c r="Z32" i="6"/>
  <c r="AB32" i="6" l="1"/>
  <c r="Z33" i="6"/>
  <c r="AB33" i="6" l="1"/>
  <c r="Z34" i="6"/>
  <c r="AB34" i="6" l="1"/>
  <c r="AC5" i="6"/>
  <c r="AC6" i="6" l="1"/>
  <c r="AE5" i="6"/>
  <c r="AC7" i="6" l="1"/>
  <c r="AE6" i="6"/>
  <c r="AC8" i="6" l="1"/>
  <c r="AE7" i="6"/>
  <c r="AC9" i="6" l="1"/>
  <c r="AE8" i="6"/>
  <c r="AC10" i="6" l="1"/>
  <c r="AE9" i="6"/>
  <c r="AE10" i="6" l="1"/>
  <c r="AC11" i="6"/>
  <c r="AC12" i="6" l="1"/>
  <c r="AE11" i="6"/>
  <c r="AC13" i="6" l="1"/>
  <c r="AE12" i="6"/>
  <c r="AC14" i="6" l="1"/>
  <c r="AE13" i="6"/>
  <c r="AC15" i="6" l="1"/>
  <c r="AE14" i="6"/>
  <c r="AC16" i="6" l="1"/>
  <c r="AE15" i="6"/>
  <c r="AC17" i="6" l="1"/>
  <c r="AE16" i="6"/>
  <c r="AE17" i="6" l="1"/>
  <c r="AC18" i="6"/>
  <c r="AE18" i="6" l="1"/>
  <c r="AC19" i="6"/>
  <c r="AE19" i="6" l="1"/>
  <c r="AC20" i="6"/>
  <c r="AE20" i="6" l="1"/>
  <c r="AC21" i="6"/>
  <c r="AC22" i="6" l="1"/>
  <c r="AE21" i="6"/>
  <c r="AE22" i="6" l="1"/>
  <c r="AC23" i="6"/>
  <c r="AE23" i="6" l="1"/>
  <c r="AC24" i="6"/>
  <c r="AC25" i="6" l="1"/>
  <c r="AE24" i="6"/>
  <c r="AE25" i="6" l="1"/>
  <c r="AC26" i="6"/>
  <c r="AE26" i="6" l="1"/>
  <c r="AC27" i="6"/>
  <c r="AC28" i="6" l="1"/>
  <c r="AE27" i="6"/>
  <c r="AC29" i="6" l="1"/>
  <c r="AE28" i="6"/>
  <c r="AE29" i="6" l="1"/>
  <c r="AC30" i="6"/>
  <c r="AE30" i="6" l="1"/>
  <c r="AC31" i="6"/>
  <c r="AC32" i="6" l="1"/>
  <c r="AE31" i="6"/>
  <c r="AC33" i="6" l="1"/>
  <c r="AE32" i="6"/>
  <c r="AE33" i="6" l="1"/>
  <c r="AC34" i="6"/>
  <c r="AE34" i="6" l="1"/>
  <c r="AC35" i="6"/>
  <c r="AE35" i="6" l="1"/>
  <c r="AF5" i="6"/>
  <c r="AH5" i="6" l="1"/>
  <c r="AF6" i="6"/>
  <c r="AH6" i="6" l="1"/>
  <c r="AF7" i="6"/>
  <c r="AH7" i="6" l="1"/>
  <c r="AF8" i="6"/>
  <c r="AH8" i="6" l="1"/>
  <c r="AF9" i="6"/>
  <c r="AH9" i="6" l="1"/>
  <c r="AF10" i="6"/>
  <c r="AH10" i="6" l="1"/>
  <c r="AF11" i="6"/>
  <c r="AH11" i="6" l="1"/>
  <c r="AF12" i="6"/>
  <c r="AH12" i="6" l="1"/>
  <c r="AF13" i="6"/>
  <c r="AH13" i="6" l="1"/>
  <c r="AF14" i="6"/>
  <c r="AH14" i="6" l="1"/>
  <c r="AF15" i="6"/>
  <c r="AH15" i="6" l="1"/>
  <c r="AF16" i="6"/>
  <c r="AH16" i="6" l="1"/>
  <c r="AF17" i="6"/>
  <c r="AH17" i="6" l="1"/>
  <c r="AF18" i="6"/>
  <c r="AH18" i="6" l="1"/>
  <c r="AF19" i="6"/>
  <c r="AF20" i="6" l="1"/>
  <c r="AH19" i="6"/>
  <c r="AF21" i="6" l="1"/>
  <c r="AH20" i="6"/>
  <c r="AH21" i="6" l="1"/>
  <c r="AF22" i="6"/>
  <c r="AH22" i="6" l="1"/>
  <c r="AF23" i="6"/>
  <c r="AH23" i="6" l="1"/>
  <c r="AF24" i="6"/>
  <c r="AH24" i="6" l="1"/>
  <c r="AF25" i="6"/>
  <c r="AH25" i="6" l="1"/>
  <c r="AF26" i="6"/>
  <c r="AH26" i="6" l="1"/>
  <c r="AF27" i="6"/>
  <c r="AH27" i="6" l="1"/>
  <c r="AF28" i="6"/>
  <c r="AH28" i="6" l="1"/>
  <c r="AF29" i="6"/>
  <c r="AH29" i="6" l="1"/>
  <c r="AF30" i="6"/>
  <c r="AH30" i="6" l="1"/>
  <c r="AF31" i="6"/>
  <c r="AH31" i="6" l="1"/>
  <c r="AF32" i="6"/>
  <c r="AH32" i="6" l="1"/>
  <c r="AF33" i="6"/>
  <c r="AH33" i="6" l="1"/>
  <c r="AF34" i="6"/>
  <c r="AH34" i="6" l="1"/>
  <c r="AI5" i="6"/>
  <c r="AK5" i="6" l="1"/>
  <c r="AI6" i="6"/>
  <c r="AI7" i="6" l="1"/>
  <c r="AK6" i="6"/>
  <c r="AI8" i="6" l="1"/>
  <c r="AK7" i="6"/>
  <c r="AK8" i="6" l="1"/>
  <c r="AI9" i="6"/>
  <c r="AK9" i="6" l="1"/>
  <c r="AI10" i="6"/>
  <c r="AK10" i="6" l="1"/>
  <c r="AI11" i="6"/>
  <c r="AK11" i="6" l="1"/>
  <c r="AI12" i="6"/>
  <c r="AK12" i="6" l="1"/>
  <c r="AI13" i="6"/>
  <c r="AK13" i="6" l="1"/>
  <c r="AI14" i="6"/>
  <c r="AK14" i="6" l="1"/>
  <c r="AI15" i="6"/>
  <c r="AK15" i="6" l="1"/>
  <c r="AI16" i="6"/>
  <c r="AK16" i="6" l="1"/>
  <c r="AI17" i="6"/>
  <c r="AK17" i="6" l="1"/>
  <c r="AI18" i="6"/>
  <c r="AK18" i="6" l="1"/>
  <c r="AI19" i="6"/>
  <c r="AK19" i="6" l="1"/>
  <c r="AI20" i="6"/>
  <c r="AK20" i="6" l="1"/>
  <c r="AI21" i="6"/>
  <c r="AK21" i="6" l="1"/>
  <c r="AI22" i="6"/>
  <c r="AK22" i="6" l="1"/>
  <c r="AI23" i="6"/>
  <c r="AK23" i="6" l="1"/>
  <c r="AI24" i="6"/>
  <c r="AI25" i="6" l="1"/>
  <c r="AK24" i="6"/>
  <c r="AI26" i="6" l="1"/>
  <c r="AK25" i="6"/>
  <c r="AK26" i="6" l="1"/>
  <c r="AI27" i="6"/>
  <c r="AK27" i="6" l="1"/>
  <c r="AI28" i="6"/>
  <c r="AK28" i="6" l="1"/>
  <c r="AI29" i="6"/>
  <c r="AK29" i="6" l="1"/>
  <c r="AI30" i="6"/>
  <c r="AK3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Johanna Pamela Lluberes Ramirez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Johanna Pamela Lluberes Ramirez:</t>
        </r>
        <r>
          <rPr>
            <sz val="9"/>
            <color indexed="81"/>
            <rFont val="Tahoma"/>
            <family val="2"/>
          </rPr>
          <t xml:space="preserve">
PS = POWER STATION
INV = INVERSOR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<sst xmlns="http://schemas.openxmlformats.org/spreadsheetml/2006/main" count="456" uniqueCount="278">
  <si>
    <t>Generación</t>
  </si>
  <si>
    <t>Operativos Hours</t>
  </si>
  <si>
    <t>Avalability</t>
  </si>
  <si>
    <t>Eficciency-PR</t>
  </si>
  <si>
    <t>Date</t>
  </si>
  <si>
    <t>Daily</t>
  </si>
  <si>
    <t>Avalability Calculada</t>
  </si>
  <si>
    <t>Irradiation</t>
  </si>
  <si>
    <t>inicio Primer Inversor</t>
  </si>
  <si>
    <t>Salida Primer Inversor</t>
  </si>
  <si>
    <t>Planned</t>
  </si>
  <si>
    <t>Forced</t>
  </si>
  <si>
    <t>Dispacth</t>
  </si>
  <si>
    <t>ETED/Trip</t>
  </si>
  <si>
    <t>Majure forced</t>
  </si>
  <si>
    <t>Comentario</t>
  </si>
  <si>
    <t>MTD</t>
  </si>
  <si>
    <t>YTD</t>
  </si>
  <si>
    <t>MWh</t>
  </si>
  <si>
    <t>%</t>
  </si>
  <si>
    <t>Watts/m2</t>
  </si>
  <si>
    <t>Hrs</t>
  </si>
  <si>
    <t>Suma de Horas de eventos de inversores dividido entre 18 inversores por día</t>
  </si>
  <si>
    <t>Limitado a 21 MWh de generación por un lapso de 5 horas y 10 minutos (10:55h-16:10h) por órden del CDH, solicitado por el CCE por baja demanda del SENI</t>
  </si>
  <si>
    <t>Retardo de entrada 35 minutos (07:35h-08:10h) de los Inversores 2-2, 5-2 y 9-1 en comparación con la entrada del primer inversor</t>
  </si>
  <si>
    <t>El inversor 1-1 presento un retardo de entrada de 40 minutos (07:35h-8:15h), en comparación con los demás inversores.</t>
  </si>
  <si>
    <t>El inversor 1-1 presento un retardo de entrada de 31 minutos (07:44h-8:15h), mientras que los inversores 6-2 y 7-1 iniciado presentaron un retardo de entrada de 43 minutos (07:44h – 08:27h) en comparación con los demás inversores.</t>
  </si>
  <si>
    <t>El inversor 1-1 presento un retardo de entrada de 43 minutos (07:32h-8:15h), mientras que el inversor 3-1 presentó un retardo de entrada de 48 minutos (07:44h – 08:27h) en comparación con los demás inversores.</t>
  </si>
  <si>
    <t xml:space="preserve">El inversor 1-1 presento un retardo de entrada de 32 minutos (07:33h-8:05h), en comparación con los demás inversores. </t>
  </si>
  <si>
    <t xml:space="preserve">El inversor 1-1 presento un retardo de entrada de 22 minutos (07:34h-07:56h), en comparación con los demás inversores. </t>
  </si>
  <si>
    <t>Los Inversores 2-2 y 3-2 presentaron un retardo de entrada de 25 minutos (07:35h-08:00h), en comparación con los demás inversores. Por falla F-45 de aislamiento.</t>
  </si>
  <si>
    <t>Los Inversores 1-2 y 6-1 presentaron un retardo de entrada de 23 minutos (07:35h-07:58h), en comparación con los demás inversores. Por falla F-45 de aislamiento.</t>
  </si>
  <si>
    <t>El Inversor 5-2 presentó un retardo de entrada de 25 minutos (07:40h-08:05h), en comparación con los demás inversores. Por falla F-45 de aislamiento.</t>
  </si>
  <si>
    <t>Los Inversores 5-1, 5-2 y 3-2 presentaron un retardo de entrada de 37 minutos (07:38h-08:15h), en comparación con los demás inversores. Por falla F-45 de aislamiento</t>
  </si>
  <si>
    <t>Salida de servicio del inversor 7-1 por un lapso de 1 hora y 09 minutos (10:35h-11:44h) por falla W29 Alarma de temperatura DGPT2. Pero al entrar en servicio se mantuvo operando con 3 módulos por un lapso de 24 minutos (11:44h-12:08h).</t>
  </si>
  <si>
    <t>El Inversor 4-1 estuvo funcionando con 1 solo modulo por un lapso de 1 hora y 15 minutos (07:45h-09:00h) en comparación con las entradas de los demás inversores. Donde después paso a funcionar con solo 3 módulos por un lapso de 2 horas y 15 minutos (9:00h-11:15h).</t>
  </si>
  <si>
    <t>El inversor 2-1 presento un retardo de entrada de 43 minutos (07:38h-8:21h) por falla F-45 relacionada a falla por nivel de aislamiento</t>
  </si>
  <si>
    <t>Los inversores 3-1 presentó un retardo de entrada de 34 minutos (07:39h-8:13h) por falla F-45 relacionada a falla por nivel de aislamiento.</t>
  </si>
  <si>
    <t>El inversor 7-1 presento un retardo de entrada de 54 minutos (07:31h-8:25h), mientras que el Inversor 7-2 presento un retardo de 1 hora y 12 minutos (07:31h-8:43h) por falla F-45 relacionada a falla por nivel de aislamiento</t>
  </si>
  <si>
    <t>El inversor 2-1 presento un retardo de entrada de 58 minutos (07:30h-8:28h), mientras que el Inversor 7-1 presento un retardo de 1 hora (07:30h-8:30h) por falla F-45 relacionada a falla por nivel de aislamiento. Ademas de que Los inversores 1 y 2 de la PS#05 fueron colocados fuera de servicio por un lapso de 57 minutos (10:41h-11:34h), debido a una verificación de temperaturas y ajustes de señales por parte del personal de Power Electronic.</t>
  </si>
  <si>
    <t>El inversor 6-1 presento un retardo de entrada de 1 hora (07:29h-8:30h), comparación con la entrada de los demás inversores, por falla F-45 relacionada al nivel de aislamiento.</t>
  </si>
  <si>
    <t>Los inversores 6-2 y 9-2 presentaron un retardo de entrada de 37 minutos (07:38h-8:15h), en comparación con la entrada de los demás inversores, por falla F-45 relacionada al nivel de aislamiento.</t>
  </si>
  <si>
    <t>El inversor 9-1 presentó un retardo de entrada de 1 hora y 4 minutos (07:38h-08:42h), en comparación con la entrada de los demás inversores, por falla F-45 relacionada al nivel de aislamiento.</t>
  </si>
  <si>
    <t>El Inversor 2-1, se mantuvo fuera de servicio por un lapso de 3 horas y 30 minutos (9:55h-13:15h) por falla de aislamiento F-45.</t>
  </si>
  <si>
    <t>El Inversor 9-2, salió de servicio por un lapso de 23 minutos (9:40h-10:03h) por falla de aislamiento F-45.</t>
  </si>
  <si>
    <t>El Inversor 9-2, salió de servicio, sin entrada de retorno, durante 6 horas y 2 minutos (12:42h-18:44h) del horario de producción.</t>
  </si>
  <si>
    <t>El Inversor 9-2, continua fuera de servicio desde el dia 09-02-2024, estableciendo una pérdida del 5.56% de la producción total durante 10 horas y 58 minutos (7:36h-18:34) del horario de producción</t>
  </si>
  <si>
    <t>El Inversor 9-2, continua fuera de servicio desde el dia 09-02-2024, estableciendo una pérdida del 5.56% de la producción total durante 11 horas y 08 minutos (7:36h-18:34) del horario de producción</t>
  </si>
  <si>
    <t>El Inversor 9-2, continua fuera de servicio desde el dia 09-02-2024, estableciendo una pérdida del 5.56% de la producción total durante 11 horas y 12 minutos (7:23h-18:35). 
El inversor 9-1 fue colocado fuera de servicio debido a la salida de la celda de media tensión para realizar los trabajos de sustitución de 3 módulos de potencia del inversor 9-2, por un lapso de 5 horas y 38 minutos. (12:20h-17:58h)</t>
  </si>
  <si>
    <t>El Inversor 9-2, continua fuera de servicio desde el dia 09-02-2024, estableciendo una pérdida del 5.56% de la producción total durante 10 horas y 12 minutos (7:23h-09:07h y 9:57h-18:29h) del horario de producción, por falla de inversor después de ser reemplazado los módulos averiados.
El inversor 9-1 fue colocado fuera de servicio debido a la salida de la celda de media tensión, para verificar el inversor 9-2 después de haber presentado la falla en modo prueba, por un lapso de 4 horas y 31 minutos (11:00h-15:31h).</t>
  </si>
  <si>
    <t>El Inversor 9-2, continua fuera de servicio desde el dia 09-02-2024, estableciendo una pérdida del 5.56% de la producción total durante 11 horas y 11 minutos (07:24h-18:35h) del horario de producción, por falla en los módulos de potencia del inversor.</t>
  </si>
  <si>
    <t>El Inversor 9-2, continua fuera de servicio desde el dia 09-02-2024, estableciendo una pérdida del 5.56% de la producción total durante 11 horas y 07 minutos (07:22h-18:29h) del horario de producción, por falla en los módulos de potencia del inversor.</t>
  </si>
  <si>
    <t>El Inversor 9-2, continua fuera de servicio desde el dia 09-02-2024, estableciendo una pérdida aproximada del 5.56% de la producción total durante 11 horas y 26 minutos (07:12h-18:38h) del horario de producción, por falla en los módulos de potencia del inversor.</t>
  </si>
  <si>
    <t>El Inversor 9-2, continua fuera de servicio desde el dia 09-02-2024, estableciendo una pérdida aproximada del 5.56% de la producción total durante 10 horas y 59 minutos (07:36h-18:35h) del horario de producción, por falla en los módulos de potencia del inversor.</t>
  </si>
  <si>
    <t>El Inversor 9-2, continua fuera de servicio desde el dia 09-02-2024, estableciendo una pérdida aproximada del 5.56% de la producción total durante 11 horas y 05 minutos (07:22h-18:27h) del horario de producción, por falla en los módulos de potencia del inversor.</t>
  </si>
  <si>
    <t>El Inversor 9-2, continua fuera de servicio desde el dia 09-02-2024, estableciendo una pérdida aproximada del 5.56% de la producción total durante 11 horas y 09 minutos (07:22h-18:31h) del horario de producción, por falla en los módulos de potencia del inversor.</t>
  </si>
  <si>
    <t>El Inversor 9-2, continua fuera de servicio desde el dia 09-02-2024, estableciendo una pérdida aproximada del 5.56% de la producción total durante 10 horas y 58 minutos (07:20h-18:18h) del horario de producción, por falla en los módulos de potencia del inversor.</t>
  </si>
  <si>
    <t>El Inversor 9-2, continua fuera de servicio desde el dia 09-02-2024, estableciendo una pérdida aproximada del 5.56% de la producción total durante 10 horas y 39 minutos (07:47h-18:26h) del horario de producción, por falla en los módulos de potencia del inversor.</t>
  </si>
  <si>
    <t>El Inversor 9-2, continua fuera de servicio desde el dia 09-02-2024, estableciendo una pérdida aproximada del 5.56% de la producción total durante 11 horas y 09 minutos (07:28h-18:37h) del horario de producción, por falla en los módulos de potencia del inversor. 
El Inversor 9-1, fue colocado fuera de servicio, por un lapso de 2 horas y 25 minutos (11:35h-14:00h), debido a la salida de la Celda de MT de la PS#09 para instalar los módulos de potencia (FRU´s) del inversor 9-2.</t>
  </si>
  <si>
    <t>El Inversor 9-2, Se mantuvo F/S por un lapso de 8 horas y 33 minutos. (7:23h-18:42), debido a la falla del dia 09-02-2024</t>
  </si>
  <si>
    <t>El Inversor 9-2, Se mantuvo F/S por un lapso de 2 horas y 29 minutos. (07:19h-09:48), debido a la falla del dia 09-02-2024</t>
  </si>
  <si>
    <t>A las 13:48h Inv 1-1 con la salida de 1 modulo. A las 13:50h salida de otro modulo, siendo un total de 2 m modulos F/S. A las 14:32h Inversor 1-1 con todos sus modulos en servicio.</t>
  </si>
  <si>
    <t>El inversor 1-1 desde las 15:45h hasta las 16:17h (32 Min) opero con 2 módulos F/S</t>
  </si>
  <si>
    <t>Baja disponibiliad por perdida de comunicacion del inversor 9-2.</t>
  </si>
  <si>
    <t>Baja disponibilidad debido a perdida de comunicacion del inversor 9-2.</t>
  </si>
  <si>
    <t>Inversor 6-1 tuvo una averia en la comunicacion por alrdedor de unos 5 min.</t>
  </si>
  <si>
    <t>Evento a las 13:36 salida de 4 inversores, a causa de esto tenemos menor disponibilidad de lo planeado.</t>
  </si>
  <si>
    <t>Irradiancia y potecia muy variables debido a campo nuboso muy variable.</t>
  </si>
  <si>
    <t>Clima nublado, con muchas variaciones durante todo el dia.</t>
  </si>
  <si>
    <t>Clima lluvioso con alta 
densidad de nubes.</t>
  </si>
  <si>
    <t>Clima parcialmente nublado</t>
  </si>
  <si>
    <t>Baja irradiancia por lluvias</t>
  </si>
  <si>
    <t>Clima parcial mente nublado</t>
  </si>
  <si>
    <t>Clima parcialmente nublado y eclipse</t>
  </si>
  <si>
    <t>Se realiza pruebas de fin de garantia del transformador a partir del 14:12</t>
  </si>
  <si>
    <t>Baja irradiancia, clima nublado.</t>
  </si>
  <si>
    <t>Clima lluvioso</t>
  </si>
  <si>
    <t>Baja irradiancia, Clima nublado.</t>
  </si>
  <si>
    <t>Baja irraciancia por clima nublado.
Se ven fallas en varias estaciones metereologicas, afectando la lectura de los sensores y el calculo del pr.</t>
  </si>
  <si>
    <t>Clima nublado</t>
  </si>
  <si>
    <t>Salidas multiples de inversor 7-2, en total marcando unos 20 min de inactividad.</t>
  </si>
  <si>
    <t>Salida del inversor 7-2 por aislamiento.
Caida de irradiancia por alta densidad de nubes a partir de las 17:10h.</t>
  </si>
  <si>
    <t>Salida Inversor 7-2 por aislamiento.</t>
  </si>
  <si>
    <t>Salida inversor 7-2 por falla F45 (Aislamiento externo en la SCB07 Bus#1).</t>
  </si>
  <si>
    <t>Variaciones repentinas de irradiancia, ademas de la salida del inversor 7-2 para entras los cables bus no afectado de la SCB#7.
Salida inversor 9-1 coincidente con evento de variacion de frecuencia en la linea.</t>
  </si>
  <si>
    <t>SCB#01 PB#04 presenta falla de comunicacion, con valores frizados.</t>
  </si>
  <si>
    <t>INV 5-2 marca salida por falla de comunicacion, el inversor continuo en servicio todo el tiempo.</t>
  </si>
  <si>
    <t>Inv 1-2 Sale por falla de 
aislamiento F-45 a partir 
de las 17:05. Clima lluvioso.</t>
  </si>
  <si>
    <t>Inv 1-2 continua afuera con falla de aislamiento, no es posible realizar revision por condiciones climaticas. Clima lluvioso.</t>
  </si>
  <si>
    <t>Inv 1-2 continua afuera con falla de aislamiento, Se realizan distintas pruebas al campo y al inversor. Clima lluvioso.</t>
  </si>
  <si>
    <t>Inv 1-2 continua afuera con falla de aislamientor. Clima mayormente nublado.</t>
  </si>
  <si>
    <t>Inv 1-2 queda dentro luego de las 14:54. 
Inv 2-2 Sale y muestra posible averia en todos sus modulos.
Clima mayormente nublado.</t>
  </si>
  <si>
    <t>Inv 2-2 continua fuera.
Clima mayormente nublado.</t>
  </si>
  <si>
    <t xml:space="preserve">Inv 2-2 continua fuera.
</t>
  </si>
  <si>
    <t>PS#2 es F/S para trabajos en el inv#2.
Clima mayormente nublado.</t>
  </si>
  <si>
    <t>Salida de planta, por orden del CCE. Apertura para mantenimiento correctivo en el campo de linea 138kV navarrete-Esperanza. 
Inv 1-2 vuelve a salir por aislamiento.
Inv2-2 entra mientras se le realizan pruebas en el arranque.
Clima mayormente nublado.</t>
  </si>
  <si>
    <t>Inv 2-2 es arrancado de manera asistida con el personal de power electronics.
Inv 2-2 continuan pruebas de funcionamiento.
Inv 1-2 continua fuera por falla de aislamiento.
Clima mayormente nublado.</t>
  </si>
  <si>
    <t>Inv 1-2 Continua fuera por falla de aislamiento detectada el sabado 01/06/2024.
Clima mayormente nublado.</t>
  </si>
  <si>
    <t>Inversor 1-2 permanece fuera por falla de aislamiento hasta las 13:55.
Inversor 7-2 permanece fuera hasta las 15:40 por averia de un modulo, vuelve a trabajar con solo 3 modulos.
Clima mayormente nublado.</t>
  </si>
  <si>
    <t xml:space="preserve">Inversores 9-2, 7-1, 1-2 se mantienen fuera por fallas en el arranque debido a temas en el disyuntor de AC.
Inversor 5-2 Presenta falla en ventilador de la DU.
Inversor 1-2 se mantiene fuera para conexcion de cables de baja de la SCB 19.
</t>
  </si>
  <si>
    <t>Inv 7-2 se encuentra trabajando con 3/4 modulos. Debido a averia de uno de estos.
Inv 5-2 Se encuentra limitado a un 33.33% debido a falla de un ventilador en la DU para evitar sobre calentamiento. 
Inv 5-2 entra a las 8:46 debido a configuracion de la limitacion.</t>
  </si>
  <si>
    <t>inversor 5.2 limitado a un 50%.
Inversor 7-2 F/S para trabajos de sustitucion de moodulo averiado.</t>
  </si>
  <si>
    <t>Inversor 5-2 F/S por trabajos en ventiladores de la DU.
Inversor 7-2 F/S durante la mañana por trabajos de configuracion.</t>
  </si>
  <si>
    <t xml:space="preserve">Inversor 1-2 arranque tardio.
Inversor 2-1 F/S desde las 15:00 hasta las 16:20.
Inversor 5-2 Permanece F/S por trabajos en ventiladores de la DU.
Inversor 7-2 F/S desde las 9:00 hasta las 10:35 para configuracion de la tarjeta de control del modulo #1. </t>
  </si>
  <si>
    <t>Inv 5-2 Inicia F/S por problemas de ventilador, es puesto en servicio a las 12:30.
Inv 2-1 sale a las 13:17 por fallo en ventilador de modulos, luego continua con entradas y salidas intermitentes.
Inv 3-1 14:10 tabaja con 3 modulos debido a fallo en ventilador.</t>
  </si>
  <si>
    <t xml:space="preserve">Inversor 2-1 e Inversor 3-1 se encuentran trabajando con 3 modulos. </t>
  </si>
  <si>
    <t xml:space="preserve">Inversor 3-1 se encuentra trabajando con 3 modulos. </t>
  </si>
  <si>
    <t>INV 3-1 arranca tardio, debido a trabajos nocturnos.
INV 3-1 se encuentra trabajando con 2 modulos.</t>
  </si>
  <si>
    <t>Inversor 3-1 tiene entrada tardia por falla en ventilador es necesario re configurarlo.
Inversor 7-1 con entrada tardia es necesario cargar el resorte del disyuntor de AC.</t>
  </si>
  <si>
    <t>Inversor 9-1, 8-1 y 5-2 no presenta datos debido a falla de comunicacion por conector mal funcional.
Inversor 9-2 Entra tardio es necesario cargar el resorte disyuntor AC.</t>
  </si>
  <si>
    <t>A partir de las 14:00 clima nublado - lluvioso.</t>
  </si>
  <si>
    <t>Clima nublado.</t>
  </si>
  <si>
    <t>Arranque tardio de inversor 7-1 por F174 (Retro aviso de disyuntor AC).</t>
  </si>
  <si>
    <t>Clima Parcialmente nublado.</t>
  </si>
  <si>
    <t>Falla de ventilador filtro LC 
F:206 en el INV 2-1</t>
  </si>
  <si>
    <t>Salida inversor 5-1 por fallo 
F206, ventilador de filtro LC.</t>
  </si>
  <si>
    <t>salida inversor 7-2 por fallo  F228, consigna ventilador</t>
  </si>
  <si>
    <t>Salida inversor 2-1 por fallo 
F206, ventilador de filtro LC.</t>
  </si>
  <si>
    <t>Arranque tardio de inversor 2-1 para remplazar el conector de la comunicacion del ventilador filtro LC.</t>
  </si>
  <si>
    <t>Salida del inverso 7-1 por fallo esterno/OVGR, F55</t>
  </si>
  <si>
    <t>Salida del inverso 1-2 por fallo consignia de ventilador, F228</t>
  </si>
  <si>
    <t>Salida del inverso 1-2 por fallo No modulo, F13</t>
  </si>
  <si>
    <t>Salida del inverso 5-2 por fallo aislamiento general, F45</t>
  </si>
  <si>
    <t>El pesonal de power electronics esta verificando el inversor 7-2 por fallo en los modulos. inicio con dos modulo.</t>
  </si>
  <si>
    <t>Interversion de power electronics para reparar los modulo averiado.  el inversor trabajo con un solo modulo en servicio.</t>
  </si>
  <si>
    <t>Aranque tardido del inversor 7-2, inversor 5-2 solo trabajo con 3 modulos</t>
  </si>
  <si>
    <t>inversor 7-2 trabajo todo el dia con 3 modulos. salida programada del inversor 7-2</t>
  </si>
  <si>
    <t>Aranque tardido del inversor 7-2</t>
  </si>
  <si>
    <t>el inversor 5-1 presenta aviso de tmperatura de filtro LC, se mantiene trabajando con 3 modulo. salida del inversor 1-1 por falla consigna ventilador,F228</t>
  </si>
  <si>
    <t>El inversor 5-1 se mantiene trabajando con 3 modulo. el inversor 1-1 estrabajo con 3 modulo desde la 8:19</t>
  </si>
  <si>
    <t>El inversor 5-1y el 1-1 se mantiene trabajando con 3 modulo.</t>
  </si>
  <si>
    <t>Inversor 5-1 Se mantiene trabajando con 3 modulos.</t>
  </si>
  <si>
    <t xml:space="preserve">Inversor 5-1 Presenta falla en ventilador del modulo#1. trabaja con 3 modulos. </t>
  </si>
  <si>
    <t>Inversor 5-1 Presenta falla en ventilador del modulo#1, este fallo provoca varias salidas durante el dia. trabaja con 3 modulos. 
Inversor 6-2 presenta falla en disyuntor DC. Limita el modulo #2. Inversor trabaja con 3 modulos.</t>
  </si>
  <si>
    <t>INV5-1 Entrada tardia luego e trabajos nocturnos.</t>
  </si>
  <si>
    <t>INV 6-2 F031: Fallo de autodiagnóstico en modulo #2. Trabaja con 3 modulos.</t>
  </si>
  <si>
    <t>INV 6-2 F031: Fallo de autodiagnóstico en modulo #2.  Trabaja con 3 modulos.</t>
  </si>
  <si>
    <t>INV 2-1 e INV 4-1 presentan falla de aislamiento durante lluvia.</t>
  </si>
  <si>
    <t>INV 6-2 Entrada tardia debido a fallo F31: fallo de autodiagnóstico.</t>
  </si>
  <si>
    <t>INV 4-2 Salida por fallo F45 Aislamiento general.
INV 6-2 Entrada tardia debido a fallo F31: fallo de autodiagnóstico.</t>
  </si>
  <si>
    <t xml:space="preserve">Inversor 1-1 falla de comunicacion. </t>
  </si>
  <si>
    <t>Entrada tardia de inversores Luego de trabajos nocturnos en TR-SSAA.</t>
  </si>
  <si>
    <t>Inv 9-2 sale por falla F228 consigna de ventilador.</t>
  </si>
  <si>
    <t>Inv 6-2 limitado a 3 modulos de potencia, (W128 muelle cargado)</t>
  </si>
  <si>
    <t>INV 4-1 F45 Aislamiento General</t>
  </si>
  <si>
    <t>Inv 7-2 Tiene entrada tardia
 luego de trabajos nocturnos.</t>
  </si>
  <si>
    <t>INV 2-1 y 6-2 presenta fallo 
de retro aviso.</t>
  </si>
  <si>
    <t>Inversor 6-2 Entrada tardia fallo de retro aviso disyuntor DC modulo #2</t>
  </si>
  <si>
    <t>Inv 9-2 F174 Retro. disyuntor AC y Inv 1-2 F157 Retro. secionador AC.</t>
  </si>
  <si>
    <t xml:space="preserve">Inv 6-2 trabaja con 3 modulos.
INV 1-1 Entrada tardia con falla F165(modulacion indebida. En la tarde trabaja con 3 modulos por aproximadamente 30 Min.
INV 3-2  Entrada tardia con falla F165(modulacion indebida.
INV 7-1 Entrada tardia con falla F165(modulacion indebida.
INV 8-1 Entrada tardia con falla F165(modulacion indebida.
INV 9-2 Entrada tardia con falla F165(modulacion indebida.
INV 2-1 e INV 2-2 Tienen salida de un 1 modulo momentaneamente. </t>
  </si>
  <si>
    <t xml:space="preserve">INV 6-2 trabaja con 3 modulos. Modulo #2 F/S.
</t>
  </si>
  <si>
    <t>Inversor 4-1 Entra don 3 modulos.
Inversor 1-2 y 3-2 presentan falla F165 (Modulacion indebida), Entrada tardia.
En horario nocturno Inversor 2-2 , 4-1, 5-1, 6-2, 8-1, 7-1 Por falla F165 (Modulacion indebida).</t>
  </si>
  <si>
    <t>Inversor 2-2 tiene entrada tardia, falla F165 (Modulacion indebida) en horario nocturno.</t>
  </si>
  <si>
    <t>INV 1-2, 2-2, 3-2  y 5-1 entrada tardia por F165  (Modulacion indebida).</t>
  </si>
  <si>
    <t>Inversor 5-2 por falla de aislamiento general F45.</t>
  </si>
  <si>
    <t>Inversor 5-2 Peramanece fuera por falla de aislamineto interna del inversor.
INV 5-1 es puesto fuera de servicio en horario de la tarde para inspeccion de parte AC del inv 5-2.</t>
  </si>
  <si>
    <t>Inversor 5-2 Peramanece fuera por falla de aislamineto interna del inversor.
INV 5-1 trabaja con 3 modulos de potencia.</t>
  </si>
  <si>
    <t>Inv 5-2 a las 12:25 presenta explosion en filtro LC. F169 Retro aviso LCL.
INV 5-1 Se saca de servicio en horario de la tarde para trabajos en el INV 5-2.</t>
  </si>
  <si>
    <t>-</t>
  </si>
  <si>
    <t>Falla de comunicacion en todo el parque se pierden datos de estaciones metereologicas.
Inversor 5-2 continua fuera por fallo en filtro LC. 169 Retro aviso LCL.</t>
  </si>
  <si>
    <t>Inversor 5-2 continua fuera por fallo en filtro LC. 169 Retro aviso LCL.</t>
  </si>
  <si>
    <t>Inv 5-2 Continua fuera por averia en filtro LC.</t>
  </si>
  <si>
    <t>INV 7-1 presenta salida a las 14:55 por fallo F108 Mod alta vdc</t>
  </si>
  <si>
    <t>Inv 7-1 Trabaja con 3 modulos de potencia</t>
  </si>
  <si>
    <t xml:space="preserve">Inv 8-2 presenta modo blacstrat en arranque. Es necesaria asistencia de Power electronics para su arranque. </t>
  </si>
  <si>
    <t>Parcialmente nublado</t>
  </si>
  <si>
    <t>Clima Lluvioso</t>
  </si>
  <si>
    <t>Clima Lluvioso
INV 5-2 sale por falla F45, aislamiento general.
INV 7-1 Falla F45, Aislaminetoo general</t>
  </si>
  <si>
    <t>Inv 7-1 presenta falla de aislamiento F45 en repetidas cocaciones.</t>
  </si>
  <si>
    <t>Inv 7-1 presenta falla de aislamiento F45 en repetidas cocaciones. Se realiza parada segura del inversor para inspeccionar campo.
INV 5-2 presenta entrada trandia por falla F32: Error mod autodiagnóstico</t>
  </si>
  <si>
    <t>Se realiza aislamiento de falla en la SCB 27 del INV 7-1(INV 7-1 permanece fuera durante este proceso)</t>
  </si>
  <si>
    <t>A las 19:27 se produce disparo de la línea de transmisión (LT) 138 KV Navarrete-Esperanza.</t>
  </si>
  <si>
    <t>A causa del disparo de la linea línea de transmisión (LT) 138 KV la noche anterior, PPC queda sin energia y pierde configuracion. Todos los equipos excepto un inversor tienen entrada tardia.</t>
  </si>
  <si>
    <t xml:space="preserve">Inversor 6-2 trabaja con 3 modulos, modulo #2 en entrado de manera asistida. </t>
  </si>
  <si>
    <t>Inversor 6-2 falla en modulo #2, W86 retro seccionador.
Inv 2-1 presenta entrada tardia luego de actualizacion</t>
  </si>
  <si>
    <t>INV 2-1 Salida en la tarde debido a F175 Sobre corriente. 
INV 2-2 Entrada tardia luego de actualizacion fallida. 
INV 6-2 Arranca con 3 modulos, modulo #2 es puesto en servicio minutos despues.</t>
  </si>
  <si>
    <t>INV 6-2 Arranca con 3 modulos, Modulo #2 es puesto en servicio minutos despues.</t>
  </si>
  <si>
    <t>INV 6-2 Arranca con 3 modulos, Modulo #2 es puesto en servicio minutos despues.
INV 7-1 Permanece con  modulo #2 fuera durante todo el dia.</t>
  </si>
  <si>
    <t xml:space="preserve">Inv 7-1 Arranca con 3 modulos. Modulo #2 F/s. Es puesto E/S luego de unos minutos. </t>
  </si>
  <si>
    <t>INV 3.1 y 3.2 tienen arranque tardio, no se ve falla en el software de monitoreo. Son puestos en servicio minutos despues. 
INV 4-1 presenta falla de aislamiento durante unos 10min.
INV 6-2 Arranca con 3 modulos, Modulo #2 es puesto en servicio minutos despues.
INV 7-1 Permanece con  modulo #2, es puesto en servicio minutos despues.</t>
  </si>
  <si>
    <t>INV 6-2 Arranca con 3 modulos, Modulo #2 es puesto en servicio minutos despues.
INV 7-1 Permanece con  modulo #2 F/S todo el dia.</t>
  </si>
  <si>
    <t>INV 7-1 Permanece con  modulo #2 F/S todo el dia.</t>
  </si>
  <si>
    <t>INV 6-2 Arranca con 3 modulos, Modulo #2 es puesto en servicio minutos despues.
INV 2-1 Arranca con 3 modulos, Modulo faltante es puesto en servicio minutos despues.
INV 7-1 Permanece con  modulo #2, es puesto en servicio minutos despues.</t>
  </si>
  <si>
    <t>INV 6-2 Arranca con 3 modulos, Modulo #2 es puesto en servicio minutos despues.
Inversor 1-2 F/S, F14. Es puesto en servicio minutos despues.</t>
  </si>
  <si>
    <t>INV 1-2 Modo blackstart, arranque tardio.
INV 2-1 F175 Sobrecorriente C, arranque tardio.
INV 2-2 W50 medida CTs, arranque tardio.
INV 1-1 F45 Aislamiento.
INV 1-2 F45 Aislamiento.
INV 4-2 F45 Aislamiento.</t>
  </si>
  <si>
    <t>INV 1.1 Parada segura por bajo aislamiento.
INV 3.2 F45 Aislamiento general</t>
  </si>
  <si>
    <t>Clima Nublado - Lluvioso
INV 6-2 Entrada tardia - estado Blackstart.
INV 1-1 Entrada tardia, puesto en off.
INV 1-2 Entrada tardia, puesto en off.
INV 1-1 F45 Aislamiento general</t>
  </si>
  <si>
    <t>Clima Nublado - Lluvioso</t>
  </si>
  <si>
    <t>Clima Nublado - Lluvioso
INV 2-1 F212 Aislamiento Externo
INV 3-2 F212 Aislamiento Externo
INV 1-1 W158 Aislamiento General
INV 1-2 W158 Aislamiento general</t>
  </si>
  <si>
    <t>Clima Nublado - Lluvioso
INV 1-1 W7 Limite p</t>
  </si>
  <si>
    <t>Clima Nublado
INV 1-2 W156: Resistencia aisla alta.</t>
  </si>
  <si>
    <t xml:space="preserve">Clima Nublado
Inv 7-1 trabajando con 3 modulos, Es puesto en servicio minutos despues. </t>
  </si>
  <si>
    <t>Clima lluvioso.
INV 3-2 W160 Aislamiento Externo.
INV 7-1 Arranca con 3 modulos, el cuarto es puesto en servicio minutos despues. 
INV 2-1 presenta estar encendido pero en consumo.
INV 1-1 F45 Aislamiento general
INV 1-2 F45 Aislamiento General.</t>
  </si>
  <si>
    <t>Clima Nublado - Lluvioso
INV 1-2 En modo blackstart, Entrada tardia.
INV 7-1 F45 Aislamiento General
INV 6-1 F45 Aislamiento General.
INV 1-1 F45 Aislamiento General</t>
  </si>
  <si>
    <t>Clima Nublado - Lluvioso.
INV 1-1 F45 Aislamiento General
INV 1-2 F45 Aislamiento General</t>
  </si>
  <si>
    <t>Clima Nublado - Lluvioso.
INV 1-2 W158 Aislamiento General</t>
  </si>
  <si>
    <t>Nublado
INV 2-1 F225 Sobretemperatura Ind.
INV 7-1 Inicia con 3 modulos. Es puesto en servicio el mudulo faltante minutos despues.</t>
  </si>
  <si>
    <t xml:space="preserve">Parcialmente nublado
INV 7-1 Inicia con 3 modulos. Es puesto en servicio el mudolu faltante minutos despues. 
INV 8-1 y INV 8-2 Entrada tardia luego de trabajos. </t>
  </si>
  <si>
    <t>Clima nublado
INV 7-1 Entra con solo 3 modulos, modulo #2 es puesto en servicio minutos despues.
INV 3.2 F45 AISLAMIENTO GENERAL</t>
  </si>
  <si>
    <t>Clima nublado
INV 1.1 F45 Falla de aislameinto debido a mala configuracion.
INV 6.1 F45 Falla de aislamiento. 
INV 7-1 Entra con solo 3 modulos, modulo #2 es puesto en servicio minutos despues.</t>
  </si>
  <si>
    <t>Clima nublado
INV 7-1 Entra con solo 3 modulos, modulo #2 es puesto en servicio minutos despues.</t>
  </si>
  <si>
    <t>Clima nublado
INV 1-1 W178 Fusible fundido.
INV 7-1 Entra con solo 3 modulos, modulo #2 es puesto en servicio minutos despues.</t>
  </si>
  <si>
    <t xml:space="preserve">Clima Soleado
INV 1.1 W158 Aislamiento General </t>
  </si>
  <si>
    <t>Clima soleado
INV 5-2 F45 Aislameinto General</t>
  </si>
  <si>
    <t>Clima Soleado
INV 1.1 W178 Fusible fundido</t>
  </si>
  <si>
    <t>Clima Soleado</t>
  </si>
  <si>
    <t>Clima Nublado</t>
  </si>
  <si>
    <t>Clima Nublado - lluvioso.</t>
  </si>
  <si>
    <t xml:space="preserve">Clima Nublado </t>
  </si>
  <si>
    <t>Clima nublado
INV 1-2 presenta entrada tardia, F45 aislamiento general.
INV 7-1 Moduo #2 no arranca en automatico. W151: Modulo Enclavado</t>
  </si>
  <si>
    <t>Clima Nublado
Inversor 7-1 modulo #2, W86 Retroaviso seccionador.</t>
  </si>
  <si>
    <t>Clima Nublado
Inversor 7-1 modulo #2, W151: Modulo Enclavado</t>
  </si>
  <si>
    <t>Clima Parcialmente Nublado</t>
  </si>
  <si>
    <t>Clima Parcialmente Nublado
INV 1-2 F45 Aislamiento General</t>
  </si>
  <si>
    <t xml:space="preserve">Clima Lluvioso
INV 4-2 Presenta falla de comunicacion a primera hora de la mañana. </t>
  </si>
  <si>
    <t>Clima Parcialmente nublado
INV 5-2 F45 Aislamiento General</t>
  </si>
  <si>
    <t>Clima Parcialmente nublado</t>
  </si>
  <si>
    <t>Clima Parcialmente nublado
INV 1.1 F45 Aislamiento general</t>
  </si>
  <si>
    <t>Clima Parcialmente nublado
INV 3.2 F45 Aislamiento general</t>
  </si>
  <si>
    <t>Clima soleado</t>
  </si>
  <si>
    <t>Clima Parcialmente nublado 
INV 1-2 F45 Aislamiento General</t>
  </si>
  <si>
    <t>Clima lluvioso
INV 1-2 F45 Aislamiento General</t>
  </si>
  <si>
    <t>Clima parcialmente nublado
INV 1-2 F45 Aislamiento General</t>
  </si>
  <si>
    <t>Clima parcialmente nublado
INV 1-1 F45 Aislamiento General</t>
  </si>
  <si>
    <t>Clima  nublado</t>
  </si>
  <si>
    <t>clima nublado lluvioso salida momentanea inversor 5-2 F-45 aislamiento general</t>
  </si>
  <si>
    <t xml:space="preserve">Clima  nublado </t>
  </si>
  <si>
    <t>clima nublado salida momentanea inversor 1-2 w158 aislamiento general, limtacion de la planta desde 11:11h hasta 13:49h a 24,4MW por indicaciones de CDH.</t>
  </si>
  <si>
    <t>GRAFICA DE GENERACIÓN MENSUAL (GWH)</t>
  </si>
  <si>
    <t>FECHA</t>
  </si>
  <si>
    <t>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</si>
  <si>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</si>
  <si>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</si>
  <si>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</si>
  <si>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</si>
  <si>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</si>
  <si>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</si>
  <si>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</si>
  <si>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</si>
  <si>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</si>
  <si>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</si>
  <si>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</si>
  <si>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</si>
  <si>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Potencia (MWh)</t>
  </si>
  <si>
    <t>Irradiancia (Watts/m2) Promedio</t>
  </si>
  <si>
    <t>Irradiancia (Watts/m2)</t>
  </si>
  <si>
    <t>Potencia (MWh) (Proyecccion)</t>
  </si>
  <si>
    <t>Diferencia (MWh)</t>
  </si>
  <si>
    <t>TOTAL DE MES (GWh)</t>
  </si>
  <si>
    <t>TOTAL PROYECTADO</t>
  </si>
  <si>
    <t>TOTAL DEL AÑO 2024 (GW)</t>
  </si>
  <si>
    <t>TOTAL DESDE LA PUESTA EN MARCHA (GW)</t>
  </si>
  <si>
    <t xml:space="preserve"> </t>
  </si>
  <si>
    <t>Agosto</t>
  </si>
  <si>
    <t>Octubre</t>
  </si>
  <si>
    <t>Potencia (GWh)</t>
  </si>
  <si>
    <t>Proyeccion Enero (GWh)</t>
  </si>
  <si>
    <t>Diferencia (GWh)</t>
  </si>
  <si>
    <t>Proyeccion Febrero (GWh)</t>
  </si>
  <si>
    <t>Proyeccion Marzo (GWh)</t>
  </si>
  <si>
    <t>Proyeccion ABRIL (GWh)</t>
  </si>
  <si>
    <t>Proyeccion MAYO (GWh)</t>
  </si>
  <si>
    <t>Proyeccion JUNIO (GWh)</t>
  </si>
  <si>
    <t>Proyeccion JULIO  (GWh)</t>
  </si>
  <si>
    <t>Proyeccion Agosto  (GWh)</t>
  </si>
  <si>
    <t>Proyeccion SEPTIEMBRE  (GWh)</t>
  </si>
  <si>
    <t>Proyeccion Octubre  (GWh)</t>
  </si>
  <si>
    <t>Proyeccion NOVIEMBRE  (GWh)</t>
  </si>
  <si>
    <t>Proyeccion DICIEMBRE  (GWh)</t>
  </si>
  <si>
    <t>TOTAL DE MES</t>
  </si>
  <si>
    <t>Potencia Proyectada (GWh)</t>
  </si>
  <si>
    <t>Proyeccion JULIO (GWh)</t>
  </si>
  <si>
    <t>Proyeccion AGOSTO (GWh)</t>
  </si>
  <si>
    <t>Proyeccion SEPTIEMBRE (GWh)</t>
  </si>
  <si>
    <t>Proyeccion Octubre (GWh)</t>
  </si>
  <si>
    <t>Proyeccion NOVIEMBRE (GWh)</t>
  </si>
  <si>
    <t>Proyeccion DICIEMBRE (GWh)</t>
  </si>
  <si>
    <t>PROYECCION ANUAL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</si>
</sst>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0.000"/>
    <numFmt numFmtId="167" formatCode="#,##0.0000"/>
    <numFmt numFmtId="168" formatCode="0.00000"/>
    <numFmt numFmtId="169" formatCode="0.0000"/>
    <numFmt numFmtId="170" formatCode="#,##0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4" fontId="1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0" fontId="1" fillId="3" borderId="4" xfId="0" applyFont="1" applyFill="1" applyBorder="1"/>
    <xf numFmtId="4" fontId="0" fillId="0" borderId="7" xfId="0" applyNumberFormat="1" applyBorder="1"/>
    <xf numFmtId="4" fontId="0" fillId="0" borderId="9" xfId="0" applyNumberFormat="1" applyBorder="1"/>
    <xf numFmtId="4" fontId="0" fillId="0" borderId="8" xfId="0" applyNumberFormat="1" applyBorder="1"/>
    <xf numFmtId="4" fontId="0" fillId="0" borderId="10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/>
    </xf>
    <xf numFmtId="0" fontId="7" fillId="0" borderId="0" xfId="0" applyFont="1" applyAlignment="1">
      <alignment vertical="top" wrapText="1"/>
    </xf>
    <xf numFmtId="4" fontId="0" fillId="3" borderId="0" xfId="0" applyNumberFormat="1" applyFill="1" applyAlignment="1">
      <alignment horizontal="center" vertical="center"/>
    </xf>
    <xf numFmtId="4" fontId="0" fillId="0" borderId="24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4" fontId="0" fillId="0" borderId="26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4" fontId="0" fillId="0" borderId="29" xfId="0" applyNumberFormat="1" applyBorder="1"/>
    <xf numFmtId="4" fontId="0" fillId="0" borderId="19" xfId="0" applyNumberFormat="1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4" fontId="0" fillId="0" borderId="26" xfId="0" applyNumberFormat="1" applyBorder="1" applyAlignment="1">
      <alignment horizontal="right"/>
    </xf>
    <xf numFmtId="4" fontId="0" fillId="0" borderId="11" xfId="0" applyNumberFormat="1" applyBorder="1"/>
    <xf numFmtId="4" fontId="0" fillId="0" borderId="6" xfId="0" applyNumberFormat="1" applyBorder="1"/>
    <xf numFmtId="4" fontId="0" fillId="0" borderId="30" xfId="0" applyNumberFormat="1" applyBorder="1"/>
    <xf numFmtId="4" fontId="0" fillId="0" borderId="36" xfId="0" applyNumberFormat="1" applyBorder="1"/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39" xfId="0" applyNumberFormat="1" applyBorder="1"/>
    <xf numFmtId="4" fontId="0" fillId="0" borderId="38" xfId="0" applyNumberFormat="1" applyBorder="1"/>
    <xf numFmtId="4" fontId="0" fillId="5" borderId="12" xfId="0" applyNumberFormat="1" applyFill="1" applyBorder="1"/>
    <xf numFmtId="4" fontId="0" fillId="5" borderId="8" xfId="0" applyNumberFormat="1" applyFill="1" applyBorder="1"/>
    <xf numFmtId="4" fontId="0" fillId="5" borderId="18" xfId="0" applyNumberFormat="1" applyFill="1" applyBorder="1"/>
    <xf numFmtId="4" fontId="0" fillId="5" borderId="10" xfId="0" applyNumberFormat="1" applyFill="1" applyBorder="1"/>
    <xf numFmtId="4" fontId="0" fillId="0" borderId="24" xfId="0" applyNumberFormat="1" applyBorder="1"/>
    <xf numFmtId="4" fontId="0" fillId="0" borderId="25" xfId="0" applyNumberFormat="1" applyBorder="1"/>
    <xf numFmtId="4" fontId="0" fillId="3" borderId="37" xfId="0" applyNumberFormat="1" applyFill="1" applyBorder="1" applyAlignment="1">
      <alignment horizontal="center"/>
    </xf>
    <xf numFmtId="4" fontId="0" fillId="3" borderId="29" xfId="0" applyNumberFormat="1" applyFill="1" applyBorder="1"/>
    <xf numFmtId="4" fontId="0" fillId="0" borderId="40" xfId="0" applyNumberFormat="1" applyBorder="1"/>
    <xf numFmtId="4" fontId="0" fillId="5" borderId="15" xfId="0" applyNumberFormat="1" applyFill="1" applyBorder="1"/>
    <xf numFmtId="0" fontId="1" fillId="0" borderId="2" xfId="0" applyFont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4" fontId="0" fillId="5" borderId="29" xfId="0" applyNumberFormat="1" applyFill="1" applyBorder="1"/>
    <xf numFmtId="0" fontId="8" fillId="0" borderId="22" xfId="0" applyFont="1" applyBorder="1" applyAlignment="1">
      <alignment horizontal="center" vertical="center" wrapText="1"/>
    </xf>
    <xf numFmtId="4" fontId="0" fillId="0" borderId="42" xfId="0" applyNumberFormat="1" applyBorder="1"/>
    <xf numFmtId="4" fontId="0" fillId="0" borderId="26" xfId="0" applyNumberFormat="1" applyBorder="1"/>
    <xf numFmtId="4" fontId="0" fillId="0" borderId="0" xfId="0" applyNumberFormat="1"/>
    <xf numFmtId="0" fontId="0" fillId="0" borderId="0" xfId="0" applyAlignment="1">
      <alignment vertical="top" wrapText="1"/>
    </xf>
    <xf numFmtId="167" fontId="0" fillId="5" borderId="12" xfId="0" applyNumberFormat="1" applyFill="1" applyBorder="1"/>
    <xf numFmtId="4" fontId="0" fillId="0" borderId="43" xfId="0" applyNumberFormat="1" applyBorder="1"/>
    <xf numFmtId="168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vertical="center"/>
    </xf>
    <xf numFmtId="2" fontId="0" fillId="4" borderId="0" xfId="0" applyNumberFormat="1" applyFill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4" fontId="0" fillId="0" borderId="44" xfId="0" applyNumberFormat="1" applyBorder="1"/>
    <xf numFmtId="4" fontId="0" fillId="3" borderId="38" xfId="0" applyNumberFormat="1" applyFill="1" applyBorder="1" applyAlignment="1">
      <alignment horizontal="center"/>
    </xf>
    <xf numFmtId="164" fontId="0" fillId="0" borderId="0" xfId="1" applyFont="1" applyAlignment="1">
      <alignment horizontal="center" vertical="center"/>
    </xf>
    <xf numFmtId="170" fontId="0" fillId="0" borderId="2" xfId="0" applyNumberFormat="1" applyBorder="1" applyAlignment="1">
      <alignment horizont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vertical="top" wrapText="1"/>
    </xf>
    <xf numFmtId="2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0" fillId="0" borderId="4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9" fillId="0" borderId="4" xfId="0" applyNumberFormat="1" applyFont="1" applyBorder="1" applyAlignment="1">
      <alignment horizontal="center" vertical="center"/>
    </xf>
    <xf numFmtId="4" fontId="9" fillId="0" borderId="19" xfId="0" applyNumberFormat="1" applyFont="1" applyBorder="1" applyAlignment="1">
      <alignment horizontal="center" vertical="center"/>
    </xf>
    <xf numFmtId="4" fontId="9" fillId="0" borderId="2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0" fillId="0" borderId="2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4" fontId="0" fillId="0" borderId="33" xfId="0" applyNumberForma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GENERACIÓN DIARIA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lineChart>
        <c:grouping val="standard"/>
        <c:varyColors val="0"/>
        <c:ser>
          <c:idx val="6"/>
          <c:order val="8"/>
          <c:tx>
            <c:strRef>
              <c:f>Diaria!$V$3</c:f>
              <c:strCache>
                <c:ptCount val="1"/>
                <c:pt idx="0">
                  <c:v>SEPTIEMBRE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Diaria!$V$5:$V$34</c:f>
              <c:numCache>
                <c:formatCode>#,##0.00</c:formatCode>
                <c:ptCount val="30"/>
                <c:pt idx="0">
                  <c:v>701.26532245630005</c:v>
                </c:pt>
                <c:pt idx="1">
                  <c:v>494.53154537970005</c:v>
                </c:pt>
                <c:pt idx="2">
                  <c:v>253.04180731209999</c:v>
                </c:pt>
                <c:pt idx="3">
                  <c:v>573.69817700599992</c:v>
                </c:pt>
                <c:pt idx="4">
                  <c:v>583.31005141129992</c:v>
                </c:pt>
                <c:pt idx="5">
                  <c:v>588.72004674180005</c:v>
                </c:pt>
                <c:pt idx="6">
                  <c:v>585.42555386790002</c:v>
                </c:pt>
                <c:pt idx="7">
                  <c:v>604.24829602839998</c:v>
                </c:pt>
                <c:pt idx="8">
                  <c:v>622.8206680298</c:v>
                </c:pt>
                <c:pt idx="9">
                  <c:v>602.32335601379998</c:v>
                </c:pt>
                <c:pt idx="10">
                  <c:v>559.95741200520001</c:v>
                </c:pt>
                <c:pt idx="11">
                  <c:v>660.72528403119998</c:v>
                </c:pt>
                <c:pt idx="12">
                  <c:v>656.63006817870007</c:v>
                </c:pt>
                <c:pt idx="13">
                  <c:v>473.7778093037</c:v>
                </c:pt>
                <c:pt idx="14">
                  <c:v>484.48612369679995</c:v>
                </c:pt>
                <c:pt idx="15">
                  <c:v>539.17117425000004</c:v>
                </c:pt>
                <c:pt idx="16">
                  <c:v>584.69856836470001</c:v>
                </c:pt>
                <c:pt idx="17">
                  <c:v>600.64210549120003</c:v>
                </c:pt>
                <c:pt idx="18">
                  <c:v>583.72101188620002</c:v>
                </c:pt>
                <c:pt idx="19">
                  <c:v>626.64966513100001</c:v>
                </c:pt>
                <c:pt idx="20">
                  <c:v>471.21246834239997</c:v>
                </c:pt>
                <c:pt idx="21">
                  <c:v>452.90235517039997</c:v>
                </c:pt>
                <c:pt idx="22">
                  <c:v>440.27665723940004</c:v>
                </c:pt>
                <c:pt idx="23">
                  <c:v>529.88066755900002</c:v>
                </c:pt>
                <c:pt idx="24">
                  <c:v>599.23430123940011</c:v>
                </c:pt>
                <c:pt idx="25">
                  <c:v>658.80881043299996</c:v>
                </c:pt>
                <c:pt idx="26">
                  <c:v>513.48881057789993</c:v>
                </c:pt>
                <c:pt idx="27">
                  <c:v>503.4628985292</c:v>
                </c:pt>
                <c:pt idx="28">
                  <c:v>416.07052458239997</c:v>
                </c:pt>
                <c:pt idx="29">
                  <c:v>621.83716168249998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E-4B5E-A8EB-FFA81468A437}"/>
            </c:ext>
          </c:extLst>
        </c:ser>
        <c:ser>
          <c:idx val="8"/>
          <c:order val="9"/>
          <c:tx>
            <c:strRef>
              <c:f>Diaria!$Z$3</c:f>
              <c:strCache>
                <c:ptCount val="1"/>
                <c:pt idx="0">
                  <c:v>OCTUBRE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Diaria!$Z$5:$Z$35</c:f>
              <c:numCache>
                <c:formatCode>#,##0.00</c:formatCode>
                <c:ptCount val="31"/>
                <c:pt idx="0">
                  <c:v>582.24640155060001</c:v>
                </c:pt>
                <c:pt idx="1">
                  <c:v>609.92228549130004</c:v>
                </c:pt>
                <c:pt idx="2">
                  <c:v>557.5989111422</c:v>
                </c:pt>
                <c:pt idx="3">
                  <c:v>508.90005648059997</c:v>
                </c:pt>
                <c:pt idx="4">
                  <c:v>485.93990259950004</c:v>
                </c:pt>
                <c:pt idx="5">
                  <c:v>471.90238998410001</c:v>
                </c:pt>
                <c:pt idx="6">
                  <c:v>528.78946119689999</c:v>
                </c:pt>
                <c:pt idx="7">
                  <c:v>342.40535411070005</c:v>
                </c:pt>
                <c:pt idx="8">
                  <c:v>437.80982257100004</c:v>
                </c:pt>
                <c:pt idx="9">
                  <c:v>510.5109612059</c:v>
                </c:pt>
                <c:pt idx="10">
                  <c:v>428.49748014880004</c:v>
                </c:pt>
                <c:pt idx="11">
                  <c:v>510.05403556120001</c:v>
                </c:pt>
                <c:pt idx="12">
                  <c:v>615.63504571559997</c:v>
                </c:pt>
                <c:pt idx="13">
                  <c:v>513.04091161259998</c:v>
                </c:pt>
                <c:pt idx="14">
                  <c:v>514.80689443680001</c:v>
                </c:pt>
                <c:pt idx="15">
                  <c:v>580.47760827479999</c:v>
                </c:pt>
                <c:pt idx="16">
                  <c:v>615.27154760000008</c:v>
                </c:pt>
                <c:pt idx="17">
                  <c:v>467.60259840399999</c:v>
                </c:pt>
                <c:pt idx="18">
                  <c:v>453.42674460440003</c:v>
                </c:pt>
                <c:pt idx="19">
                  <c:v>468.52087761760004</c:v>
                </c:pt>
                <c:pt idx="20">
                  <c:v>357.52170465099999</c:v>
                </c:pt>
                <c:pt idx="21">
                  <c:v>275.42813510460002</c:v>
                </c:pt>
                <c:pt idx="22">
                  <c:v>406.76442316459998</c:v>
                </c:pt>
                <c:pt idx="23">
                  <c:v>381.36086128220001</c:v>
                </c:pt>
                <c:pt idx="24">
                  <c:v>497.69581149300001</c:v>
                </c:pt>
                <c:pt idx="25">
                  <c:v>451.52051610910002</c:v>
                </c:pt>
                <c:pt idx="26">
                  <c:v>364.5700566159</c:v>
                </c:pt>
                <c:pt idx="27">
                  <c:v>370.17140684840001</c:v>
                </c:pt>
                <c:pt idx="28">
                  <c:v>348.11905486209997</c:v>
                </c:pt>
                <c:pt idx="29">
                  <c:v>252.54</c:v>
                </c:pt>
                <c:pt idx="30">
                  <c:v>392.74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5-472A-9E4E-86B9881542DC}"/>
            </c:ext>
          </c:extLst>
        </c:ser>
        <c:ser>
          <c:idx val="11"/>
          <c:order val="10"/>
          <c:tx>
            <c:strRef>
              <c:f>Diaria!$AD$3</c:f>
              <c:strCache>
                <c:ptCount val="1"/>
                <c:pt idx="0">
                  <c:v>NOVIEMBRE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Diaria!$AD$5:$AD$34</c:f>
              <c:numCache>
                <c:formatCode>#,##0.00</c:formatCode>
                <c:ptCount val="30"/>
                <c:pt idx="0">
                  <c:v>244.44</c:v>
                </c:pt>
                <c:pt idx="1">
                  <c:v>360.62</c:v>
                </c:pt>
                <c:pt idx="2">
                  <c:v>474.99</c:v>
                </c:pt>
                <c:pt idx="3">
                  <c:v>359.11</c:v>
                </c:pt>
                <c:pt idx="4">
                  <c:v>323.87</c:v>
                </c:pt>
                <c:pt idx="5">
                  <c:v>491.51</c:v>
                </c:pt>
                <c:pt idx="6">
                  <c:v>335.65</c:v>
                </c:pt>
                <c:pt idx="7">
                  <c:v>315.13</c:v>
                </c:pt>
                <c:pt idx="8">
                  <c:v>331.65</c:v>
                </c:pt>
                <c:pt idx="9">
                  <c:v>217.72</c:v>
                </c:pt>
                <c:pt idx="10">
                  <c:v>465.63</c:v>
                </c:pt>
                <c:pt idx="11">
                  <c:v>511.41</c:v>
                </c:pt>
                <c:pt idx="12">
                  <c:v>430.06</c:v>
                </c:pt>
                <c:pt idx="13">
                  <c:v>283.95</c:v>
                </c:pt>
                <c:pt idx="14">
                  <c:v>384.28</c:v>
                </c:pt>
                <c:pt idx="15">
                  <c:v>344.03</c:v>
                </c:pt>
                <c:pt idx="16">
                  <c:v>316.12</c:v>
                </c:pt>
                <c:pt idx="17">
                  <c:v>389.61</c:v>
                </c:pt>
                <c:pt idx="18">
                  <c:v>513.74</c:v>
                </c:pt>
                <c:pt idx="19">
                  <c:v>507.84</c:v>
                </c:pt>
                <c:pt idx="20">
                  <c:v>501.62</c:v>
                </c:pt>
                <c:pt idx="21">
                  <c:v>525.52</c:v>
                </c:pt>
                <c:pt idx="22">
                  <c:v>218.74</c:v>
                </c:pt>
                <c:pt idx="23">
                  <c:v>255.48</c:v>
                </c:pt>
                <c:pt idx="24">
                  <c:v>304.29000000000002</c:v>
                </c:pt>
                <c:pt idx="25">
                  <c:v>291.04500000000002</c:v>
                </c:pt>
                <c:pt idx="26">
                  <c:v>243.13</c:v>
                </c:pt>
                <c:pt idx="27">
                  <c:v>337.58</c:v>
                </c:pt>
                <c:pt idx="28">
                  <c:v>287.95</c:v>
                </c:pt>
                <c:pt idx="29">
                  <c:v>467.45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3-4E8D-A845-96910D6DDF3C}"/>
            </c:ext>
          </c:extLst>
        </c:ser>
        <c:ser>
          <c:idx val="7"/>
          <c:order val="11"/>
          <c:tx>
            <c:strRef>
              <c:f>Diaria!$AH$3</c:f>
              <c:strCache>
                <c:ptCount val="1"/>
                <c:pt idx="0">
                  <c:v>DICIEMBRE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[0]!GM</c:f>
              <c:numCache>
                <c:formatCode>#,##0.00</c:formatCode>
                <c:ptCount val="26"/>
                <c:pt idx="0">
                  <c:v>495.41</c:v>
                </c:pt>
                <c:pt idx="1">
                  <c:v>472.31</c:v>
                </c:pt>
                <c:pt idx="2">
                  <c:v>460.68</c:v>
                </c:pt>
                <c:pt idx="3">
                  <c:v>194.34</c:v>
                </c:pt>
                <c:pt idx="4">
                  <c:v>432.55</c:v>
                </c:pt>
                <c:pt idx="5">
                  <c:v>494.54</c:v>
                </c:pt>
                <c:pt idx="6">
                  <c:v>457.99</c:v>
                </c:pt>
                <c:pt idx="7">
                  <c:v>453.57</c:v>
                </c:pt>
                <c:pt idx="8">
                  <c:v>350.03</c:v>
                </c:pt>
                <c:pt idx="9">
                  <c:v>350.72</c:v>
                </c:pt>
                <c:pt idx="10">
                  <c:v>508.11</c:v>
                </c:pt>
                <c:pt idx="11">
                  <c:v>391.46</c:v>
                </c:pt>
                <c:pt idx="12">
                  <c:v>355.01</c:v>
                </c:pt>
                <c:pt idx="13">
                  <c:v>159.97999999999999</c:v>
                </c:pt>
                <c:pt idx="14">
                  <c:v>413.48</c:v>
                </c:pt>
                <c:pt idx="15">
                  <c:v>377.76</c:v>
                </c:pt>
                <c:pt idx="16">
                  <c:v>490.82</c:v>
                </c:pt>
                <c:pt idx="17">
                  <c:v>457.93</c:v>
                </c:pt>
                <c:pt idx="18">
                  <c:v>473.03</c:v>
                </c:pt>
                <c:pt idx="19">
                  <c:v>294.48</c:v>
                </c:pt>
                <c:pt idx="20">
                  <c:v>265.73</c:v>
                </c:pt>
                <c:pt idx="21">
                  <c:v>298.37</c:v>
                </c:pt>
                <c:pt idx="22">
                  <c:v>168.23</c:v>
                </c:pt>
                <c:pt idx="23">
                  <c:v>398.12</c:v>
                </c:pt>
                <c:pt idx="24">
                  <c:v>335.85</c:v>
                </c:pt>
                <c:pt idx="25">
                  <c:v>381.99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8-4D14-8893-063D2391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64639"/>
        <c:axId val="148851199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Diaria!$B$3:$C$3</c15:sqref>
                        </c15:formulaRef>
                      </c:ext>
                    </c:extLst>
                    <c:strCache>
                      <c:ptCount val="2"/>
                      <c:pt idx="0">
                        <c:v>ENERO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Diaria!$A$5:$A$35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Diaria!$B$5:$B$35</c15:sqref>
                        </c15:formulaRef>
                      </c:ext>
                    </c:extLst>
                    <c:numCache>
                      <c:formatCode>#,##0.00</c:formatCode>
                      <c:ptCount val="31"/>
                      <c:pt idx="0">
                        <c:v>239.8467326354</c:v>
                      </c:pt>
                      <c:pt idx="1">
                        <c:v>472.4709134066</c:v>
                      </c:pt>
                      <c:pt idx="2">
                        <c:v>188.5350001985</c:v>
                      </c:pt>
                      <c:pt idx="3">
                        <c:v>509.50959111819998</c:v>
                      </c:pt>
                      <c:pt idx="4">
                        <c:v>335.83397505400001</c:v>
                      </c:pt>
                      <c:pt idx="5">
                        <c:v>532.53440937080006</c:v>
                      </c:pt>
                      <c:pt idx="6">
                        <c:v>529.56836674149997</c:v>
                      </c:pt>
                      <c:pt idx="7">
                        <c:v>529.05831283589998</c:v>
                      </c:pt>
                      <c:pt idx="8">
                        <c:v>514.81752405399993</c:v>
                      </c:pt>
                      <c:pt idx="9">
                        <c:v>525.2257117559999</c:v>
                      </c:pt>
                      <c:pt idx="10">
                        <c:v>526.99414837680001</c:v>
                      </c:pt>
                      <c:pt idx="11">
                        <c:v>492.31882019080001</c:v>
                      </c:pt>
                      <c:pt idx="12">
                        <c:v>433.5739136775</c:v>
                      </c:pt>
                      <c:pt idx="13">
                        <c:v>509.63897680669999</c:v>
                      </c:pt>
                      <c:pt idx="14">
                        <c:v>536.09732394409991</c:v>
                      </c:pt>
                      <c:pt idx="15">
                        <c:v>532.57461059980005</c:v>
                      </c:pt>
                      <c:pt idx="16">
                        <c:v>533.32390374760007</c:v>
                      </c:pt>
                      <c:pt idx="17">
                        <c:v>499.55089035429995</c:v>
                      </c:pt>
                      <c:pt idx="18">
                        <c:v>528.73832901029994</c:v>
                      </c:pt>
                      <c:pt idx="19">
                        <c:v>490.70109649670002</c:v>
                      </c:pt>
                      <c:pt idx="20">
                        <c:v>323.33087632759998</c:v>
                      </c:pt>
                      <c:pt idx="21">
                        <c:v>206.4912152885</c:v>
                      </c:pt>
                      <c:pt idx="22">
                        <c:v>511.23107271650002</c:v>
                      </c:pt>
                      <c:pt idx="23">
                        <c:v>325.33881357130002</c:v>
                      </c:pt>
                      <c:pt idx="24">
                        <c:v>450.15635536169998</c:v>
                      </c:pt>
                      <c:pt idx="25">
                        <c:v>556.89752297990003</c:v>
                      </c:pt>
                      <c:pt idx="26">
                        <c:v>544.6683316351</c:v>
                      </c:pt>
                      <c:pt idx="27">
                        <c:v>578.2722618104001</c:v>
                      </c:pt>
                      <c:pt idx="28">
                        <c:v>419.40142006069999</c:v>
                      </c:pt>
                      <c:pt idx="29">
                        <c:v>184.0157353486</c:v>
                      </c:pt>
                      <c:pt idx="30">
                        <c:v>362.87184001179997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3F-48B1-A695-E56410E9FE42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Diaria!$F$3</c15:sqref>
                        </c15:formulaRef>
                      </c:ext>
                    </c:extLst>
                    <c:strCache>
                      <c:ptCount val="1"/>
                      <c:pt idx="0">
                        <c:v>MARZO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Diaria!$A$5:$A$35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Diaria!$F$5:$F$35</c15:sqref>
                        </c15:formulaRef>
                      </c:ext>
                    </c:extLst>
                    <c:numCache>
                      <c:formatCode>#,##0.00</c:formatCode>
                      <c:ptCount val="31"/>
                      <c:pt idx="0">
                        <c:v>634.87030863810003</c:v>
                      </c:pt>
                      <c:pt idx="1">
                        <c:v>619.69376562520006</c:v>
                      </c:pt>
                      <c:pt idx="2">
                        <c:v>650.4032794707</c:v>
                      </c:pt>
                      <c:pt idx="3">
                        <c:v>505.75006319639999</c:v>
                      </c:pt>
                      <c:pt idx="4">
                        <c:v>606.83041183509999</c:v>
                      </c:pt>
                      <c:pt idx="5">
                        <c:v>651.82459416229995</c:v>
                      </c:pt>
                      <c:pt idx="6">
                        <c:v>501.87605662959999</c:v>
                      </c:pt>
                      <c:pt idx="7">
                        <c:v>589.25622425469999</c:v>
                      </c:pt>
                      <c:pt idx="8">
                        <c:v>646.36253654500001</c:v>
                      </c:pt>
                      <c:pt idx="9">
                        <c:v>631.18664054919998</c:v>
                      </c:pt>
                      <c:pt idx="10">
                        <c:v>581.9536396643</c:v>
                      </c:pt>
                      <c:pt idx="11">
                        <c:v>610.68377435319996</c:v>
                      </c:pt>
                      <c:pt idx="12">
                        <c:v>677.10406417870001</c:v>
                      </c:pt>
                      <c:pt idx="13">
                        <c:v>679.55872477399998</c:v>
                      </c:pt>
                      <c:pt idx="14">
                        <c:v>571.12254928589994</c:v>
                      </c:pt>
                      <c:pt idx="15">
                        <c:v>581.66532110629998</c:v>
                      </c:pt>
                      <c:pt idx="16">
                        <c:v>605.95877310239996</c:v>
                      </c:pt>
                      <c:pt idx="17">
                        <c:v>569.28102311739997</c:v>
                      </c:pt>
                      <c:pt idx="18">
                        <c:v>539.49596877409999</c:v>
                      </c:pt>
                      <c:pt idx="19">
                        <c:v>554.29824141559993</c:v>
                      </c:pt>
                      <c:pt idx="20">
                        <c:v>532.35708395799998</c:v>
                      </c:pt>
                      <c:pt idx="21">
                        <c:v>557.93184245899999</c:v>
                      </c:pt>
                      <c:pt idx="22">
                        <c:v>632.63132838540002</c:v>
                      </c:pt>
                      <c:pt idx="23">
                        <c:v>566.45422657799998</c:v>
                      </c:pt>
                      <c:pt idx="24">
                        <c:v>376.93190192290001</c:v>
                      </c:pt>
                      <c:pt idx="25">
                        <c:v>505.3247229502</c:v>
                      </c:pt>
                      <c:pt idx="26">
                        <c:v>679.23486867939994</c:v>
                      </c:pt>
                      <c:pt idx="27">
                        <c:v>719.39138929029991</c:v>
                      </c:pt>
                      <c:pt idx="28">
                        <c:v>672.00425353269998</c:v>
                      </c:pt>
                      <c:pt idx="29">
                        <c:v>142.2360418735</c:v>
                      </c:pt>
                      <c:pt idx="30">
                        <c:v>519.73009021070004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43F-48B1-A695-E56410E9FE42}"/>
                  </c:ext>
                </c:extLst>
              </c15:ser>
            </c15:filteredLineSeries>
            <c15:filteredLineSeries>
              <c15:ser>
                <c:idx val="9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Diaria!$D$3:$E$3</c15:sqref>
                        </c15:formulaRef>
                      </c:ext>
                    </c:extLst>
                    <c:strCache>
                      <c:ptCount val="2"/>
                      <c:pt idx="0">
                        <c:v>FEBRERO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Diaria!$A$5:$A$35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Diaria!$D$5:$D$33</c15:sqref>
                        </c15:formulaRef>
                      </c:ext>
                    </c:extLst>
                    <c:numCache>
                      <c:formatCode>#,##0.00</c:formatCode>
                      <c:ptCount val="29"/>
                      <c:pt idx="0">
                        <c:v>321.68411797010003</c:v>
                      </c:pt>
                      <c:pt idx="1">
                        <c:v>116.8619389956</c:v>
                      </c:pt>
                      <c:pt idx="2">
                        <c:v>314.97116590109999</c:v>
                      </c:pt>
                      <c:pt idx="3">
                        <c:v>444.71950055970001</c:v>
                      </c:pt>
                      <c:pt idx="4">
                        <c:v>445.76227996810002</c:v>
                      </c:pt>
                      <c:pt idx="5">
                        <c:v>247.458954758</c:v>
                      </c:pt>
                      <c:pt idx="6">
                        <c:v>479.94789057949998</c:v>
                      </c:pt>
                      <c:pt idx="7">
                        <c:v>403.2715475956</c:v>
                      </c:pt>
                      <c:pt idx="8">
                        <c:v>571.17043444370006</c:v>
                      </c:pt>
                      <c:pt idx="9">
                        <c:v>537.05913980520006</c:v>
                      </c:pt>
                      <c:pt idx="10">
                        <c:v>592.63151112040009</c:v>
                      </c:pt>
                      <c:pt idx="11">
                        <c:v>566.26185504939997</c:v>
                      </c:pt>
                      <c:pt idx="12">
                        <c:v>472.77117224329999</c:v>
                      </c:pt>
                      <c:pt idx="13">
                        <c:v>495.4555448154</c:v>
                      </c:pt>
                      <c:pt idx="14">
                        <c:v>428.49763594080002</c:v>
                      </c:pt>
                      <c:pt idx="15">
                        <c:v>523.07036035980002</c:v>
                      </c:pt>
                      <c:pt idx="16">
                        <c:v>455.72814125089997</c:v>
                      </c:pt>
                      <c:pt idx="17">
                        <c:v>495.78206341220005</c:v>
                      </c:pt>
                      <c:pt idx="18">
                        <c:v>486.1419910358</c:v>
                      </c:pt>
                      <c:pt idx="19">
                        <c:v>466.6537163072</c:v>
                      </c:pt>
                      <c:pt idx="20">
                        <c:v>186.49234371930001</c:v>
                      </c:pt>
                      <c:pt idx="21">
                        <c:v>549.91546262749989</c:v>
                      </c:pt>
                      <c:pt idx="22">
                        <c:v>613.31221092470003</c:v>
                      </c:pt>
                      <c:pt idx="23">
                        <c:v>524.47771230560011</c:v>
                      </c:pt>
                      <c:pt idx="24">
                        <c:v>492.79666217089999</c:v>
                      </c:pt>
                      <c:pt idx="25">
                        <c:v>347.36793931599999</c:v>
                      </c:pt>
                      <c:pt idx="26">
                        <c:v>222.8631717717</c:v>
                      </c:pt>
                      <c:pt idx="27">
                        <c:v>570.91164254789999</c:v>
                      </c:pt>
                      <c:pt idx="28">
                        <c:v>621.63446225760003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F0A-4A9E-8EA0-638EF1AA1525}"/>
                  </c:ext>
                </c:extLst>
              </c15:ser>
            </c15:filteredLineSeries>
            <c15:filteredLineSeries>
              <c15:ser>
                <c:idx val="10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Diaria!$H$3:$I$3</c15:sqref>
                        </c15:formulaRef>
                      </c:ext>
                    </c:extLst>
                    <c:strCache>
                      <c:ptCount val="2"/>
                      <c:pt idx="0">
                        <c:v>ABRIL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Diaria!$H$5:$H$34</c15:sqref>
                        </c15:formulaRef>
                      </c:ext>
                    </c:extLst>
                    <c:numCache>
                      <c:formatCode>#,##0.00</c:formatCode>
                      <c:ptCount val="30"/>
                      <c:pt idx="0">
                        <c:v>711.92919487120002</c:v>
                      </c:pt>
                      <c:pt idx="1">
                        <c:v>725.48774157960008</c:v>
                      </c:pt>
                      <c:pt idx="2">
                        <c:v>702.14053176200002</c:v>
                      </c:pt>
                      <c:pt idx="3">
                        <c:v>561.64168003869997</c:v>
                      </c:pt>
                      <c:pt idx="4">
                        <c:v>518.68243384699997</c:v>
                      </c:pt>
                      <c:pt idx="5">
                        <c:v>501.093997151</c:v>
                      </c:pt>
                      <c:pt idx="6">
                        <c:v>525.79304282359999</c:v>
                      </c:pt>
                      <c:pt idx="7">
                        <c:v>499.94669981020002</c:v>
                      </c:pt>
                      <c:pt idx="8">
                        <c:v>162.66470944229999</c:v>
                      </c:pt>
                      <c:pt idx="9">
                        <c:v>687.91392682679998</c:v>
                      </c:pt>
                      <c:pt idx="10">
                        <c:v>728.10096669799998</c:v>
                      </c:pt>
                      <c:pt idx="11">
                        <c:v>676.18197307880007</c:v>
                      </c:pt>
                      <c:pt idx="12">
                        <c:v>597.58471508740001</c:v>
                      </c:pt>
                      <c:pt idx="13">
                        <c:v>495.00324090610002</c:v>
                      </c:pt>
                      <c:pt idx="14">
                        <c:v>516.11674803829999</c:v>
                      </c:pt>
                      <c:pt idx="15">
                        <c:v>255.69699337599999</c:v>
                      </c:pt>
                      <c:pt idx="16">
                        <c:v>616.24635858639999</c:v>
                      </c:pt>
                      <c:pt idx="17">
                        <c:v>501.3151096496</c:v>
                      </c:pt>
                      <c:pt idx="18">
                        <c:v>504.02564380379999</c:v>
                      </c:pt>
                      <c:pt idx="19">
                        <c:v>705.14025521279996</c:v>
                      </c:pt>
                      <c:pt idx="20">
                        <c:v>657.32277545229999</c:v>
                      </c:pt>
                      <c:pt idx="21">
                        <c:v>570.10274418659992</c:v>
                      </c:pt>
                      <c:pt idx="22">
                        <c:v>710.29585919810006</c:v>
                      </c:pt>
                      <c:pt idx="23">
                        <c:v>436.1542010942</c:v>
                      </c:pt>
                      <c:pt idx="24">
                        <c:v>422.28377004999999</c:v>
                      </c:pt>
                      <c:pt idx="25">
                        <c:v>334.50573062170002</c:v>
                      </c:pt>
                      <c:pt idx="26">
                        <c:v>436.46992641080004</c:v>
                      </c:pt>
                      <c:pt idx="27">
                        <c:v>254.06673232099999</c:v>
                      </c:pt>
                      <c:pt idx="28">
                        <c:v>486.21838096620002</c:v>
                      </c:pt>
                      <c:pt idx="29">
                        <c:v>652.42533391339998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3CB-4ADE-88EF-E8215C100933}"/>
                  </c:ext>
                </c:extLst>
              </c15:ser>
            </c15:filteredLineSeries>
            <c15:filteredLine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Diaria!$J$3:$K$3</c15:sqref>
                        </c15:formulaRef>
                      </c:ext>
                    </c:extLst>
                    <c:strCache>
                      <c:ptCount val="2"/>
                      <c:pt idx="0">
                        <c:v>MAYO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Diaria!$J$5:$J$35</c15:sqref>
                        </c15:formulaRef>
                      </c:ext>
                    </c:extLst>
                    <c:numCache>
                      <c:formatCode>#,##0.00</c:formatCode>
                      <c:ptCount val="31"/>
                      <c:pt idx="0">
                        <c:v>430.12770670909998</c:v>
                      </c:pt>
                      <c:pt idx="1">
                        <c:v>332.44387644750003</c:v>
                      </c:pt>
                      <c:pt idx="2">
                        <c:v>444.89301121020003</c:v>
                      </c:pt>
                      <c:pt idx="3">
                        <c:v>492.55704914949996</c:v>
                      </c:pt>
                      <c:pt idx="4">
                        <c:v>592.89873163279992</c:v>
                      </c:pt>
                      <c:pt idx="5">
                        <c:v>530.61355818129994</c:v>
                      </c:pt>
                      <c:pt idx="6">
                        <c:v>650.97415843509998</c:v>
                      </c:pt>
                      <c:pt idx="7">
                        <c:v>652.57390877930004</c:v>
                      </c:pt>
                      <c:pt idx="8">
                        <c:v>678.50174409919998</c:v>
                      </c:pt>
                      <c:pt idx="9">
                        <c:v>651.49856887869998</c:v>
                      </c:pt>
                      <c:pt idx="10">
                        <c:v>672.56598603489999</c:v>
                      </c:pt>
                      <c:pt idx="11">
                        <c:v>714.91258639549994</c:v>
                      </c:pt>
                      <c:pt idx="12">
                        <c:v>714.10737082540004</c:v>
                      </c:pt>
                      <c:pt idx="13">
                        <c:v>703.10876786849997</c:v>
                      </c:pt>
                      <c:pt idx="14">
                        <c:v>695.26145284309996</c:v>
                      </c:pt>
                      <c:pt idx="15">
                        <c:v>686.82908091759998</c:v>
                      </c:pt>
                      <c:pt idx="16">
                        <c:v>688.8874274451</c:v>
                      </c:pt>
                      <c:pt idx="17">
                        <c:v>670.5397519073</c:v>
                      </c:pt>
                      <c:pt idx="18">
                        <c:v>702.76399498029991</c:v>
                      </c:pt>
                      <c:pt idx="19">
                        <c:v>570.36418500169998</c:v>
                      </c:pt>
                      <c:pt idx="20">
                        <c:v>417.62065503709999</c:v>
                      </c:pt>
                      <c:pt idx="21">
                        <c:v>113.9581846776</c:v>
                      </c:pt>
                      <c:pt idx="22">
                        <c:v>329.3875837594</c:v>
                      </c:pt>
                      <c:pt idx="23">
                        <c:v>415.10671090200003</c:v>
                      </c:pt>
                      <c:pt idx="24">
                        <c:v>422.05407815760003</c:v>
                      </c:pt>
                      <c:pt idx="25">
                        <c:v>462.29772734560004</c:v>
                      </c:pt>
                      <c:pt idx="26">
                        <c:v>451.26050926050004</c:v>
                      </c:pt>
                      <c:pt idx="27">
                        <c:v>334.1848762477</c:v>
                      </c:pt>
                      <c:pt idx="28">
                        <c:v>413.81877881460002</c:v>
                      </c:pt>
                      <c:pt idx="29">
                        <c:v>557.06122008199998</c:v>
                      </c:pt>
                      <c:pt idx="30">
                        <c:v>373.65848905190001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AA-4B1E-A668-C769255A69D6}"/>
                  </c:ext>
                </c:extLst>
              </c15:ser>
            </c15:filteredLineSeries>
            <c15:filteredLine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Diaria!$L$3:$M$3</c15:sqref>
                        </c15:formulaRef>
                      </c:ext>
                    </c:extLst>
                    <c:strCache>
                      <c:ptCount val="2"/>
                      <c:pt idx="0">
                        <c:v>JUNIO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Diaria!$L$5:$L$34</c15:sqref>
                        </c15:formulaRef>
                      </c:ext>
                    </c:extLst>
                    <c:numCache>
                      <c:formatCode>#,##0.00</c:formatCode>
                      <c:ptCount val="30"/>
                      <c:pt idx="0">
                        <c:v>222.3589771844</c:v>
                      </c:pt>
                      <c:pt idx="1">
                        <c:v>298.88339366230002</c:v>
                      </c:pt>
                      <c:pt idx="2">
                        <c:v>383.19984090000003</c:v>
                      </c:pt>
                      <c:pt idx="3">
                        <c:v>455.03580769109999</c:v>
                      </c:pt>
                      <c:pt idx="4">
                        <c:v>430.17029975449998</c:v>
                      </c:pt>
                      <c:pt idx="5">
                        <c:v>514.74330927640005</c:v>
                      </c:pt>
                      <c:pt idx="6">
                        <c:v>344.3090191142</c:v>
                      </c:pt>
                      <c:pt idx="7">
                        <c:v>579.4299711914</c:v>
                      </c:pt>
                      <c:pt idx="8">
                        <c:v>650.71247416740005</c:v>
                      </c:pt>
                      <c:pt idx="9">
                        <c:v>630.03277593090002</c:v>
                      </c:pt>
                      <c:pt idx="10">
                        <c:v>705.67151577959999</c:v>
                      </c:pt>
                      <c:pt idx="11">
                        <c:v>720.07450689760003</c:v>
                      </c:pt>
                      <c:pt idx="12">
                        <c:v>696.32039605720001</c:v>
                      </c:pt>
                      <c:pt idx="13">
                        <c:v>736.58396233799999</c:v>
                      </c:pt>
                      <c:pt idx="14">
                        <c:v>693.903735278</c:v>
                      </c:pt>
                      <c:pt idx="15">
                        <c:v>544.10967427909998</c:v>
                      </c:pt>
                      <c:pt idx="16">
                        <c:v>523.86289844470002</c:v>
                      </c:pt>
                      <c:pt idx="17">
                        <c:v>362.83847056550002</c:v>
                      </c:pt>
                      <c:pt idx="18">
                        <c:v>578.01323886110004</c:v>
                      </c:pt>
                      <c:pt idx="19">
                        <c:v>474.08352281400005</c:v>
                      </c:pt>
                      <c:pt idx="20">
                        <c:v>518.78233810609993</c:v>
                      </c:pt>
                      <c:pt idx="21">
                        <c:v>640.66242153970006</c:v>
                      </c:pt>
                      <c:pt idx="22">
                        <c:v>534.56401567559999</c:v>
                      </c:pt>
                      <c:pt idx="23">
                        <c:v>572.36457611879996</c:v>
                      </c:pt>
                      <c:pt idx="24">
                        <c:v>620.46045861089999</c:v>
                      </c:pt>
                      <c:pt idx="25">
                        <c:v>595.63575668379997</c:v>
                      </c:pt>
                      <c:pt idx="26">
                        <c:v>657.60326673320003</c:v>
                      </c:pt>
                      <c:pt idx="27">
                        <c:v>622.87955844139992</c:v>
                      </c:pt>
                      <c:pt idx="28">
                        <c:v>651.53269786119995</c:v>
                      </c:pt>
                      <c:pt idx="29">
                        <c:v>558.48732424550008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2E7-4466-88D4-F5E7F0C15F59}"/>
                  </c:ext>
                </c:extLst>
              </c15:ser>
            </c15:filteredLineSeries>
            <c15:filteredLine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Diaria!$N$3:$Q$3</c15:sqref>
                        </c15:formulaRef>
                      </c:ext>
                    </c:extLst>
                    <c:strCache>
                      <c:ptCount val="2"/>
                      <c:pt idx="0">
                        <c:v>JULIO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Diaria!$N$5:$N$35</c15:sqref>
                        </c15:formulaRef>
                      </c:ext>
                    </c:extLst>
                    <c:numCache>
                      <c:formatCode>#,##0.00</c:formatCode>
                      <c:ptCount val="31"/>
                      <c:pt idx="0">
                        <c:v>641.62882144130003</c:v>
                      </c:pt>
                      <c:pt idx="1">
                        <c:v>389.87709933410002</c:v>
                      </c:pt>
                      <c:pt idx="2">
                        <c:v>351.75771674250001</c:v>
                      </c:pt>
                      <c:pt idx="3">
                        <c:v>624.14880402439996</c:v>
                      </c:pt>
                      <c:pt idx="4">
                        <c:v>431.24415078340002</c:v>
                      </c:pt>
                      <c:pt idx="5">
                        <c:v>625.01234526259998</c:v>
                      </c:pt>
                      <c:pt idx="6">
                        <c:v>633.10729608200006</c:v>
                      </c:pt>
                      <c:pt idx="7">
                        <c:v>648.77863719959998</c:v>
                      </c:pt>
                      <c:pt idx="8">
                        <c:v>475.70158174930003</c:v>
                      </c:pt>
                      <c:pt idx="9">
                        <c:v>382.63576450760002</c:v>
                      </c:pt>
                      <c:pt idx="10">
                        <c:v>682.24406336899995</c:v>
                      </c:pt>
                      <c:pt idx="11">
                        <c:v>733.17190663550002</c:v>
                      </c:pt>
                      <c:pt idx="12">
                        <c:v>424.33773780839999</c:v>
                      </c:pt>
                      <c:pt idx="13">
                        <c:v>525.42781939439999</c:v>
                      </c:pt>
                      <c:pt idx="14">
                        <c:v>685.27285857419997</c:v>
                      </c:pt>
                      <c:pt idx="15">
                        <c:v>724.09447279970004</c:v>
                      </c:pt>
                      <c:pt idx="16">
                        <c:v>597.90716709999992</c:v>
                      </c:pt>
                      <c:pt idx="17">
                        <c:v>561.2195530555</c:v>
                      </c:pt>
                      <c:pt idx="18">
                        <c:v>604.38451986710004</c:v>
                      </c:pt>
                      <c:pt idx="19">
                        <c:v>295.31457342109996</c:v>
                      </c:pt>
                      <c:pt idx="20">
                        <c:v>642.5861391894</c:v>
                      </c:pt>
                      <c:pt idx="21">
                        <c:v>570.35188769530009</c:v>
                      </c:pt>
                      <c:pt idx="22">
                        <c:v>698.42537936470001</c:v>
                      </c:pt>
                      <c:pt idx="23">
                        <c:v>671.29540515959991</c:v>
                      </c:pt>
                      <c:pt idx="24">
                        <c:v>460.20827034000001</c:v>
                      </c:pt>
                      <c:pt idx="25">
                        <c:v>400.34331582269999</c:v>
                      </c:pt>
                      <c:pt idx="26">
                        <c:v>420.94459037029998</c:v>
                      </c:pt>
                      <c:pt idx="27">
                        <c:v>411.67418472269998</c:v>
                      </c:pt>
                      <c:pt idx="28">
                        <c:v>605.0827351872</c:v>
                      </c:pt>
                      <c:pt idx="29">
                        <c:v>654.15038867440001</c:v>
                      </c:pt>
                      <c:pt idx="30">
                        <c:v>698.68184483990001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C81-40DF-B9E6-2EF4AEE02F86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Diaria!$R$3</c15:sqref>
                        </c15:formulaRef>
                      </c:ext>
                    </c:extLst>
                    <c:strCache>
                      <c:ptCount val="1"/>
                      <c:pt idx="0">
                        <c:v>AGOSTO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Diaria!$R$5:$R$35</c15:sqref>
                        </c15:formulaRef>
                      </c:ext>
                    </c:extLst>
                    <c:numCache>
                      <c:formatCode>#,##0.00</c:formatCode>
                      <c:ptCount val="31"/>
                      <c:pt idx="0">
                        <c:v>320.938749304</c:v>
                      </c:pt>
                      <c:pt idx="1">
                        <c:v>543.70542506449999</c:v>
                      </c:pt>
                      <c:pt idx="2">
                        <c:v>703.94887763320003</c:v>
                      </c:pt>
                      <c:pt idx="3">
                        <c:v>709.9933598225</c:v>
                      </c:pt>
                      <c:pt idx="4">
                        <c:v>670.18602393169999</c:v>
                      </c:pt>
                      <c:pt idx="5">
                        <c:v>671.11902544060001</c:v>
                      </c:pt>
                      <c:pt idx="6">
                        <c:v>574.18669723010009</c:v>
                      </c:pt>
                      <c:pt idx="7">
                        <c:v>652.40518994199999</c:v>
                      </c:pt>
                      <c:pt idx="8">
                        <c:v>687.69716732070003</c:v>
                      </c:pt>
                      <c:pt idx="9">
                        <c:v>654.76839035839998</c:v>
                      </c:pt>
                      <c:pt idx="10">
                        <c:v>662.00362765540001</c:v>
                      </c:pt>
                      <c:pt idx="11">
                        <c:v>616.77536173279998</c:v>
                      </c:pt>
                      <c:pt idx="12">
                        <c:v>618.21770798529997</c:v>
                      </c:pt>
                      <c:pt idx="13">
                        <c:v>519.52998191839993</c:v>
                      </c:pt>
                      <c:pt idx="14">
                        <c:v>489.94234284250001</c:v>
                      </c:pt>
                      <c:pt idx="15">
                        <c:v>539.77285438200011</c:v>
                      </c:pt>
                      <c:pt idx="16">
                        <c:v>641.97527887779995</c:v>
                      </c:pt>
                      <c:pt idx="17">
                        <c:v>537.23730901609997</c:v>
                      </c:pt>
                      <c:pt idx="18">
                        <c:v>660.13409111670001</c:v>
                      </c:pt>
                      <c:pt idx="19">
                        <c:v>686.09165607499995</c:v>
                      </c:pt>
                      <c:pt idx="20">
                        <c:v>659.71091746160005</c:v>
                      </c:pt>
                      <c:pt idx="21">
                        <c:v>579.27693250849995</c:v>
                      </c:pt>
                      <c:pt idx="22">
                        <c:v>627.24295433930001</c:v>
                      </c:pt>
                      <c:pt idx="23">
                        <c:v>681.34482697750002</c:v>
                      </c:pt>
                      <c:pt idx="24">
                        <c:v>708.96554411080001</c:v>
                      </c:pt>
                      <c:pt idx="25">
                        <c:v>671.92837736939998</c:v>
                      </c:pt>
                      <c:pt idx="26">
                        <c:v>680.37642123240005</c:v>
                      </c:pt>
                      <c:pt idx="27">
                        <c:v>675.42529123049997</c:v>
                      </c:pt>
                      <c:pt idx="28">
                        <c:v>595.79935934989999</c:v>
                      </c:pt>
                      <c:pt idx="29">
                        <c:v>654.73901876699995</c:v>
                      </c:pt>
                      <c:pt idx="30">
                        <c:v>596.95734997559998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A4F-4CE6-A6C0-726490895B51}"/>
                  </c:ext>
                </c:extLst>
              </c15:ser>
            </c15:filteredLineSeries>
          </c:ext>
        </c:extLst>
      </c:lineChart>
      <c:catAx>
        <c:axId val="14886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GENERACIÓN DIARIA VS</a:t>
            </a:r>
            <a:r>
              <a:rPr lang="en-US" b="1" baseline="0"/>
              <a:t> IRRADIANCIA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Diaria!$AH$4</c:f>
              <c:strCache>
                <c:ptCount val="1"/>
                <c:pt idx="0">
                  <c:v>Potencia (MWh)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[0]!GM</c:f>
              <c:numCache>
                <c:formatCode>#,##0.00</c:formatCode>
                <c:ptCount val="26"/>
                <c:pt idx="0">
                  <c:v>495.41</c:v>
                </c:pt>
                <c:pt idx="1">
                  <c:v>472.31</c:v>
                </c:pt>
                <c:pt idx="2">
                  <c:v>460.68</c:v>
                </c:pt>
                <c:pt idx="3">
                  <c:v>194.34</c:v>
                </c:pt>
                <c:pt idx="4">
                  <c:v>432.55</c:v>
                </c:pt>
                <c:pt idx="5">
                  <c:v>494.54</c:v>
                </c:pt>
                <c:pt idx="6">
                  <c:v>457.99</c:v>
                </c:pt>
                <c:pt idx="7">
                  <c:v>453.57</c:v>
                </c:pt>
                <c:pt idx="8">
                  <c:v>350.03</c:v>
                </c:pt>
                <c:pt idx="9">
                  <c:v>350.72</c:v>
                </c:pt>
                <c:pt idx="10">
                  <c:v>508.11</c:v>
                </c:pt>
                <c:pt idx="11">
                  <c:v>391.46</c:v>
                </c:pt>
                <c:pt idx="12">
                  <c:v>355.01</c:v>
                </c:pt>
                <c:pt idx="13">
                  <c:v>159.97999999999999</c:v>
                </c:pt>
                <c:pt idx="14">
                  <c:v>413.48</c:v>
                </c:pt>
                <c:pt idx="15">
                  <c:v>377.76</c:v>
                </c:pt>
                <c:pt idx="16">
                  <c:v>490.82</c:v>
                </c:pt>
                <c:pt idx="17">
                  <c:v>457.93</c:v>
                </c:pt>
                <c:pt idx="18">
                  <c:v>473.03</c:v>
                </c:pt>
                <c:pt idx="19">
                  <c:v>294.48</c:v>
                </c:pt>
                <c:pt idx="20">
                  <c:v>265.73</c:v>
                </c:pt>
                <c:pt idx="21">
                  <c:v>298.37</c:v>
                </c:pt>
                <c:pt idx="22">
                  <c:v>168.23</c:v>
                </c:pt>
                <c:pt idx="23">
                  <c:v>398.12</c:v>
                </c:pt>
                <c:pt idx="24">
                  <c:v>335.85</c:v>
                </c:pt>
                <c:pt idx="25">
                  <c:v>381.99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9-4954-B4F4-A40D2C3EB6C2}"/>
            </c:ext>
          </c:extLst>
        </c:ser>
        <c:ser>
          <c:idx val="1"/>
          <c:order val="1"/>
          <c:tx>
            <c:strRef>
              <c:f>Diaria!$AK$4</c:f>
              <c:strCache>
                <c:ptCount val="1"/>
                <c:pt idx="0">
                  <c:v>Irradiancia (Watts/m2)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[0]!IM</c:f>
              <c:numCache>
                <c:formatCode>#,##0.00</c:formatCode>
                <c:ptCount val="26"/>
                <c:pt idx="0">
                  <c:v>647.73677419354829</c:v>
                </c:pt>
                <c:pt idx="1">
                  <c:v>619.41967741935468</c:v>
                </c:pt>
                <c:pt idx="2">
                  <c:v>590.80857142857133</c:v>
                </c:pt>
                <c:pt idx="3">
                  <c:v>224.79173553719005</c:v>
                </c:pt>
                <c:pt idx="4">
                  <c:v>530.09531249999998</c:v>
                </c:pt>
                <c:pt idx="5">
                  <c:v>628.32843749999995</c:v>
                </c:pt>
                <c:pt idx="6">
                  <c:v>602.59968000000015</c:v>
                </c:pt>
                <c:pt idx="7">
                  <c:v>587.06476190476189</c:v>
                </c:pt>
                <c:pt idx="8">
                  <c:v>440.02110236220483</c:v>
                </c:pt>
                <c:pt idx="9">
                  <c:v>445.10496000000012</c:v>
                </c:pt>
                <c:pt idx="10">
                  <c:v>655.07333333333338</c:v>
                </c:pt>
                <c:pt idx="11">
                  <c:v>488.31590551181108</c:v>
                </c:pt>
                <c:pt idx="12">
                  <c:v>453.05365853658537</c:v>
                </c:pt>
                <c:pt idx="13">
                  <c:v>190.18721311475412</c:v>
                </c:pt>
                <c:pt idx="14">
                  <c:v>542.20264462809905</c:v>
                </c:pt>
                <c:pt idx="15">
                  <c:v>493.09354838709675</c:v>
                </c:pt>
                <c:pt idx="16">
                  <c:v>647.69365853658542</c:v>
                </c:pt>
                <c:pt idx="17">
                  <c:v>596.83219512195126</c:v>
                </c:pt>
                <c:pt idx="18">
                  <c:v>608.11295999999993</c:v>
                </c:pt>
                <c:pt idx="19">
                  <c:v>388.85225806451609</c:v>
                </c:pt>
                <c:pt idx="20">
                  <c:v>333.7878688524591</c:v>
                </c:pt>
                <c:pt idx="21">
                  <c:v>366.21887999999996</c:v>
                </c:pt>
                <c:pt idx="22">
                  <c:v>196.03081967213112</c:v>
                </c:pt>
                <c:pt idx="23">
                  <c:v>503.90400000000005</c:v>
                </c:pt>
                <c:pt idx="24">
                  <c:v>502.8304761904763</c:v>
                </c:pt>
                <c:pt idx="25">
                  <c:v>497.17645161290318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E-4DD5-8DC8-3A44AFDB2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64639"/>
        <c:axId val="148851199"/>
        <c:extLst/>
      </c:lineChart>
      <c:catAx>
        <c:axId val="14886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 VS GENERACIÓN REAL diaria DEL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Diaria!$AH$4</c:f>
              <c:strCache>
                <c:ptCount val="1"/>
                <c:pt idx="0">
                  <c:v>Potencia (MWh)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[0]!GD</c:f>
              <c:numCache>
                <c:formatCode>#,##0.00</c:formatCode>
                <c:ptCount val="1"/>
                <c:pt idx="0">
                  <c:v>381.99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A-4FF7-886E-37490AB08DEF}"/>
            </c:ext>
          </c:extLst>
        </c:ser>
        <c:ser>
          <c:idx val="0"/>
          <c:order val="1"/>
          <c:tx>
            <c:strRef>
              <c:f>Diaria!$O$4</c:f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Diaria!$S$5</c:f>
            </c:numRef>
          </c:val>
          <c:extLst>
            <c:ext xmlns:c16="http://schemas.microsoft.com/office/drawing/2014/chart" uri="{C3380CC4-5D6E-409C-BE32-E72D297353CC}">
              <c16:uniqueId val="{00000000-CD83-42BC-899A-EFF6E2F2EE9C}"/>
            </c:ext>
          </c:extLst>
        </c:ser>
        <c:ser>
          <c:idx val="2"/>
          <c:order val="2"/>
          <c:tx>
            <c:strRef>
              <c:f>Diaria!$W$4</c:f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Diaria!$W$5</c:f>
            </c:numRef>
          </c:val>
          <c:extLst>
            <c:ext xmlns:c16="http://schemas.microsoft.com/office/drawing/2014/chart" uri="{C3380CC4-5D6E-409C-BE32-E72D297353CC}">
              <c16:uniqueId val="{00000000-5042-4C83-A841-D7A0ED663DE7}"/>
            </c:ext>
          </c:extLst>
        </c:ser>
        <c:ser>
          <c:idx val="3"/>
          <c:order val="3"/>
          <c:tx>
            <c:strRef>
              <c:f>Diaria!$AA$4</c:f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Diaria!$AA$5</c:f>
            </c:numRef>
          </c:val>
          <c:extLst>
            <c:ext xmlns:c16="http://schemas.microsoft.com/office/drawing/2014/chart" uri="{C3380CC4-5D6E-409C-BE32-E72D297353CC}">
              <c16:uniqueId val="{00000000-30FB-424E-B75D-A1FB42FE5676}"/>
            </c:ext>
          </c:extLst>
        </c:ser>
        <c:ser>
          <c:idx val="4"/>
          <c:order val="4"/>
          <c:tx>
            <c:strRef>
              <c:f>Diaria!$AI$4</c:f>
              <c:strCache>
                <c:ptCount val="1"/>
                <c:pt idx="0">
                  <c:v>Potencia (MWh) (Proyecccion)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Diaria!$AI$5</c:f>
              <c:numCache>
                <c:formatCode>#,##0.00</c:formatCode>
                <c:ptCount val="1"/>
                <c:pt idx="0">
                  <c:v>505.27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1-4446-8105-E287B315FA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48864639"/>
        <c:axId val="148851199"/>
        <c:extLst/>
      </c:barChart>
      <c:catAx>
        <c:axId val="1488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GENERACIÓN MENSUAL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14"/>
          <c:tx>
            <c:strRef>
              <c:f>Mensual!$W$3</c:f>
              <c:strCache>
                <c:ptCount val="1"/>
                <c:pt idx="0">
                  <c:v>Agosto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Mensual!$W$36</c:f>
              <c:numCache>
                <c:formatCode>#,##0.00</c:formatCode>
                <c:ptCount val="1"/>
                <c:pt idx="0">
                  <c:v>19.292396110972195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02-4FE7-8AA0-32F7EC5EE953}"/>
            </c:ext>
          </c:extLst>
        </c:ser>
        <c:ser>
          <c:idx val="15"/>
          <c:order val="15"/>
          <c:tx>
            <c:strRef>
              <c:f>Mensual!$X$4</c:f>
              <c:strCache>
                <c:ptCount val="1"/>
                <c:pt idx="0">
                  <c:v>Proyeccion Agosto  (GWh)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Mensual!$X$36</c:f>
              <c:numCache>
                <c:formatCode>#,##0.00</c:formatCode>
                <c:ptCount val="1"/>
                <c:pt idx="0">
                  <c:v>15.869830000000006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02-4FE7-8AA0-32F7EC5EE953}"/>
            </c:ext>
          </c:extLst>
        </c:ser>
        <c:ser>
          <c:idx val="16"/>
          <c:order val="16"/>
          <c:tx>
            <c:strRef>
              <c:f>Mensual!$Z$3</c:f>
              <c:strCache>
                <c:ptCount val="1"/>
                <c:pt idx="0">
                  <c:v>SEPTIEMBRE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Mensual!$Z$36</c:f>
              <c:numCache>
                <c:formatCode>#,##0.00</c:formatCode>
                <c:ptCount val="1"/>
                <c:pt idx="0">
                  <c:v>16.5870187019414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69-4185-8532-7090620E0CDA}"/>
            </c:ext>
          </c:extLst>
        </c:ser>
        <c:ser>
          <c:idx val="17"/>
          <c:order val="17"/>
          <c:tx>
            <c:strRef>
              <c:f>Mensual!$AA$4</c:f>
              <c:strCache>
                <c:ptCount val="1"/>
                <c:pt idx="0">
                  <c:v>Proyeccion SEPTIEMBRE  (GWh)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Mensual!$AA$36</c:f>
              <c:numCache>
                <c:formatCode>#,##0.00</c:formatCode>
                <c:ptCount val="1"/>
                <c:pt idx="0">
                  <c:v>15.801599999999993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69-4185-8532-7090620E0CDA}"/>
            </c:ext>
          </c:extLst>
        </c:ser>
        <c:ser>
          <c:idx val="18"/>
          <c:order val="18"/>
          <c:tx>
            <c:strRef>
              <c:f>Mensual!$AC$3</c:f>
              <c:strCache>
                <c:ptCount val="1"/>
                <c:pt idx="0">
                  <c:v>Octubre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Mensual!$AC$36</c:f>
              <c:numCache>
                <c:formatCode>#,##0.00</c:formatCode>
                <c:ptCount val="1"/>
                <c:pt idx="0">
                  <c:v>14.301791260439499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CB-49A3-A746-9B298151C3D4}"/>
            </c:ext>
          </c:extLst>
        </c:ser>
        <c:ser>
          <c:idx val="19"/>
          <c:order val="19"/>
          <c:tx>
            <c:strRef>
              <c:f>Mensual!$AD$4</c:f>
              <c:strCache>
                <c:ptCount val="1"/>
                <c:pt idx="0">
                  <c:v>Proyeccion Octubre  (GWh)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Mensual!$AD$36</c:f>
              <c:numCache>
                <c:formatCode>#,##0.00</c:formatCode>
                <c:ptCount val="1"/>
                <c:pt idx="0">
                  <c:v>15.742109999999995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CB-49A3-A746-9B298151C3D4}"/>
            </c:ext>
          </c:extLst>
        </c:ser>
        <c:ser>
          <c:idx val="20"/>
          <c:order val="20"/>
          <c:tx>
            <c:strRef>
              <c:f>Mensual!$AF$3</c:f>
              <c:strCache>
                <c:ptCount val="1"/>
                <c:pt idx="0">
                  <c:v>NOVIEMBRE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Mensual!$AF$36</c:f>
              <c:numCache>
                <c:formatCode>#,##0.00</c:formatCode>
                <c:ptCount val="1"/>
                <c:pt idx="0">
                  <c:v>11.034165000000002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B1-4275-9740-AE040B3D509F}"/>
            </c:ext>
          </c:extLst>
        </c:ser>
        <c:ser>
          <c:idx val="21"/>
          <c:order val="21"/>
          <c:tx>
            <c:strRef>
              <c:f>Mensual!$AG$4</c:f>
              <c:strCache>
                <c:ptCount val="1"/>
                <c:pt idx="0">
                  <c:v>Proyeccion NOVIEMBRE  (GWh)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Mensual!$AG$36</c:f>
              <c:numCache>
                <c:formatCode>#,##0.00</c:formatCode>
                <c:ptCount val="1"/>
                <c:pt idx="0">
                  <c:v>15.694499999999993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B1-4275-9740-AE040B3D509F}"/>
            </c:ext>
          </c:extLst>
        </c:ser>
        <c:ser>
          <c:idx val="22"/>
          <c:order val="22"/>
          <c:tx>
            <c:strRef>
              <c:f>Mensual!$AI$3</c:f>
              <c:strCache>
                <c:ptCount val="1"/>
                <c:pt idx="0">
                  <c:v>DICIEMBRE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Mensual!$AI$36</c:f>
              <c:numCache>
                <c:formatCode>#,##0.00</c:formatCode>
                <c:ptCount val="1"/>
                <c:pt idx="0">
                  <c:v>9.9324900000000014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FA-4A0B-8477-9C52ED791AD3}"/>
            </c:ext>
          </c:extLst>
        </c:ser>
        <c:ser>
          <c:idx val="23"/>
          <c:order val="23"/>
          <c:tx>
            <c:strRef>
              <c:f>Mensual!$AJ$4</c:f>
              <c:strCache>
                <c:ptCount val="1"/>
                <c:pt idx="0">
                  <c:v>Proyeccion DICIEMBRE  (GWh)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Mensual!$AJ$36</c:f>
              <c:numCache>
                <c:formatCode>#,##0.00</c:formatCode>
                <c:ptCount val="1"/>
                <c:pt idx="0">
                  <c:v>13.137020000000009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FA-4A0B-8477-9C52ED791A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8864639"/>
        <c:axId val="148851199"/>
        <c:extLst>
          <c:ext xmlns:c15="http://schemas.microsoft.com/office/drawing/2012/chart" uri="{02D57815-91ED-43cb-92C2-25804820EDAC}">
            <c15:filteredBarSeries>
              <c15:ser>
                <c:idx val="9"/>
                <c:order val="0"/>
                <c:tx>
                  <c:strRef>
                    <c:extLst>
                      <c:ext uri="{02D57815-91ED-43cb-92C2-25804820EDAC}">
                        <c15:formulaRef>
                          <c15:sqref>Mensual!$B$3:$D$3</c15:sqref>
                        </c15:formulaRef>
                      </c:ext>
                    </c:extLst>
                    <c:strCache>
                      <c:ptCount val="3"/>
                      <c:pt idx="0">
                        <c:v>ENERO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Mensual!$B$36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13.923587995487599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55-47BD-87FF-6CE0FFD5612B}"/>
                  </c:ext>
                </c:extLst>
              </c15:ser>
            </c15:filteredBarSeries>
            <c15:filteredBarSeries>
              <c15:ser>
                <c:idx val="1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Mensual!$C$4</c15:sqref>
                        </c15:formulaRef>
                      </c:ext>
                    </c:extLst>
                    <c:strCache>
                      <c:ptCount val="1"/>
                      <c:pt idx="0">
                        <c:v>Proyeccion Enero (GWh)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Mensual!$B$37:$D$37</c15:sqref>
                        </c15:formulaRef>
                      </c:ext>
                    </c:extLst>
                    <c:numCache>
                      <c:formatCode>#,##0.00</c:formatCode>
                      <c:ptCount val="3"/>
                      <c:pt idx="0">
                        <c:v>15.270200000000001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DD8-43BD-A947-728947C68768}"/>
                  </c:ext>
                </c:extLst>
              </c15:ser>
            </c15:filteredBarSeries>
            <c15:filteredBar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Mensual!$E$3</c15:sqref>
                        </c15:formulaRef>
                      </c:ext>
                    </c:extLst>
                    <c:strCache>
                      <c:ptCount val="1"/>
                      <c:pt idx="0">
                        <c:v>FEBRERO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Mensual!$E$36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12.995672569752998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55-47BD-87FF-6CE0FFD5612B}"/>
                  </c:ext>
                </c:extLst>
              </c15:ser>
            </c15:filteredBarSeries>
            <c15:filteredBarSeries>
              <c15:ser>
                <c:idx val="1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Mensual!$F$4</c15:sqref>
                        </c15:formulaRef>
                      </c:ext>
                    </c:extLst>
                    <c:strCache>
                      <c:ptCount val="1"/>
                      <c:pt idx="0">
                        <c:v>Proyeccion Febrero (GWh)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Mensual!$E$37:$F$37</c15:sqref>
                        </c15:formulaRef>
                      </c:ext>
                    </c:extLst>
                    <c:numCache>
                      <c:formatCode>#,##0.00</c:formatCode>
                      <c:ptCount val="2"/>
                      <c:pt idx="0">
                        <c:v>15.210800000000001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D8-43BD-A947-728947C68768}"/>
                  </c:ext>
                </c:extLst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Mensual!$H$3</c15:sqref>
                        </c15:formulaRef>
                      </c:ext>
                    </c:extLst>
                    <c:strCache>
                      <c:ptCount val="1"/>
                      <c:pt idx="0">
                        <c:v>MARZO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Mensual!$H$35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17.913403710518299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55-47BD-87FF-6CE0FFD5612B}"/>
                  </c:ext>
                </c:extLst>
              </c15:ser>
            </c15:filteredBarSeries>
            <c15:filteredBarSeries>
              <c15:ser>
                <c:idx val="12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Mensual!$I$4</c15:sqref>
                        </c15:formulaRef>
                      </c:ext>
                    </c:extLst>
                    <c:strCache>
                      <c:ptCount val="1"/>
                      <c:pt idx="0">
                        <c:v>Proyeccion Marzo (GWh)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rgbClr val="FFFF00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0230-4BD3-BC02-045731E4F61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Diaria!$A$1:$G$1</c15:sqref>
                        </c15:formulaRef>
                      </c:ext>
                    </c:extLst>
                    <c:strCache>
                      <c:ptCount val="1"/>
                      <c:pt idx="0">
                        <c:v>GRAFICA DE GENERACIÓN MENSUAL (GWH)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Mensual!$I$35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16.133870968096744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DD8-43BD-A947-728947C68768}"/>
                  </c:ext>
                </c:extLst>
              </c15:ser>
            </c15:filteredBarSeries>
            <c15:filteredBarSeries>
              <c15:ser>
                <c:idx val="13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Mensual!$K$3:$M$3</c15:sqref>
                        </c15:formulaRef>
                      </c:ext>
                    </c:extLst>
                    <c:strCache>
                      <c:ptCount val="3"/>
                      <c:pt idx="0">
                        <c:v>ABRIL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Mensual!$K$36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16.152551416803899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AE3-456E-9072-38480F2BBFC7}"/>
                  </c:ext>
                </c:extLst>
              </c15:ser>
            </c15:filteredBarSeries>
            <c15:filteredBarSeries>
              <c15:ser>
                <c:idx val="14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Mensual!$L$4</c15:sqref>
                        </c15:formulaRef>
                      </c:ext>
                    </c:extLst>
                    <c:strCache>
                      <c:ptCount val="1"/>
                      <c:pt idx="0">
                        <c:v>Proyeccion ABRIL (GWh)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Mensual!$L$34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16.1205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E3-456E-9072-38480F2BBFC7}"/>
                  </c:ext>
                </c:extLst>
              </c15:ser>
            </c15:filteredBarSeries>
            <c15:filteredBarSeries>
              <c15:ser>
                <c:idx val="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Mensual!$N$3:$P$3</c15:sqref>
                        </c15:formulaRef>
                      </c:ext>
                    </c:extLst>
                    <c:strCache>
                      <c:ptCount val="3"/>
                      <c:pt idx="0">
                        <c:v>MAYO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FCD7-435D-89CA-A8219A0CD22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Mensual!$N$36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16.566831731078103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FE-445F-91A0-D1547367ED9C}"/>
                  </c:ext>
                </c:extLst>
              </c15:ser>
            </c15:filteredBarSeries>
            <c15:filteredBarSeries>
              <c15:ser>
                <c:idx val="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Mensual!$O$4</c15:sqref>
                        </c15:formulaRef>
                      </c:ext>
                    </c:extLst>
                    <c:strCache>
                      <c:ptCount val="1"/>
                      <c:pt idx="0">
                        <c:v>Proyeccion MAYO (GWh)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Mensual!$O$35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16.075049999999994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FE-445F-91A0-D1547367ED9C}"/>
                  </c:ext>
                </c:extLst>
              </c15:ser>
            </c15:filteredBarSeries>
            <c15:filteredBarSeries>
              <c15:ser>
                <c:idx val="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Mensual!$Q$3:$S$3</c15:sqref>
                        </c15:formulaRef>
                      </c:ext>
                    </c:extLst>
                    <c:strCache>
                      <c:ptCount val="3"/>
                      <c:pt idx="0">
                        <c:v>JUNIO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Mensual!$Q$34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16.5173102042036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7F8-4451-AD2F-495288216E6E}"/>
                  </c:ext>
                </c:extLst>
              </c15:ser>
            </c15:filteredBarSeries>
            <c15:filteredBarSeries>
              <c15:ser>
                <c:idx val="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Mensual!$R$4</c15:sqref>
                        </c15:formulaRef>
                      </c:ext>
                    </c:extLst>
                    <c:strCache>
                      <c:ptCount val="1"/>
                      <c:pt idx="0">
                        <c:v>Proyeccion JUNIO (GWh)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Mensual!$R$34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16.013288999999997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7F8-4451-AD2F-495288216E6E}"/>
                  </c:ext>
                </c:extLst>
              </c15:ser>
            </c15:filteredBarSeries>
            <c15:filteredBa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Mensual!$T$3:$V$3</c15:sqref>
                        </c15:formulaRef>
                      </c:ext>
                    </c:extLst>
                    <c:strCache>
                      <c:ptCount val="3"/>
                      <c:pt idx="0">
                        <c:v>JULIO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Mensual!$T$36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17.271011030517901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6D-43C2-B541-6CF2C1A222C8}"/>
                  </c:ext>
                </c:extLst>
              </c15:ser>
            </c15:filteredBarSeries>
            <c15:filteredBa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Mensual!$U$4</c15:sqref>
                        </c15:formulaRef>
                      </c:ext>
                    </c:extLst>
                    <c:strCache>
                      <c:ptCount val="1"/>
                      <c:pt idx="0">
                        <c:v>Proyeccion JULIO  (GWh)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Mensual!$U$36</c15:sqref>
                        </c15:formulaRef>
                      </c:ext>
                    </c:extLst>
                    <c:numCache>
                      <c:formatCode>#,##0.00</c:formatCode>
                      <c:ptCount val="1"/>
                      <c:pt idx="0">
                        <c:v>15.94329999999999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6D-43C2-B541-6CF2C1A222C8}"/>
                  </c:ext>
                </c:extLst>
              </c15:ser>
            </c15:filteredBarSeries>
          </c:ext>
        </c:extLst>
      </c:barChart>
      <c:catAx>
        <c:axId val="1488646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 VS GENERACIÓN REAL DEL MES DEL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Mensual!$AI$3</c:f>
              <c:strCache>
                <c:ptCount val="1"/>
                <c:pt idx="0">
                  <c:v>DICIEMBRE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[0]!GAM</c:f>
              <c:numCache>
                <c:formatCode>#,##0.00</c:formatCode>
                <c:ptCount val="26"/>
                <c:pt idx="0">
                  <c:v>0.49541000000000002</c:v>
                </c:pt>
                <c:pt idx="1">
                  <c:v>0.96772000000000002</c:v>
                </c:pt>
                <c:pt idx="2">
                  <c:v>1.4284000000000001</c:v>
                </c:pt>
                <c:pt idx="3">
                  <c:v>1.6227400000000001</c:v>
                </c:pt>
                <c:pt idx="4">
                  <c:v>2.0552900000000003</c:v>
                </c:pt>
                <c:pt idx="5">
                  <c:v>2.5498300000000005</c:v>
                </c:pt>
                <c:pt idx="6">
                  <c:v>3.0078200000000006</c:v>
                </c:pt>
                <c:pt idx="7">
                  <c:v>3.4613900000000006</c:v>
                </c:pt>
                <c:pt idx="8">
                  <c:v>3.8114200000000005</c:v>
                </c:pt>
                <c:pt idx="9">
                  <c:v>4.1621400000000008</c:v>
                </c:pt>
                <c:pt idx="10">
                  <c:v>4.6702500000000011</c:v>
                </c:pt>
                <c:pt idx="11">
                  <c:v>5.0617100000000015</c:v>
                </c:pt>
                <c:pt idx="12">
                  <c:v>5.4167200000000015</c:v>
                </c:pt>
                <c:pt idx="13">
                  <c:v>5.5767000000000015</c:v>
                </c:pt>
                <c:pt idx="14">
                  <c:v>5.9901800000000014</c:v>
                </c:pt>
                <c:pt idx="15">
                  <c:v>6.3679400000000017</c:v>
                </c:pt>
                <c:pt idx="16">
                  <c:v>6.858760000000002</c:v>
                </c:pt>
                <c:pt idx="17">
                  <c:v>7.3166900000000021</c:v>
                </c:pt>
                <c:pt idx="18">
                  <c:v>7.7897200000000018</c:v>
                </c:pt>
                <c:pt idx="19">
                  <c:v>8.0842000000000009</c:v>
                </c:pt>
                <c:pt idx="20">
                  <c:v>8.3499300000000005</c:v>
                </c:pt>
                <c:pt idx="21">
                  <c:v>8.6483000000000008</c:v>
                </c:pt>
                <c:pt idx="22">
                  <c:v>8.8165300000000002</c:v>
                </c:pt>
                <c:pt idx="23">
                  <c:v>9.2146500000000007</c:v>
                </c:pt>
                <c:pt idx="24">
                  <c:v>9.5505000000000013</c:v>
                </c:pt>
                <c:pt idx="25">
                  <c:v>9.9324900000000014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7-464A-80D1-9D4894B52B57}"/>
            </c:ext>
          </c:extLst>
        </c:ser>
        <c:ser>
          <c:idx val="1"/>
          <c:order val="1"/>
          <c:tx>
            <c:strRef>
              <c:f>Mensual!$AG$4</c:f>
              <c:strCache>
                <c:ptCount val="1"/>
                <c:pt idx="0">
                  <c:v>Proyeccion NOVIEMBRE  (GWh)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[0]!GPM</c:f>
              <c:numCache>
                <c:formatCode>#,##0.00</c:formatCode>
                <c:ptCount val="26"/>
                <c:pt idx="0">
                  <c:v>0.50527</c:v>
                </c:pt>
                <c:pt idx="1">
                  <c:v>1.01054</c:v>
                </c:pt>
                <c:pt idx="2">
                  <c:v>1.5158100000000001</c:v>
                </c:pt>
                <c:pt idx="3">
                  <c:v>2.02108</c:v>
                </c:pt>
                <c:pt idx="4">
                  <c:v>2.5263499999999999</c:v>
                </c:pt>
                <c:pt idx="5">
                  <c:v>3.0316199999999998</c:v>
                </c:pt>
                <c:pt idx="6">
                  <c:v>3.5368899999999996</c:v>
                </c:pt>
                <c:pt idx="7">
                  <c:v>4.04216</c:v>
                </c:pt>
                <c:pt idx="8">
                  <c:v>4.5474300000000003</c:v>
                </c:pt>
                <c:pt idx="9">
                  <c:v>5.0527000000000006</c:v>
                </c:pt>
                <c:pt idx="10">
                  <c:v>5.557970000000001</c:v>
                </c:pt>
                <c:pt idx="11">
                  <c:v>6.0632400000000013</c:v>
                </c:pt>
                <c:pt idx="12">
                  <c:v>6.5685100000000016</c:v>
                </c:pt>
                <c:pt idx="13">
                  <c:v>7.073780000000002</c:v>
                </c:pt>
                <c:pt idx="14">
                  <c:v>7.5790500000000023</c:v>
                </c:pt>
                <c:pt idx="15">
                  <c:v>8.0843200000000017</c:v>
                </c:pt>
                <c:pt idx="16">
                  <c:v>8.5895900000000012</c:v>
                </c:pt>
                <c:pt idx="17">
                  <c:v>9.0948600000000006</c:v>
                </c:pt>
                <c:pt idx="18">
                  <c:v>9.6001300000000001</c:v>
                </c:pt>
                <c:pt idx="19">
                  <c:v>10.105399999999999</c:v>
                </c:pt>
                <c:pt idx="20">
                  <c:v>10.610669999999999</c:v>
                </c:pt>
                <c:pt idx="21">
                  <c:v>11.115939999999998</c:v>
                </c:pt>
                <c:pt idx="22">
                  <c:v>11.621209999999998</c:v>
                </c:pt>
                <c:pt idx="23">
                  <c:v>12.126479999999997</c:v>
                </c:pt>
                <c:pt idx="24">
                  <c:v>12.631749999999997</c:v>
                </c:pt>
                <c:pt idx="25">
                  <c:v>13.137019999999996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4-4484-97E2-40BA92D00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48864639"/>
        <c:axId val="148851199"/>
        <c:extLst/>
      </c:barChart>
      <c:catAx>
        <c:axId val="14886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Comparación de generacion horaria proyectada</a:t>
                </a:r>
                <a:r>
                  <a:rPr lang="en-US" baseline="0"/>
                  <a:t> vs real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 VS GENERACIÓN DEL año por dia DEL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Anual!$AI$3</c:f>
              <c:strCache>
                <c:ptCount val="1"/>
                <c:pt idx="0">
                  <c:v>DICIEMBRE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[0]!GA</c:f>
              <c:numCache>
                <c:formatCode>#,##0.00</c:formatCode>
                <c:ptCount val="26"/>
                <c:pt idx="0">
                  <c:v>173.05114973171567</c:v>
                </c:pt>
                <c:pt idx="1">
                  <c:v>173.52345973171566</c:v>
                </c:pt>
                <c:pt idx="2">
                  <c:v>173.98413973171566</c:v>
                </c:pt>
                <c:pt idx="3">
                  <c:v>174.17847973171567</c:v>
                </c:pt>
                <c:pt idx="4">
                  <c:v>174.61102973171566</c:v>
                </c:pt>
                <c:pt idx="5">
                  <c:v>175.10556973171566</c:v>
                </c:pt>
                <c:pt idx="6">
                  <c:v>175.56355973171566</c:v>
                </c:pt>
                <c:pt idx="7">
                  <c:v>176.01712973171567</c:v>
                </c:pt>
                <c:pt idx="8">
                  <c:v>176.36715973171567</c:v>
                </c:pt>
                <c:pt idx="9">
                  <c:v>176.71787973171567</c:v>
                </c:pt>
                <c:pt idx="10">
                  <c:v>177.22598973171566</c:v>
                </c:pt>
                <c:pt idx="11">
                  <c:v>177.61744973171565</c:v>
                </c:pt>
                <c:pt idx="12">
                  <c:v>177.97245973171565</c:v>
                </c:pt>
                <c:pt idx="13">
                  <c:v>178.13243973171564</c:v>
                </c:pt>
                <c:pt idx="14">
                  <c:v>178.54591973171563</c:v>
                </c:pt>
                <c:pt idx="15">
                  <c:v>178.92367973171562</c:v>
                </c:pt>
                <c:pt idx="16">
                  <c:v>179.41449973171564</c:v>
                </c:pt>
                <c:pt idx="17">
                  <c:v>179.87242973171564</c:v>
                </c:pt>
                <c:pt idx="18">
                  <c:v>180.34545973171564</c:v>
                </c:pt>
                <c:pt idx="19">
                  <c:v>180.63993973171563</c:v>
                </c:pt>
                <c:pt idx="20">
                  <c:v>180.90566973171562</c:v>
                </c:pt>
                <c:pt idx="21">
                  <c:v>181.20403973171562</c:v>
                </c:pt>
                <c:pt idx="22">
                  <c:v>181.37226973171562</c:v>
                </c:pt>
                <c:pt idx="23">
                  <c:v>181.77038973171562</c:v>
                </c:pt>
                <c:pt idx="24">
                  <c:v>182.10623973171562</c:v>
                </c:pt>
                <c:pt idx="25">
                  <c:v>182.48822973171562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A-4EAB-A9E3-A65CFFB3CC34}"/>
            </c:ext>
          </c:extLst>
        </c:ser>
        <c:ser>
          <c:idx val="1"/>
          <c:order val="1"/>
          <c:tx>
            <c:strRef>
              <c:f>Anual!$AJ$4</c:f>
              <c:strCache>
                <c:ptCount val="1"/>
                <c:pt idx="0">
                  <c:v>Proyeccion DICIEMBRE (GWh)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[0]!GAP</c:f>
              <c:numCache>
                <c:formatCode>#,##0.00</c:formatCode>
                <c:ptCount val="26"/>
                <c:pt idx="0">
                  <c:v>174.38094900000056</c:v>
                </c:pt>
                <c:pt idx="1">
                  <c:v>174.88621900000055</c:v>
                </c:pt>
                <c:pt idx="2">
                  <c:v>175.39148900000055</c:v>
                </c:pt>
                <c:pt idx="3">
                  <c:v>175.89675900000054</c:v>
                </c:pt>
                <c:pt idx="4">
                  <c:v>176.40202900000054</c:v>
                </c:pt>
                <c:pt idx="5">
                  <c:v>176.90729900000053</c:v>
                </c:pt>
                <c:pt idx="6">
                  <c:v>177.41256900000053</c:v>
                </c:pt>
                <c:pt idx="7">
                  <c:v>177.91783900000053</c:v>
                </c:pt>
                <c:pt idx="8">
                  <c:v>178.42310900000052</c:v>
                </c:pt>
                <c:pt idx="9">
                  <c:v>178.92837900000052</c:v>
                </c:pt>
                <c:pt idx="10">
                  <c:v>179.43364900000051</c:v>
                </c:pt>
                <c:pt idx="11">
                  <c:v>179.93891900000051</c:v>
                </c:pt>
                <c:pt idx="12">
                  <c:v>180.44418900000051</c:v>
                </c:pt>
                <c:pt idx="13">
                  <c:v>180.9494590000005</c:v>
                </c:pt>
                <c:pt idx="14">
                  <c:v>181.4547290000005</c:v>
                </c:pt>
                <c:pt idx="15">
                  <c:v>181.95999900000049</c:v>
                </c:pt>
                <c:pt idx="16">
                  <c:v>182.46526900000049</c:v>
                </c:pt>
                <c:pt idx="17">
                  <c:v>182.97053900000049</c:v>
                </c:pt>
                <c:pt idx="18">
                  <c:v>183.47580900000048</c:v>
                </c:pt>
                <c:pt idx="19">
                  <c:v>183.98107900000048</c:v>
                </c:pt>
                <c:pt idx="20">
                  <c:v>184.48634900000047</c:v>
                </c:pt>
                <c:pt idx="21">
                  <c:v>184.99161900000047</c:v>
                </c:pt>
                <c:pt idx="22">
                  <c:v>185.49688900000046</c:v>
                </c:pt>
                <c:pt idx="23">
                  <c:v>186.00215900000046</c:v>
                </c:pt>
                <c:pt idx="24">
                  <c:v>186.50742900000046</c:v>
                </c:pt>
                <c:pt idx="25">
                  <c:v>187.01269900000045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A-4EAB-A9E3-A65CFFB3CC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48864639"/>
        <c:axId val="148851199"/>
        <c:extLst/>
      </c:barChart>
      <c:catAx>
        <c:axId val="14886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Comparación de generacion horaria proyectada</a:t>
                </a:r>
                <a:r>
                  <a:rPr lang="en-US" baseline="0"/>
                  <a:t> vs real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 VS GENERACIÓN REAL</a:t>
            </a:r>
            <a:r>
              <a:rPr lang="en-US" baseline="0"/>
              <a:t> ANUAL</a:t>
            </a:r>
            <a:r>
              <a:rPr lang="en-US"/>
              <a:t> DEL PARQUE SOLAR ESPERANZA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Anual!$AI$3</c:f>
              <c:strCache>
                <c:ptCount val="1"/>
                <c:pt idx="0">
                  <c:v>DICIEMBRE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[0]!GAD</c:f>
              <c:numCache>
                <c:formatCode>#,##0.00</c:formatCode>
                <c:ptCount val="1"/>
                <c:pt idx="0">
                  <c:v>182.48822973171562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D-4F00-A3BF-C340B910DADB}"/>
            </c:ext>
          </c:extLst>
        </c:ser>
        <c:ser>
          <c:idx val="1"/>
          <c:order val="1"/>
          <c:tx>
            <c:strRef>
              <c:f>Anual!$AJ$4</c:f>
              <c:strCache>
                <c:ptCount val="1"/>
                <c:pt idx="0">
                  <c:v>Proyeccion DICIEMBRE (GWh)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[0]!GAPD</c:f>
              <c:numCache>
                <c:formatCode>#,##0.00</c:formatCode>
                <c:ptCount val="1"/>
                <c:pt idx="0">
                  <c:v>187.01269900000045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D-4F00-A3BF-C340B910DA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48864639"/>
        <c:axId val="148851199"/>
        <c:extLst/>
      </c:barChart>
      <c:catAx>
        <c:axId val="14886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Comparación de generacion horaria proyectada</a:t>
                </a:r>
                <a:r>
                  <a:rPr lang="en-US" baseline="0"/>
                  <a:t> vs real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51199"/>
        <c:crosses val="autoZero"/>
        <c:auto val="1"/>
        <c:lblAlgn val="ctr"/>
        <c:lblOffset val="100"/>
        <c:noMultiLvlLbl val="0"/>
      </c:catAx>
      <c:valAx>
        <c:axId val="148851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48864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76200</xdr:colOff>
      <xdr:row>2</xdr:row>
      <xdr:rowOff>4762</xdr:rowOff>
    </xdr:from>
    <xdr:to>
      <xdr:col>43</xdr:col>
      <xdr:colOff>766762</xdr:colOff>
      <xdr:row>18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85725</xdr:colOff>
      <xdr:row>18</xdr:row>
      <xdr:rowOff>180975</xdr:rowOff>
    </xdr:from>
    <xdr:to>
      <xdr:col>43</xdr:col>
      <xdr:colOff>742951</xdr:colOff>
      <xdr:row>35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66675</xdr:colOff>
      <xdr:row>36</xdr:row>
      <xdr:rowOff>57150</xdr:rowOff>
    </xdr:from>
    <xdr:to>
      <xdr:col>45</xdr:col>
      <xdr:colOff>57150</xdr:colOff>
      <xdr:row>54</xdr:row>
      <xdr:rowOff>119063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219075</xdr:colOff>
      <xdr:row>19</xdr:row>
      <xdr:rowOff>142874</xdr:rowOff>
    </xdr:from>
    <xdr:to>
      <xdr:col>46</xdr:col>
      <xdr:colOff>590550</xdr:colOff>
      <xdr:row>51</xdr:row>
      <xdr:rowOff>171449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219075</xdr:colOff>
      <xdr:row>1</xdr:row>
      <xdr:rowOff>57150</xdr:rowOff>
    </xdr:from>
    <xdr:to>
      <xdr:col>46</xdr:col>
      <xdr:colOff>609600</xdr:colOff>
      <xdr:row>19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123825</xdr:colOff>
      <xdr:row>1</xdr:row>
      <xdr:rowOff>19050</xdr:rowOff>
    </xdr:from>
    <xdr:to>
      <xdr:col>48</xdr:col>
      <xdr:colOff>0</xdr:colOff>
      <xdr:row>19</xdr:row>
      <xdr:rowOff>90488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133350</xdr:colOff>
      <xdr:row>19</xdr:row>
      <xdr:rowOff>161925</xdr:rowOff>
    </xdr:from>
    <xdr:to>
      <xdr:col>45</xdr:col>
      <xdr:colOff>47625</xdr:colOff>
      <xdr:row>38</xdr:row>
      <xdr:rowOff>138113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00000000-0008-0000-0300-000004000000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10"/>
  <sheetViews>
    <sheetView tabSelected="1" zoomScale="85" zoomScaleNormal="85" workbookViewId="0">
      <pane ySplit="3" topLeftCell="A362" activePane="bottomLeft" state="frozen"/>
      <selection pane="bottomLeft" activeCell="Q365" sqref="Q365"/>
      <selection activeCell="G349" sqref="G349"/>
    </sheetView>
  </sheetViews>
  <sheetFormatPr defaultColWidth="9.140625" defaultRowHeight="15"/>
  <cols>
    <col min="1" max="1" width="12.42578125" customWidth="1"/>
    <col min="2" max="2" width="2.140625" customWidth="1"/>
    <col min="3" max="3" width="9.140625" style="3"/>
    <col min="4" max="4" width="2.140625" customWidth="1"/>
    <col min="5" max="5" width="14.7109375" style="7" bestFit="1" customWidth="1"/>
    <col min="6" max="6" width="12" style="4" bestFit="1" customWidth="1"/>
    <col min="7" max="7" width="12.7109375" style="7" bestFit="1" customWidth="1"/>
    <col min="8" max="8" width="13.140625" style="4" customWidth="1"/>
    <col min="9" max="9" width="12.7109375" customWidth="1"/>
    <col min="10" max="10" width="16.42578125" bestFit="1" customWidth="1"/>
    <col min="11" max="11" width="6.7109375" style="1" customWidth="1"/>
    <col min="12" max="12" width="15.42578125" style="6" customWidth="1"/>
    <col min="13" max="13" width="21.5703125" style="4" customWidth="1"/>
    <col min="14" max="15" width="15.42578125" customWidth="1"/>
    <col min="16" max="16" width="9.7109375" customWidth="1"/>
    <col min="17" max="17" width="31.42578125" style="98" bestFit="1" customWidth="1"/>
    <col min="18" max="18" width="6.7109375" style="1" customWidth="1"/>
    <col min="19" max="20" width="9.140625" style="6" customWidth="1"/>
    <col min="21" max="21" width="10.140625" style="6" customWidth="1"/>
    <col min="22" max="24" width="9.140625" style="6" customWidth="1"/>
    <col min="25" max="25" width="9.140625" style="6"/>
    <col min="26" max="26" width="10.140625" style="6" bestFit="1" customWidth="1"/>
    <col min="27" max="27" width="11.7109375" style="6" bestFit="1" customWidth="1"/>
    <col min="28" max="28" width="9.140625" style="6"/>
    <col min="29" max="29" width="10.140625" style="6" bestFit="1" customWidth="1"/>
    <col min="30" max="30" width="11.7109375" style="6" bestFit="1" customWidth="1"/>
  </cols>
  <sheetData>
    <row r="1" spans="1:30">
      <c r="S1" s="106" t="s">
        <v>0</v>
      </c>
      <c r="T1" s="106"/>
      <c r="U1" s="106"/>
      <c r="V1" s="106" t="s">
        <v>1</v>
      </c>
      <c r="W1" s="106"/>
      <c r="X1" s="106"/>
      <c r="Y1" s="106" t="s">
        <v>2</v>
      </c>
      <c r="Z1" s="106"/>
      <c r="AA1" s="106"/>
      <c r="AB1" s="106" t="s">
        <v>3</v>
      </c>
      <c r="AC1" s="106"/>
      <c r="AD1" s="106"/>
    </row>
    <row r="2" spans="1:30" s="9" customFormat="1" ht="30">
      <c r="A2" s="8" t="s">
        <v>4</v>
      </c>
      <c r="C2" s="31" t="s">
        <v>5</v>
      </c>
      <c r="E2" s="105" t="s">
        <v>6</v>
      </c>
      <c r="F2" s="31" t="s">
        <v>7</v>
      </c>
      <c r="G2" s="88" t="s">
        <v>3</v>
      </c>
      <c r="H2" s="32" t="s">
        <v>8</v>
      </c>
      <c r="I2" s="32" t="s">
        <v>9</v>
      </c>
      <c r="J2" s="8" t="s">
        <v>1</v>
      </c>
      <c r="K2" s="10"/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99" t="s">
        <v>15</v>
      </c>
      <c r="R2" s="11"/>
      <c r="S2" s="8" t="s">
        <v>5</v>
      </c>
      <c r="T2" s="8" t="s">
        <v>16</v>
      </c>
      <c r="U2" s="8" t="s">
        <v>17</v>
      </c>
      <c r="V2" s="8" t="s">
        <v>5</v>
      </c>
      <c r="W2" s="8" t="s">
        <v>16</v>
      </c>
      <c r="X2" s="8" t="s">
        <v>17</v>
      </c>
      <c r="Y2" s="8" t="s">
        <v>5</v>
      </c>
      <c r="Z2" s="8" t="s">
        <v>16</v>
      </c>
      <c r="AA2" s="8" t="s">
        <v>17</v>
      </c>
      <c r="AB2" s="8" t="s">
        <v>5</v>
      </c>
      <c r="AC2" s="8" t="s">
        <v>16</v>
      </c>
      <c r="AD2" s="8" t="s">
        <v>17</v>
      </c>
    </row>
    <row r="3" spans="1:30">
      <c r="C3" s="33" t="s">
        <v>18</v>
      </c>
      <c r="E3" s="88" t="s">
        <v>19</v>
      </c>
      <c r="F3" s="31" t="s">
        <v>20</v>
      </c>
      <c r="G3" s="88" t="s">
        <v>19</v>
      </c>
      <c r="H3" s="31"/>
      <c r="I3" s="34"/>
      <c r="J3" t="s">
        <v>21</v>
      </c>
      <c r="L3" s="12" t="s">
        <v>22</v>
      </c>
      <c r="S3" s="20" t="s">
        <v>18</v>
      </c>
      <c r="T3" s="20" t="s">
        <v>18</v>
      </c>
      <c r="U3" s="20" t="s">
        <v>18</v>
      </c>
      <c r="V3" s="20" t="s">
        <v>18</v>
      </c>
      <c r="W3" s="20" t="s">
        <v>18</v>
      </c>
      <c r="X3" s="20" t="s">
        <v>18</v>
      </c>
      <c r="Y3" s="20" t="s">
        <v>18</v>
      </c>
      <c r="Z3" s="20" t="s">
        <v>18</v>
      </c>
      <c r="AA3" s="20" t="s">
        <v>18</v>
      </c>
      <c r="AB3" s="20" t="s">
        <v>18</v>
      </c>
      <c r="AC3" s="20" t="s">
        <v>18</v>
      </c>
      <c r="AD3" s="20" t="s">
        <v>18</v>
      </c>
    </row>
    <row r="4" spans="1:30">
      <c r="F4" s="3"/>
      <c r="J4" s="7">
        <f t="shared" ref="J4:J67" si="0">(I4-H4)*24</f>
        <v>0</v>
      </c>
    </row>
    <row r="5" spans="1:30" ht="75">
      <c r="A5" s="35">
        <v>45292</v>
      </c>
      <c r="B5" s="6"/>
      <c r="C5" s="3">
        <v>239.8467326354</v>
      </c>
      <c r="E5" s="7">
        <v>100</v>
      </c>
      <c r="F5" s="4">
        <v>3838.69</v>
      </c>
      <c r="G5" s="7">
        <v>69</v>
      </c>
      <c r="H5" s="5">
        <v>0.31597222222222221</v>
      </c>
      <c r="I5" s="5">
        <v>0.74722222222222223</v>
      </c>
      <c r="J5" s="7">
        <f t="shared" si="0"/>
        <v>10.350000000000001</v>
      </c>
      <c r="Q5" s="37" t="s">
        <v>23</v>
      </c>
      <c r="S5" s="21">
        <f>C5</f>
        <v>239.8467326354</v>
      </c>
      <c r="T5" s="13">
        <f>IF(MONTH($A5)=MONTH($A4),T4+S5,S5)</f>
        <v>239.8467326354</v>
      </c>
      <c r="U5" s="6">
        <f>IF(YEAR($A5)=YEAR($A4),U4+S5,S5)</f>
        <v>239.8467326354</v>
      </c>
      <c r="V5" s="6">
        <f>J5</f>
        <v>10.350000000000001</v>
      </c>
      <c r="W5" s="6">
        <f>IF(MONTH($A5)=MONTH($A4),W4+V5,V5)</f>
        <v>10.350000000000001</v>
      </c>
      <c r="X5" s="6">
        <f>IF(YEAR($A5)=YEAR($A4),X4+V5,V5)</f>
        <v>10.350000000000001</v>
      </c>
      <c r="Y5" s="6">
        <f>E5</f>
        <v>100</v>
      </c>
      <c r="Z5" s="13">
        <f>E6</f>
        <v>98.65</v>
      </c>
      <c r="AA5" s="6">
        <f>IF(YEAR($A5)=YEAR($A4),AVERAGE($Y5:Y$35,Y5),Y5)</f>
        <v>100</v>
      </c>
      <c r="AB5" s="6">
        <f>G5</f>
        <v>69</v>
      </c>
      <c r="AC5" s="6" t="e">
        <f>IF(MONTH($A5)=MONTH($A4),AVERAGE($AB5:AB$36),AB5)</f>
        <v>#REF!</v>
      </c>
      <c r="AD5" s="6">
        <f>IF(YEAR($A5)=YEAR($A4),AVERAGE($AB4:AB$36,AB5),AB5)</f>
        <v>69</v>
      </c>
    </row>
    <row r="6" spans="1:30" ht="60">
      <c r="A6" s="35">
        <f>A5+1</f>
        <v>45293</v>
      </c>
      <c r="B6" s="6"/>
      <c r="C6" s="3">
        <v>472.4709134066</v>
      </c>
      <c r="D6" s="6"/>
      <c r="E6" s="7">
        <v>98.65</v>
      </c>
      <c r="F6" s="3">
        <v>6168.63</v>
      </c>
      <c r="G6" s="7">
        <v>85</v>
      </c>
      <c r="H6" s="5">
        <v>0.31527777777777777</v>
      </c>
      <c r="I6" s="5">
        <v>0.74791666666666667</v>
      </c>
      <c r="J6" s="7">
        <f t="shared" si="0"/>
        <v>10.383333333333333</v>
      </c>
      <c r="L6" s="13"/>
      <c r="M6" s="4">
        <v>9.7000000000000003E-2</v>
      </c>
      <c r="Q6" s="37" t="s">
        <v>24</v>
      </c>
      <c r="S6" s="21">
        <f t="shared" ref="S6" si="1">C6</f>
        <v>472.4709134066</v>
      </c>
      <c r="T6" s="6">
        <f t="shared" ref="T6" si="2">IF(MONTH($A6)=MONTH($A5),T5+S6,S6)</f>
        <v>712.31764604199998</v>
      </c>
      <c r="U6" s="6">
        <f t="shared" ref="U6" si="3">IF(YEAR($A6)=YEAR($A5),U5+S6,S6)</f>
        <v>712.31764604199998</v>
      </c>
      <c r="V6" s="13">
        <f t="shared" ref="V6" si="4">J6</f>
        <v>10.383333333333333</v>
      </c>
      <c r="W6" s="13">
        <f t="shared" ref="W6" si="5">IF(MONTH($A6)=MONTH($A5),W5+V6,V6)</f>
        <v>20.733333333333334</v>
      </c>
      <c r="X6" s="13">
        <f t="shared" ref="X6" si="6">IF(YEAR($A6)=YEAR($A5),X5+V6,V6)</f>
        <v>20.733333333333334</v>
      </c>
      <c r="Y6" s="6">
        <f t="shared" ref="Y6" si="7">E6</f>
        <v>98.65</v>
      </c>
      <c r="Z6" s="13">
        <f>IF(MONTH($A6)=MONTH($A5),AVERAGE($Y$6:Y6),Y6)</f>
        <v>98.65</v>
      </c>
      <c r="AA6" s="13">
        <f>IF(YEAR($A6)=YEAR($A5),AVERAGE($Y$5:Y6,Y6),Y6)</f>
        <v>99.100000000000009</v>
      </c>
      <c r="AB6" s="13">
        <f t="shared" ref="AB6" si="8">G6</f>
        <v>85</v>
      </c>
      <c r="AC6" s="13">
        <f>IF(MONTH($A6)=MONTH($A5),AVERAGE($AB$5:AB6),AB6)</f>
        <v>77</v>
      </c>
      <c r="AD6" s="13">
        <f>IF(YEAR($A6)=YEAR($A5),AVERAGE($AB$5:AB5,AB6),AB6)</f>
        <v>77</v>
      </c>
    </row>
    <row r="7" spans="1:30">
      <c r="A7" s="35">
        <f t="shared" ref="A7:A70" si="9">A6+1</f>
        <v>45294</v>
      </c>
      <c r="B7" s="6"/>
      <c r="C7" s="3">
        <v>188.5350001985</v>
      </c>
      <c r="D7" s="6"/>
      <c r="E7" s="7">
        <v>100</v>
      </c>
      <c r="F7" s="3">
        <v>2244.59</v>
      </c>
      <c r="G7" s="7">
        <v>93</v>
      </c>
      <c r="H7" s="5">
        <v>0.32708333333333334</v>
      </c>
      <c r="I7" s="5">
        <v>0.75</v>
      </c>
      <c r="J7" s="7">
        <f t="shared" si="0"/>
        <v>10.15</v>
      </c>
      <c r="N7" s="4"/>
      <c r="O7" s="4"/>
      <c r="Q7" s="84"/>
      <c r="S7" s="21">
        <f t="shared" ref="S7:S17" si="10">C7</f>
        <v>188.5350001985</v>
      </c>
      <c r="T7" s="6">
        <f t="shared" ref="T7:T17" si="11">IF(MONTH($A7)=MONTH($A6),T6+S7,S7)</f>
        <v>900.85264624050001</v>
      </c>
      <c r="U7" s="6">
        <f t="shared" ref="U7:U17" si="12">IF(YEAR($A7)=YEAR($A6),U6+S7,S7)</f>
        <v>900.85264624050001</v>
      </c>
      <c r="V7" s="13">
        <f t="shared" ref="V7:V17" si="13">J7</f>
        <v>10.15</v>
      </c>
      <c r="W7" s="13">
        <f t="shared" ref="W7:W17" si="14">IF(MONTH($A7)=MONTH($A6),W6+V7,V7)</f>
        <v>30.883333333333333</v>
      </c>
      <c r="X7" s="13">
        <f t="shared" ref="X7:X17" si="15">IF(YEAR($A7)=YEAR($A6),X6+V7,V7)</f>
        <v>30.883333333333333</v>
      </c>
      <c r="Y7" s="6">
        <f t="shared" ref="Y7:Y17" si="16">E7</f>
        <v>100</v>
      </c>
      <c r="Z7" s="13">
        <f>IF(MONTH($A7)=MONTH($A6),AVERAGE($Y$6:Y7),Y7)</f>
        <v>99.325000000000003</v>
      </c>
      <c r="AA7" s="13">
        <f>IF(YEAR($A7)=YEAR($A6),AVERAGE($Y$5:Y7,Y7),Y7)</f>
        <v>99.662499999999994</v>
      </c>
      <c r="AB7" s="13">
        <f t="shared" ref="AB7:AB17" si="17">G7</f>
        <v>93</v>
      </c>
      <c r="AC7" s="13">
        <f>IF(MONTH($A7)=MONTH($A6),AVERAGE($AB$5:AB7),AB7)</f>
        <v>82.333333333333329</v>
      </c>
      <c r="AD7" s="13">
        <f>IF(YEAR($A7)=YEAR($A6),AVERAGE($AB$5:AB6,AB7),AB7)</f>
        <v>82.333333333333329</v>
      </c>
    </row>
    <row r="8" spans="1:30">
      <c r="A8" s="35">
        <f t="shared" si="9"/>
        <v>45295</v>
      </c>
      <c r="B8" s="6"/>
      <c r="C8" s="3">
        <v>509.50959111819998</v>
      </c>
      <c r="D8" s="6"/>
      <c r="E8" s="7">
        <v>100</v>
      </c>
      <c r="F8" s="3">
        <v>6743.55</v>
      </c>
      <c r="G8" s="7">
        <v>84</v>
      </c>
      <c r="H8" s="5">
        <v>0.32083333333333336</v>
      </c>
      <c r="I8" s="5">
        <v>0.75555555555555554</v>
      </c>
      <c r="J8" s="7">
        <f t="shared" si="0"/>
        <v>10.433333333333332</v>
      </c>
      <c r="N8" s="4"/>
      <c r="O8" s="4"/>
      <c r="S8" s="21">
        <f t="shared" si="10"/>
        <v>509.50959111819998</v>
      </c>
      <c r="T8" s="6">
        <f t="shared" si="11"/>
        <v>1410.3622373587</v>
      </c>
      <c r="U8" s="6">
        <f t="shared" si="12"/>
        <v>1410.3622373587</v>
      </c>
      <c r="V8" s="13">
        <f t="shared" si="13"/>
        <v>10.433333333333332</v>
      </c>
      <c r="W8" s="13">
        <f t="shared" si="14"/>
        <v>41.316666666666663</v>
      </c>
      <c r="X8" s="13">
        <f t="shared" si="15"/>
        <v>41.316666666666663</v>
      </c>
      <c r="Y8" s="6">
        <f t="shared" si="16"/>
        <v>100</v>
      </c>
      <c r="Z8" s="13">
        <f>IF(MONTH($A8)=MONTH($A7),AVERAGE($Y$6:Y8),Y8)</f>
        <v>99.55</v>
      </c>
      <c r="AA8" s="13">
        <f>IF(YEAR($A8)=YEAR($A7),AVERAGE($Y$5:Y8,Y8),Y8)</f>
        <v>99.72999999999999</v>
      </c>
      <c r="AB8" s="13">
        <f t="shared" si="17"/>
        <v>84</v>
      </c>
      <c r="AC8" s="13">
        <f>IF(MONTH($A8)=MONTH($A7),AVERAGE($AB$5:AB8),AB8)</f>
        <v>82.75</v>
      </c>
      <c r="AD8" s="13">
        <f>IF(YEAR($A8)=YEAR($A7),AVERAGE($AB$5:AB7,AB8),AB8)</f>
        <v>82.75</v>
      </c>
    </row>
    <row r="9" spans="1:30">
      <c r="A9" s="35">
        <f t="shared" si="9"/>
        <v>45296</v>
      </c>
      <c r="B9" s="6"/>
      <c r="C9" s="3">
        <v>335.83397505400001</v>
      </c>
      <c r="D9" s="6"/>
      <c r="E9" s="7">
        <v>100</v>
      </c>
      <c r="F9" s="3">
        <v>4417.01</v>
      </c>
      <c r="G9" s="7">
        <v>84</v>
      </c>
      <c r="H9" s="5">
        <v>0.3263888888888889</v>
      </c>
      <c r="I9" s="5">
        <v>0.75277777777777777</v>
      </c>
      <c r="J9" s="7">
        <f t="shared" si="0"/>
        <v>10.233333333333333</v>
      </c>
      <c r="N9" s="4"/>
      <c r="O9" s="4"/>
      <c r="S9" s="21">
        <f t="shared" si="10"/>
        <v>335.83397505400001</v>
      </c>
      <c r="T9" s="6">
        <f t="shared" si="11"/>
        <v>1746.1962124126999</v>
      </c>
      <c r="U9" s="6">
        <f t="shared" si="12"/>
        <v>1746.1962124126999</v>
      </c>
      <c r="V9" s="13">
        <f t="shared" si="13"/>
        <v>10.233333333333333</v>
      </c>
      <c r="W9" s="13">
        <f t="shared" si="14"/>
        <v>51.55</v>
      </c>
      <c r="X9" s="13">
        <f t="shared" si="15"/>
        <v>51.55</v>
      </c>
      <c r="Y9" s="6">
        <f t="shared" si="16"/>
        <v>100</v>
      </c>
      <c r="Z9" s="13">
        <f>IF(MONTH($A9)=MONTH($A8),AVERAGE($Y$6:Y9),Y9)</f>
        <v>99.662499999999994</v>
      </c>
      <c r="AA9" s="13">
        <f>IF(YEAR($A9)=YEAR($A8),AVERAGE($Y$5:Y9,Y9),Y9)</f>
        <v>99.774999999999991</v>
      </c>
      <c r="AB9" s="13">
        <f t="shared" si="17"/>
        <v>84</v>
      </c>
      <c r="AC9" s="13">
        <f>IF(MONTH($A9)=MONTH($A8),AVERAGE($AB$5:AB9),AB9)</f>
        <v>83</v>
      </c>
      <c r="AD9" s="13">
        <f>IF(YEAR($A9)=YEAR($A8),AVERAGE($AB$5:AB8,AB9),AB9)</f>
        <v>83</v>
      </c>
    </row>
    <row r="10" spans="1:30" ht="60">
      <c r="A10" s="35">
        <f t="shared" si="9"/>
        <v>45297</v>
      </c>
      <c r="B10" s="6"/>
      <c r="C10" s="3">
        <v>532.53440937080006</v>
      </c>
      <c r="D10" s="6"/>
      <c r="E10" s="7">
        <v>99.56</v>
      </c>
      <c r="F10" s="3">
        <v>6974.46</v>
      </c>
      <c r="G10" s="7">
        <v>85</v>
      </c>
      <c r="H10" s="5">
        <v>0.31597222222222221</v>
      </c>
      <c r="I10" s="5">
        <v>0.75763888888888886</v>
      </c>
      <c r="J10" s="7">
        <f t="shared" si="0"/>
        <v>10.6</v>
      </c>
      <c r="M10" s="4">
        <v>3.6999999999999998E-2</v>
      </c>
      <c r="N10" s="4"/>
      <c r="O10" s="4"/>
      <c r="Q10" s="37" t="s">
        <v>25</v>
      </c>
      <c r="S10" s="21">
        <f t="shared" si="10"/>
        <v>532.53440937080006</v>
      </c>
      <c r="T10" s="6">
        <f t="shared" si="11"/>
        <v>2278.7306217834998</v>
      </c>
      <c r="U10" s="6">
        <f t="shared" si="12"/>
        <v>2278.7306217834998</v>
      </c>
      <c r="V10" s="13">
        <f t="shared" si="13"/>
        <v>10.6</v>
      </c>
      <c r="W10" s="13">
        <f t="shared" si="14"/>
        <v>62.15</v>
      </c>
      <c r="X10" s="13">
        <f t="shared" si="15"/>
        <v>62.15</v>
      </c>
      <c r="Y10" s="6">
        <f t="shared" si="16"/>
        <v>99.56</v>
      </c>
      <c r="Z10" s="13">
        <f>IF(MONTH($A10)=MONTH($A9),AVERAGE($Y$6:Y10),Y10)</f>
        <v>99.641999999999996</v>
      </c>
      <c r="AA10" s="13">
        <f>IF(YEAR($A10)=YEAR($A9),AVERAGE($Y$5:Y10,Y10),Y10)</f>
        <v>99.681428571428569</v>
      </c>
      <c r="AB10" s="13">
        <f t="shared" si="17"/>
        <v>85</v>
      </c>
      <c r="AC10" s="13">
        <f>IF(MONTH($A10)=MONTH($A9),AVERAGE($AB$5:AB10),AB10)</f>
        <v>83.333333333333329</v>
      </c>
      <c r="AD10" s="13">
        <f>IF(YEAR($A10)=YEAR($A9),AVERAGE($AB$5:AB9,AB10),AB10)</f>
        <v>83.333333333333329</v>
      </c>
    </row>
    <row r="11" spans="1:30" ht="105">
      <c r="A11" s="35">
        <f t="shared" si="9"/>
        <v>45298</v>
      </c>
      <c r="B11" s="6"/>
      <c r="C11" s="3">
        <v>529.56836674149997</v>
      </c>
      <c r="D11" s="6"/>
      <c r="E11" s="7">
        <v>98.46</v>
      </c>
      <c r="F11" s="3">
        <v>7075.16</v>
      </c>
      <c r="G11" s="7">
        <v>83</v>
      </c>
      <c r="H11" s="5">
        <v>0.32222222222222224</v>
      </c>
      <c r="I11" s="5">
        <v>0.75208333333333333</v>
      </c>
      <c r="J11" s="7">
        <f t="shared" si="0"/>
        <v>10.316666666666666</v>
      </c>
      <c r="M11" s="4">
        <v>0.111</v>
      </c>
      <c r="N11" s="4"/>
      <c r="O11" s="4"/>
      <c r="Q11" s="100" t="s">
        <v>26</v>
      </c>
      <c r="S11" s="21">
        <f t="shared" si="10"/>
        <v>529.56836674149997</v>
      </c>
      <c r="T11" s="6">
        <f t="shared" si="11"/>
        <v>2808.2989885249999</v>
      </c>
      <c r="U11" s="6">
        <f t="shared" si="12"/>
        <v>2808.2989885249999</v>
      </c>
      <c r="V11" s="13">
        <f t="shared" si="13"/>
        <v>10.316666666666666</v>
      </c>
      <c r="W11" s="13">
        <f t="shared" si="14"/>
        <v>72.466666666666669</v>
      </c>
      <c r="X11" s="13">
        <f t="shared" si="15"/>
        <v>72.466666666666669</v>
      </c>
      <c r="Y11" s="6">
        <f t="shared" si="16"/>
        <v>98.46</v>
      </c>
      <c r="Z11" s="13">
        <f>IF(MONTH($A11)=MONTH($A10),AVERAGE($Y$6:Y11),Y11)</f>
        <v>99.444999999999993</v>
      </c>
      <c r="AA11" s="13">
        <f>IF(YEAR($A11)=YEAR($A10),AVERAGE($Y$5:Y11,Y11),Y11)</f>
        <v>99.391250000000014</v>
      </c>
      <c r="AB11" s="13">
        <f t="shared" si="17"/>
        <v>83</v>
      </c>
      <c r="AC11" s="13">
        <f>IF(MONTH($A11)=MONTH($A10),AVERAGE($AB$5:AB11),AB11)</f>
        <v>83.285714285714292</v>
      </c>
      <c r="AD11" s="13">
        <f>IF(YEAR($A11)=YEAR($A10),AVERAGE($AB$5:AB10,AB11),AB11)</f>
        <v>83.285714285714292</v>
      </c>
    </row>
    <row r="12" spans="1:30" ht="105">
      <c r="A12" s="35">
        <f t="shared" si="9"/>
        <v>45299</v>
      </c>
      <c r="B12" s="6"/>
      <c r="C12" s="3">
        <v>529.05831283589998</v>
      </c>
      <c r="D12" s="6"/>
      <c r="E12" s="7">
        <v>99.42</v>
      </c>
      <c r="F12" s="3">
        <v>7065.94</v>
      </c>
      <c r="G12" s="7">
        <v>83</v>
      </c>
      <c r="H12" s="5">
        <v>0.31388888888888888</v>
      </c>
      <c r="I12" s="5">
        <v>0.7583333333333333</v>
      </c>
      <c r="J12" s="7">
        <f t="shared" si="0"/>
        <v>10.666666666666666</v>
      </c>
      <c r="M12" s="4">
        <v>8.4000000000000005E-2</v>
      </c>
      <c r="N12" s="4"/>
      <c r="O12" s="4"/>
      <c r="Q12" s="100" t="s">
        <v>27</v>
      </c>
      <c r="S12" s="21">
        <f t="shared" si="10"/>
        <v>529.05831283589998</v>
      </c>
      <c r="T12" s="6">
        <f t="shared" si="11"/>
        <v>3337.3573013608998</v>
      </c>
      <c r="U12" s="6">
        <f t="shared" si="12"/>
        <v>3337.3573013608998</v>
      </c>
      <c r="V12" s="13">
        <f t="shared" si="13"/>
        <v>10.666666666666666</v>
      </c>
      <c r="W12" s="13">
        <f t="shared" si="14"/>
        <v>83.13333333333334</v>
      </c>
      <c r="X12" s="13">
        <f t="shared" si="15"/>
        <v>83.13333333333334</v>
      </c>
      <c r="Y12" s="6">
        <f t="shared" si="16"/>
        <v>99.42</v>
      </c>
      <c r="Z12" s="13">
        <f>IF(MONTH($A12)=MONTH($A11),AVERAGE($Y$6:Y12),Y12)</f>
        <v>99.44142857142856</v>
      </c>
      <c r="AA12" s="13">
        <f>IF(YEAR($A12)=YEAR($A11),AVERAGE($Y$5:Y12,Y12),Y12)</f>
        <v>99.501111111111115</v>
      </c>
      <c r="AB12" s="13">
        <f t="shared" si="17"/>
        <v>83</v>
      </c>
      <c r="AC12" s="13">
        <f>IF(MONTH($A12)=MONTH($A11),AVERAGE($AB$5:AB12),AB12)</f>
        <v>83.25</v>
      </c>
      <c r="AD12" s="13">
        <f>IF(YEAR($A12)=YEAR($A11),AVERAGE($AB$5:AB11,AB12),AB12)</f>
        <v>83.25</v>
      </c>
    </row>
    <row r="13" spans="1:30" ht="60">
      <c r="A13" s="35">
        <f t="shared" si="9"/>
        <v>45300</v>
      </c>
      <c r="B13" s="6"/>
      <c r="C13" s="3">
        <v>514.81752405399993</v>
      </c>
      <c r="D13" s="6"/>
      <c r="E13" s="7">
        <v>99.57</v>
      </c>
      <c r="F13" s="3">
        <v>6897.69</v>
      </c>
      <c r="G13" s="7">
        <v>83</v>
      </c>
      <c r="H13" s="5">
        <v>0.31458333333333333</v>
      </c>
      <c r="I13" s="5">
        <v>0.76041666666666663</v>
      </c>
      <c r="J13" s="7">
        <f t="shared" si="0"/>
        <v>10.7</v>
      </c>
      <c r="M13" s="4">
        <v>2.8000000000000001E-2</v>
      </c>
      <c r="N13" s="4"/>
      <c r="O13" s="4"/>
      <c r="Q13" s="100" t="s">
        <v>28</v>
      </c>
      <c r="S13" s="21">
        <f t="shared" si="10"/>
        <v>514.81752405399993</v>
      </c>
      <c r="T13" s="6">
        <f t="shared" si="11"/>
        <v>3852.1748254148997</v>
      </c>
      <c r="U13" s="6">
        <f t="shared" si="12"/>
        <v>3852.1748254148997</v>
      </c>
      <c r="V13" s="13">
        <f t="shared" si="13"/>
        <v>10.7</v>
      </c>
      <c r="W13" s="13">
        <f t="shared" si="14"/>
        <v>93.833333333333343</v>
      </c>
      <c r="X13" s="13">
        <f t="shared" si="15"/>
        <v>93.833333333333343</v>
      </c>
      <c r="Y13" s="6">
        <f t="shared" si="16"/>
        <v>99.57</v>
      </c>
      <c r="Z13" s="13">
        <f>IF(MONTH($A13)=MONTH($A12),AVERAGE($Y$6:Y13),Y13)</f>
        <v>99.457499999999982</v>
      </c>
      <c r="AA13" s="13">
        <f>IF(YEAR($A13)=YEAR($A12),AVERAGE($Y$5:Y13,Y13),Y13)</f>
        <v>99.522999999999996</v>
      </c>
      <c r="AB13" s="13">
        <f t="shared" si="17"/>
        <v>83</v>
      </c>
      <c r="AC13" s="13">
        <f>IF(MONTH($A13)=MONTH($A12),AVERAGE($AB$5:AB13),AB13)</f>
        <v>83.222222222222229</v>
      </c>
      <c r="AD13" s="13">
        <f>IF(YEAR($A13)=YEAR($A12),AVERAGE($AB$5:AB12,AB13),AB13)</f>
        <v>83.222222222222229</v>
      </c>
    </row>
    <row r="14" spans="1:30">
      <c r="A14" s="35">
        <f t="shared" si="9"/>
        <v>45301</v>
      </c>
      <c r="B14" s="2"/>
      <c r="C14" s="3">
        <v>525.2257117559999</v>
      </c>
      <c r="D14" s="2"/>
      <c r="E14" s="7">
        <v>100</v>
      </c>
      <c r="F14" s="3">
        <v>6914.6</v>
      </c>
      <c r="G14" s="7">
        <v>84</v>
      </c>
      <c r="H14" s="5">
        <v>0.30972222222222223</v>
      </c>
      <c r="I14" s="5">
        <v>0.76041666666666663</v>
      </c>
      <c r="J14" s="7">
        <f t="shared" si="0"/>
        <v>10.816666666666666</v>
      </c>
      <c r="N14" s="4"/>
      <c r="O14" s="4"/>
      <c r="S14" s="21">
        <f t="shared" si="10"/>
        <v>525.2257117559999</v>
      </c>
      <c r="T14" s="6">
        <f t="shared" si="11"/>
        <v>4377.4005371709</v>
      </c>
      <c r="U14" s="6">
        <f t="shared" si="12"/>
        <v>4377.4005371709</v>
      </c>
      <c r="V14" s="13">
        <f t="shared" si="13"/>
        <v>10.816666666666666</v>
      </c>
      <c r="W14" s="13">
        <f t="shared" si="14"/>
        <v>104.65</v>
      </c>
      <c r="X14" s="13">
        <f t="shared" si="15"/>
        <v>104.65</v>
      </c>
      <c r="Y14" s="6">
        <f t="shared" si="16"/>
        <v>100</v>
      </c>
      <c r="Z14" s="13">
        <f>IF(MONTH($A14)=MONTH($A13),AVERAGE($Y$6:Y14),Y14)</f>
        <v>99.517777777777766</v>
      </c>
      <c r="AA14" s="13">
        <f>IF(YEAR($A14)=YEAR($A13),AVERAGE($Y$5:Y14,Y14),Y14)</f>
        <v>99.605454545454549</v>
      </c>
      <c r="AB14" s="13">
        <f t="shared" si="17"/>
        <v>84</v>
      </c>
      <c r="AC14" s="13">
        <f>IF(MONTH($A14)=MONTH($A13),AVERAGE($AB$5:AB14),AB14)</f>
        <v>83.3</v>
      </c>
      <c r="AD14" s="13">
        <f>IF(YEAR($A14)=YEAR($A13),AVERAGE($AB$5:AB13,AB14),AB14)</f>
        <v>83.3</v>
      </c>
    </row>
    <row r="15" spans="1:30" ht="60">
      <c r="A15" s="35">
        <f t="shared" si="9"/>
        <v>45302</v>
      </c>
      <c r="B15" s="2"/>
      <c r="C15" s="3">
        <v>526.99414837680001</v>
      </c>
      <c r="D15" s="2"/>
      <c r="E15" s="7">
        <v>100</v>
      </c>
      <c r="F15" s="3">
        <v>6923.46</v>
      </c>
      <c r="G15" s="7">
        <v>84</v>
      </c>
      <c r="H15" s="5">
        <v>0.31527777777777777</v>
      </c>
      <c r="I15" s="5">
        <v>0.75763888888888886</v>
      </c>
      <c r="J15" s="7">
        <f t="shared" si="0"/>
        <v>10.616666666666667</v>
      </c>
      <c r="M15" s="4">
        <v>0.02</v>
      </c>
      <c r="N15" s="4"/>
      <c r="O15" s="4"/>
      <c r="Q15" s="100" t="s">
        <v>29</v>
      </c>
      <c r="S15" s="21">
        <f t="shared" si="10"/>
        <v>526.99414837680001</v>
      </c>
      <c r="T15" s="6">
        <f t="shared" si="11"/>
        <v>4904.3946855476997</v>
      </c>
      <c r="U15" s="6">
        <f t="shared" si="12"/>
        <v>4904.3946855476997</v>
      </c>
      <c r="V15" s="13">
        <f t="shared" si="13"/>
        <v>10.616666666666667</v>
      </c>
      <c r="W15" s="13">
        <f t="shared" si="14"/>
        <v>115.26666666666668</v>
      </c>
      <c r="X15" s="13">
        <f t="shared" si="15"/>
        <v>115.26666666666668</v>
      </c>
      <c r="Y15" s="6">
        <f t="shared" si="16"/>
        <v>100</v>
      </c>
      <c r="Z15" s="13">
        <f>IF(MONTH($A15)=MONTH($A14),AVERAGE($Y$6:Y15),Y15)</f>
        <v>99.565999999999988</v>
      </c>
      <c r="AA15" s="13">
        <f>IF(YEAR($A15)=YEAR($A14),AVERAGE($Y$5:Y15,Y15),Y15)</f>
        <v>99.638333333333335</v>
      </c>
      <c r="AB15" s="13">
        <f t="shared" si="17"/>
        <v>84</v>
      </c>
      <c r="AC15" s="13">
        <f>IF(MONTH($A15)=MONTH($A14),AVERAGE($AB$5:AB15),AB15)</f>
        <v>83.36363636363636</v>
      </c>
      <c r="AD15" s="13">
        <f>IF(YEAR($A15)=YEAR($A14),AVERAGE($AB$5:AB14,AB15),AB15)</f>
        <v>83.36363636363636</v>
      </c>
    </row>
    <row r="16" spans="1:30" ht="90">
      <c r="A16" s="35">
        <f t="shared" si="9"/>
        <v>45303</v>
      </c>
      <c r="B16" s="2"/>
      <c r="C16" s="3">
        <v>492.31882019080001</v>
      </c>
      <c r="D16" s="2"/>
      <c r="E16" s="7">
        <v>99.57</v>
      </c>
      <c r="F16" s="3">
        <v>6545.03</v>
      </c>
      <c r="G16" s="7">
        <v>83</v>
      </c>
      <c r="H16" s="5">
        <v>0.31597222222222221</v>
      </c>
      <c r="I16" s="5">
        <v>0.7583333333333333</v>
      </c>
      <c r="J16" s="7">
        <f t="shared" si="0"/>
        <v>10.616666666666667</v>
      </c>
      <c r="M16" s="4">
        <v>4.5999999999999999E-2</v>
      </c>
      <c r="N16" s="4"/>
      <c r="O16" s="4"/>
      <c r="Q16" s="37" t="s">
        <v>30</v>
      </c>
      <c r="S16" s="21">
        <f t="shared" si="10"/>
        <v>492.31882019080001</v>
      </c>
      <c r="T16" s="6">
        <f t="shared" si="11"/>
        <v>5396.7135057384994</v>
      </c>
      <c r="U16" s="6">
        <f t="shared" si="12"/>
        <v>5396.7135057384994</v>
      </c>
      <c r="V16" s="13">
        <f t="shared" si="13"/>
        <v>10.616666666666667</v>
      </c>
      <c r="W16" s="13">
        <f t="shared" si="14"/>
        <v>125.88333333333335</v>
      </c>
      <c r="X16" s="13">
        <f t="shared" si="15"/>
        <v>125.88333333333335</v>
      </c>
      <c r="Y16" s="6">
        <f t="shared" si="16"/>
        <v>99.57</v>
      </c>
      <c r="Z16" s="13">
        <f>IF(MONTH($A16)=MONTH($A15),AVERAGE($Y$6:Y16),Y16)</f>
        <v>99.566363636363619</v>
      </c>
      <c r="AA16" s="13">
        <f>IF(YEAR($A16)=YEAR($A15),AVERAGE($Y$5:Y16,Y16),Y16)</f>
        <v>99.6</v>
      </c>
      <c r="AB16" s="13">
        <f t="shared" si="17"/>
        <v>83</v>
      </c>
      <c r="AC16" s="13">
        <f>IF(MONTH($A16)=MONTH($A15),AVERAGE($AB$5:AB16),AB16)</f>
        <v>83.333333333333329</v>
      </c>
      <c r="AD16" s="13">
        <f>IF(YEAR($A16)=YEAR($A15),AVERAGE($AB$5:AB15,AB16),AB16)</f>
        <v>83.333333333333329</v>
      </c>
    </row>
    <row r="17" spans="1:30" ht="90">
      <c r="A17" s="35">
        <f t="shared" si="9"/>
        <v>45304</v>
      </c>
      <c r="B17" s="2"/>
      <c r="C17" s="3">
        <v>433.5739136775</v>
      </c>
      <c r="D17" s="2"/>
      <c r="E17" s="7">
        <v>100</v>
      </c>
      <c r="F17" s="3">
        <v>5681.73</v>
      </c>
      <c r="G17" s="7">
        <v>85</v>
      </c>
      <c r="H17" s="5">
        <v>0.31597222222222221</v>
      </c>
      <c r="I17" s="5">
        <v>0.75347222222222221</v>
      </c>
      <c r="J17" s="7">
        <f t="shared" si="0"/>
        <v>10.5</v>
      </c>
      <c r="L17" s="4"/>
      <c r="M17" s="4">
        <v>4.4999999999999998E-2</v>
      </c>
      <c r="N17" s="4"/>
      <c r="O17" s="4"/>
      <c r="Q17" s="37" t="s">
        <v>31</v>
      </c>
      <c r="S17" s="21">
        <f t="shared" si="10"/>
        <v>433.5739136775</v>
      </c>
      <c r="T17" s="6">
        <f t="shared" si="11"/>
        <v>5830.2874194159995</v>
      </c>
      <c r="U17" s="6">
        <f t="shared" si="12"/>
        <v>5830.2874194159995</v>
      </c>
      <c r="V17" s="13">
        <f t="shared" si="13"/>
        <v>10.5</v>
      </c>
      <c r="W17" s="13">
        <f t="shared" si="14"/>
        <v>136.38333333333335</v>
      </c>
      <c r="X17" s="13">
        <f t="shared" si="15"/>
        <v>136.38333333333335</v>
      </c>
      <c r="Y17" s="6">
        <f t="shared" si="16"/>
        <v>100</v>
      </c>
      <c r="Z17" s="13">
        <f>IF(MONTH($A17)=MONTH($A16),AVERAGE($Y$6:Y17),Y17)</f>
        <v>99.602499999999978</v>
      </c>
      <c r="AA17" s="13">
        <f>IF(YEAR($A17)=YEAR($A16),AVERAGE($Y$5:Y17,Y17),Y17)</f>
        <v>99.659285714285716</v>
      </c>
      <c r="AB17" s="13">
        <f t="shared" si="17"/>
        <v>85</v>
      </c>
      <c r="AC17" s="13">
        <f>IF(MONTH($A17)=MONTH($A16),AVERAGE($AB$5:AB17),AB17)</f>
        <v>83.461538461538467</v>
      </c>
      <c r="AD17" s="13">
        <f>IF(YEAR($A17)=YEAR($A16),AVERAGE($AB$5:AB16,AB17),AB17)</f>
        <v>83.461538461538467</v>
      </c>
    </row>
    <row r="18" spans="1:30" ht="75">
      <c r="A18" s="35">
        <f t="shared" si="9"/>
        <v>45305</v>
      </c>
      <c r="B18" s="2"/>
      <c r="C18" s="3">
        <v>509.63897680669999</v>
      </c>
      <c r="D18" s="2"/>
      <c r="E18" s="7">
        <v>100</v>
      </c>
      <c r="F18" s="3">
        <v>6710.77</v>
      </c>
      <c r="G18" s="7">
        <v>84</v>
      </c>
      <c r="H18" s="5">
        <v>0.31944444444444448</v>
      </c>
      <c r="I18" s="5">
        <v>0.75763888888888886</v>
      </c>
      <c r="J18" s="7">
        <f t="shared" si="0"/>
        <v>10.516666666666666</v>
      </c>
      <c r="M18" s="4">
        <v>2.3E-2</v>
      </c>
      <c r="N18" s="4"/>
      <c r="O18" s="4"/>
      <c r="Q18" s="37" t="s">
        <v>32</v>
      </c>
      <c r="S18" s="21">
        <f t="shared" ref="S18:S81" si="18">C18</f>
        <v>509.63897680669999</v>
      </c>
      <c r="T18" s="6">
        <f t="shared" ref="T18:T81" si="19">IF(MONTH($A18)=MONTH($A17),T17+S18,S18)</f>
        <v>6339.9263962226996</v>
      </c>
      <c r="U18" s="6">
        <f t="shared" ref="U18:U81" si="20">IF(YEAR($A18)=YEAR($A17),U17+S18,S18)</f>
        <v>6339.9263962226996</v>
      </c>
      <c r="V18" s="13">
        <f t="shared" ref="V18:V81" si="21">J18</f>
        <v>10.516666666666666</v>
      </c>
      <c r="W18" s="13">
        <f t="shared" ref="W18:W81" si="22">IF(MONTH($A18)=MONTH($A17),W17+V18,V18)</f>
        <v>146.90000000000003</v>
      </c>
      <c r="X18" s="13">
        <f t="shared" ref="X18:X81" si="23">IF(YEAR($A18)=YEAR($A17),X17+V18,V18)</f>
        <v>146.90000000000003</v>
      </c>
      <c r="Y18" s="6">
        <f t="shared" ref="Y18:Y81" si="24">E18</f>
        <v>100</v>
      </c>
      <c r="Z18" s="13">
        <f>IF(MONTH($A18)=MONTH($A17),AVERAGE($Y$6:Y18),Y18)</f>
        <v>99.633076923076914</v>
      </c>
      <c r="AA18" s="13">
        <f>IF(YEAR($A18)=YEAR($A17),AVERAGE($Y$5:Y18,Y18),Y18)</f>
        <v>99.682000000000002</v>
      </c>
      <c r="AB18" s="13">
        <f t="shared" ref="AB18:AB81" si="25">G18</f>
        <v>84</v>
      </c>
      <c r="AC18" s="13">
        <f>IF(MONTH($A18)=MONTH($A17),AVERAGE($AB$5:AB18),AB18)</f>
        <v>83.5</v>
      </c>
      <c r="AD18" s="13">
        <f>IF(YEAR($A18)=YEAR($A17),AVERAGE($AB$5:AB17,AB18),AB18)</f>
        <v>83.5</v>
      </c>
    </row>
    <row r="19" spans="1:30">
      <c r="A19" s="35">
        <f t="shared" si="9"/>
        <v>45306</v>
      </c>
      <c r="B19" s="2"/>
      <c r="C19" s="3">
        <v>536.09732394409991</v>
      </c>
      <c r="D19" s="2"/>
      <c r="E19" s="7">
        <v>100</v>
      </c>
      <c r="F19" s="3">
        <v>7191.34</v>
      </c>
      <c r="G19" s="7">
        <v>83</v>
      </c>
      <c r="H19" s="5">
        <v>0.31527777777777777</v>
      </c>
      <c r="I19" s="5">
        <v>0.7597222222222223</v>
      </c>
      <c r="J19" s="7">
        <f t="shared" si="0"/>
        <v>10.666666666666668</v>
      </c>
      <c r="S19" s="21">
        <f t="shared" si="18"/>
        <v>536.09732394409991</v>
      </c>
      <c r="T19" s="6">
        <f t="shared" si="19"/>
        <v>6876.0237201667996</v>
      </c>
      <c r="U19" s="6">
        <f t="shared" si="20"/>
        <v>6876.0237201667996</v>
      </c>
      <c r="V19" s="13">
        <f t="shared" si="21"/>
        <v>10.666666666666668</v>
      </c>
      <c r="W19" s="13">
        <f t="shared" si="22"/>
        <v>157.56666666666669</v>
      </c>
      <c r="X19" s="13">
        <f t="shared" si="23"/>
        <v>157.56666666666669</v>
      </c>
      <c r="Y19" s="6">
        <f t="shared" si="24"/>
        <v>100</v>
      </c>
      <c r="Z19" s="13">
        <f>IF(MONTH($A19)=MONTH($A18),AVERAGE($Y$6:Y19),Y19)</f>
        <v>99.659285714285701</v>
      </c>
      <c r="AA19" s="13">
        <f>IF(YEAR($A19)=YEAR($A18),AVERAGE($Y$5:Y19,Y19),Y19)</f>
        <v>99.701875000000001</v>
      </c>
      <c r="AB19" s="13">
        <f t="shared" si="25"/>
        <v>83</v>
      </c>
      <c r="AC19" s="13">
        <f>IF(MONTH($A19)=MONTH($A18),AVERAGE($AB$5:AB19),AB19)</f>
        <v>83.466666666666669</v>
      </c>
      <c r="AD19" s="13">
        <f>IF(YEAR($A19)=YEAR($A18),AVERAGE($AB$5:AB18,AB19),AB19)</f>
        <v>83.466666666666669</v>
      </c>
    </row>
    <row r="20" spans="1:30" ht="90">
      <c r="A20" s="35">
        <f t="shared" si="9"/>
        <v>45307</v>
      </c>
      <c r="B20" s="2"/>
      <c r="C20" s="3">
        <v>532.57461059980005</v>
      </c>
      <c r="D20" s="2"/>
      <c r="E20" s="7">
        <v>98.69</v>
      </c>
      <c r="F20" s="3">
        <v>7251.4</v>
      </c>
      <c r="G20" s="7">
        <v>81</v>
      </c>
      <c r="H20" s="5">
        <v>0.31805555555555554</v>
      </c>
      <c r="I20" s="5">
        <v>0.76458333333333339</v>
      </c>
      <c r="J20" s="7">
        <f t="shared" si="0"/>
        <v>10.716666666666669</v>
      </c>
      <c r="L20" s="4"/>
      <c r="M20" s="4">
        <v>0.10199999999999999</v>
      </c>
      <c r="Q20" s="37" t="s">
        <v>33</v>
      </c>
      <c r="S20" s="21">
        <f t="shared" si="18"/>
        <v>532.57461059980005</v>
      </c>
      <c r="T20" s="6">
        <f t="shared" si="19"/>
        <v>7408.5983307665992</v>
      </c>
      <c r="U20" s="6">
        <f t="shared" si="20"/>
        <v>7408.5983307665992</v>
      </c>
      <c r="V20" s="13">
        <f t="shared" si="21"/>
        <v>10.716666666666669</v>
      </c>
      <c r="W20" s="13">
        <f t="shared" si="22"/>
        <v>168.28333333333336</v>
      </c>
      <c r="X20" s="13">
        <f t="shared" si="23"/>
        <v>168.28333333333336</v>
      </c>
      <c r="Y20" s="6">
        <f t="shared" si="24"/>
        <v>98.69</v>
      </c>
      <c r="Z20" s="13">
        <f>IF(MONTH($A20)=MONTH($A19),AVERAGE($Y$6:Y20),Y20)</f>
        <v>99.594666666666654</v>
      </c>
      <c r="AA20" s="13">
        <f>IF(YEAR($A20)=YEAR($A19),AVERAGE($Y$5:Y20,Y20),Y20)</f>
        <v>99.56529411764707</v>
      </c>
      <c r="AB20" s="13">
        <f t="shared" si="25"/>
        <v>81</v>
      </c>
      <c r="AC20" s="13">
        <f>IF(MONTH($A20)=MONTH($A19),AVERAGE($AB$5:AB20),AB20)</f>
        <v>83.3125</v>
      </c>
      <c r="AD20" s="13">
        <f>IF(YEAR($A20)=YEAR($A19),AVERAGE($AB$5:AB19,AB20),AB20)</f>
        <v>83.3125</v>
      </c>
    </row>
    <row r="21" spans="1:30">
      <c r="A21" s="35">
        <f t="shared" si="9"/>
        <v>45308</v>
      </c>
      <c r="B21" s="2"/>
      <c r="C21" s="3">
        <v>533.32390374760007</v>
      </c>
      <c r="E21" s="7">
        <v>100</v>
      </c>
      <c r="F21" s="3">
        <v>7137.25</v>
      </c>
      <c r="G21" s="7">
        <v>83</v>
      </c>
      <c r="H21" s="5">
        <v>0.31527777777777777</v>
      </c>
      <c r="I21" s="5">
        <v>0.76180555555555562</v>
      </c>
      <c r="J21" s="7">
        <f t="shared" si="0"/>
        <v>10.716666666666669</v>
      </c>
      <c r="L21"/>
      <c r="Q21" s="84"/>
      <c r="S21" s="21">
        <f t="shared" si="18"/>
        <v>533.32390374760007</v>
      </c>
      <c r="T21" s="6">
        <f t="shared" si="19"/>
        <v>7941.9222345141989</v>
      </c>
      <c r="U21" s="6">
        <f t="shared" si="20"/>
        <v>7941.9222345141989</v>
      </c>
      <c r="V21" s="13">
        <f t="shared" si="21"/>
        <v>10.716666666666669</v>
      </c>
      <c r="W21" s="13">
        <f t="shared" si="22"/>
        <v>179.00000000000003</v>
      </c>
      <c r="X21" s="13">
        <f t="shared" si="23"/>
        <v>179.00000000000003</v>
      </c>
      <c r="Y21" s="6">
        <f t="shared" si="24"/>
        <v>100</v>
      </c>
      <c r="Z21" s="13">
        <f>IF(MONTH($A21)=MONTH($A20),AVERAGE($Y$6:Y21),Y21)</f>
        <v>99.61999999999999</v>
      </c>
      <c r="AA21" s="13">
        <f>IF(YEAR($A21)=YEAR($A20),AVERAGE($Y$5:Y21,Y21),Y21)</f>
        <v>99.662222222222226</v>
      </c>
      <c r="AB21" s="13">
        <f t="shared" si="25"/>
        <v>83</v>
      </c>
      <c r="AC21" s="13">
        <f>IF(MONTH($A21)=MONTH($A20),AVERAGE($AB$5:AB21),AB21)</f>
        <v>83.294117647058826</v>
      </c>
      <c r="AD21" s="13">
        <f>IF(YEAR($A21)=YEAR($A20),AVERAGE($AB$5:AB20,AB21),AB21)</f>
        <v>83.294117647058826</v>
      </c>
    </row>
    <row r="22" spans="1:30">
      <c r="A22" s="35">
        <f t="shared" si="9"/>
        <v>45309</v>
      </c>
      <c r="B22" s="2"/>
      <c r="C22" s="3">
        <v>499.55089035429995</v>
      </c>
      <c r="E22" s="7">
        <v>100</v>
      </c>
      <c r="F22" s="3">
        <v>6731.36</v>
      </c>
      <c r="G22" s="7">
        <v>82</v>
      </c>
      <c r="H22" s="5">
        <v>0.31597222222222221</v>
      </c>
      <c r="I22" s="5">
        <v>0.76388888888888884</v>
      </c>
      <c r="J22" s="7">
        <f t="shared" si="0"/>
        <v>10.75</v>
      </c>
      <c r="Q22" s="84"/>
      <c r="S22" s="21">
        <f t="shared" si="18"/>
        <v>499.55089035429995</v>
      </c>
      <c r="T22" s="6">
        <f t="shared" si="19"/>
        <v>8441.4731248684984</v>
      </c>
      <c r="U22" s="6">
        <f t="shared" si="20"/>
        <v>8441.4731248684984</v>
      </c>
      <c r="V22" s="13">
        <f t="shared" si="21"/>
        <v>10.75</v>
      </c>
      <c r="W22" s="13">
        <f t="shared" si="22"/>
        <v>189.75000000000003</v>
      </c>
      <c r="X22" s="13">
        <f t="shared" si="23"/>
        <v>189.75000000000003</v>
      </c>
      <c r="Y22" s="6">
        <f t="shared" si="24"/>
        <v>100</v>
      </c>
      <c r="Z22" s="13">
        <f>IF(MONTH($A22)=MONTH($A21),AVERAGE($Y$6:Y22),Y22)</f>
        <v>99.642352941176455</v>
      </c>
      <c r="AA22" s="13">
        <f>IF(YEAR($A22)=YEAR($A21),AVERAGE($Y$5:Y22,Y22),Y22)</f>
        <v>99.68</v>
      </c>
      <c r="AB22" s="13">
        <f t="shared" si="25"/>
        <v>82</v>
      </c>
      <c r="AC22" s="13">
        <f>IF(MONTH($A22)=MONTH($A21),AVERAGE($AB$5:AB22),AB22)</f>
        <v>83.222222222222229</v>
      </c>
      <c r="AD22" s="13">
        <f>IF(YEAR($A22)=YEAR($A21),AVERAGE($AB$5:AB21,AB22),AB22)</f>
        <v>83.222222222222229</v>
      </c>
    </row>
    <row r="23" spans="1:30">
      <c r="A23" s="35">
        <f t="shared" si="9"/>
        <v>45310</v>
      </c>
      <c r="C23" s="3">
        <v>528.73832901029994</v>
      </c>
      <c r="E23" s="7">
        <v>100</v>
      </c>
      <c r="F23" s="3">
        <v>7010.97</v>
      </c>
      <c r="G23" s="7">
        <v>84</v>
      </c>
      <c r="H23" s="5">
        <v>0.31527777777777777</v>
      </c>
      <c r="I23" s="5">
        <v>0.7583333333333333</v>
      </c>
      <c r="J23" s="7">
        <f t="shared" si="0"/>
        <v>10.633333333333333</v>
      </c>
      <c r="Q23" s="84"/>
      <c r="S23" s="21">
        <f t="shared" si="18"/>
        <v>528.73832901029994</v>
      </c>
      <c r="T23" s="6">
        <f t="shared" si="19"/>
        <v>8970.2114538787991</v>
      </c>
      <c r="U23" s="6">
        <f t="shared" si="20"/>
        <v>8970.2114538787991</v>
      </c>
      <c r="V23" s="13">
        <f t="shared" si="21"/>
        <v>10.633333333333333</v>
      </c>
      <c r="W23" s="13">
        <f t="shared" si="22"/>
        <v>200.38333333333335</v>
      </c>
      <c r="X23" s="13">
        <f t="shared" si="23"/>
        <v>200.38333333333335</v>
      </c>
      <c r="Y23" s="6">
        <f t="shared" si="24"/>
        <v>100</v>
      </c>
      <c r="Z23" s="13">
        <f>IF(MONTH($A23)=MONTH($A22),AVERAGE($Y$6:Y23),Y23)</f>
        <v>99.662222222222212</v>
      </c>
      <c r="AA23" s="13">
        <f>IF(YEAR($A23)=YEAR($A22),AVERAGE($Y$5:Y23,Y23),Y23)</f>
        <v>99.695999999999998</v>
      </c>
      <c r="AB23" s="13">
        <f t="shared" si="25"/>
        <v>84</v>
      </c>
      <c r="AC23" s="13">
        <f>IF(MONTH($A23)=MONTH($A22),AVERAGE($AB$5:AB23),AB23)</f>
        <v>83.263157894736835</v>
      </c>
      <c r="AD23" s="13">
        <f>IF(YEAR($A23)=YEAR($A22),AVERAGE($AB$5:AB22,AB23),AB23)</f>
        <v>83.263157894736835</v>
      </c>
    </row>
    <row r="24" spans="1:30">
      <c r="A24" s="35">
        <f t="shared" si="9"/>
        <v>45311</v>
      </c>
      <c r="C24" s="3">
        <v>490.70109649670002</v>
      </c>
      <c r="E24" s="7">
        <v>100</v>
      </c>
      <c r="F24" s="3">
        <v>6505.15</v>
      </c>
      <c r="G24" s="7">
        <v>84</v>
      </c>
      <c r="H24" s="5">
        <v>0.31944444444444448</v>
      </c>
      <c r="I24" s="5">
        <v>0.76388888888888884</v>
      </c>
      <c r="J24" s="7">
        <f t="shared" si="0"/>
        <v>10.666666666666664</v>
      </c>
      <c r="Q24" s="84"/>
      <c r="S24" s="21">
        <f t="shared" si="18"/>
        <v>490.70109649670002</v>
      </c>
      <c r="T24" s="6">
        <f t="shared" si="19"/>
        <v>9460.9125503754985</v>
      </c>
      <c r="U24" s="6">
        <f t="shared" si="20"/>
        <v>9460.9125503754985</v>
      </c>
      <c r="V24" s="13">
        <f t="shared" si="21"/>
        <v>10.666666666666664</v>
      </c>
      <c r="W24" s="13">
        <f t="shared" si="22"/>
        <v>211.05</v>
      </c>
      <c r="X24" s="13">
        <f t="shared" si="23"/>
        <v>211.05</v>
      </c>
      <c r="Y24" s="6">
        <f t="shared" si="24"/>
        <v>100</v>
      </c>
      <c r="Z24" s="13">
        <f>IF(MONTH($A24)=MONTH($A23),AVERAGE($Y$6:Y24),Y24)</f>
        <v>99.679999999999993</v>
      </c>
      <c r="AA24" s="13">
        <f>IF(YEAR($A24)=YEAR($A23),AVERAGE($Y$5:Y24,Y24),Y24)</f>
        <v>99.7104761904762</v>
      </c>
      <c r="AB24" s="13">
        <f t="shared" si="25"/>
        <v>84</v>
      </c>
      <c r="AC24" s="13">
        <f>IF(MONTH($A24)=MONTH($A23),AVERAGE($AB$5:AB24),AB24)</f>
        <v>83.3</v>
      </c>
      <c r="AD24" s="13">
        <f>IF(YEAR($A24)=YEAR($A23),AVERAGE($AB$5:AB23,AB24),AB24)</f>
        <v>83.3</v>
      </c>
    </row>
    <row r="25" spans="1:30">
      <c r="A25" s="35">
        <f t="shared" si="9"/>
        <v>45312</v>
      </c>
      <c r="C25" s="3">
        <v>323.33087632759998</v>
      </c>
      <c r="E25" s="7">
        <v>100</v>
      </c>
      <c r="F25" s="3">
        <v>4231.03</v>
      </c>
      <c r="G25" s="7">
        <v>85</v>
      </c>
      <c r="H25" s="5">
        <v>0.31736111111111115</v>
      </c>
      <c r="I25" s="5">
        <v>0.75555555555555554</v>
      </c>
      <c r="J25" s="7">
        <f t="shared" si="0"/>
        <v>10.516666666666666</v>
      </c>
      <c r="Q25" s="84"/>
      <c r="S25" s="21">
        <f t="shared" si="18"/>
        <v>323.33087632759998</v>
      </c>
      <c r="T25" s="6">
        <f t="shared" si="19"/>
        <v>9784.2434267030985</v>
      </c>
      <c r="U25" s="6">
        <f t="shared" si="20"/>
        <v>9784.2434267030985</v>
      </c>
      <c r="V25" s="13">
        <f t="shared" si="21"/>
        <v>10.516666666666666</v>
      </c>
      <c r="W25" s="13">
        <f t="shared" si="22"/>
        <v>221.56666666666666</v>
      </c>
      <c r="X25" s="13">
        <f t="shared" si="23"/>
        <v>221.56666666666666</v>
      </c>
      <c r="Y25" s="6">
        <f t="shared" si="24"/>
        <v>100</v>
      </c>
      <c r="Z25" s="13">
        <f>IF(MONTH($A25)=MONTH($A24),AVERAGE($Y$6:Y25),Y25)</f>
        <v>99.695999999999998</v>
      </c>
      <c r="AA25" s="13">
        <f>IF(YEAR($A25)=YEAR($A24),AVERAGE($Y$5:Y25,Y25),Y25)</f>
        <v>99.723636363636373</v>
      </c>
      <c r="AB25" s="13">
        <f t="shared" si="25"/>
        <v>85</v>
      </c>
      <c r="AC25" s="13">
        <f>IF(MONTH($A25)=MONTH($A24),AVERAGE($AB$5:AB25),AB25)</f>
        <v>83.38095238095238</v>
      </c>
      <c r="AD25" s="13">
        <f>IF(YEAR($A25)=YEAR($A24),AVERAGE($AB$5:AB24,AB25),AB25)</f>
        <v>83.38095238095238</v>
      </c>
    </row>
    <row r="26" spans="1:30">
      <c r="A26" s="35">
        <f t="shared" si="9"/>
        <v>45313</v>
      </c>
      <c r="C26" s="3">
        <v>206.4912152885</v>
      </c>
      <c r="E26" s="7">
        <v>100</v>
      </c>
      <c r="F26" s="3">
        <v>2534.42</v>
      </c>
      <c r="G26" s="7">
        <v>91</v>
      </c>
      <c r="H26" s="5">
        <v>0.33402777777777781</v>
      </c>
      <c r="I26" s="5">
        <v>0.74513888888888891</v>
      </c>
      <c r="J26" s="7">
        <f t="shared" si="0"/>
        <v>9.8666666666666671</v>
      </c>
      <c r="Q26" s="84"/>
      <c r="S26" s="21">
        <f t="shared" si="18"/>
        <v>206.4912152885</v>
      </c>
      <c r="T26" s="6">
        <f t="shared" si="19"/>
        <v>9990.7346419915993</v>
      </c>
      <c r="U26" s="6">
        <f t="shared" si="20"/>
        <v>9990.7346419915993</v>
      </c>
      <c r="V26" s="13">
        <f t="shared" si="21"/>
        <v>9.8666666666666671</v>
      </c>
      <c r="W26" s="13">
        <f t="shared" si="22"/>
        <v>231.43333333333334</v>
      </c>
      <c r="X26" s="13">
        <f t="shared" si="23"/>
        <v>231.43333333333334</v>
      </c>
      <c r="Y26" s="6">
        <f t="shared" si="24"/>
        <v>100</v>
      </c>
      <c r="Z26" s="13">
        <f>IF(MONTH($A26)=MONTH($A25),AVERAGE($Y$6:Y26),Y26)</f>
        <v>99.7104761904762</v>
      </c>
      <c r="AA26" s="13">
        <f>IF(YEAR($A26)=YEAR($A25),AVERAGE($Y$5:Y26,Y26),Y26)</f>
        <v>99.735652173913053</v>
      </c>
      <c r="AB26" s="13">
        <f t="shared" si="25"/>
        <v>91</v>
      </c>
      <c r="AC26" s="13">
        <f>IF(MONTH($A26)=MONTH($A25),AVERAGE($AB$5:AB26),AB26)</f>
        <v>83.727272727272734</v>
      </c>
      <c r="AD26" s="13">
        <f>IF(YEAR($A26)=YEAR($A25),AVERAGE($AB$5:AB25,AB26),AB26)</f>
        <v>83.727272727272734</v>
      </c>
    </row>
    <row r="27" spans="1:30">
      <c r="A27" s="35">
        <f t="shared" si="9"/>
        <v>45314</v>
      </c>
      <c r="C27" s="3">
        <v>511.23107271650002</v>
      </c>
      <c r="E27" s="7">
        <v>99.97</v>
      </c>
      <c r="F27" s="3">
        <v>6748.35</v>
      </c>
      <c r="G27" s="7">
        <v>84</v>
      </c>
      <c r="H27" s="5">
        <v>0.32569444444444445</v>
      </c>
      <c r="I27" s="5">
        <v>0.76736111111111116</v>
      </c>
      <c r="J27" s="7">
        <f t="shared" si="0"/>
        <v>10.600000000000001</v>
      </c>
      <c r="Q27" s="84"/>
      <c r="S27" s="21">
        <f t="shared" si="18"/>
        <v>511.23107271650002</v>
      </c>
      <c r="T27" s="6">
        <f t="shared" si="19"/>
        <v>10501.9657147081</v>
      </c>
      <c r="U27" s="6">
        <f t="shared" si="20"/>
        <v>10501.9657147081</v>
      </c>
      <c r="V27" s="13">
        <f t="shared" si="21"/>
        <v>10.600000000000001</v>
      </c>
      <c r="W27" s="13">
        <f t="shared" si="22"/>
        <v>242.03333333333333</v>
      </c>
      <c r="X27" s="13">
        <f t="shared" si="23"/>
        <v>242.03333333333333</v>
      </c>
      <c r="Y27" s="6">
        <f t="shared" si="24"/>
        <v>99.97</v>
      </c>
      <c r="Z27" s="13">
        <f>IF(MONTH($A27)=MONTH($A26),AVERAGE($Y$6:Y27),Y27)</f>
        <v>99.722272727272724</v>
      </c>
      <c r="AA27" s="13">
        <f>IF(YEAR($A27)=YEAR($A26),AVERAGE($Y$5:Y27,Y27),Y27)</f>
        <v>99.744166666666658</v>
      </c>
      <c r="AB27" s="13" t="e">
        <f>#REF!</f>
        <v>#REF!</v>
      </c>
      <c r="AC27" s="13" t="e">
        <f>IF(MONTH($A27)=MONTH($A26),AVERAGE($AB$5:AB27),AB27)</f>
        <v>#REF!</v>
      </c>
      <c r="AD27" s="13" t="e">
        <f>IF(YEAR($A27)=YEAR($A26),AVERAGE($AB$5:AB26,AB27),AB27)</f>
        <v>#REF!</v>
      </c>
    </row>
    <row r="28" spans="1:30" ht="120">
      <c r="A28" s="35">
        <f t="shared" si="9"/>
        <v>45315</v>
      </c>
      <c r="C28" s="3">
        <v>325.33881357130002</v>
      </c>
      <c r="E28" s="7">
        <v>99.43</v>
      </c>
      <c r="F28" s="7">
        <v>4118.2</v>
      </c>
      <c r="G28" s="7">
        <v>88</v>
      </c>
      <c r="H28" s="5">
        <v>0.32569444444444445</v>
      </c>
      <c r="I28" s="5">
        <v>0.76180555555555562</v>
      </c>
      <c r="J28" s="7">
        <f t="shared" si="0"/>
        <v>10.466666666666669</v>
      </c>
      <c r="M28" s="4">
        <v>6.4000000000000001E-2</v>
      </c>
      <c r="Q28" s="37" t="s">
        <v>34</v>
      </c>
      <c r="S28" s="21">
        <f t="shared" si="18"/>
        <v>325.33881357130002</v>
      </c>
      <c r="T28" s="6">
        <f t="shared" si="19"/>
        <v>10827.304528279399</v>
      </c>
      <c r="U28" s="6">
        <f t="shared" si="20"/>
        <v>10827.304528279399</v>
      </c>
      <c r="V28" s="13">
        <f t="shared" si="21"/>
        <v>10.466666666666669</v>
      </c>
      <c r="W28" s="13">
        <f t="shared" si="22"/>
        <v>252.5</v>
      </c>
      <c r="X28" s="13">
        <f t="shared" si="23"/>
        <v>252.5</v>
      </c>
      <c r="Y28" s="6">
        <f t="shared" si="24"/>
        <v>99.43</v>
      </c>
      <c r="Z28" s="13">
        <f>IF(MONTH($A28)=MONTH($A27),AVERAGE($Y$6:Y28),Y28)</f>
        <v>99.709565217391287</v>
      </c>
      <c r="AA28" s="13">
        <f>IF(YEAR($A28)=YEAR($A27),AVERAGE($Y$5:Y28,Y28),Y28)</f>
        <v>99.70999999999998</v>
      </c>
      <c r="AB28" s="13">
        <f t="shared" si="25"/>
        <v>88</v>
      </c>
      <c r="AC28" s="13" t="e">
        <f>IF(MONTH($A28)=MONTH($A27),AVERAGE($AB$5:AB28),AB28)</f>
        <v>#REF!</v>
      </c>
      <c r="AD28" s="13" t="e">
        <f>IF(YEAR($A28)=YEAR($A27),AVERAGE($AB$5:AB27,AB28),AB28)</f>
        <v>#REF!</v>
      </c>
    </row>
    <row r="29" spans="1:30" ht="150">
      <c r="A29" s="35">
        <f t="shared" si="9"/>
        <v>45316</v>
      </c>
      <c r="C29" s="3">
        <v>450.15635536169998</v>
      </c>
      <c r="E29" s="7">
        <v>99.69</v>
      </c>
      <c r="F29" s="3">
        <v>5891.37</v>
      </c>
      <c r="G29" s="7">
        <v>85</v>
      </c>
      <c r="H29" s="5">
        <v>0.31527777777777777</v>
      </c>
      <c r="I29" s="5">
        <v>0.76597222222222217</v>
      </c>
      <c r="J29" s="7">
        <f t="shared" si="0"/>
        <v>10.816666666666666</v>
      </c>
      <c r="Q29" s="84" t="s">
        <v>35</v>
      </c>
      <c r="S29" s="21">
        <f t="shared" si="18"/>
        <v>450.15635536169998</v>
      </c>
      <c r="T29" s="6">
        <f t="shared" si="19"/>
        <v>11277.460883641099</v>
      </c>
      <c r="U29" s="6">
        <f t="shared" si="20"/>
        <v>11277.460883641099</v>
      </c>
      <c r="V29" s="13">
        <f t="shared" si="21"/>
        <v>10.816666666666666</v>
      </c>
      <c r="W29" s="13">
        <f t="shared" si="22"/>
        <v>263.31666666666666</v>
      </c>
      <c r="X29" s="13">
        <f t="shared" si="23"/>
        <v>263.31666666666666</v>
      </c>
      <c r="Y29" s="6">
        <f t="shared" si="24"/>
        <v>99.69</v>
      </c>
      <c r="Z29" s="13">
        <f>IF(MONTH($A29)=MONTH($A28),AVERAGE($Y$6:Y29),Y29)</f>
        <v>99.708749999999995</v>
      </c>
      <c r="AA29" s="13">
        <f>IF(YEAR($A29)=YEAR($A28),AVERAGE($Y$5:Y29,Y29),Y29)</f>
        <v>99.719230769230762</v>
      </c>
      <c r="AB29" s="13">
        <f t="shared" si="25"/>
        <v>85</v>
      </c>
      <c r="AC29" s="13" t="e">
        <f>IF(MONTH($A29)=MONTH($A28),AVERAGE($AB$5:AB29),AB29)</f>
        <v>#REF!</v>
      </c>
      <c r="AD29" s="13" t="e">
        <f>IF(YEAR($A29)=YEAR($A28),AVERAGE($AB$5:AB28,AB29),AB29)</f>
        <v>#REF!</v>
      </c>
    </row>
    <row r="30" spans="1:30" ht="60">
      <c r="A30" s="35">
        <f t="shared" si="9"/>
        <v>45317</v>
      </c>
      <c r="C30" s="3">
        <v>556.89752297990003</v>
      </c>
      <c r="E30" s="7">
        <v>99.65</v>
      </c>
      <c r="F30" s="3">
        <v>7258.04</v>
      </c>
      <c r="G30" s="7">
        <v>85</v>
      </c>
      <c r="H30" s="5">
        <v>0.31805555555555554</v>
      </c>
      <c r="I30" s="5">
        <v>0.76874999999999993</v>
      </c>
      <c r="J30" s="7">
        <f t="shared" si="0"/>
        <v>10.816666666666666</v>
      </c>
      <c r="M30" s="4">
        <v>0.04</v>
      </c>
      <c r="Q30" s="37" t="s">
        <v>36</v>
      </c>
      <c r="S30" s="21">
        <f t="shared" si="18"/>
        <v>556.89752297990003</v>
      </c>
      <c r="T30" s="6">
        <f t="shared" si="19"/>
        <v>11834.358406620999</v>
      </c>
      <c r="U30" s="6">
        <f t="shared" si="20"/>
        <v>11834.358406620999</v>
      </c>
      <c r="V30" s="13">
        <f t="shared" si="21"/>
        <v>10.816666666666666</v>
      </c>
      <c r="W30" s="13">
        <f t="shared" si="22"/>
        <v>274.13333333333333</v>
      </c>
      <c r="X30" s="13">
        <f t="shared" si="23"/>
        <v>274.13333333333333</v>
      </c>
      <c r="Y30" s="6">
        <f t="shared" si="24"/>
        <v>99.65</v>
      </c>
      <c r="Z30" s="13">
        <f>IF(MONTH($A30)=MONTH($A29),AVERAGE($Y$6:Y30),Y30)</f>
        <v>99.706399999999988</v>
      </c>
      <c r="AA30" s="13">
        <f>IF(YEAR($A30)=YEAR($A29),AVERAGE($Y$5:Y30,Y30),Y30)</f>
        <v>99.715185185185177</v>
      </c>
      <c r="AB30" s="13">
        <f t="shared" si="25"/>
        <v>85</v>
      </c>
      <c r="AC30" s="13" t="e">
        <f>IF(MONTH($A30)=MONTH($A29),AVERAGE($AB$5:AB30),AB30)</f>
        <v>#REF!</v>
      </c>
      <c r="AD30" s="13" t="e">
        <f>IF(YEAR($A30)=YEAR($A29),AVERAGE($AB$5:AB29,AB30),AB30)</f>
        <v>#REF!</v>
      </c>
    </row>
    <row r="31" spans="1:30" ht="75">
      <c r="A31" s="35">
        <f t="shared" si="9"/>
        <v>45318</v>
      </c>
      <c r="C31" s="38">
        <v>544.6683316351</v>
      </c>
      <c r="E31" s="7">
        <v>99.54</v>
      </c>
      <c r="F31" s="3">
        <v>7213.43</v>
      </c>
      <c r="G31" s="7">
        <v>84</v>
      </c>
      <c r="H31" s="5">
        <v>0.31875000000000003</v>
      </c>
      <c r="I31" s="5">
        <v>0.76666666666666661</v>
      </c>
      <c r="J31" s="7">
        <f t="shared" si="0"/>
        <v>10.749999999999998</v>
      </c>
      <c r="M31" s="4">
        <v>3.1E-2</v>
      </c>
      <c r="Q31" s="37" t="s">
        <v>37</v>
      </c>
      <c r="S31" s="21">
        <f t="shared" si="18"/>
        <v>544.6683316351</v>
      </c>
      <c r="T31" s="6">
        <f t="shared" si="19"/>
        <v>12379.0267382561</v>
      </c>
      <c r="U31" s="6">
        <f t="shared" si="20"/>
        <v>12379.0267382561</v>
      </c>
      <c r="V31" s="13">
        <f t="shared" si="21"/>
        <v>10.749999999999998</v>
      </c>
      <c r="W31" s="13">
        <f t="shared" si="22"/>
        <v>284.88333333333333</v>
      </c>
      <c r="X31" s="13">
        <f t="shared" si="23"/>
        <v>284.88333333333333</v>
      </c>
      <c r="Y31" s="6">
        <f t="shared" si="24"/>
        <v>99.54</v>
      </c>
      <c r="Z31" s="13">
        <f>IF(MONTH($A31)=MONTH($A30),AVERAGE($Y$6:Y31),Y31)</f>
        <v>99.699999999999989</v>
      </c>
      <c r="AA31" s="13">
        <f>IF(YEAR($A31)=YEAR($A30),AVERAGE($Y$5:Y31,Y31),Y31)</f>
        <v>99.704999999999998</v>
      </c>
      <c r="AB31" s="13">
        <f t="shared" si="25"/>
        <v>84</v>
      </c>
      <c r="AC31" s="13" t="e">
        <f>IF(MONTH($A31)=MONTH($A30),AVERAGE($AB$5:AB31),AB31)</f>
        <v>#REF!</v>
      </c>
      <c r="AD31" s="13" t="e">
        <f>IF(YEAR($A31)=YEAR($A30),AVERAGE($AB$5:AB30,AB31),AB31)</f>
        <v>#REF!</v>
      </c>
    </row>
    <row r="32" spans="1:30" ht="105">
      <c r="A32" s="35">
        <f t="shared" si="9"/>
        <v>45319</v>
      </c>
      <c r="C32" s="3">
        <v>578.2722618104001</v>
      </c>
      <c r="E32" s="7">
        <v>98.48</v>
      </c>
      <c r="F32" s="3">
        <v>7717.65</v>
      </c>
      <c r="G32" s="7">
        <v>83</v>
      </c>
      <c r="H32" s="5">
        <v>0.31319444444444444</v>
      </c>
      <c r="I32" s="5">
        <v>0.76597222222222217</v>
      </c>
      <c r="J32" s="7">
        <f t="shared" si="0"/>
        <v>10.866666666666665</v>
      </c>
      <c r="M32" s="4">
        <v>0.11</v>
      </c>
      <c r="Q32" s="37" t="s">
        <v>38</v>
      </c>
      <c r="S32" s="21">
        <f t="shared" si="18"/>
        <v>578.2722618104001</v>
      </c>
      <c r="T32" s="6">
        <f t="shared" si="19"/>
        <v>12957.2990000665</v>
      </c>
      <c r="U32" s="6">
        <f t="shared" si="20"/>
        <v>12957.2990000665</v>
      </c>
      <c r="V32" s="13">
        <f t="shared" si="21"/>
        <v>10.866666666666665</v>
      </c>
      <c r="W32" s="13">
        <f t="shared" si="22"/>
        <v>295.75</v>
      </c>
      <c r="X32" s="13">
        <f t="shared" si="23"/>
        <v>295.75</v>
      </c>
      <c r="Y32" s="6">
        <f t="shared" si="24"/>
        <v>98.48</v>
      </c>
      <c r="Z32" s="13">
        <f>IF(MONTH($A32)=MONTH($A31),AVERAGE($Y$6:Y32),Y32)</f>
        <v>99.654814814814813</v>
      </c>
      <c r="AA32" s="13">
        <f>IF(YEAR($A32)=YEAR($A31),AVERAGE($Y$5:Y32,Y32),Y32)</f>
        <v>99.626206896551722</v>
      </c>
      <c r="AB32" s="13">
        <f t="shared" si="25"/>
        <v>83</v>
      </c>
      <c r="AC32" s="13" t="e">
        <f>IF(MONTH($A32)=MONTH($A31),AVERAGE($AB$5:AB32),AB32)</f>
        <v>#REF!</v>
      </c>
      <c r="AD32" s="13" t="e">
        <f>IF(YEAR($A32)=YEAR($A31),AVERAGE($AB$5:AB31,AB32),AB32)</f>
        <v>#REF!</v>
      </c>
    </row>
    <row r="33" spans="1:30" ht="210">
      <c r="A33" s="35">
        <f t="shared" si="9"/>
        <v>45320</v>
      </c>
      <c r="C33" s="3">
        <v>419.40142006069999</v>
      </c>
      <c r="E33" s="7">
        <v>98.13</v>
      </c>
      <c r="F33" s="3">
        <v>5685.63</v>
      </c>
      <c r="G33" s="7">
        <v>82</v>
      </c>
      <c r="H33" s="5">
        <v>0.3125</v>
      </c>
      <c r="I33" s="5">
        <v>0.79513888888888884</v>
      </c>
      <c r="J33" s="7">
        <f t="shared" si="0"/>
        <v>11.583333333333332</v>
      </c>
      <c r="M33" s="4">
        <v>0.22</v>
      </c>
      <c r="Q33" s="37" t="s">
        <v>39</v>
      </c>
      <c r="S33" s="21">
        <f t="shared" si="18"/>
        <v>419.40142006069999</v>
      </c>
      <c r="T33" s="6">
        <f t="shared" si="19"/>
        <v>13376.700420127199</v>
      </c>
      <c r="U33" s="6">
        <f t="shared" si="20"/>
        <v>13376.700420127199</v>
      </c>
      <c r="V33" s="13">
        <f t="shared" si="21"/>
        <v>11.583333333333332</v>
      </c>
      <c r="W33" s="13">
        <f t="shared" si="22"/>
        <v>307.33333333333331</v>
      </c>
      <c r="X33" s="13">
        <f t="shared" si="23"/>
        <v>307.33333333333331</v>
      </c>
      <c r="Y33" s="6">
        <f t="shared" si="24"/>
        <v>98.13</v>
      </c>
      <c r="Z33" s="13">
        <f>IF(MONTH($A33)=MONTH($A32),AVERAGE($Y$6:Y33),Y33)</f>
        <v>99.600357142857135</v>
      </c>
      <c r="AA33" s="13">
        <f>IF(YEAR($A33)=YEAR($A32),AVERAGE($Y$5:Y33,Y33),Y33)</f>
        <v>99.564666666666668</v>
      </c>
      <c r="AB33" s="13">
        <f t="shared" si="25"/>
        <v>82</v>
      </c>
      <c r="AC33" s="13" t="e">
        <f>IF(MONTH($A33)=MONTH($A32),AVERAGE($AB$5:AB33),AB33)</f>
        <v>#REF!</v>
      </c>
      <c r="AD33" s="13" t="e">
        <f>IF(YEAR($A33)=YEAR($A32),AVERAGE($AB$5:AB32,AB33),AB33)</f>
        <v>#REF!</v>
      </c>
    </row>
    <row r="34" spans="1:30">
      <c r="A34" s="35">
        <f t="shared" si="9"/>
        <v>45321</v>
      </c>
      <c r="C34" s="3">
        <v>184.0157353486</v>
      </c>
      <c r="E34" s="7">
        <v>100</v>
      </c>
      <c r="F34" s="3">
        <v>2096.1</v>
      </c>
      <c r="G34" s="91">
        <v>98</v>
      </c>
      <c r="H34" s="5">
        <v>0.31111111111111112</v>
      </c>
      <c r="I34" s="5">
        <v>0.74583333333333324</v>
      </c>
      <c r="J34" s="7">
        <f t="shared" si="0"/>
        <v>10.43333333333333</v>
      </c>
      <c r="Q34" s="84"/>
      <c r="S34" s="21">
        <f t="shared" si="18"/>
        <v>184.0157353486</v>
      </c>
      <c r="T34" s="6">
        <f t="shared" si="19"/>
        <v>13560.716155475799</v>
      </c>
      <c r="U34" s="6">
        <f t="shared" si="20"/>
        <v>13560.716155475799</v>
      </c>
      <c r="V34" s="13">
        <f t="shared" si="21"/>
        <v>10.43333333333333</v>
      </c>
      <c r="W34" s="13">
        <f t="shared" si="22"/>
        <v>317.76666666666665</v>
      </c>
      <c r="X34" s="13">
        <f t="shared" si="23"/>
        <v>317.76666666666665</v>
      </c>
      <c r="Y34" s="6">
        <f t="shared" si="24"/>
        <v>100</v>
      </c>
      <c r="Z34" s="13">
        <f>IF(MONTH($A34)=MONTH($A33),AVERAGE($Y$6:Y34),Y34)</f>
        <v>99.614137931034477</v>
      </c>
      <c r="AA34" s="13">
        <f>IF(YEAR($A34)=YEAR($A33),AVERAGE($Y$5:Y34,Y34),Y34)</f>
        <v>99.639032258064518</v>
      </c>
      <c r="AB34" s="13">
        <f t="shared" si="25"/>
        <v>98</v>
      </c>
      <c r="AC34" s="13" t="e">
        <f>IF(MONTH($A34)=MONTH($A33),AVERAGE($AB$5:AB34),AB34)</f>
        <v>#REF!</v>
      </c>
      <c r="AD34" s="13" t="e">
        <f>IF(YEAR($A34)=YEAR($A33),AVERAGE($AB$5:AB33,AB34),AB34)</f>
        <v>#REF!</v>
      </c>
    </row>
    <row r="35" spans="1:30">
      <c r="A35" s="35">
        <f t="shared" si="9"/>
        <v>45322</v>
      </c>
      <c r="C35" s="3">
        <v>362.87184001179997</v>
      </c>
      <c r="E35" s="7">
        <v>100</v>
      </c>
      <c r="F35" s="3">
        <v>4673.37</v>
      </c>
      <c r="G35" s="7">
        <v>86</v>
      </c>
      <c r="H35" s="5">
        <v>0.32013888888888892</v>
      </c>
      <c r="I35" s="5">
        <v>0.76388888888888884</v>
      </c>
      <c r="J35" s="7">
        <f t="shared" si="0"/>
        <v>10.649999999999999</v>
      </c>
      <c r="Q35" s="84"/>
      <c r="S35" s="21">
        <f t="shared" si="18"/>
        <v>362.87184001179997</v>
      </c>
      <c r="T35" s="6">
        <f t="shared" si="19"/>
        <v>13923.587995487598</v>
      </c>
      <c r="U35" s="6">
        <f t="shared" si="20"/>
        <v>13923.587995487598</v>
      </c>
      <c r="V35" s="13">
        <f t="shared" si="21"/>
        <v>10.649999999999999</v>
      </c>
      <c r="W35" s="13">
        <f t="shared" si="22"/>
        <v>328.41666666666663</v>
      </c>
      <c r="X35" s="13">
        <f t="shared" si="23"/>
        <v>328.41666666666663</v>
      </c>
      <c r="Y35" s="6">
        <f t="shared" si="24"/>
        <v>100</v>
      </c>
      <c r="Z35" s="13">
        <f>IF(MONTH($A35)=MONTH($A34),AVERAGE($Y$6:Y35),Y35)</f>
        <v>99.626999999999995</v>
      </c>
      <c r="AA35" s="13">
        <f>IF(YEAR($A35)=YEAR($A34),AVERAGE($Y$5:Y35,Y35),Y35)</f>
        <v>99.650312499999998</v>
      </c>
      <c r="AB35" s="13">
        <f t="shared" si="25"/>
        <v>86</v>
      </c>
      <c r="AC35" s="13" t="e">
        <f>IF(MONTH($A35)=MONTH($A34),AVERAGE($AB$5:AB35),AB35)</f>
        <v>#REF!</v>
      </c>
      <c r="AD35" s="13" t="e">
        <f>IF(YEAR($A35)=YEAR($A34),AVERAGE($AB$5:AB34,AB35),AB35)</f>
        <v>#REF!</v>
      </c>
    </row>
    <row r="36" spans="1:30" ht="90">
      <c r="A36" s="35">
        <f t="shared" si="9"/>
        <v>45323</v>
      </c>
      <c r="C36" s="3">
        <v>321.68411797010003</v>
      </c>
      <c r="E36" s="7">
        <v>99.36</v>
      </c>
      <c r="F36" s="3">
        <v>4072.48</v>
      </c>
      <c r="G36" s="7">
        <v>88</v>
      </c>
      <c r="H36" s="5">
        <v>0.31180555555555556</v>
      </c>
      <c r="I36" s="5">
        <v>0.7597222222222223</v>
      </c>
      <c r="J36" s="7">
        <f t="shared" si="0"/>
        <v>10.750000000000002</v>
      </c>
      <c r="M36" s="4">
        <v>0.06</v>
      </c>
      <c r="Q36" s="37" t="s">
        <v>40</v>
      </c>
      <c r="S36" s="21">
        <f t="shared" si="18"/>
        <v>321.68411797010003</v>
      </c>
      <c r="T36" s="6">
        <f t="shared" si="19"/>
        <v>321.68411797010003</v>
      </c>
      <c r="U36" s="6">
        <f t="shared" si="20"/>
        <v>14245.272113457699</v>
      </c>
      <c r="V36" s="13">
        <f t="shared" si="21"/>
        <v>10.750000000000002</v>
      </c>
      <c r="W36" s="13">
        <f t="shared" si="22"/>
        <v>10.750000000000002</v>
      </c>
      <c r="X36" s="13">
        <f t="shared" si="23"/>
        <v>339.16666666666663</v>
      </c>
      <c r="Y36" s="6">
        <f t="shared" si="24"/>
        <v>99.36</v>
      </c>
      <c r="Z36" s="13">
        <f>IF(MONTH($A36)=MONTH($A35),AVERAGE($Y$6:Y36),Y36)</f>
        <v>99.36</v>
      </c>
      <c r="AA36" s="13">
        <f>IF(YEAR($A36)=YEAR($A35),AVERAGE($Y$5:Y36,Y36),Y36)</f>
        <v>99.622121212121215</v>
      </c>
      <c r="AB36" s="13">
        <f t="shared" si="25"/>
        <v>88</v>
      </c>
      <c r="AC36" s="13">
        <f>IF(MONTH($A36)=MONTH($A35),AVERAGE($AB$5:AB36),AB36)</f>
        <v>88</v>
      </c>
      <c r="AD36" s="13" t="e">
        <f>IF(YEAR($A36)=YEAR($A35),AVERAGE($AB$5:AB35,AB36),AB36)</f>
        <v>#REF!</v>
      </c>
    </row>
    <row r="37" spans="1:30">
      <c r="A37" s="35">
        <f t="shared" si="9"/>
        <v>45324</v>
      </c>
      <c r="C37" s="3">
        <v>116.8619389956</v>
      </c>
      <c r="E37" s="7">
        <v>100</v>
      </c>
      <c r="F37" s="3">
        <v>1335.46</v>
      </c>
      <c r="G37" s="7">
        <v>97</v>
      </c>
      <c r="H37" s="5">
        <v>0.32361111111111113</v>
      </c>
      <c r="I37" s="5">
        <v>0.76180555555555562</v>
      </c>
      <c r="J37" s="7">
        <f t="shared" si="0"/>
        <v>10.516666666666667</v>
      </c>
      <c r="Q37" s="84"/>
      <c r="S37" s="21">
        <f t="shared" si="18"/>
        <v>116.8619389956</v>
      </c>
      <c r="T37" s="6">
        <f t="shared" si="19"/>
        <v>438.54605696570002</v>
      </c>
      <c r="U37" s="6">
        <f t="shared" si="20"/>
        <v>14362.134052453299</v>
      </c>
      <c r="V37" s="13">
        <f t="shared" si="21"/>
        <v>10.516666666666667</v>
      </c>
      <c r="W37" s="13">
        <f t="shared" si="22"/>
        <v>21.266666666666669</v>
      </c>
      <c r="X37" s="13">
        <f t="shared" si="23"/>
        <v>349.68333333333328</v>
      </c>
      <c r="Y37" s="6">
        <f t="shared" si="24"/>
        <v>100</v>
      </c>
      <c r="Z37" s="13">
        <f>IF(MONTH($A37)=MONTH($A36),AVERAGE($Y$6:Y37),Y37)</f>
        <v>99.630312500000002</v>
      </c>
      <c r="AA37" s="13">
        <f>IF(YEAR($A37)=YEAR($A36),AVERAGE($Y$5:Y37,Y37),Y37)</f>
        <v>99.652058823529416</v>
      </c>
      <c r="AB37" s="13">
        <f t="shared" si="25"/>
        <v>97</v>
      </c>
      <c r="AC37" s="13" t="e">
        <f>IF(MONTH($A37)=MONTH($A36),AVERAGE($AB$5:AB37),AB37)</f>
        <v>#REF!</v>
      </c>
      <c r="AD37" s="13" t="e">
        <f>IF(YEAR($A37)=YEAR($A36),AVERAGE($AB$5:AB36,AB37),AB37)</f>
        <v>#REF!</v>
      </c>
    </row>
    <row r="38" spans="1:30" ht="90">
      <c r="A38" s="35">
        <f t="shared" si="9"/>
        <v>45325</v>
      </c>
      <c r="C38" s="3">
        <v>314.97116590109999</v>
      </c>
      <c r="E38" s="7">
        <v>99.97</v>
      </c>
      <c r="F38" s="3">
        <v>4083.01</v>
      </c>
      <c r="G38" s="7">
        <v>86</v>
      </c>
      <c r="H38" s="5">
        <v>0.31805555555555554</v>
      </c>
      <c r="I38" s="5">
        <v>0.77013888888888893</v>
      </c>
      <c r="J38" s="7">
        <f t="shared" si="0"/>
        <v>10.850000000000001</v>
      </c>
      <c r="M38" s="4">
        <v>6.8000000000000005E-2</v>
      </c>
      <c r="Q38" s="37" t="s">
        <v>41</v>
      </c>
      <c r="S38" s="21">
        <f t="shared" si="18"/>
        <v>314.97116590109999</v>
      </c>
      <c r="T38" s="6">
        <f t="shared" si="19"/>
        <v>753.51722286680001</v>
      </c>
      <c r="U38" s="6">
        <f t="shared" si="20"/>
        <v>14677.105218354398</v>
      </c>
      <c r="V38" s="13">
        <f t="shared" si="21"/>
        <v>10.850000000000001</v>
      </c>
      <c r="W38" s="13">
        <f t="shared" si="22"/>
        <v>32.116666666666674</v>
      </c>
      <c r="X38" s="13">
        <f t="shared" si="23"/>
        <v>360.5333333333333</v>
      </c>
      <c r="Y38" s="6">
        <f t="shared" si="24"/>
        <v>99.97</v>
      </c>
      <c r="Z38" s="13">
        <f>IF(MONTH($A38)=MONTH($A37),AVERAGE($Y$6:Y38),Y38)</f>
        <v>99.640606060606061</v>
      </c>
      <c r="AA38" s="13">
        <f>IF(YEAR($A38)=YEAR($A37),AVERAGE($Y$5:Y38,Y38),Y38)</f>
        <v>99.660285714285706</v>
      </c>
      <c r="AB38" s="13">
        <f>F38</f>
        <v>4083.01</v>
      </c>
      <c r="AC38" s="13" t="e">
        <f>IF(MONTH($A38)=MONTH($A37),AVERAGE($AB$5:AB38),AB38)</f>
        <v>#REF!</v>
      </c>
      <c r="AD38" s="13" t="e">
        <f>IF(YEAR($A38)=YEAR($A37),AVERAGE($AB$5:AB37,AB38),AB38)</f>
        <v>#REF!</v>
      </c>
    </row>
    <row r="39" spans="1:30" ht="90">
      <c r="A39" s="35">
        <f t="shared" si="9"/>
        <v>45326</v>
      </c>
      <c r="C39" s="3">
        <v>444.71950055970001</v>
      </c>
      <c r="E39" s="7">
        <v>99.43</v>
      </c>
      <c r="F39" s="3">
        <v>5771.28</v>
      </c>
      <c r="G39" s="7">
        <v>85</v>
      </c>
      <c r="H39" s="5">
        <v>0.31805555555555554</v>
      </c>
      <c r="I39" s="5">
        <v>0.76527777777777783</v>
      </c>
      <c r="J39" s="7">
        <f t="shared" si="0"/>
        <v>10.733333333333334</v>
      </c>
      <c r="M39" s="4">
        <v>5.8999999999999997E-2</v>
      </c>
      <c r="Q39" s="37" t="s">
        <v>42</v>
      </c>
      <c r="S39" s="21">
        <f t="shared" si="18"/>
        <v>444.71950055970001</v>
      </c>
      <c r="T39" s="6">
        <f t="shared" si="19"/>
        <v>1198.2367234265</v>
      </c>
      <c r="U39" s="6">
        <f t="shared" si="20"/>
        <v>15121.824718914098</v>
      </c>
      <c r="V39" s="13">
        <f t="shared" si="21"/>
        <v>10.733333333333334</v>
      </c>
      <c r="W39" s="13">
        <f t="shared" si="22"/>
        <v>42.850000000000009</v>
      </c>
      <c r="X39" s="13">
        <f t="shared" si="23"/>
        <v>371.26666666666665</v>
      </c>
      <c r="Y39" s="6">
        <f t="shared" si="24"/>
        <v>99.43</v>
      </c>
      <c r="Z39" s="13">
        <f>IF(MONTH($A39)=MONTH($A38),AVERAGE($Y$6:Y39),Y39)</f>
        <v>99.634411764705874</v>
      </c>
      <c r="AA39" s="13">
        <f>IF(YEAR($A39)=YEAR($A38),AVERAGE($Y$5:Y39,Y39),Y39)</f>
        <v>99.638888888888872</v>
      </c>
      <c r="AB39" s="13">
        <f t="shared" si="25"/>
        <v>85</v>
      </c>
      <c r="AC39" s="13" t="e">
        <f>IF(MONTH($A39)=MONTH($A38),AVERAGE($AB$5:AB39),AB39)</f>
        <v>#REF!</v>
      </c>
      <c r="AD39" s="13" t="e">
        <f>IF(YEAR($A39)=YEAR($A38),AVERAGE($AB$5:AB38,AB39),AB39)</f>
        <v>#REF!</v>
      </c>
    </row>
    <row r="40" spans="1:30">
      <c r="A40" s="35">
        <f t="shared" si="9"/>
        <v>45327</v>
      </c>
      <c r="C40" s="3">
        <v>445.76227996810002</v>
      </c>
      <c r="E40" s="7">
        <v>100</v>
      </c>
      <c r="F40" s="3">
        <v>6016.89</v>
      </c>
      <c r="G40" s="7">
        <v>82</v>
      </c>
      <c r="H40" s="5">
        <v>0.31597222222222221</v>
      </c>
      <c r="I40" s="5">
        <v>0.76527777777777783</v>
      </c>
      <c r="J40" s="7">
        <f t="shared" si="0"/>
        <v>10.783333333333335</v>
      </c>
      <c r="Q40" s="84"/>
      <c r="S40" s="21">
        <f t="shared" si="18"/>
        <v>445.76227996810002</v>
      </c>
      <c r="T40" s="6">
        <f t="shared" si="19"/>
        <v>1643.9990033946001</v>
      </c>
      <c r="U40" s="6">
        <f t="shared" si="20"/>
        <v>15567.586998882198</v>
      </c>
      <c r="V40" s="13">
        <f t="shared" si="21"/>
        <v>10.783333333333335</v>
      </c>
      <c r="W40" s="13">
        <f t="shared" si="22"/>
        <v>53.63333333333334</v>
      </c>
      <c r="X40" s="13">
        <f t="shared" si="23"/>
        <v>382.05</v>
      </c>
      <c r="Y40" s="6">
        <f t="shared" si="24"/>
        <v>100</v>
      </c>
      <c r="Z40" s="13">
        <f>IF(MONTH($A40)=MONTH($A39),AVERAGE($Y$6:Y40),Y40)</f>
        <v>99.644857142857134</v>
      </c>
      <c r="AA40" s="13">
        <f>IF(YEAR($A40)=YEAR($A39),AVERAGE($Y$5:Y40,Y40),Y40)</f>
        <v>99.664054054054048</v>
      </c>
      <c r="AB40" s="13">
        <f t="shared" si="25"/>
        <v>82</v>
      </c>
      <c r="AC40" s="13" t="e">
        <f>IF(MONTH($A40)=MONTH($A39),AVERAGE($AB$5:AB40),AB40)</f>
        <v>#REF!</v>
      </c>
      <c r="AD40" s="13" t="e">
        <f>IF(YEAR($A40)=YEAR($A39),AVERAGE($AB$5:AB39,AB40),AB40)</f>
        <v>#REF!</v>
      </c>
    </row>
    <row r="41" spans="1:30" ht="60">
      <c r="A41" s="35">
        <f t="shared" si="9"/>
        <v>45328</v>
      </c>
      <c r="C41" s="3">
        <v>247.458954758</v>
      </c>
      <c r="E41" s="7">
        <v>99.41</v>
      </c>
      <c r="F41" s="3">
        <v>3230.72</v>
      </c>
      <c r="G41" s="7">
        <v>85</v>
      </c>
      <c r="H41" s="5">
        <v>0.3354166666666667</v>
      </c>
      <c r="I41" s="5">
        <v>0.76666666666666661</v>
      </c>
      <c r="J41" s="7">
        <f t="shared" si="0"/>
        <v>10.349999999999998</v>
      </c>
      <c r="M41" s="4">
        <v>0.19</v>
      </c>
      <c r="Q41" s="97" t="s">
        <v>43</v>
      </c>
      <c r="S41" s="21">
        <f t="shared" si="18"/>
        <v>247.458954758</v>
      </c>
      <c r="T41" s="6">
        <f t="shared" si="19"/>
        <v>1891.4579581526</v>
      </c>
      <c r="U41" s="6">
        <f t="shared" si="20"/>
        <v>15815.045953640198</v>
      </c>
      <c r="V41" s="13">
        <f t="shared" si="21"/>
        <v>10.349999999999998</v>
      </c>
      <c r="W41" s="13">
        <f t="shared" si="22"/>
        <v>63.983333333333334</v>
      </c>
      <c r="X41" s="13">
        <f t="shared" si="23"/>
        <v>392.40000000000003</v>
      </c>
      <c r="Y41" s="6">
        <f t="shared" si="24"/>
        <v>99.41</v>
      </c>
      <c r="Z41" s="13">
        <f>IF(MONTH($A41)=MONTH($A40),AVERAGE($Y$6:Y41),Y41)</f>
        <v>99.638333333333321</v>
      </c>
      <c r="AA41" s="13">
        <f>IF(YEAR($A41)=YEAR($A40),AVERAGE($Y$5:Y41,Y41),Y41)</f>
        <v>99.641842105263137</v>
      </c>
      <c r="AB41" s="13">
        <f t="shared" si="25"/>
        <v>85</v>
      </c>
      <c r="AC41" s="13" t="e">
        <f>IF(MONTH($A41)=MONTH($A40),AVERAGE($AB$5:AB41),AB41)</f>
        <v>#REF!</v>
      </c>
      <c r="AD41" s="13" t="e">
        <f>IF(YEAR($A41)=YEAR($A40),AVERAGE($AB$5:AB40,AB41),AB41)</f>
        <v>#REF!</v>
      </c>
    </row>
    <row r="42" spans="1:30">
      <c r="A42" s="35">
        <f t="shared" si="9"/>
        <v>45329</v>
      </c>
      <c r="C42" s="3">
        <v>479.94789057949998</v>
      </c>
      <c r="E42" s="7">
        <v>100</v>
      </c>
      <c r="F42" s="3">
        <v>6255</v>
      </c>
      <c r="G42" s="7">
        <v>85</v>
      </c>
      <c r="H42" s="5">
        <v>0.31111111111111112</v>
      </c>
      <c r="I42" s="36">
        <v>0.77083333333333337</v>
      </c>
      <c r="J42" s="7">
        <f t="shared" si="0"/>
        <v>11.033333333333335</v>
      </c>
      <c r="Q42" s="84"/>
      <c r="S42" s="21">
        <f t="shared" si="18"/>
        <v>479.94789057949998</v>
      </c>
      <c r="T42" s="6">
        <f t="shared" si="19"/>
        <v>2371.4058487320999</v>
      </c>
      <c r="U42" s="6">
        <f t="shared" si="20"/>
        <v>16294.993844219698</v>
      </c>
      <c r="V42" s="13">
        <f t="shared" si="21"/>
        <v>11.033333333333335</v>
      </c>
      <c r="W42" s="13">
        <f t="shared" si="22"/>
        <v>75.016666666666666</v>
      </c>
      <c r="X42" s="13">
        <f t="shared" si="23"/>
        <v>403.43333333333339</v>
      </c>
      <c r="Y42" s="6">
        <f t="shared" si="24"/>
        <v>100</v>
      </c>
      <c r="Z42" s="13">
        <f>IF(MONTH($A42)=MONTH($A41),AVERAGE($Y$6:Y42),Y42)</f>
        <v>99.64810810810809</v>
      </c>
      <c r="AA42" s="13">
        <f>IF(YEAR($A42)=YEAR($A41),AVERAGE($Y$5:Y42,Y42),Y42)</f>
        <v>99.666153846153833</v>
      </c>
      <c r="AB42" s="13">
        <f t="shared" si="25"/>
        <v>85</v>
      </c>
      <c r="AC42" s="13" t="e">
        <f>IF(MONTH($A42)=MONTH($A41),AVERAGE($AB$5:AB42),AB42)</f>
        <v>#REF!</v>
      </c>
      <c r="AD42" s="13" t="e">
        <f>IF(YEAR($A42)=YEAR($A41),AVERAGE($AB$5:AB41,AB42),AB42)</f>
        <v>#REF!</v>
      </c>
    </row>
    <row r="43" spans="1:30" ht="60">
      <c r="A43" s="35">
        <f t="shared" si="9"/>
        <v>45330</v>
      </c>
      <c r="C43" s="3">
        <v>403.2715475956</v>
      </c>
      <c r="E43" s="7">
        <v>99.72</v>
      </c>
      <c r="F43" s="3">
        <v>5201.1899999999996</v>
      </c>
      <c r="G43" s="7">
        <v>85</v>
      </c>
      <c r="H43" s="5">
        <v>0.31180555555555556</v>
      </c>
      <c r="I43" s="5">
        <v>0.77013888888888893</v>
      </c>
      <c r="J43" s="7">
        <f t="shared" si="0"/>
        <v>11</v>
      </c>
      <c r="M43" s="4">
        <v>0.02</v>
      </c>
      <c r="Q43" s="97" t="s">
        <v>44</v>
      </c>
      <c r="S43" s="21">
        <f t="shared" si="18"/>
        <v>403.2715475956</v>
      </c>
      <c r="T43" s="6">
        <f t="shared" si="19"/>
        <v>2774.6773963277001</v>
      </c>
      <c r="U43" s="6">
        <f t="shared" si="20"/>
        <v>16698.265391815297</v>
      </c>
      <c r="V43" s="13">
        <f t="shared" si="21"/>
        <v>11</v>
      </c>
      <c r="W43" s="13">
        <f t="shared" si="22"/>
        <v>86.016666666666666</v>
      </c>
      <c r="X43" s="13">
        <f t="shared" si="23"/>
        <v>414.43333333333339</v>
      </c>
      <c r="Y43" s="6">
        <f t="shared" si="24"/>
        <v>99.72</v>
      </c>
      <c r="Z43" s="13">
        <f>IF(MONTH($A43)=MONTH($A42),AVERAGE($Y$6:Y43),Y43)</f>
        <v>99.649999999999977</v>
      </c>
      <c r="AA43" s="13">
        <f>IF(YEAR($A43)=YEAR($A42),AVERAGE($Y$5:Y43,Y43),Y43)</f>
        <v>99.660499999999985</v>
      </c>
      <c r="AB43" s="13">
        <f t="shared" si="25"/>
        <v>85</v>
      </c>
      <c r="AC43" s="13" t="e">
        <f>IF(MONTH($A43)=MONTH($A42),AVERAGE($AB$5:AB43),AB43)</f>
        <v>#REF!</v>
      </c>
      <c r="AD43" s="13" t="e">
        <f>IF(YEAR($A43)=YEAR($A42),AVERAGE($AB$5:AB42,AB43),AB43)</f>
        <v>#REF!</v>
      </c>
    </row>
    <row r="44" spans="1:30" ht="60">
      <c r="A44" s="35">
        <f t="shared" si="9"/>
        <v>45331</v>
      </c>
      <c r="C44" s="3">
        <v>571.17043444370006</v>
      </c>
      <c r="E44" s="7">
        <v>97.21</v>
      </c>
      <c r="F44" s="3">
        <v>7889.12</v>
      </c>
      <c r="G44" s="7">
        <v>80</v>
      </c>
      <c r="H44" s="5">
        <v>0.31388888888888888</v>
      </c>
      <c r="I44" s="5">
        <v>0.78055555555555556</v>
      </c>
      <c r="J44" s="7">
        <f t="shared" si="0"/>
        <v>11.2</v>
      </c>
      <c r="L44" s="19"/>
      <c r="M44" s="4">
        <v>0.33</v>
      </c>
      <c r="Q44" s="37" t="s">
        <v>45</v>
      </c>
      <c r="S44" s="21">
        <f t="shared" si="18"/>
        <v>571.17043444370006</v>
      </c>
      <c r="T44" s="6">
        <f t="shared" si="19"/>
        <v>3345.8478307714004</v>
      </c>
      <c r="U44" s="6">
        <f t="shared" si="20"/>
        <v>17269.435826258996</v>
      </c>
      <c r="V44" s="13">
        <f t="shared" si="21"/>
        <v>11.2</v>
      </c>
      <c r="W44" s="13">
        <f t="shared" si="22"/>
        <v>97.216666666666669</v>
      </c>
      <c r="X44" s="13">
        <f t="shared" si="23"/>
        <v>425.63333333333338</v>
      </c>
      <c r="Y44" s="6">
        <f t="shared" si="24"/>
        <v>97.21</v>
      </c>
      <c r="Z44" s="13">
        <f>IF(MONTH($A44)=MONTH($A43),AVERAGE($Y$6:Y44),Y44)</f>
        <v>99.587435897435881</v>
      </c>
      <c r="AA44" s="13">
        <f>IF(YEAR($A44)=YEAR($A43),AVERAGE($Y$5:Y44,Y44),Y44)</f>
        <v>99.539512195121944</v>
      </c>
      <c r="AB44" s="13">
        <f t="shared" si="25"/>
        <v>80</v>
      </c>
      <c r="AC44" s="13" t="e">
        <f>IF(MONTH($A44)=MONTH($A43),AVERAGE($AB$5:AB44),AB44)</f>
        <v>#REF!</v>
      </c>
      <c r="AD44" s="13" t="e">
        <f>IF(YEAR($A44)=YEAR($A43),AVERAGE($AB$5:AB43,AB44),AB44)</f>
        <v>#REF!</v>
      </c>
    </row>
    <row r="45" spans="1:30" ht="105">
      <c r="A45" s="35">
        <f t="shared" si="9"/>
        <v>45332</v>
      </c>
      <c r="C45" s="3">
        <v>537.05913980520006</v>
      </c>
      <c r="E45" s="7">
        <v>94.44</v>
      </c>
      <c r="F45" s="3">
        <v>5201.1899999999996</v>
      </c>
      <c r="G45" s="7">
        <v>78</v>
      </c>
      <c r="H45" s="5">
        <v>0.31666666666666665</v>
      </c>
      <c r="I45" s="5">
        <v>0.77361111111111114</v>
      </c>
      <c r="J45" s="7">
        <f t="shared" si="0"/>
        <v>10.966666666666669</v>
      </c>
      <c r="L45" s="4"/>
      <c r="M45" s="4">
        <v>0.61</v>
      </c>
      <c r="Q45" s="37" t="s">
        <v>46</v>
      </c>
      <c r="S45" s="21" t="e">
        <f>#REF!</f>
        <v>#REF!</v>
      </c>
      <c r="T45" s="6" t="e">
        <f t="shared" si="19"/>
        <v>#REF!</v>
      </c>
      <c r="U45" s="6" t="e">
        <f t="shared" si="20"/>
        <v>#REF!</v>
      </c>
      <c r="V45" s="13">
        <f t="shared" si="21"/>
        <v>10.966666666666669</v>
      </c>
      <c r="W45" s="13">
        <f t="shared" si="22"/>
        <v>108.18333333333334</v>
      </c>
      <c r="X45" s="13">
        <f t="shared" si="23"/>
        <v>436.6</v>
      </c>
      <c r="Y45" s="6">
        <f t="shared" si="24"/>
        <v>94.44</v>
      </c>
      <c r="Z45" s="13">
        <f>IF(MONTH($A45)=MONTH($A44),AVERAGE($Y$6:Y45),Y45)</f>
        <v>99.458749999999981</v>
      </c>
      <c r="AA45" s="13">
        <f>IF(YEAR($A45)=YEAR($A44),AVERAGE($Y$5:Y45,Y45),Y45)</f>
        <v>99.352142857142837</v>
      </c>
      <c r="AB45" s="13">
        <f t="shared" si="25"/>
        <v>78</v>
      </c>
      <c r="AC45" s="13" t="e">
        <f>IF(MONTH($A45)=MONTH($A44),AVERAGE($AB$5:AB45),AB45)</f>
        <v>#REF!</v>
      </c>
      <c r="AD45" s="13" t="e">
        <f>IF(YEAR($A45)=YEAR($A44),AVERAGE($AB$5:AB44,AB45),AB45)</f>
        <v>#REF!</v>
      </c>
    </row>
    <row r="46" spans="1:30" ht="105">
      <c r="A46" s="35">
        <f t="shared" si="9"/>
        <v>45333</v>
      </c>
      <c r="C46" s="3">
        <v>592.63151112040009</v>
      </c>
      <c r="E46" s="7">
        <v>94.44</v>
      </c>
      <c r="F46" s="3">
        <v>8247.43</v>
      </c>
      <c r="G46" s="7">
        <v>79</v>
      </c>
      <c r="H46" s="5">
        <v>0.31041666666666667</v>
      </c>
      <c r="I46" s="5">
        <v>0.77430555555555547</v>
      </c>
      <c r="J46" s="7">
        <f t="shared" si="0"/>
        <v>11.133333333333331</v>
      </c>
      <c r="M46" s="4">
        <v>0.62</v>
      </c>
      <c r="Q46" s="37" t="s">
        <v>47</v>
      </c>
      <c r="S46" s="21">
        <f>C45</f>
        <v>537.05913980520006</v>
      </c>
      <c r="T46" s="6" t="e">
        <f t="shared" si="19"/>
        <v>#REF!</v>
      </c>
      <c r="U46" s="6" t="e">
        <f t="shared" si="20"/>
        <v>#REF!</v>
      </c>
      <c r="V46" s="13">
        <f t="shared" si="21"/>
        <v>11.133333333333331</v>
      </c>
      <c r="W46" s="13">
        <f t="shared" si="22"/>
        <v>119.31666666666666</v>
      </c>
      <c r="X46" s="13">
        <f t="shared" si="23"/>
        <v>447.73333333333335</v>
      </c>
      <c r="Y46" s="6">
        <f t="shared" si="24"/>
        <v>94.44</v>
      </c>
      <c r="Z46" s="13">
        <f>IF(MONTH($A46)=MONTH($A45),AVERAGE($Y$6:Y46),Y46)</f>
        <v>99.336341463414627</v>
      </c>
      <c r="AA46" s="13">
        <f>IF(YEAR($A46)=YEAR($A45),AVERAGE($Y$5:Y46,Y46),Y46)</f>
        <v>99.237906976744156</v>
      </c>
      <c r="AB46" s="13">
        <f t="shared" si="25"/>
        <v>79</v>
      </c>
      <c r="AC46" s="13" t="e">
        <f>IF(MONTH($A46)=MONTH($A45),AVERAGE($AB$5:AB46),AB46)</f>
        <v>#REF!</v>
      </c>
      <c r="AD46" s="13" t="e">
        <f>IF(YEAR($A46)=YEAR($A45),AVERAGE($AB$5:AB45,AB46),AB46)</f>
        <v>#REF!</v>
      </c>
    </row>
    <row r="47" spans="1:30" ht="210">
      <c r="A47" s="35">
        <f t="shared" si="9"/>
        <v>45334</v>
      </c>
      <c r="C47" s="3">
        <v>566.26185504939997</v>
      </c>
      <c r="E47" s="7">
        <v>91.2</v>
      </c>
      <c r="F47" s="3">
        <v>8133.5</v>
      </c>
      <c r="G47" s="7">
        <v>77</v>
      </c>
      <c r="H47" s="5">
        <v>0.30763888888888891</v>
      </c>
      <c r="I47" s="5">
        <v>0.77430555555555547</v>
      </c>
      <c r="J47" s="7">
        <f t="shared" si="0"/>
        <v>11.199999999999998</v>
      </c>
      <c r="L47" s="4">
        <v>0.31</v>
      </c>
      <c r="M47" s="4">
        <v>0.62</v>
      </c>
      <c r="Q47" s="100" t="s">
        <v>48</v>
      </c>
      <c r="S47" s="21">
        <f t="shared" si="18"/>
        <v>566.26185504939997</v>
      </c>
      <c r="T47" s="6" t="e">
        <f t="shared" si="19"/>
        <v>#REF!</v>
      </c>
      <c r="U47" s="6" t="e">
        <f t="shared" si="20"/>
        <v>#REF!</v>
      </c>
      <c r="V47" s="13">
        <f t="shared" si="21"/>
        <v>11.199999999999998</v>
      </c>
      <c r="W47" s="13">
        <f t="shared" si="22"/>
        <v>130.51666666666665</v>
      </c>
      <c r="X47" s="13">
        <f t="shared" si="23"/>
        <v>458.93333333333334</v>
      </c>
      <c r="Y47" s="6">
        <f t="shared" si="24"/>
        <v>91.2</v>
      </c>
      <c r="Z47" s="13">
        <f>IF(MONTH($A47)=MONTH($A46),AVERAGE($Y$6:Y47),Y47)</f>
        <v>99.142619047619036</v>
      </c>
      <c r="AA47" s="13">
        <f>IF(YEAR($A47)=YEAR($A46),AVERAGE($Y$5:Y47,Y47),Y47)</f>
        <v>98.981590909090883</v>
      </c>
      <c r="AB47" s="13">
        <f t="shared" si="25"/>
        <v>77</v>
      </c>
      <c r="AC47" s="13" t="e">
        <f>IF(MONTH($A47)=MONTH($A46),AVERAGE($AB$5:AB47),AB47)</f>
        <v>#REF!</v>
      </c>
      <c r="AD47" s="13" t="e">
        <f>IF(YEAR($A47)=YEAR($A46),AVERAGE($AB$5:AB46,AB47),AB47)</f>
        <v>#REF!</v>
      </c>
    </row>
    <row r="48" spans="1:30" ht="255">
      <c r="A48" s="35">
        <f t="shared" si="9"/>
        <v>45335</v>
      </c>
      <c r="C48" s="3">
        <v>472.77117224329999</v>
      </c>
      <c r="E48" s="7">
        <v>93.7</v>
      </c>
      <c r="F48" s="3">
        <v>6895.55</v>
      </c>
      <c r="G48" s="7">
        <v>76</v>
      </c>
      <c r="H48" s="5">
        <v>0.30833333333333335</v>
      </c>
      <c r="I48" s="5">
        <v>0.77013888888888893</v>
      </c>
      <c r="J48" s="7">
        <f t="shared" si="0"/>
        <v>11.083333333333334</v>
      </c>
      <c r="L48" s="7">
        <v>0.25</v>
      </c>
      <c r="M48" s="4">
        <v>0.56999999999999995</v>
      </c>
      <c r="Q48" s="100" t="s">
        <v>49</v>
      </c>
      <c r="S48" s="21">
        <f t="shared" si="18"/>
        <v>472.77117224329999</v>
      </c>
      <c r="T48" s="6" t="e">
        <f t="shared" si="19"/>
        <v>#REF!</v>
      </c>
      <c r="U48" s="6" t="e">
        <f t="shared" si="20"/>
        <v>#REF!</v>
      </c>
      <c r="V48" s="13">
        <f t="shared" si="21"/>
        <v>11.083333333333334</v>
      </c>
      <c r="W48" s="13">
        <f t="shared" si="22"/>
        <v>141.6</v>
      </c>
      <c r="X48" s="13">
        <f t="shared" si="23"/>
        <v>470.01666666666665</v>
      </c>
      <c r="Y48" s="6">
        <f t="shared" si="24"/>
        <v>93.7</v>
      </c>
      <c r="Z48" s="13">
        <f>IF(MONTH($A48)=MONTH($A47),AVERAGE($Y$6:Y48),Y48)</f>
        <v>99.016046511627891</v>
      </c>
      <c r="AA48" s="13">
        <f>IF(YEAR($A48)=YEAR($A47),AVERAGE($Y$5:Y48,Y48),Y48)</f>
        <v>98.919777777777739</v>
      </c>
      <c r="AB48" s="13">
        <f t="shared" si="25"/>
        <v>76</v>
      </c>
      <c r="AC48" s="13" t="e">
        <f>IF(MONTH($A48)=MONTH($A47),AVERAGE($AB$5:AB48),AB48)</f>
        <v>#REF!</v>
      </c>
      <c r="AD48" s="13" t="e">
        <f>IF(YEAR($A48)=YEAR($A47),AVERAGE($AB$5:AB47,AB48),AB48)</f>
        <v>#REF!</v>
      </c>
    </row>
    <row r="49" spans="1:30" ht="120">
      <c r="A49" s="35">
        <f t="shared" si="9"/>
        <v>45336</v>
      </c>
      <c r="C49" s="3">
        <v>495.4555448154</v>
      </c>
      <c r="E49" s="7">
        <v>94.44</v>
      </c>
      <c r="F49" s="4">
        <v>6995.25</v>
      </c>
      <c r="G49" s="7">
        <v>78</v>
      </c>
      <c r="H49" s="5">
        <v>0.30833333333333335</v>
      </c>
      <c r="I49" s="5">
        <v>0.77430555555555547</v>
      </c>
      <c r="J49" s="7">
        <f t="shared" si="0"/>
        <v>11.18333333333333</v>
      </c>
      <c r="M49" s="4">
        <v>0.62</v>
      </c>
      <c r="Q49" s="100" t="s">
        <v>50</v>
      </c>
      <c r="S49" s="21">
        <f t="shared" si="18"/>
        <v>495.4555448154</v>
      </c>
      <c r="T49" s="6" t="e">
        <f t="shared" si="19"/>
        <v>#REF!</v>
      </c>
      <c r="U49" s="6" t="e">
        <f t="shared" si="20"/>
        <v>#REF!</v>
      </c>
      <c r="V49" s="13">
        <f t="shared" si="21"/>
        <v>11.18333333333333</v>
      </c>
      <c r="W49" s="13">
        <f t="shared" si="22"/>
        <v>152.78333333333333</v>
      </c>
      <c r="X49" s="13">
        <f t="shared" si="23"/>
        <v>481.2</v>
      </c>
      <c r="Y49" s="6">
        <f t="shared" si="24"/>
        <v>94.44</v>
      </c>
      <c r="Z49" s="13">
        <f>IF(MONTH($A49)=MONTH($A48),AVERAGE($Y$6:Y49),Y49)</f>
        <v>98.912045454545435</v>
      </c>
      <c r="AA49" s="13">
        <f>IF(YEAR($A49)=YEAR($A48),AVERAGE($Y$5:Y49,Y49),Y49)</f>
        <v>98.838478260869522</v>
      </c>
      <c r="AB49" s="13">
        <f>F49</f>
        <v>6995.25</v>
      </c>
      <c r="AC49" s="13" t="e">
        <f>IF(MONTH($A49)=MONTH($A48),AVERAGE($AB$5:AB49),AB49)</f>
        <v>#REF!</v>
      </c>
      <c r="AD49" s="13" t="e">
        <f>IF(YEAR($A49)=YEAR($A48),AVERAGE($AB$5:AB48,AB49),AB49)</f>
        <v>#REF!</v>
      </c>
    </row>
    <row r="50" spans="1:30" ht="120">
      <c r="A50" s="35">
        <f t="shared" si="9"/>
        <v>45337</v>
      </c>
      <c r="C50" s="3">
        <v>428.49763594080002</v>
      </c>
      <c r="E50" s="7">
        <v>94.44</v>
      </c>
      <c r="F50" s="3">
        <v>6201.05</v>
      </c>
      <c r="G50" s="7">
        <v>77</v>
      </c>
      <c r="H50" s="5">
        <v>0.30694444444444441</v>
      </c>
      <c r="I50" s="5">
        <v>0.77013888888888893</v>
      </c>
      <c r="J50" s="7">
        <f t="shared" si="0"/>
        <v>11.116666666666669</v>
      </c>
      <c r="L50" s="7"/>
      <c r="M50" s="4">
        <v>0.61</v>
      </c>
      <c r="Q50" s="100" t="s">
        <v>51</v>
      </c>
      <c r="S50" s="21">
        <f t="shared" si="18"/>
        <v>428.49763594080002</v>
      </c>
      <c r="T50" s="6" t="e">
        <f t="shared" si="19"/>
        <v>#REF!</v>
      </c>
      <c r="U50" s="6" t="e">
        <f t="shared" si="20"/>
        <v>#REF!</v>
      </c>
      <c r="V50" s="13">
        <f t="shared" si="21"/>
        <v>11.116666666666669</v>
      </c>
      <c r="W50" s="13">
        <f t="shared" si="22"/>
        <v>163.9</v>
      </c>
      <c r="X50" s="13">
        <f t="shared" si="23"/>
        <v>492.31666666666666</v>
      </c>
      <c r="Y50" s="6">
        <f t="shared" si="24"/>
        <v>94.44</v>
      </c>
      <c r="Z50" s="13">
        <f>IF(MONTH($A50)=MONTH($A49),AVERAGE($Y$6:Y50),Y50)</f>
        <v>98.812666666666644</v>
      </c>
      <c r="AA50" s="13">
        <f>IF(YEAR($A50)=YEAR($A49),AVERAGE($Y$5:Y50,Y50),Y50)</f>
        <v>98.744893617021219</v>
      </c>
      <c r="AB50" s="13">
        <f t="shared" si="25"/>
        <v>77</v>
      </c>
      <c r="AC50" s="13" t="e">
        <f>IF(MONTH($A50)=MONTH($A49),AVERAGE($AB$5:AB50),AB50)</f>
        <v>#REF!</v>
      </c>
      <c r="AD50" s="13" t="e">
        <f>IF(YEAR($A50)=YEAR($A49),AVERAGE($AB$5:AB49,AB50),AB50)</f>
        <v>#REF!</v>
      </c>
    </row>
    <row r="51" spans="1:30" ht="135">
      <c r="A51" s="35">
        <f t="shared" si="9"/>
        <v>45338</v>
      </c>
      <c r="C51" s="3">
        <v>523.07036035980002</v>
      </c>
      <c r="E51" s="7">
        <v>94.27</v>
      </c>
      <c r="F51" s="3">
        <v>7382.02</v>
      </c>
      <c r="G51" s="7">
        <v>78</v>
      </c>
      <c r="H51" s="5">
        <v>0.3</v>
      </c>
      <c r="I51" s="5">
        <v>0.77638888888888891</v>
      </c>
      <c r="J51" s="7">
        <f t="shared" si="0"/>
        <v>11.433333333333334</v>
      </c>
      <c r="M51" s="4">
        <v>0.63500000000000001</v>
      </c>
      <c r="Q51" s="100" t="s">
        <v>52</v>
      </c>
      <c r="S51" s="21">
        <f t="shared" si="18"/>
        <v>523.07036035980002</v>
      </c>
      <c r="T51" s="6" t="e">
        <f t="shared" si="19"/>
        <v>#REF!</v>
      </c>
      <c r="U51" s="6" t="e">
        <f t="shared" si="20"/>
        <v>#REF!</v>
      </c>
      <c r="V51" s="13">
        <f t="shared" si="21"/>
        <v>11.433333333333334</v>
      </c>
      <c r="W51" s="13">
        <f t="shared" si="22"/>
        <v>175.33333333333334</v>
      </c>
      <c r="X51" s="13">
        <f t="shared" si="23"/>
        <v>503.75</v>
      </c>
      <c r="Y51" s="6">
        <f t="shared" si="24"/>
        <v>94.27</v>
      </c>
      <c r="Z51" s="13">
        <f>IF(MONTH($A51)=MONTH($A50),AVERAGE($Y$6:Y51),Y51)</f>
        <v>98.713913043478243</v>
      </c>
      <c r="AA51" s="13">
        <f>IF(YEAR($A51)=YEAR($A50),AVERAGE($Y$5:Y51,Y51),Y51)</f>
        <v>98.648124999999979</v>
      </c>
      <c r="AB51" s="13">
        <f t="shared" si="25"/>
        <v>78</v>
      </c>
      <c r="AC51" s="13" t="e">
        <f>IF(MONTH($A51)=MONTH($A50),AVERAGE($AB$5:AB51),AB51)</f>
        <v>#REF!</v>
      </c>
      <c r="AD51" s="13" t="e">
        <f>IF(YEAR($A51)=YEAR($A50),AVERAGE($AB$5:AB50,AB51),AB51)</f>
        <v>#REF!</v>
      </c>
    </row>
    <row r="52" spans="1:30" ht="135">
      <c r="A52" s="35">
        <f t="shared" si="9"/>
        <v>45339</v>
      </c>
      <c r="C52" s="3">
        <v>455.72814125089997</v>
      </c>
      <c r="E52" s="7">
        <v>94.27</v>
      </c>
      <c r="F52" s="3">
        <v>6359.05</v>
      </c>
      <c r="G52" s="7">
        <v>79</v>
      </c>
      <c r="H52" s="5">
        <v>0.31666666666666665</v>
      </c>
      <c r="I52" s="5">
        <v>0.77430555555555547</v>
      </c>
      <c r="J52" s="7">
        <f t="shared" si="0"/>
        <v>10.983333333333331</v>
      </c>
      <c r="M52" s="4">
        <v>0.61</v>
      </c>
      <c r="O52" s="4"/>
      <c r="Q52" s="100" t="s">
        <v>53</v>
      </c>
      <c r="S52" s="21">
        <f t="shared" si="18"/>
        <v>455.72814125089997</v>
      </c>
      <c r="T52" s="6" t="e">
        <f t="shared" si="19"/>
        <v>#REF!</v>
      </c>
      <c r="U52" s="6" t="e">
        <f t="shared" si="20"/>
        <v>#REF!</v>
      </c>
      <c r="V52" s="13">
        <f t="shared" si="21"/>
        <v>10.983333333333331</v>
      </c>
      <c r="W52" s="13">
        <f t="shared" si="22"/>
        <v>186.31666666666666</v>
      </c>
      <c r="X52" s="13">
        <f t="shared" si="23"/>
        <v>514.73333333333335</v>
      </c>
      <c r="Y52" s="6">
        <f t="shared" si="24"/>
        <v>94.27</v>
      </c>
      <c r="Z52" s="13">
        <f>IF(MONTH($A52)=MONTH($A51),AVERAGE($Y$6:Y52),Y52)</f>
        <v>98.619361702127648</v>
      </c>
      <c r="AA52" s="13">
        <f>IF(YEAR($A52)=YEAR($A51),AVERAGE($Y$5:Y52,Y52),Y52)</f>
        <v>98.558775510204072</v>
      </c>
      <c r="AB52" s="13">
        <f t="shared" si="25"/>
        <v>79</v>
      </c>
      <c r="AC52" s="13" t="e">
        <f>IF(MONTH($A52)=MONTH($A51),AVERAGE($AB$5:AB52),AB52)</f>
        <v>#REF!</v>
      </c>
      <c r="AD52" s="13" t="e">
        <f>IF(YEAR($A52)=YEAR($A51),AVERAGE($AB$5:AB51,AB52),AB52)</f>
        <v>#REF!</v>
      </c>
    </row>
    <row r="53" spans="1:30" ht="135">
      <c r="A53" s="35">
        <f t="shared" si="9"/>
        <v>45340</v>
      </c>
      <c r="B53" s="6"/>
      <c r="C53" s="3">
        <v>495.78206341220005</v>
      </c>
      <c r="D53" s="6"/>
      <c r="E53" s="7">
        <v>94.27</v>
      </c>
      <c r="F53" s="3">
        <v>7058.21</v>
      </c>
      <c r="G53" s="7">
        <v>78</v>
      </c>
      <c r="H53" s="5">
        <v>0.30694444444444441</v>
      </c>
      <c r="I53" s="5">
        <v>0.76874999999999993</v>
      </c>
      <c r="J53" s="7">
        <f t="shared" si="0"/>
        <v>11.083333333333332</v>
      </c>
      <c r="M53" s="4">
        <v>0.61499999999999999</v>
      </c>
      <c r="Q53" s="100" t="s">
        <v>54</v>
      </c>
      <c r="S53" s="21">
        <f t="shared" si="18"/>
        <v>495.78206341220005</v>
      </c>
      <c r="T53" s="6" t="e">
        <f t="shared" si="19"/>
        <v>#REF!</v>
      </c>
      <c r="U53" s="6" t="e">
        <f t="shared" si="20"/>
        <v>#REF!</v>
      </c>
      <c r="V53" s="13">
        <f t="shared" si="21"/>
        <v>11.083333333333332</v>
      </c>
      <c r="W53" s="13">
        <f t="shared" si="22"/>
        <v>197.4</v>
      </c>
      <c r="X53" s="13">
        <f t="shared" si="23"/>
        <v>525.81666666666672</v>
      </c>
      <c r="Y53" s="6">
        <f t="shared" si="24"/>
        <v>94.27</v>
      </c>
      <c r="Z53" s="13">
        <f>IF(MONTH($A53)=MONTH($A52),AVERAGE($Y$6:Y53),Y53)</f>
        <v>98.528750000000002</v>
      </c>
      <c r="AA53" s="13">
        <f>IF(YEAR($A53)=YEAR($A52),AVERAGE($Y$5:Y53,Y53),Y53)</f>
        <v>98.472999999999999</v>
      </c>
      <c r="AB53" s="13">
        <f t="shared" si="25"/>
        <v>78</v>
      </c>
      <c r="AC53" s="13" t="e">
        <f>IF(MONTH($A53)=MONTH($A52),AVERAGE($AB$5:AB53),AB53)</f>
        <v>#REF!</v>
      </c>
      <c r="AD53" s="13" t="e">
        <f>IF(YEAR($A53)=YEAR($A52),AVERAGE($AB$5:AB52,AB53),AB53)</f>
        <v>#REF!</v>
      </c>
    </row>
    <row r="54" spans="1:30" ht="135">
      <c r="A54" s="35">
        <f t="shared" si="9"/>
        <v>45341</v>
      </c>
      <c r="C54" s="3">
        <v>486.1419910358</v>
      </c>
      <c r="E54" s="7">
        <v>94.27</v>
      </c>
      <c r="F54" s="3">
        <v>6957.13</v>
      </c>
      <c r="G54" s="7">
        <v>77</v>
      </c>
      <c r="H54" s="5">
        <v>0.30694444444444441</v>
      </c>
      <c r="I54" s="5">
        <v>0.7715277777777777</v>
      </c>
      <c r="J54" s="7">
        <f t="shared" si="0"/>
        <v>11.149999999999999</v>
      </c>
      <c r="M54" s="18">
        <v>0.61899999999999999</v>
      </c>
      <c r="Q54" s="100" t="s">
        <v>55</v>
      </c>
      <c r="S54" s="21">
        <f t="shared" si="18"/>
        <v>486.1419910358</v>
      </c>
      <c r="T54" s="6" t="e">
        <f t="shared" si="19"/>
        <v>#REF!</v>
      </c>
      <c r="U54" s="6" t="e">
        <f t="shared" si="20"/>
        <v>#REF!</v>
      </c>
      <c r="V54" s="13">
        <f t="shared" si="21"/>
        <v>11.149999999999999</v>
      </c>
      <c r="W54" s="13">
        <f t="shared" si="22"/>
        <v>208.55</v>
      </c>
      <c r="X54" s="13">
        <f t="shared" si="23"/>
        <v>536.9666666666667</v>
      </c>
      <c r="Y54" s="6">
        <f t="shared" si="24"/>
        <v>94.27</v>
      </c>
      <c r="Z54" s="13">
        <f>IF(MONTH($A54)=MONTH($A53),AVERAGE($Y$6:Y54),Y54)</f>
        <v>98.441836734693894</v>
      </c>
      <c r="AA54" s="13">
        <f>IF(YEAR($A54)=YEAR($A53),AVERAGE($Y$5:Y54,Y54),Y54)</f>
        <v>98.390588235294118</v>
      </c>
      <c r="AB54" s="13">
        <f t="shared" si="25"/>
        <v>77</v>
      </c>
      <c r="AC54" s="13" t="e">
        <f>IF(MONTH($A54)=MONTH($A53),AVERAGE($AB$5:AB54),AB54)</f>
        <v>#REF!</v>
      </c>
      <c r="AD54" s="13" t="e">
        <f>IF(YEAR($A54)=YEAR($A53),AVERAGE($AB$5:AB53,AB54),AB54)</f>
        <v>#REF!</v>
      </c>
    </row>
    <row r="55" spans="1:30" ht="135">
      <c r="A55" s="35">
        <f t="shared" si="9"/>
        <v>45342</v>
      </c>
      <c r="C55" s="3">
        <v>466.6537163072</v>
      </c>
      <c r="E55" s="7">
        <v>94.27</v>
      </c>
      <c r="F55" s="3">
        <v>6584</v>
      </c>
      <c r="G55" s="7">
        <v>79</v>
      </c>
      <c r="H55" s="5">
        <v>0.30555555555555552</v>
      </c>
      <c r="I55" s="5">
        <v>0.76250000000000007</v>
      </c>
      <c r="J55" s="7">
        <f t="shared" si="0"/>
        <v>10.966666666666669</v>
      </c>
      <c r="M55" s="18">
        <v>0.60899999999999999</v>
      </c>
      <c r="Q55" s="100" t="s">
        <v>56</v>
      </c>
      <c r="S55" s="21">
        <f t="shared" si="18"/>
        <v>466.6537163072</v>
      </c>
      <c r="T55" s="6" t="e">
        <f t="shared" si="19"/>
        <v>#REF!</v>
      </c>
      <c r="U55" s="6" t="e">
        <f t="shared" si="20"/>
        <v>#REF!</v>
      </c>
      <c r="V55" s="13">
        <f t="shared" si="21"/>
        <v>10.966666666666669</v>
      </c>
      <c r="W55" s="13">
        <f t="shared" si="22"/>
        <v>219.51666666666668</v>
      </c>
      <c r="X55" s="13">
        <f t="shared" si="23"/>
        <v>547.93333333333339</v>
      </c>
      <c r="Y55" s="6">
        <f t="shared" si="24"/>
        <v>94.27</v>
      </c>
      <c r="Z55" s="13">
        <f>IF(MONTH($A55)=MONTH($A54),AVERAGE($Y$6:Y55),Y55)</f>
        <v>98.358400000000017</v>
      </c>
      <c r="AA55" s="13">
        <f>IF(YEAR($A55)=YEAR($A54),AVERAGE($Y$5:Y55,Y55),Y55)</f>
        <v>98.311346153846159</v>
      </c>
      <c r="AB55" s="13">
        <f t="shared" si="25"/>
        <v>79</v>
      </c>
      <c r="AC55" s="13" t="e">
        <f>IF(MONTH($A55)=MONTH($A54),AVERAGE($AB$5:AB55),AB55)</f>
        <v>#REF!</v>
      </c>
      <c r="AD55" s="13" t="e">
        <f>IF(YEAR($A55)=YEAR($A54),AVERAGE($AB$5:AB54,AB55),AB55)</f>
        <v>#REF!</v>
      </c>
    </row>
    <row r="56" spans="1:30" ht="135">
      <c r="A56" s="35">
        <f t="shared" si="9"/>
        <v>45343</v>
      </c>
      <c r="C56" s="3">
        <v>186.49234371930001</v>
      </c>
      <c r="E56" s="7">
        <v>94.27</v>
      </c>
      <c r="F56" s="3">
        <v>2331.7399999999998</v>
      </c>
      <c r="G56" s="7">
        <v>89</v>
      </c>
      <c r="H56" s="5">
        <v>0.32430555555555557</v>
      </c>
      <c r="I56" s="5">
        <v>0.7680555555555556</v>
      </c>
      <c r="J56" s="7">
        <f t="shared" si="0"/>
        <v>10.65</v>
      </c>
      <c r="M56" s="18">
        <v>0.59199999999999997</v>
      </c>
      <c r="Q56" s="100" t="s">
        <v>57</v>
      </c>
      <c r="S56" s="21">
        <f t="shared" si="18"/>
        <v>186.49234371930001</v>
      </c>
      <c r="T56" s="6" t="e">
        <f t="shared" si="19"/>
        <v>#REF!</v>
      </c>
      <c r="U56" s="6" t="e">
        <f t="shared" si="20"/>
        <v>#REF!</v>
      </c>
      <c r="V56" s="13">
        <f t="shared" si="21"/>
        <v>10.65</v>
      </c>
      <c r="W56" s="13">
        <f t="shared" si="22"/>
        <v>230.16666666666669</v>
      </c>
      <c r="X56" s="13">
        <f t="shared" si="23"/>
        <v>558.58333333333337</v>
      </c>
      <c r="Y56" s="6">
        <f t="shared" si="24"/>
        <v>94.27</v>
      </c>
      <c r="Z56" s="13">
        <f>IF(MONTH($A56)=MONTH($A55),AVERAGE($Y$6:Y56),Y56)</f>
        <v>98.278235294117678</v>
      </c>
      <c r="AA56" s="13">
        <f>IF(YEAR($A56)=YEAR($A55),AVERAGE($Y$5:Y56,Y56),Y56)</f>
        <v>98.235094339622663</v>
      </c>
      <c r="AB56" s="13">
        <f t="shared" si="25"/>
        <v>89</v>
      </c>
      <c r="AC56" s="13" t="e">
        <f>IF(MONTH($A56)=MONTH($A55),AVERAGE($AB$5:AB56),AB56)</f>
        <v>#REF!</v>
      </c>
      <c r="AD56" s="13" t="e">
        <f>IF(YEAR($A56)=YEAR($A55),AVERAGE($AB$5:AB55,AB56),AB56)</f>
        <v>#REF!</v>
      </c>
    </row>
    <row r="57" spans="1:30" ht="255">
      <c r="A57" s="35">
        <f t="shared" si="9"/>
        <v>45344</v>
      </c>
      <c r="C57" s="3">
        <v>549.91546262749989</v>
      </c>
      <c r="E57" s="7">
        <v>93.33</v>
      </c>
      <c r="F57" s="3">
        <v>7871.71</v>
      </c>
      <c r="G57" s="7">
        <v>77</v>
      </c>
      <c r="H57" s="5">
        <v>0.31111111111111112</v>
      </c>
      <c r="I57" s="5">
        <v>0.77569444444444446</v>
      </c>
      <c r="J57" s="7">
        <f t="shared" si="0"/>
        <v>11.15</v>
      </c>
      <c r="L57" s="4">
        <v>0.13400000000000001</v>
      </c>
      <c r="M57" s="18">
        <v>0.61899999999999999</v>
      </c>
      <c r="Q57" s="100" t="s">
        <v>58</v>
      </c>
      <c r="S57" s="21">
        <f t="shared" si="18"/>
        <v>549.91546262749989</v>
      </c>
      <c r="T57" s="6" t="e">
        <f t="shared" si="19"/>
        <v>#REF!</v>
      </c>
      <c r="U57" s="6" t="e">
        <f t="shared" si="20"/>
        <v>#REF!</v>
      </c>
      <c r="V57" s="13">
        <f t="shared" si="21"/>
        <v>11.15</v>
      </c>
      <c r="W57" s="13">
        <f t="shared" si="22"/>
        <v>241.31666666666669</v>
      </c>
      <c r="X57" s="13">
        <f t="shared" si="23"/>
        <v>569.73333333333335</v>
      </c>
      <c r="Y57" s="6">
        <f t="shared" si="24"/>
        <v>93.33</v>
      </c>
      <c r="Z57" s="13">
        <f>IF(MONTH($A57)=MONTH($A56),AVERAGE($Y$6:Y57),Y57)</f>
        <v>98.183076923076953</v>
      </c>
      <c r="AA57" s="13">
        <f>IF(YEAR($A57)=YEAR($A56),AVERAGE($Y$5:Y57,Y57),Y57)</f>
        <v>98.126851851851853</v>
      </c>
      <c r="AB57" s="13">
        <f t="shared" si="25"/>
        <v>77</v>
      </c>
      <c r="AC57" s="13" t="e">
        <f>IF(MONTH($A57)=MONTH($A56),AVERAGE($AB$5:AB57),AB57)</f>
        <v>#REF!</v>
      </c>
      <c r="AD57" s="13" t="e">
        <f>IF(YEAR($A57)=YEAR($A56),AVERAGE($AB$5:AB56,AB57),AB57)</f>
        <v>#REF!</v>
      </c>
    </row>
    <row r="58" spans="1:30" ht="60">
      <c r="A58" s="35">
        <f t="shared" si="9"/>
        <v>45345</v>
      </c>
      <c r="C58" s="3">
        <v>613.31221092470003</v>
      </c>
      <c r="E58" s="7">
        <v>96.18</v>
      </c>
      <c r="F58" s="3">
        <v>8744.85</v>
      </c>
      <c r="G58" s="7">
        <v>78</v>
      </c>
      <c r="H58" s="5">
        <v>0.30763888888888891</v>
      </c>
      <c r="I58" s="5">
        <v>0.77916666666666667</v>
      </c>
      <c r="J58" s="7">
        <f t="shared" si="0"/>
        <v>11.316666666666666</v>
      </c>
      <c r="M58" s="18">
        <v>0.47499999999999998</v>
      </c>
      <c r="Q58" s="100" t="s">
        <v>59</v>
      </c>
      <c r="S58" s="21">
        <f t="shared" si="18"/>
        <v>613.31221092470003</v>
      </c>
      <c r="T58" s="6" t="e">
        <f t="shared" si="19"/>
        <v>#REF!</v>
      </c>
      <c r="U58" s="6" t="e">
        <f t="shared" si="20"/>
        <v>#REF!</v>
      </c>
      <c r="V58" s="13">
        <f t="shared" si="21"/>
        <v>11.316666666666666</v>
      </c>
      <c r="W58" s="13">
        <f t="shared" si="22"/>
        <v>252.63333333333335</v>
      </c>
      <c r="X58" s="13">
        <f t="shared" si="23"/>
        <v>581.05000000000007</v>
      </c>
      <c r="Y58" s="6">
        <f t="shared" si="24"/>
        <v>96.18</v>
      </c>
      <c r="Z58" s="13">
        <f>IF(MONTH($A58)=MONTH($A57),AVERAGE($Y$6:Y58),Y58)</f>
        <v>98.145283018867957</v>
      </c>
      <c r="AA58" s="13">
        <f>IF(YEAR($A58)=YEAR($A57),AVERAGE($Y$5:Y58,Y58),Y58)</f>
        <v>98.143272727272745</v>
      </c>
      <c r="AB58" s="13">
        <f t="shared" si="25"/>
        <v>78</v>
      </c>
      <c r="AC58" s="13" t="e">
        <f>IF(MONTH($A58)=MONTH($A57),AVERAGE($AB$5:AB58),AB58)</f>
        <v>#REF!</v>
      </c>
      <c r="AD58" s="13" t="e">
        <f>IF(YEAR($A58)=YEAR($A57),AVERAGE($AB$5:AB57,AB58),AB58)</f>
        <v>#REF!</v>
      </c>
    </row>
    <row r="59" spans="1:30" ht="60">
      <c r="A59" s="35">
        <f t="shared" si="9"/>
        <v>45346</v>
      </c>
      <c r="C59" s="3">
        <v>524.47771230560011</v>
      </c>
      <c r="E59" s="7">
        <v>99.12</v>
      </c>
      <c r="F59" s="3">
        <v>7013.23</v>
      </c>
      <c r="G59" s="7">
        <v>83</v>
      </c>
      <c r="H59" s="5">
        <v>0.30486111111111108</v>
      </c>
      <c r="I59" s="5">
        <v>0.77777777777777779</v>
      </c>
      <c r="J59" s="7">
        <f t="shared" si="0"/>
        <v>11.350000000000001</v>
      </c>
      <c r="M59" s="18">
        <v>0.13800000000000001</v>
      </c>
      <c r="Q59" s="100" t="s">
        <v>60</v>
      </c>
      <c r="S59" s="21">
        <f t="shared" si="18"/>
        <v>524.47771230560011</v>
      </c>
      <c r="T59" s="6" t="e">
        <f t="shared" si="19"/>
        <v>#REF!</v>
      </c>
      <c r="U59" s="6" t="e">
        <f t="shared" si="20"/>
        <v>#REF!</v>
      </c>
      <c r="V59" s="13">
        <f t="shared" si="21"/>
        <v>11.350000000000001</v>
      </c>
      <c r="W59" s="13">
        <f t="shared" si="22"/>
        <v>263.98333333333335</v>
      </c>
      <c r="X59" s="13">
        <f t="shared" si="23"/>
        <v>592.40000000000009</v>
      </c>
      <c r="Y59" s="6">
        <f t="shared" si="24"/>
        <v>99.12</v>
      </c>
      <c r="Z59" s="13">
        <f>IF(MONTH($A59)=MONTH($A58),AVERAGE($Y$6:Y59),Y59)</f>
        <v>98.163333333333355</v>
      </c>
      <c r="AA59" s="13">
        <f>IF(YEAR($A59)=YEAR($A58),AVERAGE($Y$5:Y59,Y59),Y59)</f>
        <v>98.213214285714301</v>
      </c>
      <c r="AB59" s="13">
        <f t="shared" si="25"/>
        <v>83</v>
      </c>
      <c r="AC59" s="13" t="e">
        <f>IF(MONTH($A59)=MONTH($A58),AVERAGE($AB$5:AB59),AB59)</f>
        <v>#REF!</v>
      </c>
      <c r="AD59" s="13" t="e">
        <f>IF(YEAR($A59)=YEAR($A58),AVERAGE($AB$5:AB58,AB59),AB59)</f>
        <v>#REF!</v>
      </c>
    </row>
    <row r="60" spans="1:30">
      <c r="A60" s="35">
        <f t="shared" si="9"/>
        <v>45347</v>
      </c>
      <c r="C60" s="3">
        <v>492.79666217089999</v>
      </c>
      <c r="E60" s="7">
        <v>100</v>
      </c>
      <c r="F60" s="3">
        <v>6656.51</v>
      </c>
      <c r="G60" s="7">
        <v>82</v>
      </c>
      <c r="H60" s="5">
        <v>0.30902777777777779</v>
      </c>
      <c r="I60" s="5">
        <v>0.77083333333333337</v>
      </c>
      <c r="J60" s="7">
        <f t="shared" si="0"/>
        <v>11.083333333333334</v>
      </c>
      <c r="Q60" s="84"/>
      <c r="S60" s="21">
        <f t="shared" si="18"/>
        <v>492.79666217089999</v>
      </c>
      <c r="T60" s="6" t="e">
        <f t="shared" si="19"/>
        <v>#REF!</v>
      </c>
      <c r="U60" s="6" t="e">
        <f t="shared" si="20"/>
        <v>#REF!</v>
      </c>
      <c r="V60" s="13">
        <f t="shared" si="21"/>
        <v>11.083333333333334</v>
      </c>
      <c r="W60" s="13">
        <f t="shared" si="22"/>
        <v>275.06666666666666</v>
      </c>
      <c r="X60" s="13">
        <f t="shared" si="23"/>
        <v>603.48333333333346</v>
      </c>
      <c r="Y60" s="6">
        <f t="shared" si="24"/>
        <v>100</v>
      </c>
      <c r="Z60" s="13">
        <f>IF(MONTH($A60)=MONTH($A59),AVERAGE($Y$6:Y60),Y60)</f>
        <v>98.196727272727301</v>
      </c>
      <c r="AA60" s="13">
        <f>IF(YEAR($A60)=YEAR($A59),AVERAGE($Y$5:Y60,Y60),Y60)</f>
        <v>98.26</v>
      </c>
      <c r="AB60" s="13">
        <f t="shared" si="25"/>
        <v>82</v>
      </c>
      <c r="AC60" s="13" t="e">
        <f>IF(MONTH($A60)=MONTH($A59),AVERAGE($AB$5:AB60),AB60)</f>
        <v>#REF!</v>
      </c>
      <c r="AD60" s="13" t="e">
        <f>IF(YEAR($A60)=YEAR($A59),AVERAGE($AB$5:AB59,AB60),AB60)</f>
        <v>#REF!</v>
      </c>
    </row>
    <row r="61" spans="1:30">
      <c r="A61" s="35">
        <f t="shared" si="9"/>
        <v>45348</v>
      </c>
      <c r="C61" s="3">
        <v>347.36793931599999</v>
      </c>
      <c r="E61" s="7">
        <v>100</v>
      </c>
      <c r="F61" s="3">
        <v>4470.5200000000004</v>
      </c>
      <c r="G61" s="7">
        <v>86</v>
      </c>
      <c r="H61" s="5">
        <v>0.31666666666666665</v>
      </c>
      <c r="I61" s="5">
        <v>0.77083333333333337</v>
      </c>
      <c r="J61" s="7">
        <f t="shared" si="0"/>
        <v>10.900000000000002</v>
      </c>
      <c r="Q61" s="84"/>
      <c r="S61" s="21">
        <f t="shared" si="18"/>
        <v>347.36793931599999</v>
      </c>
      <c r="T61" s="6" t="e">
        <f t="shared" si="19"/>
        <v>#REF!</v>
      </c>
      <c r="U61" s="6" t="e">
        <f t="shared" si="20"/>
        <v>#REF!</v>
      </c>
      <c r="V61" s="13">
        <f t="shared" si="21"/>
        <v>10.900000000000002</v>
      </c>
      <c r="W61" s="13">
        <f t="shared" si="22"/>
        <v>285.96666666666664</v>
      </c>
      <c r="X61" s="13">
        <f t="shared" si="23"/>
        <v>614.38333333333344</v>
      </c>
      <c r="Y61" s="6">
        <f t="shared" si="24"/>
        <v>100</v>
      </c>
      <c r="Z61" s="13">
        <f>IF(MONTH($A61)=MONTH($A60),AVERAGE($Y$6:Y61),Y61)</f>
        <v>98.228928571428597</v>
      </c>
      <c r="AA61" s="13">
        <f>IF(YEAR($A61)=YEAR($A60),AVERAGE($Y$5:Y61,Y61),Y61)</f>
        <v>98.29</v>
      </c>
      <c r="AB61" s="13">
        <f t="shared" si="25"/>
        <v>86</v>
      </c>
      <c r="AC61" s="13" t="e">
        <f>IF(MONTH($A61)=MONTH($A60),AVERAGE($AB$5:AB61),AB61)</f>
        <v>#REF!</v>
      </c>
      <c r="AD61" s="13" t="e">
        <f>IF(YEAR($A61)=YEAR($A60),AVERAGE($AB$5:AB60,AB61),AB61)</f>
        <v>#REF!</v>
      </c>
    </row>
    <row r="62" spans="1:30">
      <c r="A62" s="35">
        <f t="shared" si="9"/>
        <v>45349</v>
      </c>
      <c r="C62" s="3">
        <v>222.8631717717</v>
      </c>
      <c r="E62" s="7">
        <v>100</v>
      </c>
      <c r="F62" s="3">
        <v>2555.6799999999998</v>
      </c>
      <c r="G62" s="7">
        <v>97</v>
      </c>
      <c r="H62" s="5">
        <v>0.31944444444444448</v>
      </c>
      <c r="I62" s="5">
        <v>0.7715277777777777</v>
      </c>
      <c r="J62" s="7">
        <f t="shared" si="0"/>
        <v>10.849999999999998</v>
      </c>
      <c r="M62" s="17"/>
      <c r="Q62" s="84"/>
      <c r="S62" s="21">
        <f t="shared" si="18"/>
        <v>222.8631717717</v>
      </c>
      <c r="T62" s="6" t="e">
        <f t="shared" si="19"/>
        <v>#REF!</v>
      </c>
      <c r="U62" s="6" t="e">
        <f t="shared" si="20"/>
        <v>#REF!</v>
      </c>
      <c r="V62" s="13">
        <f t="shared" si="21"/>
        <v>10.849999999999998</v>
      </c>
      <c r="W62" s="13">
        <f t="shared" si="22"/>
        <v>296.81666666666666</v>
      </c>
      <c r="X62" s="13">
        <f t="shared" si="23"/>
        <v>625.23333333333346</v>
      </c>
      <c r="Y62" s="6">
        <f t="shared" si="24"/>
        <v>100</v>
      </c>
      <c r="Z62" s="13">
        <f>IF(MONTH($A62)=MONTH($A61),AVERAGE($Y$6:Y62),Y62)</f>
        <v>98.260000000000034</v>
      </c>
      <c r="AA62" s="13">
        <f>IF(YEAR($A62)=YEAR($A61),AVERAGE($Y$5:Y62,Y62),Y62)</f>
        <v>98.318983050847464</v>
      </c>
      <c r="AB62" s="13">
        <f t="shared" si="25"/>
        <v>97</v>
      </c>
      <c r="AC62" s="13" t="e">
        <f>IF(MONTH($A62)=MONTH($A61),AVERAGE($AB$5:AB62),AB62)</f>
        <v>#REF!</v>
      </c>
      <c r="AD62" s="13" t="e">
        <f>IF(YEAR($A62)=YEAR($A61),AVERAGE($AB$5:AB61,AB62),AB62)</f>
        <v>#REF!</v>
      </c>
    </row>
    <row r="63" spans="1:30">
      <c r="A63" s="35">
        <f t="shared" si="9"/>
        <v>45350</v>
      </c>
      <c r="C63" s="3">
        <v>570.91164254789999</v>
      </c>
      <c r="E63" s="7">
        <v>100</v>
      </c>
      <c r="F63" s="3">
        <v>7641.41</v>
      </c>
      <c r="G63" s="7">
        <v>83</v>
      </c>
      <c r="H63" s="5">
        <v>0.30624999999999997</v>
      </c>
      <c r="I63" s="5">
        <v>0.77777777777777779</v>
      </c>
      <c r="J63" s="7">
        <f t="shared" si="0"/>
        <v>11.316666666666668</v>
      </c>
      <c r="Q63" s="84"/>
      <c r="S63" s="21">
        <f t="shared" si="18"/>
        <v>570.91164254789999</v>
      </c>
      <c r="T63" s="6" t="e">
        <f t="shared" si="19"/>
        <v>#REF!</v>
      </c>
      <c r="U63" s="6" t="e">
        <f t="shared" si="20"/>
        <v>#REF!</v>
      </c>
      <c r="V63" s="13">
        <f t="shared" si="21"/>
        <v>11.316666666666668</v>
      </c>
      <c r="W63" s="13">
        <f t="shared" si="22"/>
        <v>308.13333333333333</v>
      </c>
      <c r="X63" s="13">
        <f t="shared" si="23"/>
        <v>636.55000000000018</v>
      </c>
      <c r="Y63" s="6">
        <f t="shared" si="24"/>
        <v>100</v>
      </c>
      <c r="Z63" s="13">
        <f>IF(MONTH($A63)=MONTH($A62),AVERAGE($Y$6:Y63),Y63)</f>
        <v>98.29000000000002</v>
      </c>
      <c r="AA63" s="13">
        <f>IF(YEAR($A63)=YEAR($A62),AVERAGE($Y$5:Y63,Y63),Y63)</f>
        <v>98.347000000000008</v>
      </c>
      <c r="AB63" s="13">
        <f t="shared" si="25"/>
        <v>83</v>
      </c>
      <c r="AC63" s="13" t="e">
        <f>IF(MONTH($A63)=MONTH($A62),AVERAGE($AB$5:AB63),AB63)</f>
        <v>#REF!</v>
      </c>
      <c r="AD63" s="13" t="e">
        <f>IF(YEAR($A63)=YEAR($A62),AVERAGE($AB$5:AB62,AB63),AB63)</f>
        <v>#REF!</v>
      </c>
    </row>
    <row r="64" spans="1:30" ht="90">
      <c r="A64" s="35">
        <f t="shared" si="9"/>
        <v>45351</v>
      </c>
      <c r="C64" s="38">
        <v>621.63446225760003</v>
      </c>
      <c r="E64" s="7">
        <v>100</v>
      </c>
      <c r="F64" s="3">
        <v>8411.49</v>
      </c>
      <c r="G64" s="7">
        <v>82</v>
      </c>
      <c r="H64" s="5">
        <v>0.30208333333333331</v>
      </c>
      <c r="I64" s="5">
        <v>0.77847222222222223</v>
      </c>
      <c r="J64" s="7">
        <f t="shared" si="0"/>
        <v>11.433333333333334</v>
      </c>
      <c r="Q64" s="101" t="s">
        <v>61</v>
      </c>
      <c r="S64" s="21">
        <f t="shared" si="18"/>
        <v>621.63446225760003</v>
      </c>
      <c r="T64" s="6" t="e">
        <f t="shared" si="19"/>
        <v>#REF!</v>
      </c>
      <c r="U64" s="6" t="e">
        <f t="shared" si="20"/>
        <v>#REF!</v>
      </c>
      <c r="V64" s="13">
        <f t="shared" si="21"/>
        <v>11.433333333333334</v>
      </c>
      <c r="W64" s="13">
        <f t="shared" si="22"/>
        <v>319.56666666666666</v>
      </c>
      <c r="X64" s="13">
        <f t="shared" si="23"/>
        <v>647.98333333333346</v>
      </c>
      <c r="Y64" s="6">
        <f t="shared" si="24"/>
        <v>100</v>
      </c>
      <c r="Z64" s="13">
        <f>IF(MONTH($A64)=MONTH($A63),AVERAGE($Y$6:Y64),Y64)</f>
        <v>98.318983050847478</v>
      </c>
      <c r="AA64" s="13">
        <f>IF(YEAR($A64)=YEAR($A63),AVERAGE($Y$5:Y64,Y64),Y64)</f>
        <v>98.374098360655751</v>
      </c>
      <c r="AB64" s="13">
        <f t="shared" si="25"/>
        <v>82</v>
      </c>
      <c r="AC64" s="13" t="e">
        <f>IF(MONTH($A64)=MONTH($A63),AVERAGE($AB$5:AB64),AB64)</f>
        <v>#REF!</v>
      </c>
      <c r="AD64" s="13" t="e">
        <f>IF(YEAR($A64)=YEAR($A63),AVERAGE($AB$5:AB63,AB64),AB64)</f>
        <v>#REF!</v>
      </c>
    </row>
    <row r="65" spans="1:30">
      <c r="A65" s="35">
        <f t="shared" si="9"/>
        <v>45352</v>
      </c>
      <c r="C65" s="3">
        <v>634.87030863810003</v>
      </c>
      <c r="E65" s="7">
        <v>100</v>
      </c>
      <c r="F65" s="3">
        <v>8642.84</v>
      </c>
      <c r="G65" s="7">
        <v>81</v>
      </c>
      <c r="H65" s="5">
        <v>0.30208333333333331</v>
      </c>
      <c r="I65" s="5">
        <v>0.78194444444444444</v>
      </c>
      <c r="J65" s="7">
        <f t="shared" si="0"/>
        <v>11.516666666666667</v>
      </c>
      <c r="Q65" s="84"/>
      <c r="S65" s="21">
        <f t="shared" si="18"/>
        <v>634.87030863810003</v>
      </c>
      <c r="T65" s="6">
        <f t="shared" si="19"/>
        <v>634.87030863810003</v>
      </c>
      <c r="U65" s="6" t="e">
        <f t="shared" si="20"/>
        <v>#REF!</v>
      </c>
      <c r="V65" s="13">
        <f t="shared" si="21"/>
        <v>11.516666666666667</v>
      </c>
      <c r="W65" s="13">
        <f t="shared" si="22"/>
        <v>11.516666666666667</v>
      </c>
      <c r="X65" s="13">
        <f t="shared" si="23"/>
        <v>659.50000000000011</v>
      </c>
      <c r="Y65" s="6">
        <f t="shared" si="24"/>
        <v>100</v>
      </c>
      <c r="Z65" s="13">
        <f>IF(MONTH($A65)=MONTH($A64),AVERAGE($Y$6:Y65),Y65)</f>
        <v>100</v>
      </c>
      <c r="AA65" s="13">
        <f>IF(YEAR($A65)=YEAR($A64),AVERAGE($Y$5:Y65,Y65),Y65)</f>
        <v>98.400322580645167</v>
      </c>
      <c r="AB65" s="13">
        <f t="shared" si="25"/>
        <v>81</v>
      </c>
      <c r="AC65" s="13">
        <f>IF(MONTH($A65)=MONTH($A64),AVERAGE($AB$5:AB65),AB65)</f>
        <v>81</v>
      </c>
      <c r="AD65" s="13" t="e">
        <f>IF(YEAR($A65)=YEAR($A64),AVERAGE($AB$5:AB64,AB65),AB65)</f>
        <v>#REF!</v>
      </c>
    </row>
    <row r="66" spans="1:30">
      <c r="A66" s="35">
        <f t="shared" si="9"/>
        <v>45353</v>
      </c>
      <c r="C66" s="3">
        <v>619.69376562520006</v>
      </c>
      <c r="E66" s="7">
        <v>100</v>
      </c>
      <c r="F66" s="3">
        <v>8418.48</v>
      </c>
      <c r="G66" s="7">
        <v>82</v>
      </c>
      <c r="H66" s="5">
        <v>0.3034722222222222</v>
      </c>
      <c r="I66" s="5">
        <v>0.77916666666666667</v>
      </c>
      <c r="J66" s="7">
        <f t="shared" si="0"/>
        <v>11.416666666666668</v>
      </c>
      <c r="S66" s="21">
        <f t="shared" si="18"/>
        <v>619.69376562520006</v>
      </c>
      <c r="T66" s="6">
        <f t="shared" si="19"/>
        <v>1254.5640742633</v>
      </c>
      <c r="U66" s="6" t="e">
        <f t="shared" si="20"/>
        <v>#REF!</v>
      </c>
      <c r="V66" s="13">
        <f t="shared" si="21"/>
        <v>11.416666666666668</v>
      </c>
      <c r="W66" s="13">
        <f t="shared" si="22"/>
        <v>22.933333333333337</v>
      </c>
      <c r="X66" s="13">
        <f t="shared" si="23"/>
        <v>670.91666666666674</v>
      </c>
      <c r="Y66" s="6">
        <f t="shared" si="24"/>
        <v>100</v>
      </c>
      <c r="Z66" s="13">
        <f>IF(MONTH($A66)=MONTH($A65),AVERAGE($Y$6:Y66),Y66)</f>
        <v>98.374098360655765</v>
      </c>
      <c r="AA66" s="13">
        <f>IF(YEAR($A66)=YEAR($A65),AVERAGE($Y$5:Y66,Y66),Y66)</f>
        <v>98.425714285714292</v>
      </c>
      <c r="AB66" s="13">
        <f t="shared" si="25"/>
        <v>82</v>
      </c>
      <c r="AC66" s="13" t="e">
        <f>IF(MONTH($A66)=MONTH($A65),AVERAGE($AB$5:AB66),AB66)</f>
        <v>#REF!</v>
      </c>
      <c r="AD66" s="13" t="e">
        <f>IF(YEAR($A66)=YEAR($A65),AVERAGE($AB$5:AB65,AB66),AB66)</f>
        <v>#REF!</v>
      </c>
    </row>
    <row r="67" spans="1:30" ht="45">
      <c r="A67" s="35">
        <f t="shared" si="9"/>
        <v>45354</v>
      </c>
      <c r="C67" s="3">
        <v>650.4032794707</v>
      </c>
      <c r="E67" s="7">
        <v>100</v>
      </c>
      <c r="F67" s="3">
        <v>8702.7800000000007</v>
      </c>
      <c r="G67" s="7">
        <v>82</v>
      </c>
      <c r="H67" s="5">
        <v>0.30555555555555552</v>
      </c>
      <c r="I67" s="5">
        <v>0.78194444444444444</v>
      </c>
      <c r="J67" s="7">
        <f t="shared" si="0"/>
        <v>11.433333333333334</v>
      </c>
      <c r="Q67" s="97" t="s">
        <v>62</v>
      </c>
      <c r="S67" s="21">
        <f t="shared" si="18"/>
        <v>650.4032794707</v>
      </c>
      <c r="T67" s="6">
        <f t="shared" si="19"/>
        <v>1904.967353734</v>
      </c>
      <c r="U67" s="6" t="e">
        <f t="shared" si="20"/>
        <v>#REF!</v>
      </c>
      <c r="V67" s="13">
        <f t="shared" si="21"/>
        <v>11.433333333333334</v>
      </c>
      <c r="W67" s="13">
        <f t="shared" si="22"/>
        <v>34.366666666666674</v>
      </c>
      <c r="X67" s="13">
        <f t="shared" si="23"/>
        <v>682.35</v>
      </c>
      <c r="Y67" s="6">
        <f t="shared" si="24"/>
        <v>100</v>
      </c>
      <c r="Z67" s="13">
        <f>IF(MONTH($A67)=MONTH($A66),AVERAGE($Y$6:Y67),Y67)</f>
        <v>98.400322580645181</v>
      </c>
      <c r="AA67" s="13">
        <f>IF(YEAR($A67)=YEAR($A66),AVERAGE($Y$5:Y67,Y67),Y67)</f>
        <v>98.45031250000001</v>
      </c>
      <c r="AB67" s="13">
        <f t="shared" si="25"/>
        <v>82</v>
      </c>
      <c r="AC67" s="13" t="e">
        <f>IF(MONTH($A67)=MONTH($A66),AVERAGE($AB$5:AB67),AB67)</f>
        <v>#REF!</v>
      </c>
      <c r="AD67" s="13" t="e">
        <f>IF(YEAR($A67)=YEAR($A66),AVERAGE($AB$5:AB66,AB67),AB67)</f>
        <v>#REF!</v>
      </c>
    </row>
    <row r="68" spans="1:30">
      <c r="A68" s="35">
        <f t="shared" si="9"/>
        <v>45355</v>
      </c>
      <c r="C68" s="3">
        <v>505.75006319639999</v>
      </c>
      <c r="E68" s="7">
        <v>100</v>
      </c>
      <c r="F68" s="3">
        <v>6691.1</v>
      </c>
      <c r="G68" s="7">
        <v>82.93</v>
      </c>
      <c r="H68" s="5">
        <v>0.30069444444444443</v>
      </c>
      <c r="I68" s="5">
        <v>0.77777777777777779</v>
      </c>
      <c r="J68" s="7">
        <f t="shared" ref="J68:J122" si="26">(I68-H68)*24</f>
        <v>11.450000000000001</v>
      </c>
      <c r="O68" s="4"/>
      <c r="S68" s="21">
        <f t="shared" si="18"/>
        <v>505.75006319639999</v>
      </c>
      <c r="T68" s="6">
        <f t="shared" si="19"/>
        <v>2410.7174169303998</v>
      </c>
      <c r="U68" s="6" t="e">
        <f t="shared" si="20"/>
        <v>#REF!</v>
      </c>
      <c r="V68" s="13">
        <f t="shared" si="21"/>
        <v>11.450000000000001</v>
      </c>
      <c r="W68" s="13">
        <f t="shared" si="22"/>
        <v>45.816666666666677</v>
      </c>
      <c r="X68" s="13">
        <f t="shared" si="23"/>
        <v>693.80000000000007</v>
      </c>
      <c r="Y68" s="6">
        <f t="shared" si="24"/>
        <v>100</v>
      </c>
      <c r="Z68" s="13">
        <f>IF(MONTH($A68)=MONTH($A67),AVERAGE($Y$6:Y68),Y68)</f>
        <v>98.425714285714307</v>
      </c>
      <c r="AA68" s="13">
        <f>IF(YEAR($A68)=YEAR($A67),AVERAGE($Y$5:Y68,Y68),Y68)</f>
        <v>98.474153846153854</v>
      </c>
      <c r="AB68" s="13">
        <f t="shared" si="25"/>
        <v>82.93</v>
      </c>
      <c r="AC68" s="13" t="e">
        <f>IF(MONTH($A68)=MONTH($A67),AVERAGE($AB$5:AB68),AB68)</f>
        <v>#REF!</v>
      </c>
      <c r="AD68" s="13" t="e">
        <f>IF(YEAR($A68)=YEAR($A67),AVERAGE($AB$5:AB67,AB68),AB68)</f>
        <v>#REF!</v>
      </c>
    </row>
    <row r="69" spans="1:30">
      <c r="A69" s="35">
        <f t="shared" si="9"/>
        <v>45356</v>
      </c>
      <c r="C69" s="3">
        <v>606.83041183509999</v>
      </c>
      <c r="E69" s="7">
        <v>100</v>
      </c>
      <c r="F69" s="3">
        <v>8038.53</v>
      </c>
      <c r="G69" s="7">
        <v>83.6</v>
      </c>
      <c r="H69" s="5">
        <v>0.2986111111111111</v>
      </c>
      <c r="I69" s="5">
        <v>0.77986111111111101</v>
      </c>
      <c r="J69" s="7">
        <f>(I69-H69)*24</f>
        <v>11.549999999999997</v>
      </c>
      <c r="Q69" s="84"/>
      <c r="S69" s="21">
        <f t="shared" si="18"/>
        <v>606.83041183509999</v>
      </c>
      <c r="T69" s="6">
        <f t="shared" si="19"/>
        <v>3017.5478287654996</v>
      </c>
      <c r="U69" s="6" t="e">
        <f t="shared" si="20"/>
        <v>#REF!</v>
      </c>
      <c r="V69" s="13">
        <f t="shared" si="21"/>
        <v>11.549999999999997</v>
      </c>
      <c r="W69" s="13">
        <f t="shared" si="22"/>
        <v>57.366666666666674</v>
      </c>
      <c r="X69" s="13">
        <f t="shared" si="23"/>
        <v>705.35</v>
      </c>
      <c r="Y69" s="6">
        <f t="shared" si="24"/>
        <v>100</v>
      </c>
      <c r="Z69" s="13">
        <f>IF(MONTH($A69)=MONTH($A68),AVERAGE($Y$6:Y69),Y69)</f>
        <v>98.450312500000024</v>
      </c>
      <c r="AA69" s="13">
        <f>IF(YEAR($A69)=YEAR($A68),AVERAGE($Y$5:Y69,Y69),Y69)</f>
        <v>98.49727272727273</v>
      </c>
      <c r="AB69" s="13">
        <f t="shared" si="25"/>
        <v>83.6</v>
      </c>
      <c r="AC69" s="13" t="e">
        <f>IF(MONTH($A69)=MONTH($A68),AVERAGE($AB$5:AB69),AB69)</f>
        <v>#REF!</v>
      </c>
      <c r="AD69" s="13" t="e">
        <f>IF(YEAR($A69)=YEAR($A68),AVERAGE($AB$5:AB68,AB69),AB69)</f>
        <v>#REF!</v>
      </c>
    </row>
    <row r="70" spans="1:30">
      <c r="A70" s="35">
        <f t="shared" si="9"/>
        <v>45357</v>
      </c>
      <c r="C70" s="3">
        <v>651.82459416229995</v>
      </c>
      <c r="E70" s="7">
        <v>100</v>
      </c>
      <c r="F70" s="3">
        <v>8815.19</v>
      </c>
      <c r="G70" s="7">
        <v>81.88</v>
      </c>
      <c r="H70" s="5">
        <v>0.2986111111111111</v>
      </c>
      <c r="I70" s="5">
        <v>0.77986111111111101</v>
      </c>
      <c r="J70" s="7">
        <f>(I70-H70)*24</f>
        <v>11.549999999999997</v>
      </c>
      <c r="L70" s="4"/>
      <c r="Q70" s="84"/>
      <c r="S70" s="21">
        <f t="shared" si="18"/>
        <v>651.82459416229995</v>
      </c>
      <c r="T70" s="6">
        <f t="shared" si="19"/>
        <v>3669.3724229277996</v>
      </c>
      <c r="U70" s="6" t="e">
        <f t="shared" si="20"/>
        <v>#REF!</v>
      </c>
      <c r="V70" s="13">
        <f t="shared" si="21"/>
        <v>11.549999999999997</v>
      </c>
      <c r="W70" s="13">
        <f t="shared" si="22"/>
        <v>68.916666666666671</v>
      </c>
      <c r="X70" s="13">
        <f t="shared" si="23"/>
        <v>716.9</v>
      </c>
      <c r="Y70" s="6">
        <f t="shared" si="24"/>
        <v>100</v>
      </c>
      <c r="Z70" s="13">
        <f>IF(MONTH($A70)=MONTH($A69),AVERAGE($Y$6:Y70),Y70)</f>
        <v>98.474153846153868</v>
      </c>
      <c r="AA70" s="13">
        <f>IF(YEAR($A70)=YEAR($A69),AVERAGE($Y$5:Y70,Y70),Y70)</f>
        <v>98.519701492537322</v>
      </c>
      <c r="AB70" s="13">
        <f t="shared" si="25"/>
        <v>81.88</v>
      </c>
      <c r="AC70" s="13" t="e">
        <f>IF(MONTH($A70)=MONTH($A69),AVERAGE($AB$5:AB70),AB70)</f>
        <v>#REF!</v>
      </c>
      <c r="AD70" s="13" t="e">
        <f>IF(YEAR($A70)=YEAR($A69),AVERAGE($AB$5:AB69,AB70),AB70)</f>
        <v>#REF!</v>
      </c>
    </row>
    <row r="71" spans="1:30">
      <c r="A71" s="35">
        <f t="shared" ref="A71:A134" si="27">A70+1</f>
        <v>45358</v>
      </c>
      <c r="C71" s="3">
        <v>501.87605662959999</v>
      </c>
      <c r="E71" s="7">
        <v>100</v>
      </c>
      <c r="F71" s="3">
        <v>6780.29</v>
      </c>
      <c r="G71" s="7">
        <v>82.03</v>
      </c>
      <c r="H71" s="5">
        <v>0.30138888888888887</v>
      </c>
      <c r="I71" s="5">
        <v>0.77916666666666667</v>
      </c>
      <c r="J71" s="7">
        <f t="shared" si="26"/>
        <v>11.466666666666667</v>
      </c>
      <c r="Q71" s="84"/>
      <c r="S71" s="21">
        <f t="shared" si="18"/>
        <v>501.87605662959999</v>
      </c>
      <c r="T71" s="6">
        <f t="shared" si="19"/>
        <v>4171.2484795573992</v>
      </c>
      <c r="U71" s="6" t="e">
        <f t="shared" si="20"/>
        <v>#REF!</v>
      </c>
      <c r="V71" s="13">
        <f t="shared" si="21"/>
        <v>11.466666666666667</v>
      </c>
      <c r="W71" s="13">
        <f t="shared" si="22"/>
        <v>80.38333333333334</v>
      </c>
      <c r="X71" s="13">
        <f t="shared" si="23"/>
        <v>728.36666666666667</v>
      </c>
      <c r="Y71" s="6">
        <f t="shared" si="24"/>
        <v>100</v>
      </c>
      <c r="Z71" s="13">
        <f>IF(MONTH($A71)=MONTH($A70),AVERAGE($Y$6:Y71),Y71)</f>
        <v>98.497272727272744</v>
      </c>
      <c r="AA71" s="13">
        <f>IF(YEAR($A71)=YEAR($A70),AVERAGE($Y$5:Y71,Y71),Y71)</f>
        <v>98.541470588235299</v>
      </c>
      <c r="AB71" s="13">
        <f t="shared" si="25"/>
        <v>82.03</v>
      </c>
      <c r="AC71" s="13" t="e">
        <f>IF(MONTH($A71)=MONTH($A70),AVERAGE($AB$5:AB71),AB71)</f>
        <v>#REF!</v>
      </c>
      <c r="AD71" s="13" t="e">
        <f>IF(YEAR($A71)=YEAR($A70),AVERAGE($AB$5:AB70,AB71),AB71)</f>
        <v>#REF!</v>
      </c>
    </row>
    <row r="72" spans="1:30">
      <c r="A72" s="35">
        <f t="shared" si="27"/>
        <v>45359</v>
      </c>
      <c r="C72" s="3">
        <v>589.25622425469999</v>
      </c>
      <c r="E72" s="7">
        <v>100</v>
      </c>
      <c r="F72" s="3">
        <v>7996.56</v>
      </c>
      <c r="G72" s="7">
        <v>82</v>
      </c>
      <c r="H72" s="5">
        <v>0.3</v>
      </c>
      <c r="I72" s="5">
        <v>0.77777777777777779</v>
      </c>
      <c r="J72" s="7">
        <f t="shared" si="26"/>
        <v>11.466666666666667</v>
      </c>
      <c r="Q72" s="84"/>
      <c r="S72" s="21">
        <f t="shared" si="18"/>
        <v>589.25622425469999</v>
      </c>
      <c r="T72" s="6">
        <f t="shared" si="19"/>
        <v>4760.5047038120993</v>
      </c>
      <c r="U72" s="6" t="e">
        <f t="shared" si="20"/>
        <v>#REF!</v>
      </c>
      <c r="V72" s="13">
        <f t="shared" si="21"/>
        <v>11.466666666666667</v>
      </c>
      <c r="W72" s="13">
        <f t="shared" si="22"/>
        <v>91.850000000000009</v>
      </c>
      <c r="X72" s="13">
        <f t="shared" si="23"/>
        <v>739.83333333333337</v>
      </c>
      <c r="Y72" s="6">
        <f t="shared" si="24"/>
        <v>100</v>
      </c>
      <c r="Z72" s="13">
        <f>IF(MONTH($A72)=MONTH($A71),AVERAGE($Y$6:Y72),Y72)</f>
        <v>98.519701492537337</v>
      </c>
      <c r="AA72" s="13">
        <f>IF(YEAR($A72)=YEAR($A71),AVERAGE($Y$5:Y72,Y72),Y72)</f>
        <v>98.562608695652187</v>
      </c>
      <c r="AB72" s="13">
        <f t="shared" si="25"/>
        <v>82</v>
      </c>
      <c r="AC72" s="13" t="e">
        <f>IF(MONTH($A72)=MONTH($A71),AVERAGE($AB$5:AB72),AB72)</f>
        <v>#REF!</v>
      </c>
      <c r="AD72" s="13" t="e">
        <f>IF(YEAR($A72)=YEAR($A71),AVERAGE($AB$5:AB71,AB72),AB72)</f>
        <v>#REF!</v>
      </c>
    </row>
    <row r="73" spans="1:30">
      <c r="A73" s="35">
        <f t="shared" si="27"/>
        <v>45360</v>
      </c>
      <c r="C73" s="3">
        <v>646.36253654500001</v>
      </c>
      <c r="E73" s="7">
        <v>100</v>
      </c>
      <c r="F73" s="3">
        <v>8883.33</v>
      </c>
      <c r="G73" s="7">
        <v>81</v>
      </c>
      <c r="H73" s="5">
        <v>0.30277777777777776</v>
      </c>
      <c r="I73" s="5">
        <v>0.77986111111111112</v>
      </c>
      <c r="J73" s="7">
        <f t="shared" si="26"/>
        <v>11.450000000000001</v>
      </c>
      <c r="M73" s="7"/>
      <c r="Q73" s="84"/>
      <c r="S73" s="21">
        <f t="shared" si="18"/>
        <v>646.36253654500001</v>
      </c>
      <c r="T73" s="6">
        <f t="shared" si="19"/>
        <v>5406.867240357099</v>
      </c>
      <c r="U73" s="6" t="e">
        <f t="shared" si="20"/>
        <v>#REF!</v>
      </c>
      <c r="V73" s="13">
        <f t="shared" si="21"/>
        <v>11.450000000000001</v>
      </c>
      <c r="W73" s="13">
        <f t="shared" si="22"/>
        <v>103.30000000000001</v>
      </c>
      <c r="X73" s="13">
        <f t="shared" si="23"/>
        <v>751.28333333333342</v>
      </c>
      <c r="Y73" s="6">
        <f t="shared" si="24"/>
        <v>100</v>
      </c>
      <c r="Z73" s="13">
        <f>IF(MONTH($A73)=MONTH($A72),AVERAGE($Y$6:Y73),Y73)</f>
        <v>98.541470588235313</v>
      </c>
      <c r="AA73" s="13">
        <f>IF(YEAR($A73)=YEAR($A72),AVERAGE($Y$5:Y73,Y73),Y73)</f>
        <v>98.58314285714286</v>
      </c>
      <c r="AB73" s="13">
        <f t="shared" si="25"/>
        <v>81</v>
      </c>
      <c r="AC73" s="13" t="e">
        <f>IF(MONTH($A73)=MONTH($A72),AVERAGE($AB$5:AB73),AB73)</f>
        <v>#REF!</v>
      </c>
      <c r="AD73" s="13" t="e">
        <f>IF(YEAR($A73)=YEAR($A72),AVERAGE($AB$5:AB72,AB73),AB73)</f>
        <v>#REF!</v>
      </c>
    </row>
    <row r="74" spans="1:30">
      <c r="A74" s="35">
        <f t="shared" si="27"/>
        <v>45361</v>
      </c>
      <c r="C74" s="3">
        <v>631.18664054919998</v>
      </c>
      <c r="E74" s="7">
        <v>100</v>
      </c>
      <c r="F74" s="3">
        <v>8698.7900000000009</v>
      </c>
      <c r="G74" s="7">
        <v>80.36</v>
      </c>
      <c r="H74" s="5">
        <v>0.29722222222222222</v>
      </c>
      <c r="I74" s="5">
        <v>0.77847222222222223</v>
      </c>
      <c r="J74" s="7">
        <f t="shared" si="26"/>
        <v>11.55</v>
      </c>
      <c r="Q74" s="84"/>
      <c r="S74" s="21">
        <f t="shared" si="18"/>
        <v>631.18664054919998</v>
      </c>
      <c r="T74" s="6">
        <f t="shared" si="19"/>
        <v>6038.0538809062991</v>
      </c>
      <c r="U74" s="6" t="e">
        <f t="shared" si="20"/>
        <v>#REF!</v>
      </c>
      <c r="V74" s="13">
        <f t="shared" si="21"/>
        <v>11.55</v>
      </c>
      <c r="W74" s="13">
        <f t="shared" si="22"/>
        <v>114.85000000000001</v>
      </c>
      <c r="X74" s="13">
        <f t="shared" si="23"/>
        <v>762.83333333333337</v>
      </c>
      <c r="Y74" s="6">
        <f t="shared" si="24"/>
        <v>100</v>
      </c>
      <c r="Z74" s="13">
        <f>IF(MONTH($A74)=MONTH($A73),AVERAGE($Y$6:Y74),Y74)</f>
        <v>98.562608695652202</v>
      </c>
      <c r="AA74" s="13">
        <f>IF(YEAR($A74)=YEAR($A73),AVERAGE($Y$5:Y74,Y74),Y74)</f>
        <v>98.603098591549298</v>
      </c>
      <c r="AB74" s="13">
        <f t="shared" si="25"/>
        <v>80.36</v>
      </c>
      <c r="AC74" s="13" t="e">
        <f>IF(MONTH($A74)=MONTH($A73),AVERAGE($AB$5:AB74),AB74)</f>
        <v>#REF!</v>
      </c>
      <c r="AD74" s="13" t="e">
        <f>IF(YEAR($A74)=YEAR($A73),AVERAGE($AB$5:AB73,AB74),AB74)</f>
        <v>#REF!</v>
      </c>
    </row>
    <row r="75" spans="1:30" ht="30">
      <c r="A75" s="35">
        <f t="shared" si="27"/>
        <v>45362</v>
      </c>
      <c r="C75" s="3">
        <v>581.9536396643</v>
      </c>
      <c r="E75" s="7">
        <v>99.32</v>
      </c>
      <c r="F75" s="3">
        <v>7933.55</v>
      </c>
      <c r="G75" s="7">
        <v>81</v>
      </c>
      <c r="H75" s="5">
        <v>0.29652777777777778</v>
      </c>
      <c r="I75" s="5">
        <v>0.78819444444444453</v>
      </c>
      <c r="J75" s="7">
        <f t="shared" si="26"/>
        <v>11.800000000000002</v>
      </c>
      <c r="Q75" s="84" t="s">
        <v>63</v>
      </c>
      <c r="S75" s="21">
        <f t="shared" si="18"/>
        <v>581.9536396643</v>
      </c>
      <c r="T75" s="6">
        <f t="shared" si="19"/>
        <v>6620.0075205705989</v>
      </c>
      <c r="U75" s="6" t="e">
        <f t="shared" si="20"/>
        <v>#REF!</v>
      </c>
      <c r="V75" s="13">
        <f t="shared" si="21"/>
        <v>11.800000000000002</v>
      </c>
      <c r="W75" s="13">
        <f t="shared" si="22"/>
        <v>126.65</v>
      </c>
      <c r="X75" s="13">
        <f t="shared" si="23"/>
        <v>774.63333333333333</v>
      </c>
      <c r="Y75" s="6">
        <f t="shared" si="24"/>
        <v>99.32</v>
      </c>
      <c r="Z75" s="13">
        <f>IF(MONTH($A75)=MONTH($A74),AVERAGE($Y$6:Y75),Y75)</f>
        <v>98.573428571428593</v>
      </c>
      <c r="AA75" s="13">
        <f>IF(YEAR($A75)=YEAR($A74),AVERAGE($Y$5:Y75,Y75),Y75)</f>
        <v>98.603611111111107</v>
      </c>
      <c r="AB75" s="13">
        <f t="shared" si="25"/>
        <v>81</v>
      </c>
      <c r="AC75" s="13" t="e">
        <f>IF(MONTH($A75)=MONTH($A74),AVERAGE($AB$5:AB75),AB75)</f>
        <v>#REF!</v>
      </c>
      <c r="AD75" s="13" t="e">
        <f>IF(YEAR($A75)=YEAR($A74),AVERAGE($AB$5:AB74,AB75),AB75)</f>
        <v>#REF!</v>
      </c>
    </row>
    <row r="76" spans="1:30">
      <c r="A76" s="35">
        <f t="shared" si="27"/>
        <v>45363</v>
      </c>
      <c r="C76" s="3">
        <v>610.68377435319996</v>
      </c>
      <c r="E76" s="7">
        <v>100</v>
      </c>
      <c r="F76" s="3">
        <v>8722.17</v>
      </c>
      <c r="G76" s="7">
        <v>77.37</v>
      </c>
      <c r="H76" s="5">
        <v>0.2951388888888889</v>
      </c>
      <c r="I76" s="5">
        <v>0.78194444444444444</v>
      </c>
      <c r="J76" s="7">
        <f t="shared" si="26"/>
        <v>11.683333333333334</v>
      </c>
      <c r="Q76" s="84"/>
      <c r="S76" s="21">
        <f t="shared" si="18"/>
        <v>610.68377435319996</v>
      </c>
      <c r="T76" s="6">
        <f t="shared" si="19"/>
        <v>7230.6912949237985</v>
      </c>
      <c r="U76" s="6" t="e">
        <f t="shared" si="20"/>
        <v>#REF!</v>
      </c>
      <c r="V76" s="13">
        <f t="shared" si="21"/>
        <v>11.683333333333334</v>
      </c>
      <c r="W76" s="13">
        <f t="shared" si="22"/>
        <v>138.33333333333334</v>
      </c>
      <c r="X76" s="13">
        <f t="shared" si="23"/>
        <v>786.31666666666661</v>
      </c>
      <c r="Y76" s="6">
        <f t="shared" si="24"/>
        <v>100</v>
      </c>
      <c r="Z76" s="13">
        <f>IF(MONTH($A76)=MONTH($A75),AVERAGE($Y$6:Y76),Y76)</f>
        <v>98.593521126760578</v>
      </c>
      <c r="AA76" s="13">
        <f>IF(YEAR($A76)=YEAR($A75),AVERAGE($Y$5:Y76,Y76),Y76)</f>
        <v>98.632054794520556</v>
      </c>
      <c r="AB76" s="13">
        <f t="shared" si="25"/>
        <v>77.37</v>
      </c>
      <c r="AC76" s="13" t="e">
        <f>IF(MONTH($A76)=MONTH($A75),AVERAGE($AB$5:AB76),AB76)</f>
        <v>#REF!</v>
      </c>
      <c r="AD76" s="13" t="e">
        <f>IF(YEAR($A76)=YEAR($A75),AVERAGE($AB$5:AB75,AB76),AB76)</f>
        <v>#REF!</v>
      </c>
    </row>
    <row r="77" spans="1:30" ht="45">
      <c r="A77" s="35">
        <f t="shared" si="27"/>
        <v>45364</v>
      </c>
      <c r="C77" s="3">
        <v>677.10406417870001</v>
      </c>
      <c r="E77" s="7">
        <v>98.51</v>
      </c>
      <c r="F77" s="3">
        <v>9327.49</v>
      </c>
      <c r="G77" s="7">
        <v>80.27</v>
      </c>
      <c r="H77" s="5">
        <v>0.2951388888888889</v>
      </c>
      <c r="I77" s="5">
        <v>0.78055555555555556</v>
      </c>
      <c r="J77" s="7">
        <f t="shared" si="26"/>
        <v>11.65</v>
      </c>
      <c r="Q77" s="84" t="s">
        <v>64</v>
      </c>
      <c r="S77" s="21">
        <f t="shared" si="18"/>
        <v>677.10406417870001</v>
      </c>
      <c r="T77" s="6">
        <f t="shared" si="19"/>
        <v>7907.7953591024989</v>
      </c>
      <c r="U77" s="6" t="e">
        <f t="shared" si="20"/>
        <v>#REF!</v>
      </c>
      <c r="V77" s="13">
        <f t="shared" si="21"/>
        <v>11.65</v>
      </c>
      <c r="W77" s="13">
        <f t="shared" si="22"/>
        <v>149.98333333333335</v>
      </c>
      <c r="X77" s="13">
        <f t="shared" si="23"/>
        <v>797.96666666666658</v>
      </c>
      <c r="Y77" s="6">
        <f t="shared" si="24"/>
        <v>98.51</v>
      </c>
      <c r="Z77" s="13">
        <f>IF(MONTH($A77)=MONTH($A76),AVERAGE($Y$6:Y77),Y77)</f>
        <v>98.592361111111131</v>
      </c>
      <c r="AA77" s="13">
        <f>IF(YEAR($A77)=YEAR($A76),AVERAGE($Y$5:Y77,Y77),Y77)</f>
        <v>98.610270270270277</v>
      </c>
      <c r="AB77" s="13">
        <f t="shared" si="25"/>
        <v>80.27</v>
      </c>
      <c r="AC77" s="13" t="e">
        <f>IF(MONTH($A77)=MONTH($A76),AVERAGE($AB$5:AB77),AB77)</f>
        <v>#REF!</v>
      </c>
      <c r="AD77" s="13" t="e">
        <f>IF(YEAR($A77)=YEAR($A76),AVERAGE($AB$5:AB76,AB77),AB77)</f>
        <v>#REF!</v>
      </c>
    </row>
    <row r="78" spans="1:30">
      <c r="A78" s="35">
        <f t="shared" si="27"/>
        <v>45365</v>
      </c>
      <c r="C78" s="3">
        <v>679.55872477399998</v>
      </c>
      <c r="E78" s="7">
        <v>100</v>
      </c>
      <c r="F78" s="3">
        <v>9324.3700000000008</v>
      </c>
      <c r="G78" s="7">
        <v>81</v>
      </c>
      <c r="H78" s="5">
        <v>0.29375000000000001</v>
      </c>
      <c r="I78" s="5">
        <v>0.78194444444444444</v>
      </c>
      <c r="J78" s="7">
        <f t="shared" si="26"/>
        <v>11.716666666666667</v>
      </c>
      <c r="M78" s="7"/>
      <c r="Q78" s="84"/>
      <c r="S78" s="21">
        <f t="shared" si="18"/>
        <v>679.55872477399998</v>
      </c>
      <c r="T78" s="6">
        <f t="shared" si="19"/>
        <v>8587.3540838764984</v>
      </c>
      <c r="U78" s="6" t="e">
        <f t="shared" si="20"/>
        <v>#REF!</v>
      </c>
      <c r="V78" s="13">
        <f t="shared" si="21"/>
        <v>11.716666666666667</v>
      </c>
      <c r="W78" s="13">
        <f t="shared" si="22"/>
        <v>161.70000000000002</v>
      </c>
      <c r="X78" s="13">
        <f t="shared" si="23"/>
        <v>809.68333333333328</v>
      </c>
      <c r="Y78" s="6">
        <f t="shared" si="24"/>
        <v>100</v>
      </c>
      <c r="Z78" s="13">
        <f>IF(MONTH($A78)=MONTH($A77),AVERAGE($Y$6:Y78),Y78)</f>
        <v>98.611643835616462</v>
      </c>
      <c r="AA78" s="13">
        <f>IF(YEAR($A78)=YEAR($A77),AVERAGE($Y$5:Y78,Y78),Y78)</f>
        <v>98.648666666666671</v>
      </c>
      <c r="AB78" s="13">
        <f t="shared" si="25"/>
        <v>81</v>
      </c>
      <c r="AC78" s="13" t="e">
        <f>IF(MONTH($A78)=MONTH($A77),AVERAGE($AB$5:AB78),AB78)</f>
        <v>#REF!</v>
      </c>
      <c r="AD78" s="13" t="e">
        <f>IF(YEAR($A78)=YEAR($A77),AVERAGE($AB$5:AB77,AB78),AB78)</f>
        <v>#REF!</v>
      </c>
    </row>
    <row r="79" spans="1:30">
      <c r="A79" s="35">
        <f t="shared" si="27"/>
        <v>45366</v>
      </c>
      <c r="C79" s="3">
        <v>571.12254928589994</v>
      </c>
      <c r="E79" s="7">
        <v>100</v>
      </c>
      <c r="F79" s="3">
        <v>7781.28</v>
      </c>
      <c r="G79" s="7">
        <v>82</v>
      </c>
      <c r="H79" s="5">
        <v>0.29375000000000001</v>
      </c>
      <c r="I79" s="36">
        <v>0.78125</v>
      </c>
      <c r="J79" s="7">
        <f t="shared" si="26"/>
        <v>11.7</v>
      </c>
      <c r="Q79" s="84"/>
      <c r="S79" s="21">
        <f t="shared" si="18"/>
        <v>571.12254928589994</v>
      </c>
      <c r="T79" s="6">
        <f t="shared" si="19"/>
        <v>9158.4766331623978</v>
      </c>
      <c r="U79" s="6" t="e">
        <f t="shared" si="20"/>
        <v>#REF!</v>
      </c>
      <c r="V79" s="13">
        <f t="shared" si="21"/>
        <v>11.7</v>
      </c>
      <c r="W79" s="13">
        <f t="shared" si="22"/>
        <v>173.4</v>
      </c>
      <c r="X79" s="13">
        <f t="shared" si="23"/>
        <v>821.38333333333333</v>
      </c>
      <c r="Y79" s="6">
        <f t="shared" si="24"/>
        <v>100</v>
      </c>
      <c r="Z79" s="13">
        <f>IF(MONTH($A79)=MONTH($A78),AVERAGE($Y$6:Y79),Y79)</f>
        <v>98.630405405405426</v>
      </c>
      <c r="AA79" s="13">
        <f>IF(YEAR($A79)=YEAR($A78),AVERAGE($Y$5:Y79,Y79),Y79)</f>
        <v>98.666447368421061</v>
      </c>
      <c r="AB79" s="13">
        <f t="shared" si="25"/>
        <v>82</v>
      </c>
      <c r="AC79" s="13" t="e">
        <f>IF(MONTH($A79)=MONTH($A78),AVERAGE($AB$5:AB79),AB79)</f>
        <v>#REF!</v>
      </c>
      <c r="AD79" s="13" t="e">
        <f>IF(YEAR($A79)=YEAR($A78),AVERAGE($AB$5:AB78,AB79),AB79)</f>
        <v>#REF!</v>
      </c>
    </row>
    <row r="80" spans="1:30">
      <c r="A80" s="35">
        <f t="shared" si="27"/>
        <v>45367</v>
      </c>
      <c r="C80" s="3">
        <v>581.66532110629998</v>
      </c>
      <c r="E80" s="7">
        <v>100</v>
      </c>
      <c r="F80" s="3">
        <v>7923.01</v>
      </c>
      <c r="G80" s="7">
        <v>82</v>
      </c>
      <c r="H80" s="5">
        <v>0.29375000000000001</v>
      </c>
      <c r="I80" s="5">
        <v>0.77986111111111101</v>
      </c>
      <c r="J80" s="7">
        <f t="shared" si="26"/>
        <v>11.666666666666664</v>
      </c>
      <c r="S80" s="21">
        <f t="shared" si="18"/>
        <v>581.66532110629998</v>
      </c>
      <c r="T80" s="6">
        <f t="shared" si="19"/>
        <v>9740.1419542686981</v>
      </c>
      <c r="U80" s="6" t="e">
        <f t="shared" si="20"/>
        <v>#REF!</v>
      </c>
      <c r="V80" s="13">
        <f t="shared" si="21"/>
        <v>11.666666666666664</v>
      </c>
      <c r="W80" s="13">
        <f t="shared" si="22"/>
        <v>185.06666666666666</v>
      </c>
      <c r="X80" s="13">
        <f t="shared" si="23"/>
        <v>833.05</v>
      </c>
      <c r="Y80" s="6">
        <f t="shared" si="24"/>
        <v>100</v>
      </c>
      <c r="Z80" s="13">
        <f>IF(MONTH($A80)=MONTH($A79),AVERAGE($Y$6:Y80),Y80)</f>
        <v>98.648666666666685</v>
      </c>
      <c r="AA80" s="13">
        <f>IF(YEAR($A80)=YEAR($A79),AVERAGE($Y$5:Y80,Y80),Y80)</f>
        <v>98.683766233766235</v>
      </c>
      <c r="AB80" s="13">
        <f t="shared" si="25"/>
        <v>82</v>
      </c>
      <c r="AC80" s="13" t="e">
        <f>IF(MONTH($A80)=MONTH($A79),AVERAGE($AB$5:AB80),AB80)</f>
        <v>#REF!</v>
      </c>
      <c r="AD80" s="13" t="e">
        <f>IF(YEAR($A80)=YEAR($A79),AVERAGE($AB$5:AB79,AB80),AB80)</f>
        <v>#REF!</v>
      </c>
    </row>
    <row r="81" spans="1:30" ht="45">
      <c r="A81" s="35">
        <f t="shared" si="27"/>
        <v>45368</v>
      </c>
      <c r="C81" s="3">
        <v>605.95877310239996</v>
      </c>
      <c r="E81" s="7">
        <v>99.95</v>
      </c>
      <c r="F81" s="3">
        <v>8170.79</v>
      </c>
      <c r="G81" s="7">
        <v>82.03</v>
      </c>
      <c r="H81" s="5">
        <v>0.29375000000000001</v>
      </c>
      <c r="I81" s="5">
        <v>0.78125</v>
      </c>
      <c r="J81" s="7">
        <f t="shared" si="26"/>
        <v>11.7</v>
      </c>
      <c r="Q81" s="84" t="s">
        <v>65</v>
      </c>
      <c r="S81" s="21">
        <f t="shared" si="18"/>
        <v>605.95877310239996</v>
      </c>
      <c r="T81" s="6">
        <f t="shared" si="19"/>
        <v>10346.100727371098</v>
      </c>
      <c r="U81" s="6" t="e">
        <f t="shared" si="20"/>
        <v>#REF!</v>
      </c>
      <c r="V81" s="13">
        <f t="shared" si="21"/>
        <v>11.7</v>
      </c>
      <c r="W81" s="13">
        <f t="shared" si="22"/>
        <v>196.76666666666665</v>
      </c>
      <c r="X81" s="13">
        <f t="shared" si="23"/>
        <v>844.75</v>
      </c>
      <c r="Y81" s="6">
        <f t="shared" si="24"/>
        <v>99.95</v>
      </c>
      <c r="Z81" s="13">
        <f>IF(MONTH($A81)=MONTH($A80),AVERAGE($Y$6:Y81),Y81)</f>
        <v>98.665789473684228</v>
      </c>
      <c r="AA81" s="13">
        <f>IF(YEAR($A81)=YEAR($A80),AVERAGE($Y$5:Y81,Y81),Y81)</f>
        <v>98.699358974358972</v>
      </c>
      <c r="AB81" s="13">
        <f t="shared" si="25"/>
        <v>82.03</v>
      </c>
      <c r="AC81" s="13" t="e">
        <f>IF(MONTH($A81)=MONTH($A80),AVERAGE($AB$5:AB81),AB81)</f>
        <v>#REF!</v>
      </c>
      <c r="AD81" s="13" t="e">
        <f>IF(YEAR($A81)=YEAR($A80),AVERAGE($AB$5:AB80,AB81),AB81)</f>
        <v>#REF!</v>
      </c>
    </row>
    <row r="82" spans="1:30">
      <c r="A82" s="35">
        <f t="shared" si="27"/>
        <v>45369</v>
      </c>
      <c r="C82" s="3">
        <v>569.28102311739997</v>
      </c>
      <c r="E82" s="7">
        <v>100</v>
      </c>
      <c r="F82" s="3">
        <v>7832.18</v>
      </c>
      <c r="G82" s="7">
        <v>81</v>
      </c>
      <c r="H82" s="5">
        <v>0.29375000000000001</v>
      </c>
      <c r="I82" s="5">
        <v>0.78472222222222221</v>
      </c>
      <c r="J82" s="7">
        <f t="shared" si="26"/>
        <v>11.783333333333333</v>
      </c>
      <c r="Q82" s="84"/>
      <c r="S82" s="21">
        <f t="shared" ref="S82:S145" si="28">C82</f>
        <v>569.28102311739997</v>
      </c>
      <c r="T82" s="6">
        <f t="shared" ref="T82:T145" si="29">IF(MONTH($A82)=MONTH($A81),T81+S82,S82)</f>
        <v>10915.381750488499</v>
      </c>
      <c r="U82" s="6" t="e">
        <f t="shared" ref="U82:U145" si="30">IF(YEAR($A82)=YEAR($A81),U81+S82,S82)</f>
        <v>#REF!</v>
      </c>
      <c r="V82" s="13">
        <f t="shared" ref="V82:V145" si="31">J82</f>
        <v>11.783333333333333</v>
      </c>
      <c r="W82" s="13">
        <f t="shared" ref="W82:W145" si="32">IF(MONTH($A82)=MONTH($A81),W81+V82,V82)</f>
        <v>208.54999999999998</v>
      </c>
      <c r="X82" s="13">
        <f t="shared" ref="X82:X145" si="33">IF(YEAR($A82)=YEAR($A81),X81+V82,V82)</f>
        <v>856.5333333333333</v>
      </c>
      <c r="Y82" s="6">
        <f t="shared" ref="Y82:Y145" si="34">E82</f>
        <v>100</v>
      </c>
      <c r="Z82" s="13">
        <f>IF(MONTH($A82)=MONTH($A81),AVERAGE($Y$6:Y82),Y82)</f>
        <v>98.683116883116895</v>
      </c>
      <c r="AA82" s="13">
        <f>IF(YEAR($A82)=YEAR($A81),AVERAGE($Y$5:Y82,Y82),Y82)</f>
        <v>98.71645569620253</v>
      </c>
      <c r="AB82" s="13">
        <f t="shared" ref="AB82:AB145" si="35">G82</f>
        <v>81</v>
      </c>
      <c r="AC82" s="13" t="e">
        <f>IF(MONTH($A82)=MONTH($A81),AVERAGE($AB$5:AB82),AB82)</f>
        <v>#REF!</v>
      </c>
      <c r="AD82" s="13" t="e">
        <f>IF(YEAR($A82)=YEAR($A81),AVERAGE($AB$5:AB81,AB82),AB82)</f>
        <v>#REF!</v>
      </c>
    </row>
    <row r="83" spans="1:30">
      <c r="A83" s="35">
        <f t="shared" si="27"/>
        <v>45370</v>
      </c>
      <c r="C83" s="3">
        <v>539.49596877409999</v>
      </c>
      <c r="E83" s="7">
        <v>100</v>
      </c>
      <c r="F83" s="3">
        <v>7432.31</v>
      </c>
      <c r="G83" s="7">
        <v>81</v>
      </c>
      <c r="H83" s="5">
        <v>0.29166666666666669</v>
      </c>
      <c r="I83" s="5">
        <v>0.78125</v>
      </c>
      <c r="J83" s="7">
        <f t="shared" si="26"/>
        <v>11.75</v>
      </c>
      <c r="Q83" s="84"/>
      <c r="S83" s="21">
        <f t="shared" si="28"/>
        <v>539.49596877409999</v>
      </c>
      <c r="T83" s="6">
        <f t="shared" si="29"/>
        <v>11454.877719262598</v>
      </c>
      <c r="U83" s="6" t="e">
        <f t="shared" si="30"/>
        <v>#REF!</v>
      </c>
      <c r="V83" s="13">
        <f t="shared" si="31"/>
        <v>11.75</v>
      </c>
      <c r="W83" s="13">
        <f t="shared" si="32"/>
        <v>220.29999999999998</v>
      </c>
      <c r="X83" s="13">
        <f t="shared" si="33"/>
        <v>868.2833333333333</v>
      </c>
      <c r="Y83" s="6">
        <f t="shared" si="34"/>
        <v>100</v>
      </c>
      <c r="Z83" s="13">
        <f>IF(MONTH($A83)=MONTH($A82),AVERAGE($Y$6:Y83),Y83)</f>
        <v>98.700000000000017</v>
      </c>
      <c r="AA83" s="13">
        <f>IF(YEAR($A83)=YEAR($A82),AVERAGE($Y$5:Y83,Y83),Y83)</f>
        <v>98.732500000000002</v>
      </c>
      <c r="AB83" s="13">
        <f t="shared" si="35"/>
        <v>81</v>
      </c>
      <c r="AC83" s="13" t="e">
        <f>IF(MONTH($A83)=MONTH($A82),AVERAGE($AB$5:AB83),AB83)</f>
        <v>#REF!</v>
      </c>
      <c r="AD83" s="13" t="e">
        <f>IF(YEAR($A83)=YEAR($A82),AVERAGE($AB$5:AB82,AB83),AB83)</f>
        <v>#REF!</v>
      </c>
    </row>
    <row r="84" spans="1:30" ht="60">
      <c r="A84" s="35">
        <f t="shared" si="27"/>
        <v>45371</v>
      </c>
      <c r="C84" s="3">
        <v>554.29824141559993</v>
      </c>
      <c r="E84" s="7">
        <v>98.21</v>
      </c>
      <c r="F84" s="3">
        <v>7900.13</v>
      </c>
      <c r="G84" s="7">
        <v>77.599999999999994</v>
      </c>
      <c r="H84" s="5">
        <v>0.29166666666666669</v>
      </c>
      <c r="I84" s="5">
        <v>0.77986111111111101</v>
      </c>
      <c r="J84" s="7">
        <f t="shared" si="26"/>
        <v>11.716666666666663</v>
      </c>
      <c r="Q84" s="84" t="s">
        <v>66</v>
      </c>
      <c r="S84" s="21">
        <f t="shared" si="28"/>
        <v>554.29824141559993</v>
      </c>
      <c r="T84" s="6">
        <f t="shared" si="29"/>
        <v>12009.175960678198</v>
      </c>
      <c r="U84" s="6" t="e">
        <f t="shared" si="30"/>
        <v>#REF!</v>
      </c>
      <c r="V84" s="13">
        <f t="shared" si="31"/>
        <v>11.716666666666663</v>
      </c>
      <c r="W84" s="13">
        <f t="shared" si="32"/>
        <v>232.01666666666665</v>
      </c>
      <c r="X84" s="13">
        <f t="shared" si="33"/>
        <v>880</v>
      </c>
      <c r="Y84" s="6">
        <f t="shared" si="34"/>
        <v>98.21</v>
      </c>
      <c r="Z84" s="13">
        <f>IF(MONTH($A84)=MONTH($A83),AVERAGE($Y$6:Y84),Y84)</f>
        <v>98.693797468354447</v>
      </c>
      <c r="AA84" s="13">
        <f>IF(YEAR($A84)=YEAR($A83),AVERAGE($Y$5:Y84,Y84),Y84)</f>
        <v>98.703950617283951</v>
      </c>
      <c r="AB84" s="13">
        <f t="shared" si="35"/>
        <v>77.599999999999994</v>
      </c>
      <c r="AC84" s="13" t="e">
        <f>IF(MONTH($A84)=MONTH($A83),AVERAGE($AB$5:AB84),AB84)</f>
        <v>#REF!</v>
      </c>
      <c r="AD84" s="13" t="e">
        <f>IF(YEAR($A84)=YEAR($A83),AVERAGE($AB$5:AB83,AB84),AB84)</f>
        <v>#REF!</v>
      </c>
    </row>
    <row r="85" spans="1:30" ht="45">
      <c r="A85" s="35">
        <f t="shared" si="27"/>
        <v>45372</v>
      </c>
      <c r="C85" s="3">
        <v>532.35708395799998</v>
      </c>
      <c r="E85" s="7">
        <v>100</v>
      </c>
      <c r="F85" s="3">
        <v>7397.22</v>
      </c>
      <c r="G85" s="7">
        <v>80</v>
      </c>
      <c r="H85" s="5">
        <v>0.29166666666666669</v>
      </c>
      <c r="I85" s="5">
        <v>0.78263888888888899</v>
      </c>
      <c r="J85" s="7">
        <f t="shared" si="26"/>
        <v>11.783333333333335</v>
      </c>
      <c r="Q85" s="84" t="s">
        <v>67</v>
      </c>
      <c r="S85" s="21">
        <f t="shared" si="28"/>
        <v>532.35708395799998</v>
      </c>
      <c r="T85" s="6">
        <f t="shared" si="29"/>
        <v>12541.533044636199</v>
      </c>
      <c r="U85" s="6" t="e">
        <f t="shared" si="30"/>
        <v>#REF!</v>
      </c>
      <c r="V85" s="13">
        <f t="shared" si="31"/>
        <v>11.783333333333335</v>
      </c>
      <c r="W85" s="13">
        <f t="shared" si="32"/>
        <v>243.79999999999998</v>
      </c>
      <c r="X85" s="13">
        <f t="shared" si="33"/>
        <v>891.7833333333333</v>
      </c>
      <c r="Y85" s="6">
        <f t="shared" si="34"/>
        <v>100</v>
      </c>
      <c r="Z85" s="13">
        <f>IF(MONTH($A85)=MONTH($A84),AVERAGE($Y$6:Y85),Y85)</f>
        <v>98.710125000000019</v>
      </c>
      <c r="AA85" s="13">
        <f>IF(YEAR($A85)=YEAR($A84),AVERAGE($Y$5:Y85,Y85),Y85)</f>
        <v>98.741585365853666</v>
      </c>
      <c r="AB85" s="13">
        <f t="shared" si="35"/>
        <v>80</v>
      </c>
      <c r="AC85" s="13" t="e">
        <f>IF(MONTH($A85)=MONTH($A84),AVERAGE($AB$5:AB85),AB85)</f>
        <v>#REF!</v>
      </c>
      <c r="AD85" s="13" t="e">
        <f>IF(YEAR($A85)=YEAR($A84),AVERAGE($AB$5:AB84,AB85),AB85)</f>
        <v>#REF!</v>
      </c>
    </row>
    <row r="86" spans="1:30">
      <c r="A86" s="35">
        <f t="shared" si="27"/>
        <v>45373</v>
      </c>
      <c r="C86" s="3">
        <v>557.93184245899999</v>
      </c>
      <c r="E86" s="7">
        <v>100</v>
      </c>
      <c r="F86" s="3">
        <v>7728.2</v>
      </c>
      <c r="G86" s="7">
        <v>81</v>
      </c>
      <c r="H86" s="5">
        <v>0.29166666666666669</v>
      </c>
      <c r="I86" s="5">
        <v>0.78194444444444444</v>
      </c>
      <c r="J86" s="7">
        <f>(I86-H86)*24</f>
        <v>11.766666666666666</v>
      </c>
      <c r="S86" s="21">
        <f t="shared" si="28"/>
        <v>557.93184245899999</v>
      </c>
      <c r="T86" s="6">
        <f t="shared" si="29"/>
        <v>13099.464887095199</v>
      </c>
      <c r="U86" s="6" t="e">
        <f t="shared" si="30"/>
        <v>#REF!</v>
      </c>
      <c r="V86" s="13">
        <f t="shared" si="31"/>
        <v>11.766666666666666</v>
      </c>
      <c r="W86" s="13">
        <f t="shared" si="32"/>
        <v>255.56666666666666</v>
      </c>
      <c r="X86" s="13">
        <f t="shared" si="33"/>
        <v>903.55</v>
      </c>
      <c r="Y86" s="6">
        <f t="shared" si="34"/>
        <v>100</v>
      </c>
      <c r="Z86" s="13">
        <f>IF(MONTH($A86)=MONTH($A85),AVERAGE($Y$6:Y86),Y86)</f>
        <v>98.72604938271607</v>
      </c>
      <c r="AA86" s="13">
        <f>IF(YEAR($A86)=YEAR($A85),AVERAGE($Y$5:Y86,Y86),Y86)</f>
        <v>98.756746987951828</v>
      </c>
      <c r="AB86" s="13">
        <f t="shared" si="35"/>
        <v>81</v>
      </c>
      <c r="AC86" s="13" t="e">
        <f>IF(MONTH($A86)=MONTH($A85),AVERAGE($AB$5:AB86),AB86)</f>
        <v>#REF!</v>
      </c>
      <c r="AD86" s="13" t="e">
        <f>IF(YEAR($A86)=YEAR($A85),AVERAGE($AB$5:AB85,AB86),AB86)</f>
        <v>#REF!</v>
      </c>
    </row>
    <row r="87" spans="1:30">
      <c r="A87" s="35">
        <f t="shared" si="27"/>
        <v>45374</v>
      </c>
      <c r="C87" s="3">
        <v>632.63132838540002</v>
      </c>
      <c r="E87" s="7">
        <v>100</v>
      </c>
      <c r="F87" s="3">
        <v>8773.3700000000008</v>
      </c>
      <c r="G87" s="7">
        <v>80</v>
      </c>
      <c r="H87" s="5">
        <v>0.29166666666666669</v>
      </c>
      <c r="I87" s="5">
        <v>0.78333333333333333</v>
      </c>
      <c r="J87" s="7">
        <f t="shared" si="26"/>
        <v>11.799999999999999</v>
      </c>
      <c r="S87" s="21">
        <f t="shared" si="28"/>
        <v>632.63132838540002</v>
      </c>
      <c r="T87" s="6">
        <f t="shared" si="29"/>
        <v>13732.096215480598</v>
      </c>
      <c r="U87" s="6" t="e">
        <f t="shared" si="30"/>
        <v>#REF!</v>
      </c>
      <c r="V87" s="13">
        <f t="shared" si="31"/>
        <v>11.799999999999999</v>
      </c>
      <c r="W87" s="13">
        <f t="shared" si="32"/>
        <v>267.36666666666667</v>
      </c>
      <c r="X87" s="13">
        <f t="shared" si="33"/>
        <v>915.34999999999991</v>
      </c>
      <c r="Y87" s="6">
        <f t="shared" si="34"/>
        <v>100</v>
      </c>
      <c r="Z87" s="13">
        <f>IF(MONTH($A87)=MONTH($A86),AVERAGE($Y$6:Y87),Y87)</f>
        <v>98.74158536585368</v>
      </c>
      <c r="AA87" s="13">
        <f>IF(YEAR($A87)=YEAR($A86),AVERAGE($Y$5:Y87,Y87),Y87)</f>
        <v>98.771547619047638</v>
      </c>
      <c r="AB87" s="13">
        <f t="shared" si="35"/>
        <v>80</v>
      </c>
      <c r="AC87" s="13" t="e">
        <f>IF(MONTH($A87)=MONTH($A86),AVERAGE($AB$5:AB87),AB87)</f>
        <v>#REF!</v>
      </c>
      <c r="AD87" s="13" t="e">
        <f>IF(YEAR($A87)=YEAR($A86),AVERAGE($AB$5:AB86,AB87),AB87)</f>
        <v>#REF!</v>
      </c>
    </row>
    <row r="88" spans="1:30">
      <c r="A88" s="35">
        <f t="shared" si="27"/>
        <v>45375</v>
      </c>
      <c r="C88" s="3">
        <v>566.45422657799998</v>
      </c>
      <c r="E88" s="7">
        <v>100</v>
      </c>
      <c r="F88" s="3">
        <v>7830.1</v>
      </c>
      <c r="G88" s="7">
        <v>80</v>
      </c>
      <c r="H88" s="5">
        <v>0.29652777777777778</v>
      </c>
      <c r="I88" s="5">
        <v>0.77986111111111101</v>
      </c>
      <c r="J88" s="7">
        <f t="shared" ref="J88:J93" si="36">(I88-H88)*24</f>
        <v>11.599999999999998</v>
      </c>
      <c r="S88" s="21">
        <f t="shared" si="28"/>
        <v>566.45422657799998</v>
      </c>
      <c r="T88" s="6">
        <f t="shared" si="29"/>
        <v>14298.550442058598</v>
      </c>
      <c r="U88" s="6" t="e">
        <f t="shared" si="30"/>
        <v>#REF!</v>
      </c>
      <c r="V88" s="13">
        <f t="shared" si="31"/>
        <v>11.599999999999998</v>
      </c>
      <c r="W88" s="13">
        <f t="shared" si="32"/>
        <v>278.9666666666667</v>
      </c>
      <c r="X88" s="13">
        <f t="shared" si="33"/>
        <v>926.94999999999993</v>
      </c>
      <c r="Y88" s="6">
        <f t="shared" si="34"/>
        <v>100</v>
      </c>
      <c r="Z88" s="13">
        <f>IF(MONTH($A88)=MONTH($A87),AVERAGE($Y$6:Y88),Y88)</f>
        <v>98.756746987951828</v>
      </c>
      <c r="AA88" s="13">
        <f>IF(YEAR($A88)=YEAR($A87),AVERAGE($Y$5:Y88,Y88),Y88)</f>
        <v>98.786000000000016</v>
      </c>
      <c r="AB88" s="13">
        <f t="shared" si="35"/>
        <v>80</v>
      </c>
      <c r="AC88" s="13" t="e">
        <f>IF(MONTH($A88)=MONTH($A87),AVERAGE($AB$5:AB88),AB88)</f>
        <v>#REF!</v>
      </c>
      <c r="AD88" s="13" t="e">
        <f>IF(YEAR($A88)=YEAR($A87),AVERAGE($AB$5:AB87,AB88),AB88)</f>
        <v>#REF!</v>
      </c>
    </row>
    <row r="89" spans="1:30" ht="30">
      <c r="A89" s="35">
        <f t="shared" si="27"/>
        <v>45376</v>
      </c>
      <c r="C89" s="3">
        <v>376.93190192290001</v>
      </c>
      <c r="E89" s="7">
        <v>100</v>
      </c>
      <c r="F89" s="3">
        <v>5207.1000000000004</v>
      </c>
      <c r="G89" s="7">
        <v>80.05</v>
      </c>
      <c r="H89" s="5">
        <v>0.29375000000000001</v>
      </c>
      <c r="I89" s="5">
        <v>0.76388888888888884</v>
      </c>
      <c r="J89" s="7">
        <f t="shared" si="36"/>
        <v>11.283333333333331</v>
      </c>
      <c r="Q89" s="84" t="s">
        <v>68</v>
      </c>
      <c r="S89" s="21">
        <f t="shared" si="28"/>
        <v>376.93190192290001</v>
      </c>
      <c r="T89" s="6">
        <f t="shared" si="29"/>
        <v>14675.482343981499</v>
      </c>
      <c r="U89" s="6" t="e">
        <f t="shared" si="30"/>
        <v>#REF!</v>
      </c>
      <c r="V89" s="13">
        <f t="shared" si="31"/>
        <v>11.283333333333331</v>
      </c>
      <c r="W89" s="13">
        <f t="shared" si="32"/>
        <v>290.25</v>
      </c>
      <c r="X89" s="13">
        <f t="shared" si="33"/>
        <v>938.23333333333323</v>
      </c>
      <c r="Y89" s="6">
        <f t="shared" si="34"/>
        <v>100</v>
      </c>
      <c r="Z89" s="13">
        <f>IF(MONTH($A89)=MONTH($A88),AVERAGE($Y$6:Y89),Y89)</f>
        <v>98.771547619047638</v>
      </c>
      <c r="AA89" s="13">
        <f>IF(YEAR($A89)=YEAR($A88),AVERAGE($Y$5:Y89,Y89),Y89)</f>
        <v>98.800116279069783</v>
      </c>
      <c r="AB89" s="13">
        <f t="shared" si="35"/>
        <v>80.05</v>
      </c>
      <c r="AC89" s="13" t="e">
        <f>IF(MONTH($A89)=MONTH($A88),AVERAGE($AB$5:AB89),AB89)</f>
        <v>#REF!</v>
      </c>
      <c r="AD89" s="13" t="e">
        <f>IF(YEAR($A89)=YEAR($A88),AVERAGE($AB$5:AB88,AB89),AB89)</f>
        <v>#REF!</v>
      </c>
    </row>
    <row r="90" spans="1:30">
      <c r="A90" s="35">
        <f t="shared" si="27"/>
        <v>45377</v>
      </c>
      <c r="C90" s="3">
        <v>505.3247229502</v>
      </c>
      <c r="E90" s="7">
        <v>100</v>
      </c>
      <c r="F90" s="3">
        <v>7281.54</v>
      </c>
      <c r="G90" s="7">
        <v>77</v>
      </c>
      <c r="H90" s="5">
        <v>0.29236111111111113</v>
      </c>
      <c r="I90" s="5">
        <v>0.78472222222222221</v>
      </c>
      <c r="J90" s="7">
        <f t="shared" si="36"/>
        <v>11.816666666666666</v>
      </c>
      <c r="S90" s="21">
        <f t="shared" si="28"/>
        <v>505.3247229502</v>
      </c>
      <c r="T90" s="6">
        <f t="shared" si="29"/>
        <v>15180.807066931699</v>
      </c>
      <c r="U90" s="6" t="e">
        <f t="shared" si="30"/>
        <v>#REF!</v>
      </c>
      <c r="V90" s="13">
        <f t="shared" si="31"/>
        <v>11.816666666666666</v>
      </c>
      <c r="W90" s="13">
        <f t="shared" si="32"/>
        <v>302.06666666666666</v>
      </c>
      <c r="X90" s="13">
        <f t="shared" si="33"/>
        <v>950.05</v>
      </c>
      <c r="Y90" s="6">
        <f t="shared" si="34"/>
        <v>100</v>
      </c>
      <c r="Z90" s="13">
        <f>IF(MONTH($A90)=MONTH($A89),AVERAGE($Y$6:Y90),Y90)</f>
        <v>98.786000000000016</v>
      </c>
      <c r="AA90" s="13">
        <f>IF(YEAR($A90)=YEAR($A89),AVERAGE($Y$5:Y90,Y90),Y90)</f>
        <v>98.81390804597703</v>
      </c>
      <c r="AB90" s="13">
        <f t="shared" si="35"/>
        <v>77</v>
      </c>
      <c r="AC90" s="13" t="e">
        <f>IF(MONTH($A90)=MONTH($A89),AVERAGE($AB$5:AB90),AB90)</f>
        <v>#REF!</v>
      </c>
      <c r="AD90" s="13" t="e">
        <f>IF(YEAR($A90)=YEAR($A89),AVERAGE($AB$5:AB89,AB90),AB90)</f>
        <v>#REF!</v>
      </c>
    </row>
    <row r="91" spans="1:30">
      <c r="A91" s="35">
        <f t="shared" si="27"/>
        <v>45378</v>
      </c>
      <c r="C91" s="3">
        <v>679.23486867939994</v>
      </c>
      <c r="E91" s="7">
        <v>100</v>
      </c>
      <c r="F91" s="3">
        <v>9709.39</v>
      </c>
      <c r="G91" s="7">
        <v>77.349999999999994</v>
      </c>
      <c r="H91" s="5">
        <v>0.29166666666666669</v>
      </c>
      <c r="I91" s="5">
        <v>0.7895833333333333</v>
      </c>
      <c r="J91" s="7">
        <f t="shared" si="36"/>
        <v>11.95</v>
      </c>
      <c r="S91" s="21">
        <f t="shared" si="28"/>
        <v>679.23486867939994</v>
      </c>
      <c r="T91" s="6">
        <f t="shared" si="29"/>
        <v>15860.041935611098</v>
      </c>
      <c r="U91" s="6" t="e">
        <f t="shared" si="30"/>
        <v>#REF!</v>
      </c>
      <c r="V91" s="13">
        <f t="shared" si="31"/>
        <v>11.95</v>
      </c>
      <c r="W91" s="13">
        <f t="shared" si="32"/>
        <v>314.01666666666665</v>
      </c>
      <c r="X91" s="13">
        <f t="shared" si="33"/>
        <v>962</v>
      </c>
      <c r="Y91" s="6">
        <f t="shared" si="34"/>
        <v>100</v>
      </c>
      <c r="Z91" s="13">
        <f>IF(MONTH($A91)=MONTH($A90),AVERAGE($Y$6:Y91),Y91)</f>
        <v>98.800116279069783</v>
      </c>
      <c r="AA91" s="13">
        <f>IF(YEAR($A91)=YEAR($A90),AVERAGE($Y$5:Y91,Y91),Y91)</f>
        <v>98.827386363636379</v>
      </c>
      <c r="AB91" s="13">
        <f t="shared" si="35"/>
        <v>77.349999999999994</v>
      </c>
      <c r="AC91" s="13" t="e">
        <f>IF(MONTH($A91)=MONTH($A90),AVERAGE($AB$5:AB91),AB91)</f>
        <v>#REF!</v>
      </c>
      <c r="AD91" s="13" t="e">
        <f>IF(YEAR($A91)=YEAR($A90),AVERAGE($AB$5:AB90,AB91),AB91)</f>
        <v>#REF!</v>
      </c>
    </row>
    <row r="92" spans="1:30">
      <c r="A92" s="35">
        <f t="shared" si="27"/>
        <v>45379</v>
      </c>
      <c r="C92" s="3">
        <v>719.39138929029991</v>
      </c>
      <c r="E92" s="7">
        <v>100</v>
      </c>
      <c r="F92" s="3">
        <v>10146.290000000001</v>
      </c>
      <c r="G92" s="7">
        <v>79</v>
      </c>
      <c r="H92" s="5">
        <v>0.28472222222222221</v>
      </c>
      <c r="I92" s="5">
        <v>0.79166666666666663</v>
      </c>
      <c r="J92" s="7">
        <f t="shared" si="36"/>
        <v>12.166666666666666</v>
      </c>
      <c r="S92" s="21">
        <f t="shared" si="28"/>
        <v>719.39138929029991</v>
      </c>
      <c r="T92" s="6">
        <f t="shared" si="29"/>
        <v>16579.433324901398</v>
      </c>
      <c r="U92" s="6" t="e">
        <f t="shared" si="30"/>
        <v>#REF!</v>
      </c>
      <c r="V92" s="13">
        <f t="shared" si="31"/>
        <v>12.166666666666666</v>
      </c>
      <c r="W92" s="13">
        <f t="shared" si="32"/>
        <v>326.18333333333334</v>
      </c>
      <c r="X92" s="13">
        <f t="shared" si="33"/>
        <v>974.16666666666663</v>
      </c>
      <c r="Y92" s="6">
        <f t="shared" si="34"/>
        <v>100</v>
      </c>
      <c r="Z92" s="13">
        <f>IF(MONTH($A92)=MONTH($A91),AVERAGE($Y$6:Y92),Y92)</f>
        <v>98.81390804597703</v>
      </c>
      <c r="AA92" s="13">
        <f>IF(YEAR($A92)=YEAR($A91),AVERAGE($Y$5:Y92,Y92),Y92)</f>
        <v>98.840561797752827</v>
      </c>
      <c r="AB92" s="13">
        <f t="shared" si="35"/>
        <v>79</v>
      </c>
      <c r="AC92" s="13" t="e">
        <f>IF(MONTH($A92)=MONTH($A91),AVERAGE($AB$5:AB92),AB92)</f>
        <v>#REF!</v>
      </c>
      <c r="AD92" s="13" t="e">
        <f>IF(YEAR($A92)=YEAR($A91),AVERAGE($AB$5:AB91,AB92),AB92)</f>
        <v>#REF!</v>
      </c>
    </row>
    <row r="93" spans="1:30">
      <c r="A93" s="35">
        <f t="shared" si="27"/>
        <v>45380</v>
      </c>
      <c r="C93" s="3">
        <v>672.00425353269998</v>
      </c>
      <c r="E93" s="7">
        <v>100</v>
      </c>
      <c r="F93" s="3">
        <v>9468.75</v>
      </c>
      <c r="G93" s="7">
        <v>78</v>
      </c>
      <c r="H93" s="5">
        <v>0.28819444444444448</v>
      </c>
      <c r="I93" s="5">
        <v>0.78680555555555554</v>
      </c>
      <c r="J93" s="7">
        <f t="shared" si="36"/>
        <v>11.966666666666665</v>
      </c>
      <c r="Q93" s="84"/>
      <c r="S93" s="21">
        <f t="shared" si="28"/>
        <v>672.00425353269998</v>
      </c>
      <c r="T93" s="6">
        <f t="shared" si="29"/>
        <v>17251.437578434099</v>
      </c>
      <c r="U93" s="6" t="e">
        <f t="shared" si="30"/>
        <v>#REF!</v>
      </c>
      <c r="V93" s="13">
        <f t="shared" si="31"/>
        <v>11.966666666666665</v>
      </c>
      <c r="W93" s="13">
        <f t="shared" si="32"/>
        <v>338.15</v>
      </c>
      <c r="X93" s="13">
        <f t="shared" si="33"/>
        <v>986.13333333333333</v>
      </c>
      <c r="Y93" s="6">
        <f t="shared" si="34"/>
        <v>100</v>
      </c>
      <c r="Z93" s="13">
        <f>IF(MONTH($A93)=MONTH($A92),AVERAGE($Y$6:Y93),Y93)</f>
        <v>98.827386363636379</v>
      </c>
      <c r="AA93" s="13">
        <f>IF(YEAR($A93)=YEAR($A92),AVERAGE($Y$5:Y93,Y93),Y93)</f>
        <v>98.853444444444463</v>
      </c>
      <c r="AB93" s="13">
        <f t="shared" si="35"/>
        <v>78</v>
      </c>
      <c r="AC93" s="13" t="e">
        <f>IF(MONTH($A93)=MONTH($A92),AVERAGE($AB$5:AB93),AB93)</f>
        <v>#REF!</v>
      </c>
      <c r="AD93" s="13" t="e">
        <f>IF(YEAR($A93)=YEAR($A92),AVERAGE($AB$5:AB92,AB93),AB93)</f>
        <v>#REF!</v>
      </c>
    </row>
    <row r="94" spans="1:30" ht="30">
      <c r="A94" s="35">
        <f t="shared" si="27"/>
        <v>45381</v>
      </c>
      <c r="C94" s="3">
        <v>142.2360418735</v>
      </c>
      <c r="E94" s="7">
        <v>100</v>
      </c>
      <c r="F94" s="3">
        <v>1600.58</v>
      </c>
      <c r="G94" s="7">
        <v>99</v>
      </c>
      <c r="H94" s="5">
        <v>0.2986111111111111</v>
      </c>
      <c r="I94" s="5">
        <v>0.78194444444444444</v>
      </c>
      <c r="J94" s="7">
        <f>(I94-H94)*24</f>
        <v>11.6</v>
      </c>
      <c r="Q94" s="84" t="s">
        <v>69</v>
      </c>
      <c r="S94" s="21">
        <f t="shared" si="28"/>
        <v>142.2360418735</v>
      </c>
      <c r="T94" s="6">
        <f t="shared" si="29"/>
        <v>17393.6736203076</v>
      </c>
      <c r="U94" s="6" t="e">
        <f t="shared" si="30"/>
        <v>#REF!</v>
      </c>
      <c r="V94" s="13">
        <f t="shared" si="31"/>
        <v>11.6</v>
      </c>
      <c r="W94" s="13">
        <f t="shared" si="32"/>
        <v>349.75</v>
      </c>
      <c r="X94" s="13">
        <f t="shared" si="33"/>
        <v>997.73333333333335</v>
      </c>
      <c r="Y94" s="6">
        <f t="shared" si="34"/>
        <v>100</v>
      </c>
      <c r="Z94" s="13">
        <f>IF(MONTH($A94)=MONTH($A93),AVERAGE($Y$6:Y94),Y94)</f>
        <v>98.840561797752827</v>
      </c>
      <c r="AA94" s="13">
        <f>IF(YEAR($A94)=YEAR($A93),AVERAGE($Y$5:Y94,Y94),Y94)</f>
        <v>98.866043956043967</v>
      </c>
      <c r="AB94" s="13">
        <f t="shared" si="35"/>
        <v>99</v>
      </c>
      <c r="AC94" s="13" t="e">
        <f>IF(MONTH($A94)=MONTH($A93),AVERAGE($AB$5:AB94),AB94)</f>
        <v>#REF!</v>
      </c>
      <c r="AD94" s="13" t="e">
        <f>IF(YEAR($A94)=YEAR($A93),AVERAGE($AB$5:AB93,AB94),AB94)</f>
        <v>#REF!</v>
      </c>
    </row>
    <row r="95" spans="1:30">
      <c r="A95" s="35">
        <f t="shared" si="27"/>
        <v>45382</v>
      </c>
      <c r="C95" s="3">
        <v>519.73009021070004</v>
      </c>
      <c r="E95" s="7">
        <v>100</v>
      </c>
      <c r="F95" s="3">
        <v>6989.34</v>
      </c>
      <c r="G95" s="7">
        <v>82</v>
      </c>
      <c r="H95" s="5">
        <v>0.28750000000000003</v>
      </c>
      <c r="I95" s="5">
        <v>0.78749999999999998</v>
      </c>
      <c r="J95" s="7">
        <f>(I95-H95)*24</f>
        <v>11.999999999999998</v>
      </c>
      <c r="L95" s="4"/>
      <c r="Q95" s="84"/>
      <c r="S95" s="21">
        <f t="shared" si="28"/>
        <v>519.73009021070004</v>
      </c>
      <c r="T95" s="6">
        <f t="shared" si="29"/>
        <v>17913.403710518302</v>
      </c>
      <c r="U95" s="6" t="e">
        <f t="shared" si="30"/>
        <v>#REF!</v>
      </c>
      <c r="V95" s="13">
        <f t="shared" si="31"/>
        <v>11.999999999999998</v>
      </c>
      <c r="W95" s="13">
        <f t="shared" si="32"/>
        <v>361.75</v>
      </c>
      <c r="X95" s="13">
        <f t="shared" si="33"/>
        <v>1009.7333333333333</v>
      </c>
      <c r="Y95" s="6">
        <f t="shared" si="34"/>
        <v>100</v>
      </c>
      <c r="Z95" s="13">
        <f>IF(MONTH($A95)=MONTH($A94),AVERAGE($Y$6:Y95),Y95)</f>
        <v>98.853444444444463</v>
      </c>
      <c r="AA95" s="13">
        <f>IF(YEAR($A95)=YEAR($A94),AVERAGE($Y$5:Y95,Y95),Y95)</f>
        <v>98.878369565217412</v>
      </c>
      <c r="AB95" s="13">
        <f>H95</f>
        <v>0.28750000000000003</v>
      </c>
      <c r="AC95" s="13" t="e">
        <f>IF(MONTH($A95)=MONTH($A94),AVERAGE($AB$5:AB95),AB95)</f>
        <v>#REF!</v>
      </c>
      <c r="AD95" s="13" t="e">
        <f>IF(YEAR($A95)=YEAR($A94),AVERAGE($AB$5:AB94,AB95),AB95)</f>
        <v>#REF!</v>
      </c>
    </row>
    <row r="96" spans="1:30">
      <c r="A96" s="35">
        <f t="shared" si="27"/>
        <v>45383</v>
      </c>
      <c r="C96" s="3">
        <v>711.92919487120002</v>
      </c>
      <c r="E96" s="7">
        <v>100</v>
      </c>
      <c r="F96" s="3">
        <v>9868.2900000000009</v>
      </c>
      <c r="G96" s="7">
        <v>80</v>
      </c>
      <c r="H96" s="5">
        <v>0.28472222222222221</v>
      </c>
      <c r="I96" s="5">
        <v>0.78819444444444453</v>
      </c>
      <c r="J96" s="7">
        <f t="shared" si="26"/>
        <v>12.083333333333336</v>
      </c>
      <c r="L96" s="4"/>
      <c r="Q96" s="84"/>
      <c r="S96" s="21">
        <f t="shared" si="28"/>
        <v>711.92919487120002</v>
      </c>
      <c r="T96" s="6">
        <f t="shared" si="29"/>
        <v>711.92919487120002</v>
      </c>
      <c r="U96" s="6" t="e">
        <f t="shared" si="30"/>
        <v>#REF!</v>
      </c>
      <c r="V96" s="13">
        <f t="shared" si="31"/>
        <v>12.083333333333336</v>
      </c>
      <c r="W96" s="13">
        <f t="shared" si="32"/>
        <v>12.083333333333336</v>
      </c>
      <c r="X96" s="13">
        <f t="shared" si="33"/>
        <v>1021.8166666666667</v>
      </c>
      <c r="Y96" s="6">
        <f t="shared" si="34"/>
        <v>100</v>
      </c>
      <c r="Z96" s="13">
        <f>IF(MONTH($A96)=MONTH($A95),AVERAGE($Y$6:Y96),Y96)</f>
        <v>100</v>
      </c>
      <c r="AA96" s="13">
        <f>IF(YEAR($A96)=YEAR($A95),AVERAGE($Y$5:Y96,Y96),Y96)</f>
        <v>98.890430107526896</v>
      </c>
      <c r="AB96" s="13">
        <f t="shared" si="35"/>
        <v>80</v>
      </c>
      <c r="AC96" s="13">
        <f>IF(MONTH($A96)=MONTH($A95),AVERAGE($AB$5:AB96),AB96)</f>
        <v>80</v>
      </c>
      <c r="AD96" s="13" t="e">
        <f>IF(YEAR($A96)=YEAR($A95),AVERAGE($AB$5:AB95,AB96),AB96)</f>
        <v>#REF!</v>
      </c>
    </row>
    <row r="97" spans="1:30">
      <c r="A97" s="35">
        <f t="shared" si="27"/>
        <v>45384</v>
      </c>
      <c r="C97" s="3">
        <v>725.48774157960008</v>
      </c>
      <c r="E97" s="7">
        <v>100</v>
      </c>
      <c r="F97" s="3">
        <v>10018.870000000001</v>
      </c>
      <c r="G97" s="7">
        <v>80.11</v>
      </c>
      <c r="H97" s="5">
        <v>0.28472222222222221</v>
      </c>
      <c r="I97" s="5">
        <v>0.78819444444444453</v>
      </c>
      <c r="J97" s="7">
        <f t="shared" si="26"/>
        <v>12.083333333333336</v>
      </c>
      <c r="L97" s="4"/>
      <c r="Q97" s="84"/>
      <c r="S97" s="21">
        <f t="shared" si="28"/>
        <v>725.48774157960008</v>
      </c>
      <c r="T97" s="6">
        <f t="shared" si="29"/>
        <v>1437.4169364508002</v>
      </c>
      <c r="U97" s="6" t="e">
        <f t="shared" si="30"/>
        <v>#REF!</v>
      </c>
      <c r="V97" s="13">
        <f t="shared" si="31"/>
        <v>12.083333333333336</v>
      </c>
      <c r="W97" s="13">
        <f t="shared" si="32"/>
        <v>24.166666666666671</v>
      </c>
      <c r="X97" s="13">
        <f t="shared" si="33"/>
        <v>1033.9000000000001</v>
      </c>
      <c r="Y97" s="6">
        <f t="shared" si="34"/>
        <v>100</v>
      </c>
      <c r="Z97" s="13">
        <f>IF(MONTH($A97)=MONTH($A96),AVERAGE($Y$6:Y97),Y97)</f>
        <v>98.878369565217412</v>
      </c>
      <c r="AA97" s="13">
        <f>IF(YEAR($A97)=YEAR($A96),AVERAGE($Y$5:Y97,Y97),Y97)</f>
        <v>98.902234042553204</v>
      </c>
      <c r="AB97" s="13">
        <f t="shared" si="35"/>
        <v>80.11</v>
      </c>
      <c r="AC97" s="13" t="e">
        <f>IF(MONTH($A97)=MONTH($A96),AVERAGE($AB$5:AB97),AB97)</f>
        <v>#REF!</v>
      </c>
      <c r="AD97" s="13" t="e">
        <f>IF(YEAR($A97)=YEAR($A96),AVERAGE($AB$5:AB96,AB97),AB97)</f>
        <v>#REF!</v>
      </c>
    </row>
    <row r="98" spans="1:30">
      <c r="A98" s="35">
        <f t="shared" si="27"/>
        <v>45385</v>
      </c>
      <c r="C98" s="3">
        <v>702.14053176200002</v>
      </c>
      <c r="E98" s="7">
        <v>100</v>
      </c>
      <c r="F98" s="3">
        <v>9693.64</v>
      </c>
      <c r="G98" s="7">
        <v>80.09</v>
      </c>
      <c r="H98" s="5">
        <v>0.28472222222222221</v>
      </c>
      <c r="I98" s="5">
        <v>0.79166666666666663</v>
      </c>
      <c r="J98" s="7">
        <f t="shared" si="26"/>
        <v>12.166666666666666</v>
      </c>
      <c r="S98" s="21">
        <f t="shared" si="28"/>
        <v>702.14053176200002</v>
      </c>
      <c r="T98" s="6">
        <f t="shared" si="29"/>
        <v>2139.5574682128004</v>
      </c>
      <c r="U98" s="6" t="e">
        <f t="shared" si="30"/>
        <v>#REF!</v>
      </c>
      <c r="V98" s="13">
        <f t="shared" si="31"/>
        <v>12.166666666666666</v>
      </c>
      <c r="W98" s="13">
        <f t="shared" si="32"/>
        <v>36.333333333333336</v>
      </c>
      <c r="X98" s="13">
        <f t="shared" si="33"/>
        <v>1046.0666666666668</v>
      </c>
      <c r="Y98" s="6">
        <f t="shared" si="34"/>
        <v>100</v>
      </c>
      <c r="Z98" s="13">
        <f>IF(MONTH($A98)=MONTH($A97),AVERAGE($Y$6:Y98),Y98)</f>
        <v>98.890430107526896</v>
      </c>
      <c r="AA98" s="13">
        <f>IF(YEAR($A98)=YEAR($A97),AVERAGE($Y$5:Y98,Y98),Y98)</f>
        <v>98.913789473684218</v>
      </c>
      <c r="AB98" s="13">
        <f t="shared" si="35"/>
        <v>80.09</v>
      </c>
      <c r="AC98" s="13" t="e">
        <f>IF(MONTH($A98)=MONTH($A97),AVERAGE($AB$5:AB98),AB98)</f>
        <v>#REF!</v>
      </c>
      <c r="AD98" s="13" t="e">
        <f>IF(YEAR($A98)=YEAR($A97),AVERAGE($AB$5:AB97,AB98),AB98)</f>
        <v>#REF!</v>
      </c>
    </row>
    <row r="99" spans="1:30">
      <c r="A99" s="35">
        <f t="shared" si="27"/>
        <v>45386</v>
      </c>
      <c r="C99" s="3">
        <v>561.64168003869997</v>
      </c>
      <c r="E99" s="7">
        <v>100</v>
      </c>
      <c r="F99" s="3">
        <v>7732.41</v>
      </c>
      <c r="G99" s="7">
        <v>81</v>
      </c>
      <c r="H99" s="5">
        <v>0.28472222222222221</v>
      </c>
      <c r="I99" s="5">
        <v>0.78680555555555554</v>
      </c>
      <c r="J99" s="7">
        <f t="shared" si="26"/>
        <v>12.05</v>
      </c>
      <c r="Q99" s="84"/>
      <c r="S99" s="21">
        <f t="shared" si="28"/>
        <v>561.64168003869997</v>
      </c>
      <c r="T99" s="6">
        <f t="shared" si="29"/>
        <v>2701.1991482515004</v>
      </c>
      <c r="U99" s="6" t="e">
        <f t="shared" si="30"/>
        <v>#REF!</v>
      </c>
      <c r="V99" s="13">
        <f t="shared" si="31"/>
        <v>12.05</v>
      </c>
      <c r="W99" s="13">
        <f t="shared" si="32"/>
        <v>48.38333333333334</v>
      </c>
      <c r="X99" s="13">
        <f t="shared" si="33"/>
        <v>1058.1166666666668</v>
      </c>
      <c r="Y99" s="6">
        <f t="shared" si="34"/>
        <v>100</v>
      </c>
      <c r="Z99" s="13">
        <f>IF(MONTH($A99)=MONTH($A98),AVERAGE($Y$6:Y99),Y99)</f>
        <v>98.902234042553204</v>
      </c>
      <c r="AA99" s="13">
        <f>IF(YEAR($A99)=YEAR($A98),AVERAGE($Y$5:Y99,Y99),Y99)</f>
        <v>98.925104166666685</v>
      </c>
      <c r="AB99" s="13">
        <f t="shared" si="35"/>
        <v>81</v>
      </c>
      <c r="AC99" s="13" t="e">
        <f>IF(MONTH($A99)=MONTH($A98),AVERAGE($AB$5:AB99),AB99)</f>
        <v>#REF!</v>
      </c>
      <c r="AD99" s="13" t="e">
        <f>IF(YEAR($A99)=YEAR($A98),AVERAGE($AB$5:AB98,AB99),AB99)</f>
        <v>#REF!</v>
      </c>
    </row>
    <row r="100" spans="1:30">
      <c r="A100" s="35">
        <f t="shared" si="27"/>
        <v>45387</v>
      </c>
      <c r="C100" s="3">
        <v>518.68243384699997</v>
      </c>
      <c r="E100" s="7">
        <v>100</v>
      </c>
      <c r="F100" s="3">
        <v>7134.57</v>
      </c>
      <c r="G100" s="7">
        <v>80.39</v>
      </c>
      <c r="H100" s="5">
        <v>0.28472222222222221</v>
      </c>
      <c r="I100" s="5">
        <v>0.79027777777777775</v>
      </c>
      <c r="J100" s="7">
        <f t="shared" si="26"/>
        <v>12.133333333333333</v>
      </c>
      <c r="Q100" s="84" t="s">
        <v>70</v>
      </c>
      <c r="S100" s="21">
        <f t="shared" si="28"/>
        <v>518.68243384699997</v>
      </c>
      <c r="T100" s="6">
        <f t="shared" si="29"/>
        <v>3219.8815820985005</v>
      </c>
      <c r="U100" s="6" t="e">
        <f t="shared" si="30"/>
        <v>#REF!</v>
      </c>
      <c r="V100" s="13">
        <f t="shared" si="31"/>
        <v>12.133333333333333</v>
      </c>
      <c r="W100" s="13">
        <f t="shared" si="32"/>
        <v>60.516666666666673</v>
      </c>
      <c r="X100" s="13">
        <f t="shared" si="33"/>
        <v>1070.2500000000002</v>
      </c>
      <c r="Y100" s="6">
        <f t="shared" si="34"/>
        <v>100</v>
      </c>
      <c r="Z100" s="13">
        <f>IF(MONTH($A100)=MONTH($A99),AVERAGE($Y$6:Y100),Y100)</f>
        <v>98.913789473684218</v>
      </c>
      <c r="AA100" s="13">
        <f>IF(YEAR($A100)=YEAR($A99),AVERAGE($Y$5:Y100,Y100),Y100)</f>
        <v>98.936185567010327</v>
      </c>
      <c r="AB100" s="13">
        <f t="shared" si="35"/>
        <v>80.39</v>
      </c>
      <c r="AC100" s="13" t="e">
        <f>IF(MONTH($A100)=MONTH($A99),AVERAGE($AB$5:AB100),AB100)</f>
        <v>#REF!</v>
      </c>
      <c r="AD100" s="13" t="e">
        <f>IF(YEAR($A100)=YEAR($A99),AVERAGE($AB$5:AB99,AB100),AB100)</f>
        <v>#REF!</v>
      </c>
    </row>
    <row r="101" spans="1:30">
      <c r="A101" s="35">
        <f t="shared" si="27"/>
        <v>45388</v>
      </c>
      <c r="C101" s="3">
        <v>501.093997151</v>
      </c>
      <c r="E101" s="7">
        <v>100</v>
      </c>
      <c r="F101" s="3">
        <v>6926.68</v>
      </c>
      <c r="G101" s="7">
        <v>80</v>
      </c>
      <c r="H101" s="5">
        <v>0.28472222222222221</v>
      </c>
      <c r="I101" s="5">
        <v>0.7909722222222223</v>
      </c>
      <c r="J101" s="7">
        <f t="shared" si="26"/>
        <v>12.150000000000002</v>
      </c>
      <c r="Q101" s="98" t="s">
        <v>71</v>
      </c>
      <c r="S101" s="21">
        <f t="shared" si="28"/>
        <v>501.093997151</v>
      </c>
      <c r="T101" s="6">
        <f t="shared" si="29"/>
        <v>3720.9755792495007</v>
      </c>
      <c r="U101" s="6" t="e">
        <f t="shared" si="30"/>
        <v>#REF!</v>
      </c>
      <c r="V101" s="13">
        <f t="shared" si="31"/>
        <v>12.150000000000002</v>
      </c>
      <c r="W101" s="13">
        <f t="shared" si="32"/>
        <v>72.666666666666671</v>
      </c>
      <c r="X101" s="13">
        <f t="shared" si="33"/>
        <v>1082.4000000000003</v>
      </c>
      <c r="Y101" s="6">
        <f t="shared" si="34"/>
        <v>100</v>
      </c>
      <c r="Z101" s="13">
        <f>IF(MONTH($A101)=MONTH($A100),AVERAGE($Y$6:Y101),Y101)</f>
        <v>98.925104166666685</v>
      </c>
      <c r="AA101" s="13">
        <f>IF(YEAR($A101)=YEAR($A100),AVERAGE($Y$5:Y101,Y101),Y101)</f>
        <v>98.947040816326549</v>
      </c>
      <c r="AB101" s="13">
        <f t="shared" si="35"/>
        <v>80</v>
      </c>
      <c r="AC101" s="13" t="e">
        <f>IF(MONTH($A101)=MONTH($A100),AVERAGE($AB$5:AB101),AB101)</f>
        <v>#REF!</v>
      </c>
      <c r="AD101" s="13" t="e">
        <f>IF(YEAR($A101)=YEAR($A100),AVERAGE($AB$5:AB100,AB101),AB101)</f>
        <v>#REF!</v>
      </c>
    </row>
    <row r="102" spans="1:30">
      <c r="A102" s="35">
        <f t="shared" si="27"/>
        <v>45389</v>
      </c>
      <c r="C102" s="3">
        <v>525.79304282359999</v>
      </c>
      <c r="E102" s="7">
        <v>100</v>
      </c>
      <c r="F102" s="3">
        <v>7217.12</v>
      </c>
      <c r="G102" s="7">
        <v>81</v>
      </c>
      <c r="H102" s="5">
        <v>0.28472222222222221</v>
      </c>
      <c r="I102" s="5">
        <v>0.78819444444444453</v>
      </c>
      <c r="J102" s="7">
        <f t="shared" si="26"/>
        <v>12.083333333333336</v>
      </c>
      <c r="O102" s="4"/>
      <c r="Q102" s="84" t="s">
        <v>72</v>
      </c>
      <c r="S102" s="21">
        <f t="shared" si="28"/>
        <v>525.79304282359999</v>
      </c>
      <c r="T102" s="6">
        <f t="shared" si="29"/>
        <v>4246.7686220731011</v>
      </c>
      <c r="U102" s="6" t="e">
        <f t="shared" si="30"/>
        <v>#REF!</v>
      </c>
      <c r="V102" s="13">
        <f t="shared" si="31"/>
        <v>12.083333333333336</v>
      </c>
      <c r="W102" s="13">
        <f t="shared" si="32"/>
        <v>84.75</v>
      </c>
      <c r="X102" s="13">
        <f t="shared" si="33"/>
        <v>1094.4833333333336</v>
      </c>
      <c r="Y102" s="6">
        <f t="shared" si="34"/>
        <v>100</v>
      </c>
      <c r="Z102" s="13">
        <f>IF(MONTH($A102)=MONTH($A101),AVERAGE($Y$6:Y102),Y102)</f>
        <v>98.936185567010327</v>
      </c>
      <c r="AA102" s="13">
        <f>IF(YEAR($A102)=YEAR($A101),AVERAGE($Y$5:Y102,Y102),Y102)</f>
        <v>98.957676767676787</v>
      </c>
      <c r="AB102" s="13">
        <f t="shared" si="35"/>
        <v>81</v>
      </c>
      <c r="AC102" s="13" t="e">
        <f>IF(MONTH($A102)=MONTH($A101),AVERAGE($AB$5:AB102),AB102)</f>
        <v>#REF!</v>
      </c>
      <c r="AD102" s="13" t="e">
        <f>IF(YEAR($A102)=YEAR($A101),AVERAGE($AB$5:AB101,AB102),AB102)</f>
        <v>#REF!</v>
      </c>
    </row>
    <row r="103" spans="1:30" ht="30">
      <c r="A103" s="35">
        <f t="shared" si="27"/>
        <v>45390</v>
      </c>
      <c r="C103" s="3">
        <v>499.94669981020002</v>
      </c>
      <c r="E103" s="7">
        <v>100</v>
      </c>
      <c r="F103" s="3">
        <v>6669.9</v>
      </c>
      <c r="G103" s="7">
        <v>83</v>
      </c>
      <c r="H103" s="5">
        <v>0.28819444444444448</v>
      </c>
      <c r="I103" s="5">
        <v>0.78819444444444453</v>
      </c>
      <c r="J103" s="7">
        <f t="shared" si="26"/>
        <v>12</v>
      </c>
      <c r="Q103" s="84" t="s">
        <v>73</v>
      </c>
      <c r="S103" s="21">
        <f t="shared" si="28"/>
        <v>499.94669981020002</v>
      </c>
      <c r="T103" s="6">
        <f t="shared" si="29"/>
        <v>4746.7153218833009</v>
      </c>
      <c r="U103" s="6" t="e">
        <f t="shared" si="30"/>
        <v>#REF!</v>
      </c>
      <c r="V103" s="13">
        <f t="shared" si="31"/>
        <v>12</v>
      </c>
      <c r="W103" s="13">
        <f t="shared" si="32"/>
        <v>96.75</v>
      </c>
      <c r="X103" s="13">
        <f t="shared" si="33"/>
        <v>1106.4833333333336</v>
      </c>
      <c r="Y103" s="6">
        <f t="shared" si="34"/>
        <v>100</v>
      </c>
      <c r="Z103" s="13">
        <f>IF(MONTH($A103)=MONTH($A102),AVERAGE($Y$6:Y103),Y103)</f>
        <v>98.947040816326549</v>
      </c>
      <c r="AA103" s="13">
        <f>IF(YEAR($A103)=YEAR($A102),AVERAGE($Y$5:Y103,Y103),Y103)</f>
        <v>98.968100000000007</v>
      </c>
      <c r="AB103" s="13">
        <f t="shared" si="35"/>
        <v>83</v>
      </c>
      <c r="AC103" s="13" t="e">
        <f>IF(MONTH($A103)=MONTH($A102),AVERAGE($AB$5:AB103),AB103)</f>
        <v>#REF!</v>
      </c>
      <c r="AD103" s="13" t="e">
        <f>IF(YEAR($A103)=YEAR($A102),AVERAGE($AB$5:AB102,AB103),AB103)</f>
        <v>#REF!</v>
      </c>
    </row>
    <row r="104" spans="1:30" ht="45">
      <c r="A104" s="35">
        <f t="shared" si="27"/>
        <v>45391</v>
      </c>
      <c r="C104" s="3">
        <v>162.66470944229999</v>
      </c>
      <c r="E104" s="7">
        <v>69.42</v>
      </c>
      <c r="F104" s="3">
        <v>1899.57</v>
      </c>
      <c r="G104" s="7">
        <v>68.94</v>
      </c>
      <c r="H104" s="5">
        <v>0.29166666666666669</v>
      </c>
      <c r="I104" s="5">
        <v>0.59166666666666667</v>
      </c>
      <c r="J104" s="7">
        <f t="shared" si="26"/>
        <v>7.1999999999999993</v>
      </c>
      <c r="Q104" s="84" t="s">
        <v>74</v>
      </c>
      <c r="S104" s="21">
        <f t="shared" si="28"/>
        <v>162.66470944229999</v>
      </c>
      <c r="T104" s="6">
        <f t="shared" si="29"/>
        <v>4909.3800313256006</v>
      </c>
      <c r="U104" s="6" t="e">
        <f t="shared" si="30"/>
        <v>#REF!</v>
      </c>
      <c r="V104" s="13">
        <f t="shared" si="31"/>
        <v>7.1999999999999993</v>
      </c>
      <c r="W104" s="13">
        <f t="shared" si="32"/>
        <v>103.95</v>
      </c>
      <c r="X104" s="13">
        <f t="shared" si="33"/>
        <v>1113.6833333333336</v>
      </c>
      <c r="Y104" s="6">
        <f t="shared" si="34"/>
        <v>69.42</v>
      </c>
      <c r="Z104" s="13">
        <f>IF(MONTH($A104)=MONTH($A103),AVERAGE($Y$6:Y104),Y104)</f>
        <v>98.6487878787879</v>
      </c>
      <c r="AA104" s="13">
        <f>IF(YEAR($A104)=YEAR($A103),AVERAGE($Y$5:Y104,Y104),Y104)</f>
        <v>98.372772277227739</v>
      </c>
      <c r="AB104" s="13">
        <f t="shared" si="35"/>
        <v>68.94</v>
      </c>
      <c r="AC104" s="13" t="e">
        <f>IF(MONTH($A104)=MONTH($A103),AVERAGE($AB$5:AB104),AB104)</f>
        <v>#REF!</v>
      </c>
      <c r="AD104" s="13" t="e">
        <f>IF(YEAR($A104)=YEAR($A103),AVERAGE($AB$5:AB103,AB104),AB104)</f>
        <v>#REF!</v>
      </c>
    </row>
    <row r="105" spans="1:30">
      <c r="A105" s="35">
        <f t="shared" si="27"/>
        <v>45392</v>
      </c>
      <c r="C105" s="3">
        <v>687.91392682679998</v>
      </c>
      <c r="E105" s="7">
        <v>100</v>
      </c>
      <c r="F105" s="3">
        <v>9525.57</v>
      </c>
      <c r="G105" s="7">
        <v>80</v>
      </c>
      <c r="H105" s="5">
        <v>0.27777777777777779</v>
      </c>
      <c r="I105" s="5">
        <v>0.7909722222222223</v>
      </c>
      <c r="J105" s="7">
        <f t="shared" si="26"/>
        <v>12.316666666666668</v>
      </c>
      <c r="Q105" s="84"/>
      <c r="S105" s="21">
        <f t="shared" si="28"/>
        <v>687.91392682679998</v>
      </c>
      <c r="T105" s="6">
        <f t="shared" si="29"/>
        <v>5597.2939581524006</v>
      </c>
      <c r="U105" s="6" t="e">
        <f t="shared" si="30"/>
        <v>#REF!</v>
      </c>
      <c r="V105" s="13">
        <f t="shared" si="31"/>
        <v>12.316666666666668</v>
      </c>
      <c r="W105" s="13">
        <f t="shared" si="32"/>
        <v>116.26666666666667</v>
      </c>
      <c r="X105" s="13">
        <f t="shared" si="33"/>
        <v>1126.0000000000002</v>
      </c>
      <c r="Y105" s="6">
        <f t="shared" si="34"/>
        <v>100</v>
      </c>
      <c r="Z105" s="13">
        <f>IF(MONTH($A105)=MONTH($A104),AVERAGE($Y$6:Y105),Y105)</f>
        <v>98.662300000000016</v>
      </c>
      <c r="AA105" s="13">
        <f>IF(YEAR($A105)=YEAR($A104),AVERAGE($Y$5:Y105,Y105),Y105)</f>
        <v>98.688529411764719</v>
      </c>
      <c r="AB105" s="13">
        <f t="shared" si="35"/>
        <v>80</v>
      </c>
      <c r="AC105" s="13" t="e">
        <f>IF(MONTH($A105)=MONTH($A104),AVERAGE($AB$5:AB105),AB105)</f>
        <v>#REF!</v>
      </c>
      <c r="AD105" s="13" t="e">
        <f>IF(YEAR($A105)=YEAR($A104),AVERAGE($AB$5:AB104,AB105),AB105)</f>
        <v>#REF!</v>
      </c>
    </row>
    <row r="106" spans="1:30">
      <c r="A106" s="35">
        <f t="shared" si="27"/>
        <v>45393</v>
      </c>
      <c r="C106" s="3">
        <v>728.10096669799998</v>
      </c>
      <c r="E106" s="7">
        <v>100</v>
      </c>
      <c r="F106" s="3">
        <v>9921.7999999999993</v>
      </c>
      <c r="G106" s="7">
        <v>81.14</v>
      </c>
      <c r="H106" s="5">
        <v>0.27777777777777779</v>
      </c>
      <c r="I106" s="5">
        <v>0.79166666666666663</v>
      </c>
      <c r="J106" s="7">
        <f t="shared" si="26"/>
        <v>12.333333333333332</v>
      </c>
      <c r="Q106" s="84"/>
      <c r="S106" s="21">
        <f t="shared" si="28"/>
        <v>728.10096669799998</v>
      </c>
      <c r="T106" s="6">
        <f t="shared" si="29"/>
        <v>6325.3949248504005</v>
      </c>
      <c r="U106" s="6" t="e">
        <f t="shared" si="30"/>
        <v>#REF!</v>
      </c>
      <c r="V106" s="13">
        <f t="shared" si="31"/>
        <v>12.333333333333332</v>
      </c>
      <c r="W106" s="13">
        <f t="shared" si="32"/>
        <v>128.6</v>
      </c>
      <c r="X106" s="13">
        <f t="shared" si="33"/>
        <v>1138.3333333333335</v>
      </c>
      <c r="Y106" s="6">
        <f t="shared" si="34"/>
        <v>100</v>
      </c>
      <c r="Z106" s="13">
        <f>IF(MONTH($A106)=MONTH($A105),AVERAGE($Y$6:Y106),Y106)</f>
        <v>98.675544554455456</v>
      </c>
      <c r="AA106" s="13">
        <f>IF(YEAR($A106)=YEAR($A105),AVERAGE($Y$5:Y106,Y106),Y106)</f>
        <v>98.701262135922349</v>
      </c>
      <c r="AB106" s="13">
        <f t="shared" si="35"/>
        <v>81.14</v>
      </c>
      <c r="AC106" s="13" t="e">
        <f>IF(MONTH($A106)=MONTH($A105),AVERAGE($AB$5:AB106),AB106)</f>
        <v>#REF!</v>
      </c>
      <c r="AD106" s="13" t="e">
        <f>IF(YEAR($A106)=YEAR($A105),AVERAGE($AB$5:AB105,AB106),AB106)</f>
        <v>#REF!</v>
      </c>
    </row>
    <row r="107" spans="1:30">
      <c r="A107" s="35">
        <f t="shared" si="27"/>
        <v>45394</v>
      </c>
      <c r="C107" s="3">
        <v>676.18197307880007</v>
      </c>
      <c r="E107" s="7">
        <v>100</v>
      </c>
      <c r="F107" s="3">
        <v>9212.56</v>
      </c>
      <c r="G107" s="7">
        <v>82</v>
      </c>
      <c r="H107" s="5">
        <v>0.28125</v>
      </c>
      <c r="I107" s="5">
        <v>0.79166666666666663</v>
      </c>
      <c r="J107" s="7">
        <f t="shared" si="26"/>
        <v>12.25</v>
      </c>
      <c r="Q107" s="84"/>
      <c r="S107" s="21">
        <f t="shared" si="28"/>
        <v>676.18197307880007</v>
      </c>
      <c r="T107" s="6">
        <f t="shared" si="29"/>
        <v>7001.5768979292006</v>
      </c>
      <c r="U107" s="6" t="e">
        <f t="shared" si="30"/>
        <v>#REF!</v>
      </c>
      <c r="V107" s="13">
        <f t="shared" si="31"/>
        <v>12.25</v>
      </c>
      <c r="W107" s="13">
        <f t="shared" si="32"/>
        <v>140.85</v>
      </c>
      <c r="X107" s="13">
        <f t="shared" si="33"/>
        <v>1150.5833333333335</v>
      </c>
      <c r="Y107" s="6">
        <f t="shared" si="34"/>
        <v>100</v>
      </c>
      <c r="Z107" s="13">
        <f>IF(MONTH($A107)=MONTH($A106),AVERAGE($Y$6:Y107),Y107)</f>
        <v>98.688529411764719</v>
      </c>
      <c r="AA107" s="13">
        <f>IF(YEAR($A107)=YEAR($A106),AVERAGE($Y$5:Y107,Y107),Y107)</f>
        <v>98.713750000000019</v>
      </c>
      <c r="AB107" s="13">
        <f t="shared" si="35"/>
        <v>82</v>
      </c>
      <c r="AC107" s="13" t="e">
        <f>IF(MONTH($A107)=MONTH($A106),AVERAGE($AB$5:AB107),AB107)</f>
        <v>#REF!</v>
      </c>
      <c r="AD107" s="13" t="e">
        <f>IF(YEAR($A107)=YEAR($A106),AVERAGE($AB$5:AB106,AB107),AB107)</f>
        <v>#REF!</v>
      </c>
    </row>
    <row r="108" spans="1:30">
      <c r="A108" s="35">
        <f t="shared" si="27"/>
        <v>45395</v>
      </c>
      <c r="C108" s="3">
        <v>597.58471508740001</v>
      </c>
      <c r="E108" s="7">
        <v>100</v>
      </c>
      <c r="F108" s="3">
        <v>8112.64</v>
      </c>
      <c r="G108" s="7">
        <v>81.44</v>
      </c>
      <c r="H108" s="5">
        <v>0.28125</v>
      </c>
      <c r="I108" s="5">
        <v>0.78819444444444453</v>
      </c>
      <c r="J108" s="7">
        <f t="shared" si="26"/>
        <v>12.166666666666668</v>
      </c>
      <c r="Q108" s="84"/>
      <c r="S108" s="21" t="e">
        <f>#REF!</f>
        <v>#REF!</v>
      </c>
      <c r="T108" s="6" t="e">
        <f t="shared" si="29"/>
        <v>#REF!</v>
      </c>
      <c r="U108" s="6" t="e">
        <f t="shared" si="30"/>
        <v>#REF!</v>
      </c>
      <c r="V108" s="13">
        <f t="shared" si="31"/>
        <v>12.166666666666668</v>
      </c>
      <c r="W108" s="13">
        <f t="shared" si="32"/>
        <v>153.01666666666665</v>
      </c>
      <c r="X108" s="13">
        <f t="shared" si="33"/>
        <v>1162.7500000000002</v>
      </c>
      <c r="Y108" s="6" t="e">
        <f>#REF!</f>
        <v>#REF!</v>
      </c>
      <c r="Z108" s="13" t="e">
        <f>IF(MONTH($A108)=MONTH($A107),AVERAGE($Y$6:Y108),Y108)</f>
        <v>#REF!</v>
      </c>
      <c r="AA108" s="13" t="e">
        <f>IF(YEAR($A108)=YEAR($A107),AVERAGE($Y$5:Y108,Y108),Y108)</f>
        <v>#REF!</v>
      </c>
      <c r="AB108" s="13" t="e">
        <f>#REF!</f>
        <v>#REF!</v>
      </c>
      <c r="AC108" s="13" t="e">
        <f>IF(MONTH($A108)=MONTH($A107),AVERAGE($AB$5:AB108),AB108)</f>
        <v>#REF!</v>
      </c>
      <c r="AD108" s="13" t="e">
        <f>IF(YEAR($A108)=YEAR($A107),AVERAGE($AB$5:AB107,AB108),AB108)</f>
        <v>#REF!</v>
      </c>
    </row>
    <row r="109" spans="1:30">
      <c r="A109" s="35">
        <f t="shared" si="27"/>
        <v>45396</v>
      </c>
      <c r="C109" s="3">
        <v>495.00324090610002</v>
      </c>
      <c r="E109" s="7">
        <v>100</v>
      </c>
      <c r="F109" s="4">
        <v>6796.43</v>
      </c>
      <c r="G109" s="7">
        <v>81</v>
      </c>
      <c r="H109" s="5">
        <v>0.28472222222222221</v>
      </c>
      <c r="I109" s="5">
        <v>0.78819444444444453</v>
      </c>
      <c r="J109" s="7">
        <f t="shared" si="26"/>
        <v>12.083333333333336</v>
      </c>
      <c r="Q109" s="84" t="s">
        <v>75</v>
      </c>
      <c r="S109" s="21">
        <f>C108</f>
        <v>597.58471508740001</v>
      </c>
      <c r="T109" s="6" t="e">
        <f t="shared" si="29"/>
        <v>#REF!</v>
      </c>
      <c r="U109" s="6" t="e">
        <f t="shared" si="30"/>
        <v>#REF!</v>
      </c>
      <c r="V109" s="13">
        <f t="shared" si="31"/>
        <v>12.083333333333336</v>
      </c>
      <c r="W109" s="13">
        <f t="shared" si="32"/>
        <v>165.1</v>
      </c>
      <c r="X109" s="13">
        <f t="shared" si="33"/>
        <v>1174.8333333333335</v>
      </c>
      <c r="Y109" s="6">
        <f>E108</f>
        <v>100</v>
      </c>
      <c r="Z109" s="13" t="e">
        <f>IF(MONTH($A109)=MONTH($A108),AVERAGE($Y$6:Y109),Y109)</f>
        <v>#REF!</v>
      </c>
      <c r="AA109" s="13" t="e">
        <f>IF(YEAR($A109)=YEAR($A108),AVERAGE($Y$5:Y109,Y109),Y109)</f>
        <v>#REF!</v>
      </c>
      <c r="AB109" s="13">
        <f>G108</f>
        <v>81.44</v>
      </c>
      <c r="AC109" s="13" t="e">
        <f>IF(MONTH($A109)=MONTH($A108),AVERAGE($AB$5:AB109),AB109)</f>
        <v>#REF!</v>
      </c>
      <c r="AD109" s="13" t="e">
        <f>IF(YEAR($A109)=YEAR($A108),AVERAGE($AB$5:AB108,AB109),AB109)</f>
        <v>#REF!</v>
      </c>
    </row>
    <row r="110" spans="1:30">
      <c r="A110" s="35">
        <f t="shared" si="27"/>
        <v>45397</v>
      </c>
      <c r="C110" s="3">
        <v>516.11674803829999</v>
      </c>
      <c r="E110" s="7">
        <v>100</v>
      </c>
      <c r="F110" s="3">
        <v>7084.9</v>
      </c>
      <c r="G110" s="7">
        <v>81</v>
      </c>
      <c r="H110" s="5">
        <v>0.27777777777777779</v>
      </c>
      <c r="I110" s="5">
        <v>0.7944444444444444</v>
      </c>
      <c r="J110" s="7">
        <f t="shared" si="26"/>
        <v>12.399999999999999</v>
      </c>
      <c r="Q110" s="84" t="s">
        <v>75</v>
      </c>
      <c r="S110" s="21">
        <f t="shared" si="28"/>
        <v>516.11674803829999</v>
      </c>
      <c r="T110" s="6" t="e">
        <f t="shared" si="29"/>
        <v>#REF!</v>
      </c>
      <c r="U110" s="6" t="e">
        <f t="shared" si="30"/>
        <v>#REF!</v>
      </c>
      <c r="V110" s="13">
        <f t="shared" si="31"/>
        <v>12.399999999999999</v>
      </c>
      <c r="W110" s="13">
        <f t="shared" si="32"/>
        <v>177.5</v>
      </c>
      <c r="X110" s="13">
        <f t="shared" si="33"/>
        <v>1187.2333333333336</v>
      </c>
      <c r="Y110" s="6">
        <f t="shared" si="34"/>
        <v>100</v>
      </c>
      <c r="Z110" s="13" t="e">
        <f>IF(MONTH($A110)=MONTH($A109),AVERAGE($Y$6:Y110),Y110)</f>
        <v>#REF!</v>
      </c>
      <c r="AA110" s="13" t="e">
        <f>IF(YEAR($A110)=YEAR($A109),AVERAGE($Y$5:Y110,Y110),Y110)</f>
        <v>#REF!</v>
      </c>
      <c r="AB110" s="13">
        <f t="shared" si="35"/>
        <v>81</v>
      </c>
      <c r="AC110" s="13" t="e">
        <f>IF(MONTH($A110)=MONTH($A109),AVERAGE($AB$5:AB110),AB110)</f>
        <v>#REF!</v>
      </c>
      <c r="AD110" s="13" t="e">
        <f>IF(YEAR($A110)=YEAR($A109),AVERAGE($AB$5:AB109,AB110),AB110)</f>
        <v>#REF!</v>
      </c>
    </row>
    <row r="111" spans="1:30">
      <c r="A111" s="35">
        <f t="shared" si="27"/>
        <v>45398</v>
      </c>
      <c r="C111" s="3">
        <v>255.69699337599999</v>
      </c>
      <c r="E111" s="7">
        <v>100</v>
      </c>
      <c r="F111" s="3">
        <v>3044.83</v>
      </c>
      <c r="G111" s="7">
        <v>94</v>
      </c>
      <c r="H111" s="5">
        <v>0.28819444444444448</v>
      </c>
      <c r="I111" s="5">
        <v>0.77777777777777779</v>
      </c>
      <c r="J111" s="7">
        <f t="shared" si="26"/>
        <v>11.75</v>
      </c>
      <c r="Q111" s="102" t="s">
        <v>76</v>
      </c>
      <c r="S111" s="21">
        <f t="shared" si="28"/>
        <v>255.69699337599999</v>
      </c>
      <c r="T111" s="6" t="e">
        <f t="shared" si="29"/>
        <v>#REF!</v>
      </c>
      <c r="U111" s="6" t="e">
        <f t="shared" si="30"/>
        <v>#REF!</v>
      </c>
      <c r="V111" s="13">
        <f t="shared" si="31"/>
        <v>11.75</v>
      </c>
      <c r="W111" s="13">
        <f t="shared" si="32"/>
        <v>189.25</v>
      </c>
      <c r="X111" s="13">
        <f t="shared" si="33"/>
        <v>1198.9833333333336</v>
      </c>
      <c r="Y111" s="6">
        <f t="shared" si="34"/>
        <v>100</v>
      </c>
      <c r="Z111" s="13" t="e">
        <f>IF(MONTH($A111)=MONTH($A110),AVERAGE($Y$6:Y111),Y111)</f>
        <v>#REF!</v>
      </c>
      <c r="AA111" s="13" t="e">
        <f>IF(YEAR($A111)=YEAR($A110),AVERAGE($Y$5:Y111,Y111),Y111)</f>
        <v>#REF!</v>
      </c>
      <c r="AB111" s="13">
        <f t="shared" si="35"/>
        <v>94</v>
      </c>
      <c r="AC111" s="13" t="e">
        <f>IF(MONTH($A111)=MONTH($A110),AVERAGE($AB$5:AB111),AB111)</f>
        <v>#REF!</v>
      </c>
      <c r="AD111" s="13" t="e">
        <f>IF(YEAR($A111)=YEAR($A110),AVERAGE($AB$5:AB110,AB111),AB111)</f>
        <v>#REF!</v>
      </c>
    </row>
    <row r="112" spans="1:30">
      <c r="A112" s="35">
        <f t="shared" si="27"/>
        <v>45399</v>
      </c>
      <c r="C112" s="3">
        <v>616.24635858639999</v>
      </c>
      <c r="E112" s="7">
        <v>100</v>
      </c>
      <c r="F112" s="3">
        <v>8391.2999999999993</v>
      </c>
      <c r="G112" s="7">
        <v>81.19</v>
      </c>
      <c r="H112" s="5">
        <v>0.28125</v>
      </c>
      <c r="I112" s="5">
        <v>0.79166666666666663</v>
      </c>
      <c r="J112" s="7">
        <f t="shared" si="26"/>
        <v>12.25</v>
      </c>
      <c r="Q112" s="103"/>
      <c r="S112" s="21">
        <f t="shared" si="28"/>
        <v>616.24635858639999</v>
      </c>
      <c r="T112" s="6" t="e">
        <f t="shared" si="29"/>
        <v>#REF!</v>
      </c>
      <c r="U112" s="6" t="e">
        <f t="shared" si="30"/>
        <v>#REF!</v>
      </c>
      <c r="V112" s="13">
        <f t="shared" si="31"/>
        <v>12.25</v>
      </c>
      <c r="W112" s="13">
        <f t="shared" si="32"/>
        <v>201.5</v>
      </c>
      <c r="X112" s="13">
        <f t="shared" si="33"/>
        <v>1211.2333333333336</v>
      </c>
      <c r="Y112" s="6">
        <f t="shared" si="34"/>
        <v>100</v>
      </c>
      <c r="Z112" s="13" t="e">
        <f>IF(MONTH($A112)=MONTH($A111),AVERAGE($Y$6:Y112),Y112)</f>
        <v>#REF!</v>
      </c>
      <c r="AA112" s="13" t="e">
        <f>IF(YEAR($A112)=YEAR($A111),AVERAGE($Y$5:Y112,Y112),Y112)</f>
        <v>#REF!</v>
      </c>
      <c r="AB112" s="13">
        <f t="shared" si="35"/>
        <v>81.19</v>
      </c>
      <c r="AC112" s="13" t="e">
        <f>IF(MONTH($A112)=MONTH($A111),AVERAGE($AB$5:AB112),AB112)</f>
        <v>#REF!</v>
      </c>
      <c r="AD112" s="13" t="e">
        <f>IF(YEAR($A112)=YEAR($A111),AVERAGE($AB$5:AB111,AB112),AB112)</f>
        <v>#REF!</v>
      </c>
    </row>
    <row r="113" spans="1:30">
      <c r="A113" s="35">
        <f t="shared" si="27"/>
        <v>45400</v>
      </c>
      <c r="C113" s="3">
        <v>501.3151096496</v>
      </c>
      <c r="E113" s="7">
        <v>100</v>
      </c>
      <c r="F113" s="3">
        <v>6783.02</v>
      </c>
      <c r="G113" s="7">
        <v>82</v>
      </c>
      <c r="H113" s="5">
        <v>0.28472222222222221</v>
      </c>
      <c r="I113" s="5">
        <v>0.79166666666666663</v>
      </c>
      <c r="J113" s="7">
        <f t="shared" si="26"/>
        <v>12.166666666666666</v>
      </c>
      <c r="Q113" s="84" t="s">
        <v>77</v>
      </c>
      <c r="S113" s="21">
        <f t="shared" si="28"/>
        <v>501.3151096496</v>
      </c>
      <c r="T113" s="6" t="e">
        <f t="shared" si="29"/>
        <v>#REF!</v>
      </c>
      <c r="U113" s="6" t="e">
        <f t="shared" si="30"/>
        <v>#REF!</v>
      </c>
      <c r="V113" s="13">
        <f t="shared" si="31"/>
        <v>12.166666666666666</v>
      </c>
      <c r="W113" s="13">
        <f t="shared" si="32"/>
        <v>213.66666666666666</v>
      </c>
      <c r="X113" s="13">
        <f t="shared" si="33"/>
        <v>1223.4000000000003</v>
      </c>
      <c r="Y113" s="6">
        <f t="shared" si="34"/>
        <v>100</v>
      </c>
      <c r="Z113" s="13" t="e">
        <f>IF(MONTH($A113)=MONTH($A112),AVERAGE($Y$6:Y113),Y113)</f>
        <v>#REF!</v>
      </c>
      <c r="AA113" s="13" t="e">
        <f>IF(YEAR($A113)=YEAR($A112),AVERAGE($Y$5:Y113,Y113),Y113)</f>
        <v>#REF!</v>
      </c>
      <c r="AB113" s="13">
        <f t="shared" si="35"/>
        <v>82</v>
      </c>
      <c r="AC113" s="13" t="e">
        <f>IF(MONTH($A113)=MONTH($A112),AVERAGE($AB$5:AB113),AB113)</f>
        <v>#REF!</v>
      </c>
      <c r="AD113" s="13" t="e">
        <f>IF(YEAR($A113)=YEAR($A112),AVERAGE($AB$5:AB112,AB113),AB113)</f>
        <v>#REF!</v>
      </c>
    </row>
    <row r="114" spans="1:30" ht="90">
      <c r="A114" s="35">
        <f t="shared" si="27"/>
        <v>45401</v>
      </c>
      <c r="C114" s="3">
        <v>504.02564380379999</v>
      </c>
      <c r="E114" s="7">
        <v>100</v>
      </c>
      <c r="F114" s="7">
        <v>6869.11</v>
      </c>
      <c r="G114" s="7">
        <v>78.98</v>
      </c>
      <c r="H114" s="5">
        <v>0.27430555555555552</v>
      </c>
      <c r="I114" s="5">
        <v>0.79166666666666663</v>
      </c>
      <c r="J114" s="7">
        <f t="shared" si="26"/>
        <v>12.416666666666668</v>
      </c>
      <c r="Q114" s="102" t="s">
        <v>78</v>
      </c>
      <c r="S114" s="21">
        <f t="shared" si="28"/>
        <v>504.02564380379999</v>
      </c>
      <c r="T114" s="6" t="e">
        <f t="shared" si="29"/>
        <v>#REF!</v>
      </c>
      <c r="U114" s="6" t="e">
        <f t="shared" si="30"/>
        <v>#REF!</v>
      </c>
      <c r="V114" s="13">
        <f t="shared" si="31"/>
        <v>12.416666666666668</v>
      </c>
      <c r="W114" s="13">
        <f t="shared" si="32"/>
        <v>226.08333333333331</v>
      </c>
      <c r="X114" s="13">
        <f t="shared" si="33"/>
        <v>1235.8166666666671</v>
      </c>
      <c r="Y114" s="6">
        <f>F114</f>
        <v>6869.11</v>
      </c>
      <c r="Z114" s="13" t="e">
        <f>IF(MONTH($A114)=MONTH($A113),AVERAGE($Y$6:Y114),Y114)</f>
        <v>#REF!</v>
      </c>
      <c r="AA114" s="13" t="e">
        <f>IF(YEAR($A114)=YEAR($A113),AVERAGE($Y$5:Y114,Y114),Y114)</f>
        <v>#REF!</v>
      </c>
      <c r="AB114" s="13">
        <f t="shared" si="35"/>
        <v>78.98</v>
      </c>
      <c r="AC114" s="13" t="e">
        <f>IF(MONTH($A114)=MONTH($A113),AVERAGE($AB$5:AB114),AB114)</f>
        <v>#REF!</v>
      </c>
      <c r="AD114" s="13" t="e">
        <f>IF(YEAR($A114)=YEAR($A113),AVERAGE($AB$5:AB113,AB114),AB114)</f>
        <v>#REF!</v>
      </c>
    </row>
    <row r="115" spans="1:30">
      <c r="A115" s="35">
        <f t="shared" si="27"/>
        <v>45402</v>
      </c>
      <c r="C115" s="3">
        <v>705.14025521279996</v>
      </c>
      <c r="E115" s="7">
        <v>100</v>
      </c>
      <c r="F115" s="3">
        <v>9626.75</v>
      </c>
      <c r="G115" s="7">
        <v>81</v>
      </c>
      <c r="H115" s="5">
        <v>0.28125</v>
      </c>
      <c r="I115" s="5">
        <v>0.79166666666666663</v>
      </c>
      <c r="J115" s="7">
        <f t="shared" si="26"/>
        <v>12.25</v>
      </c>
      <c r="Q115" s="103"/>
      <c r="S115" s="21">
        <f t="shared" si="28"/>
        <v>705.14025521279996</v>
      </c>
      <c r="T115" s="6" t="e">
        <f t="shared" si="29"/>
        <v>#REF!</v>
      </c>
      <c r="U115" s="6" t="e">
        <f t="shared" si="30"/>
        <v>#REF!</v>
      </c>
      <c r="V115" s="13">
        <f t="shared" si="31"/>
        <v>12.25</v>
      </c>
      <c r="W115" s="13">
        <f t="shared" si="32"/>
        <v>238.33333333333331</v>
      </c>
      <c r="X115" s="13">
        <f t="shared" si="33"/>
        <v>1248.0666666666671</v>
      </c>
      <c r="Y115" s="6">
        <f t="shared" si="34"/>
        <v>100</v>
      </c>
      <c r="Z115" s="13" t="e">
        <f>IF(MONTH($A115)=MONTH($A114),AVERAGE($Y$6:Y115),Y115)</f>
        <v>#REF!</v>
      </c>
      <c r="AA115" s="13" t="e">
        <f>IF(YEAR($A115)=YEAR($A114),AVERAGE($Y$5:Y115,Y115),Y115)</f>
        <v>#REF!</v>
      </c>
      <c r="AB115" s="13">
        <f t="shared" si="35"/>
        <v>81</v>
      </c>
      <c r="AC115" s="13" t="e">
        <f>IF(MONTH($A115)=MONTH($A114),AVERAGE($AB$5:AB115),AB115)</f>
        <v>#REF!</v>
      </c>
      <c r="AD115" s="13" t="e">
        <f>IF(YEAR($A115)=YEAR($A114),AVERAGE($AB$5:AB114,AB115),AB115)</f>
        <v>#REF!</v>
      </c>
    </row>
    <row r="116" spans="1:30">
      <c r="A116" s="35">
        <f t="shared" si="27"/>
        <v>45403</v>
      </c>
      <c r="C116" s="3">
        <v>657.32277545229999</v>
      </c>
      <c r="E116" s="7">
        <v>100</v>
      </c>
      <c r="F116" s="3">
        <v>9008.48</v>
      </c>
      <c r="G116" s="7">
        <v>81</v>
      </c>
      <c r="H116" s="5">
        <v>0.28472222222222221</v>
      </c>
      <c r="I116" s="5">
        <v>0.79166666666666663</v>
      </c>
      <c r="J116" s="7">
        <f t="shared" si="26"/>
        <v>12.166666666666666</v>
      </c>
      <c r="Q116" s="103"/>
      <c r="S116" s="21">
        <f t="shared" si="28"/>
        <v>657.32277545229999</v>
      </c>
      <c r="T116" s="6" t="e">
        <f t="shared" si="29"/>
        <v>#REF!</v>
      </c>
      <c r="U116" s="6" t="e">
        <f t="shared" si="30"/>
        <v>#REF!</v>
      </c>
      <c r="V116" s="13">
        <f t="shared" si="31"/>
        <v>12.166666666666666</v>
      </c>
      <c r="W116" s="13">
        <f t="shared" si="32"/>
        <v>250.49999999999997</v>
      </c>
      <c r="X116" s="13">
        <f t="shared" si="33"/>
        <v>1260.2333333333338</v>
      </c>
      <c r="Y116" s="6">
        <f t="shared" si="34"/>
        <v>100</v>
      </c>
      <c r="Z116" s="13" t="e">
        <f>IF(MONTH($A116)=MONTH($A115),AVERAGE($Y$6:Y116),Y116)</f>
        <v>#REF!</v>
      </c>
      <c r="AA116" s="13" t="e">
        <f>IF(YEAR($A116)=YEAR($A115),AVERAGE($Y$5:Y116,Y116),Y116)</f>
        <v>#REF!</v>
      </c>
      <c r="AB116" s="13">
        <f t="shared" si="35"/>
        <v>81</v>
      </c>
      <c r="AC116" s="13" t="e">
        <f>IF(MONTH($A116)=MONTH($A115),AVERAGE($AB$5:AB116),AB116)</f>
        <v>#REF!</v>
      </c>
      <c r="AD116" s="13" t="e">
        <f>IF(YEAR($A116)=YEAR($A115),AVERAGE($AB$5:AB115,AB116),AB116)</f>
        <v>#REF!</v>
      </c>
    </row>
    <row r="117" spans="1:30">
      <c r="A117" s="35">
        <f t="shared" si="27"/>
        <v>45404</v>
      </c>
      <c r="C117" s="3">
        <v>570.10274418659992</v>
      </c>
      <c r="E117" s="7">
        <v>100</v>
      </c>
      <c r="F117" s="3">
        <v>7825.92</v>
      </c>
      <c r="G117" s="7">
        <v>80.569999999999993</v>
      </c>
      <c r="H117" s="5">
        <v>0.27430555555555552</v>
      </c>
      <c r="I117" s="5">
        <v>0.79166666666666663</v>
      </c>
      <c r="J117" s="7">
        <f t="shared" si="26"/>
        <v>12.416666666666668</v>
      </c>
      <c r="Q117" s="103"/>
      <c r="S117" s="21">
        <f t="shared" si="28"/>
        <v>570.10274418659992</v>
      </c>
      <c r="T117" s="6" t="e">
        <f t="shared" si="29"/>
        <v>#REF!</v>
      </c>
      <c r="U117" s="6" t="e">
        <f t="shared" si="30"/>
        <v>#REF!</v>
      </c>
      <c r="V117" s="13">
        <f t="shared" si="31"/>
        <v>12.416666666666668</v>
      </c>
      <c r="W117" s="13">
        <f t="shared" si="32"/>
        <v>262.91666666666663</v>
      </c>
      <c r="X117" s="13">
        <f t="shared" si="33"/>
        <v>1272.6500000000005</v>
      </c>
      <c r="Y117" s="6">
        <f t="shared" si="34"/>
        <v>100</v>
      </c>
      <c r="Z117" s="13" t="e">
        <f>IF(MONTH($A117)=MONTH($A116),AVERAGE($Y$6:Y117),Y117)</f>
        <v>#REF!</v>
      </c>
      <c r="AA117" s="13" t="e">
        <f>IF(YEAR($A117)=YEAR($A116),AVERAGE($Y$5:Y117,Y117),Y117)</f>
        <v>#REF!</v>
      </c>
      <c r="AB117" s="13">
        <f t="shared" si="35"/>
        <v>80.569999999999993</v>
      </c>
      <c r="AC117" s="13" t="e">
        <f>IF(MONTH($A117)=MONTH($A116),AVERAGE($AB$5:AB117),AB117)</f>
        <v>#REF!</v>
      </c>
      <c r="AD117" s="13" t="e">
        <f>IF(YEAR($A117)=YEAR($A116),AVERAGE($AB$5:AB116,AB117),AB117)</f>
        <v>#REF!</v>
      </c>
    </row>
    <row r="118" spans="1:30">
      <c r="A118" s="35">
        <f t="shared" si="27"/>
        <v>45405</v>
      </c>
      <c r="C118" s="3">
        <v>710.29585919810006</v>
      </c>
      <c r="E118" s="7">
        <v>100</v>
      </c>
      <c r="F118" s="3">
        <v>9768.39</v>
      </c>
      <c r="G118" s="7">
        <v>80.400000000000006</v>
      </c>
      <c r="H118" s="5">
        <v>0.27430555555555552</v>
      </c>
      <c r="I118" s="5">
        <v>0.79513888888888884</v>
      </c>
      <c r="J118" s="7">
        <f t="shared" si="26"/>
        <v>12.499999999999998</v>
      </c>
      <c r="Q118" s="103"/>
      <c r="S118" s="21">
        <f t="shared" si="28"/>
        <v>710.29585919810006</v>
      </c>
      <c r="T118" s="6" t="e">
        <f t="shared" si="29"/>
        <v>#REF!</v>
      </c>
      <c r="U118" s="6" t="e">
        <f t="shared" si="30"/>
        <v>#REF!</v>
      </c>
      <c r="V118" s="13">
        <f t="shared" si="31"/>
        <v>12.499999999999998</v>
      </c>
      <c r="W118" s="13">
        <f t="shared" si="32"/>
        <v>275.41666666666663</v>
      </c>
      <c r="X118" s="13">
        <f t="shared" si="33"/>
        <v>1285.1500000000005</v>
      </c>
      <c r="Y118" s="6">
        <f t="shared" si="34"/>
        <v>100</v>
      </c>
      <c r="Z118" s="13" t="e">
        <f>IF(MONTH($A118)=MONTH($A117),AVERAGE($Y$6:Y118),Y118)</f>
        <v>#REF!</v>
      </c>
      <c r="AA118" s="13" t="e">
        <f>IF(YEAR($A118)=YEAR($A117),AVERAGE($Y$5:Y118,Y118),Y118)</f>
        <v>#REF!</v>
      </c>
      <c r="AB118" s="13">
        <f t="shared" si="35"/>
        <v>80.400000000000006</v>
      </c>
      <c r="AC118" s="13" t="e">
        <f>IF(MONTH($A118)=MONTH($A117),AVERAGE($AB$5:AB118),AB118)</f>
        <v>#REF!</v>
      </c>
      <c r="AD118" s="13" t="e">
        <f>IF(YEAR($A118)=YEAR($A117),AVERAGE($AB$5:AB117,AB118),AB118)</f>
        <v>#REF!</v>
      </c>
    </row>
    <row r="119" spans="1:30">
      <c r="A119" s="35">
        <f t="shared" si="27"/>
        <v>45406</v>
      </c>
      <c r="C119" s="3">
        <v>436.1542010942</v>
      </c>
      <c r="E119" s="7">
        <v>100</v>
      </c>
      <c r="F119" s="3">
        <v>5696.93</v>
      </c>
      <c r="G119" s="7">
        <v>84.62</v>
      </c>
      <c r="H119" s="5">
        <v>0.28125</v>
      </c>
      <c r="I119" s="5">
        <v>0.79513888888888884</v>
      </c>
      <c r="J119" s="7">
        <f t="shared" si="26"/>
        <v>12.333333333333332</v>
      </c>
      <c r="Q119" s="103" t="s">
        <v>76</v>
      </c>
      <c r="S119" s="21">
        <f t="shared" si="28"/>
        <v>436.1542010942</v>
      </c>
      <c r="T119" s="6" t="e">
        <f t="shared" si="29"/>
        <v>#REF!</v>
      </c>
      <c r="U119" s="6" t="e">
        <f t="shared" si="30"/>
        <v>#REF!</v>
      </c>
      <c r="V119" s="13">
        <f t="shared" si="31"/>
        <v>12.333333333333332</v>
      </c>
      <c r="W119" s="13">
        <f t="shared" si="32"/>
        <v>287.74999999999994</v>
      </c>
      <c r="X119" s="13">
        <f t="shared" si="33"/>
        <v>1297.4833333333338</v>
      </c>
      <c r="Y119" s="6">
        <f t="shared" si="34"/>
        <v>100</v>
      </c>
      <c r="Z119" s="13" t="e">
        <f>IF(MONTH($A119)=MONTH($A118),AVERAGE($Y$6:Y119),Y119)</f>
        <v>#REF!</v>
      </c>
      <c r="AA119" s="13" t="e">
        <f>IF(YEAR($A119)=YEAR($A118),AVERAGE($Y$5:Y119,Y119),Y119)</f>
        <v>#REF!</v>
      </c>
      <c r="AB119" s="13">
        <f t="shared" si="35"/>
        <v>84.62</v>
      </c>
      <c r="AC119" s="13" t="e">
        <f>IF(MONTH($A119)=MONTH($A118),AVERAGE($AB$5:AB119),AB119)</f>
        <v>#REF!</v>
      </c>
      <c r="AD119" s="13" t="e">
        <f>IF(YEAR($A119)=YEAR($A118),AVERAGE($AB$5:AB118,AB119),AB119)</f>
        <v>#REF!</v>
      </c>
    </row>
    <row r="120" spans="1:30">
      <c r="A120" s="35">
        <f t="shared" si="27"/>
        <v>45407</v>
      </c>
      <c r="C120" s="3">
        <v>422.28377004999999</v>
      </c>
      <c r="E120" s="7">
        <v>100</v>
      </c>
      <c r="F120" s="3">
        <v>5707.97</v>
      </c>
      <c r="G120" s="7">
        <v>83</v>
      </c>
      <c r="H120" s="5">
        <v>0.27777777777777779</v>
      </c>
      <c r="I120" s="5">
        <v>0.7895833333333333</v>
      </c>
      <c r="J120" s="7">
        <f t="shared" si="26"/>
        <v>12.283333333333331</v>
      </c>
      <c r="Q120" s="103"/>
      <c r="S120" s="21">
        <f t="shared" si="28"/>
        <v>422.28377004999999</v>
      </c>
      <c r="T120" s="6" t="e">
        <f t="shared" si="29"/>
        <v>#REF!</v>
      </c>
      <c r="U120" s="6" t="e">
        <f t="shared" si="30"/>
        <v>#REF!</v>
      </c>
      <c r="V120" s="13">
        <f t="shared" si="31"/>
        <v>12.283333333333331</v>
      </c>
      <c r="W120" s="13">
        <f t="shared" si="32"/>
        <v>300.0333333333333</v>
      </c>
      <c r="X120" s="13">
        <f t="shared" si="33"/>
        <v>1309.7666666666671</v>
      </c>
      <c r="Y120" s="6">
        <f t="shared" si="34"/>
        <v>100</v>
      </c>
      <c r="Z120" s="13" t="e">
        <f>IF(MONTH($A120)=MONTH($A119),AVERAGE($Y$6:Y120),Y120)</f>
        <v>#REF!</v>
      </c>
      <c r="AA120" s="13" t="e">
        <f>IF(YEAR($A120)=YEAR($A119),AVERAGE($Y$5:Y120,Y120),Y120)</f>
        <v>#REF!</v>
      </c>
      <c r="AB120" s="13">
        <f t="shared" si="35"/>
        <v>83</v>
      </c>
      <c r="AC120" s="13" t="e">
        <f>IF(MONTH($A120)=MONTH($A119),AVERAGE($AB$5:AB120),AB120)</f>
        <v>#REF!</v>
      </c>
      <c r="AD120" s="13" t="e">
        <f>IF(YEAR($A120)=YEAR($A119),AVERAGE($AB$5:AB119,AB120),AB120)</f>
        <v>#REF!</v>
      </c>
    </row>
    <row r="121" spans="1:30">
      <c r="A121" s="35">
        <f t="shared" si="27"/>
        <v>45408</v>
      </c>
      <c r="C121" s="3">
        <v>334.50573062170002</v>
      </c>
      <c r="E121" s="7">
        <v>100</v>
      </c>
      <c r="F121" s="3">
        <v>4226.4799999999996</v>
      </c>
      <c r="G121" s="7">
        <v>89</v>
      </c>
      <c r="H121" s="5">
        <v>0.28125</v>
      </c>
      <c r="I121" s="5">
        <v>0.76736111111111116</v>
      </c>
      <c r="J121" s="7">
        <f t="shared" si="26"/>
        <v>11.666666666666668</v>
      </c>
      <c r="Q121" s="103" t="s">
        <v>76</v>
      </c>
      <c r="S121" s="21">
        <f t="shared" si="28"/>
        <v>334.50573062170002</v>
      </c>
      <c r="T121" s="6" t="e">
        <f t="shared" si="29"/>
        <v>#REF!</v>
      </c>
      <c r="U121" s="6" t="e">
        <f t="shared" si="30"/>
        <v>#REF!</v>
      </c>
      <c r="V121" s="13">
        <f t="shared" si="31"/>
        <v>11.666666666666668</v>
      </c>
      <c r="W121" s="13">
        <f t="shared" si="32"/>
        <v>311.7</v>
      </c>
      <c r="X121" s="13">
        <f t="shared" si="33"/>
        <v>1321.4333333333338</v>
      </c>
      <c r="Y121" s="6">
        <f t="shared" si="34"/>
        <v>100</v>
      </c>
      <c r="Z121" s="13" t="e">
        <f>IF(MONTH($A121)=MONTH($A120),AVERAGE($Y$6:Y121),Y121)</f>
        <v>#REF!</v>
      </c>
      <c r="AA121" s="13" t="e">
        <f>IF(YEAR($A121)=YEAR($A120),AVERAGE($Y$5:Y121,Y121),Y121)</f>
        <v>#REF!</v>
      </c>
      <c r="AB121" s="13">
        <f t="shared" si="35"/>
        <v>89</v>
      </c>
      <c r="AC121" s="13" t="e">
        <f>IF(MONTH($A121)=MONTH($A120),AVERAGE($AB$5:AB121),AB121)</f>
        <v>#REF!</v>
      </c>
      <c r="AD121" s="13" t="e">
        <f>IF(YEAR($A121)=YEAR($A120),AVERAGE($AB$5:AB120,AB121),AB121)</f>
        <v>#REF!</v>
      </c>
    </row>
    <row r="122" spans="1:30">
      <c r="A122" s="35">
        <f t="shared" si="27"/>
        <v>45409</v>
      </c>
      <c r="C122" s="3">
        <v>436.46992641080004</v>
      </c>
      <c r="E122" s="7">
        <v>100</v>
      </c>
      <c r="F122" s="3">
        <v>5664.22</v>
      </c>
      <c r="G122" s="7">
        <v>87</v>
      </c>
      <c r="H122" s="5">
        <v>0.29166666666666669</v>
      </c>
      <c r="I122" s="5">
        <v>0.79166666666666663</v>
      </c>
      <c r="J122" s="7">
        <f t="shared" si="26"/>
        <v>11.999999999999998</v>
      </c>
      <c r="Q122" s="103" t="s">
        <v>76</v>
      </c>
      <c r="S122" s="21">
        <f t="shared" si="28"/>
        <v>436.46992641080004</v>
      </c>
      <c r="T122" s="6" t="e">
        <f t="shared" si="29"/>
        <v>#REF!</v>
      </c>
      <c r="U122" s="6" t="e">
        <f t="shared" si="30"/>
        <v>#REF!</v>
      </c>
      <c r="V122" s="13">
        <f t="shared" si="31"/>
        <v>11.999999999999998</v>
      </c>
      <c r="W122" s="13">
        <f t="shared" si="32"/>
        <v>323.7</v>
      </c>
      <c r="X122" s="13">
        <f t="shared" si="33"/>
        <v>1333.4333333333338</v>
      </c>
      <c r="Y122" s="6">
        <f t="shared" si="34"/>
        <v>100</v>
      </c>
      <c r="Z122" s="13" t="e">
        <f>IF(MONTH($A122)=MONTH($A121),AVERAGE($Y$6:Y122),Y122)</f>
        <v>#REF!</v>
      </c>
      <c r="AA122" s="13" t="e">
        <f>IF(YEAR($A122)=YEAR($A121),AVERAGE($Y$5:Y122,Y122),Y122)</f>
        <v>#REF!</v>
      </c>
      <c r="AB122" s="13">
        <f t="shared" si="35"/>
        <v>87</v>
      </c>
      <c r="AC122" s="13" t="e">
        <f>IF(MONTH($A122)=MONTH($A121),AVERAGE($AB$5:AB122),AB122)</f>
        <v>#REF!</v>
      </c>
      <c r="AD122" s="13" t="e">
        <f>IF(YEAR($A122)=YEAR($A121),AVERAGE($AB$5:AB121,AB122),AB122)</f>
        <v>#REF!</v>
      </c>
    </row>
    <row r="123" spans="1:30">
      <c r="A123" s="35">
        <f t="shared" si="27"/>
        <v>45410</v>
      </c>
      <c r="C123" s="3">
        <v>254.06673232099999</v>
      </c>
      <c r="E123" s="7">
        <v>100</v>
      </c>
      <c r="F123" s="3">
        <v>2958.94</v>
      </c>
      <c r="G123" s="7">
        <v>95</v>
      </c>
      <c r="H123" s="5">
        <v>0.28125</v>
      </c>
      <c r="I123" s="5">
        <v>0.78472222222222221</v>
      </c>
      <c r="J123" s="7">
        <f t="shared" ref="J123:J126" si="37">(I123-H123)*24</f>
        <v>12.083333333333332</v>
      </c>
      <c r="Q123" s="103" t="s">
        <v>76</v>
      </c>
      <c r="S123" s="21">
        <f t="shared" si="28"/>
        <v>254.06673232099999</v>
      </c>
      <c r="T123" s="6" t="e">
        <f t="shared" si="29"/>
        <v>#REF!</v>
      </c>
      <c r="U123" s="6" t="e">
        <f t="shared" si="30"/>
        <v>#REF!</v>
      </c>
      <c r="V123" s="13">
        <f t="shared" si="31"/>
        <v>12.083333333333332</v>
      </c>
      <c r="W123" s="13">
        <f t="shared" si="32"/>
        <v>335.7833333333333</v>
      </c>
      <c r="X123" s="13">
        <f t="shared" si="33"/>
        <v>1345.5166666666671</v>
      </c>
      <c r="Y123" s="6">
        <f t="shared" si="34"/>
        <v>100</v>
      </c>
      <c r="Z123" s="13" t="e">
        <f>IF(MONTH($A123)=MONTH($A122),AVERAGE($Y$6:Y123),Y123)</f>
        <v>#REF!</v>
      </c>
      <c r="AA123" s="13" t="e">
        <f>IF(YEAR($A123)=YEAR($A122),AVERAGE($Y$5:Y123,Y123),Y123)</f>
        <v>#REF!</v>
      </c>
      <c r="AB123" s="13">
        <f t="shared" si="35"/>
        <v>95</v>
      </c>
      <c r="AC123" s="13" t="e">
        <f>IF(MONTH($A123)=MONTH($A122),AVERAGE($AB$5:AB123),AB123)</f>
        <v>#REF!</v>
      </c>
      <c r="AD123" s="13" t="e">
        <f>IF(YEAR($A123)=YEAR($A122),AVERAGE($AB$5:AB122,AB123),AB123)</f>
        <v>#REF!</v>
      </c>
    </row>
    <row r="124" spans="1:30">
      <c r="A124" s="35">
        <f t="shared" si="27"/>
        <v>45411</v>
      </c>
      <c r="C124" s="3">
        <v>486.21838096620002</v>
      </c>
      <c r="E124" s="7">
        <v>100</v>
      </c>
      <c r="F124" s="3">
        <v>6431.07</v>
      </c>
      <c r="G124" s="7">
        <v>85</v>
      </c>
      <c r="H124" s="5">
        <v>0.27430555555555552</v>
      </c>
      <c r="I124" s="5">
        <v>0.79166666666666663</v>
      </c>
      <c r="J124" s="7">
        <f t="shared" si="37"/>
        <v>12.416666666666668</v>
      </c>
      <c r="Q124" s="103" t="s">
        <v>76</v>
      </c>
      <c r="S124" s="21">
        <f t="shared" si="28"/>
        <v>486.21838096620002</v>
      </c>
      <c r="T124" s="6" t="e">
        <f t="shared" si="29"/>
        <v>#REF!</v>
      </c>
      <c r="U124" s="6" t="e">
        <f t="shared" si="30"/>
        <v>#REF!</v>
      </c>
      <c r="V124" s="13">
        <f t="shared" si="31"/>
        <v>12.416666666666668</v>
      </c>
      <c r="W124" s="13">
        <f t="shared" si="32"/>
        <v>348.2</v>
      </c>
      <c r="X124" s="13">
        <f t="shared" si="33"/>
        <v>1357.9333333333338</v>
      </c>
      <c r="Y124" s="6">
        <f t="shared" si="34"/>
        <v>100</v>
      </c>
      <c r="Z124" s="13" t="e">
        <f>IF(MONTH($A124)=MONTH($A123),AVERAGE($Y$6:Y124),Y124)</f>
        <v>#REF!</v>
      </c>
      <c r="AA124" s="13" t="e">
        <f>IF(YEAR($A124)=YEAR($A123),AVERAGE($Y$5:Y124,Y124),Y124)</f>
        <v>#REF!</v>
      </c>
      <c r="AB124" s="13">
        <f t="shared" si="35"/>
        <v>85</v>
      </c>
      <c r="AC124" s="13" t="e">
        <f>IF(MONTH($A124)=MONTH($A123),AVERAGE($AB$5:AB124),AB124)</f>
        <v>#REF!</v>
      </c>
      <c r="AD124" s="13" t="e">
        <f>IF(YEAR($A124)=YEAR($A123),AVERAGE($AB$5:AB123,AB124),AB124)</f>
        <v>#REF!</v>
      </c>
    </row>
    <row r="125" spans="1:30">
      <c r="A125" s="35">
        <f t="shared" si="27"/>
        <v>45412</v>
      </c>
      <c r="C125" s="3">
        <v>652.42533391339998</v>
      </c>
      <c r="E125" s="7">
        <v>100</v>
      </c>
      <c r="F125" s="3">
        <v>8900.26</v>
      </c>
      <c r="G125" s="7">
        <v>81.03</v>
      </c>
      <c r="H125" s="5">
        <v>0.27083333333333331</v>
      </c>
      <c r="I125" s="5">
        <v>0.79583333333333339</v>
      </c>
      <c r="J125" s="7">
        <f t="shared" si="37"/>
        <v>12.600000000000003</v>
      </c>
      <c r="Q125" s="84"/>
      <c r="S125" s="21">
        <f t="shared" si="28"/>
        <v>652.42533391339998</v>
      </c>
      <c r="T125" s="6" t="e">
        <f t="shared" si="29"/>
        <v>#REF!</v>
      </c>
      <c r="U125" s="6" t="e">
        <f t="shared" si="30"/>
        <v>#REF!</v>
      </c>
      <c r="V125" s="13">
        <f t="shared" si="31"/>
        <v>12.600000000000003</v>
      </c>
      <c r="W125" s="13">
        <f t="shared" si="32"/>
        <v>360.8</v>
      </c>
      <c r="X125" s="13">
        <f t="shared" si="33"/>
        <v>1370.5333333333338</v>
      </c>
      <c r="Y125" s="6">
        <f t="shared" si="34"/>
        <v>100</v>
      </c>
      <c r="Z125" s="13" t="e">
        <f>IF(MONTH($A125)=MONTH($A124),AVERAGE($Y$6:Y125),Y125)</f>
        <v>#REF!</v>
      </c>
      <c r="AA125" s="13" t="e">
        <f>IF(YEAR($A125)=YEAR($A124),AVERAGE($Y$5:Y125,Y125),Y125)</f>
        <v>#REF!</v>
      </c>
      <c r="AB125" s="13">
        <f t="shared" si="35"/>
        <v>81.03</v>
      </c>
      <c r="AC125" s="13" t="e">
        <f>IF(MONTH($A125)=MONTH($A124),AVERAGE($AB$5:AB125),AB125)</f>
        <v>#REF!</v>
      </c>
      <c r="AD125" s="13" t="e">
        <f>IF(YEAR($A125)=YEAR($A124),AVERAGE($AB$5:AB124,AB125),AB125)</f>
        <v>#REF!</v>
      </c>
    </row>
    <row r="126" spans="1:30" s="6" customFormat="1">
      <c r="A126" s="35">
        <f t="shared" si="27"/>
        <v>45413</v>
      </c>
      <c r="C126" s="3">
        <v>430.12770670909998</v>
      </c>
      <c r="E126" s="7">
        <v>100</v>
      </c>
      <c r="F126" s="3">
        <v>5696.01</v>
      </c>
      <c r="G126" s="7">
        <v>85</v>
      </c>
      <c r="H126" s="5">
        <v>0.27083333333333331</v>
      </c>
      <c r="I126" s="5">
        <v>0.76041666666666663</v>
      </c>
      <c r="J126" s="7">
        <f t="shared" si="37"/>
        <v>11.75</v>
      </c>
      <c r="K126" s="14"/>
      <c r="L126" s="4"/>
      <c r="M126" s="4"/>
      <c r="Q126" s="103" t="s">
        <v>79</v>
      </c>
      <c r="R126" s="14"/>
      <c r="S126" s="21">
        <f t="shared" si="28"/>
        <v>430.12770670909998</v>
      </c>
      <c r="T126" s="6">
        <f t="shared" si="29"/>
        <v>430.12770670909998</v>
      </c>
      <c r="U126" s="6" t="e">
        <f t="shared" si="30"/>
        <v>#REF!</v>
      </c>
      <c r="V126" s="13">
        <f t="shared" si="31"/>
        <v>11.75</v>
      </c>
      <c r="W126" s="13">
        <f t="shared" si="32"/>
        <v>11.75</v>
      </c>
      <c r="X126" s="13">
        <f t="shared" si="33"/>
        <v>1382.2833333333338</v>
      </c>
      <c r="Y126" s="6">
        <f t="shared" si="34"/>
        <v>100</v>
      </c>
      <c r="Z126" s="13">
        <f>IF(MONTH($A126)=MONTH($A125),AVERAGE($Y$6:Y126),Y126)</f>
        <v>100</v>
      </c>
      <c r="AA126" s="13" t="e">
        <f>IF(YEAR($A126)=YEAR($A125),AVERAGE($Y$5:Y126,Y126),Y126)</f>
        <v>#REF!</v>
      </c>
      <c r="AB126" s="13">
        <f t="shared" si="35"/>
        <v>85</v>
      </c>
      <c r="AC126" s="13">
        <f>IF(MONTH($A126)=MONTH($A125),AVERAGE($AB$5:AB126),AB126)</f>
        <v>85</v>
      </c>
      <c r="AD126" s="13" t="e">
        <f>IF(YEAR($A126)=YEAR($A125),AVERAGE($AB$5:AB125,AB126),AB126)</f>
        <v>#REF!</v>
      </c>
    </row>
    <row r="127" spans="1:30">
      <c r="A127" s="35">
        <f t="shared" si="27"/>
        <v>45414</v>
      </c>
      <c r="C127" s="3">
        <v>332.44387644750003</v>
      </c>
      <c r="E127" s="7">
        <v>100</v>
      </c>
      <c r="F127" s="3">
        <v>4143.25</v>
      </c>
      <c r="G127" s="7">
        <v>89</v>
      </c>
      <c r="H127" s="5">
        <v>0.27777777777777779</v>
      </c>
      <c r="I127" s="5">
        <v>0.77430555555555547</v>
      </c>
      <c r="J127" s="7">
        <f t="shared" ref="J127:J189" si="38">(I127-H127)*24</f>
        <v>11.916666666666664</v>
      </c>
      <c r="L127" s="4"/>
      <c r="M127" s="7"/>
      <c r="Q127" s="103" t="s">
        <v>79</v>
      </c>
      <c r="S127" s="21">
        <f t="shared" si="28"/>
        <v>332.44387644750003</v>
      </c>
      <c r="T127" s="6">
        <f t="shared" si="29"/>
        <v>762.57158315660001</v>
      </c>
      <c r="U127" s="6" t="e">
        <f t="shared" si="30"/>
        <v>#REF!</v>
      </c>
      <c r="V127" s="13">
        <f t="shared" si="31"/>
        <v>11.916666666666664</v>
      </c>
      <c r="W127" s="13">
        <f t="shared" si="32"/>
        <v>23.666666666666664</v>
      </c>
      <c r="X127" s="13">
        <f t="shared" si="33"/>
        <v>1394.2000000000005</v>
      </c>
      <c r="Y127" s="6">
        <f t="shared" si="34"/>
        <v>100</v>
      </c>
      <c r="Z127" s="13" t="e">
        <f>IF(MONTH($A127)=MONTH($A126),AVERAGE($Y$6:Y127),Y127)</f>
        <v>#REF!</v>
      </c>
      <c r="AA127" s="13" t="e">
        <f>IF(YEAR($A127)=YEAR($A126),AVERAGE($Y$5:Y127,Y127),Y127)</f>
        <v>#REF!</v>
      </c>
      <c r="AB127" s="13">
        <f t="shared" si="35"/>
        <v>89</v>
      </c>
      <c r="AC127" s="13" t="e">
        <f>IF(MONTH($A127)=MONTH($A126),AVERAGE($AB$5:AB127),AB127)</f>
        <v>#REF!</v>
      </c>
      <c r="AD127" s="13" t="e">
        <f>IF(YEAR($A127)=YEAR($A126),AVERAGE($AB$5:AB126,AB127),AB127)</f>
        <v>#REF!</v>
      </c>
    </row>
    <row r="128" spans="1:30">
      <c r="A128" s="35">
        <f t="shared" si="27"/>
        <v>45415</v>
      </c>
      <c r="C128" s="3">
        <v>444.89301121020003</v>
      </c>
      <c r="E128" s="7">
        <v>100</v>
      </c>
      <c r="F128" s="3">
        <v>5820.16</v>
      </c>
      <c r="G128" s="7">
        <v>86</v>
      </c>
      <c r="H128" s="5">
        <v>0.27777777777777779</v>
      </c>
      <c r="I128" s="5">
        <v>0.79861111111111116</v>
      </c>
      <c r="J128" s="7">
        <f t="shared" si="38"/>
        <v>12.5</v>
      </c>
      <c r="L128" s="4"/>
      <c r="Q128" s="103" t="s">
        <v>79</v>
      </c>
      <c r="S128" s="21">
        <f t="shared" si="28"/>
        <v>444.89301121020003</v>
      </c>
      <c r="T128" s="6">
        <f t="shared" si="29"/>
        <v>1207.4645943668002</v>
      </c>
      <c r="U128" s="6" t="e">
        <f t="shared" si="30"/>
        <v>#REF!</v>
      </c>
      <c r="V128" s="13">
        <f t="shared" si="31"/>
        <v>12.5</v>
      </c>
      <c r="W128" s="13">
        <f t="shared" si="32"/>
        <v>36.166666666666664</v>
      </c>
      <c r="X128" s="13">
        <f t="shared" si="33"/>
        <v>1406.7000000000005</v>
      </c>
      <c r="Y128" s="6">
        <f t="shared" si="34"/>
        <v>100</v>
      </c>
      <c r="Z128" s="13" t="e">
        <f>IF(MONTH($A128)=MONTH($A127),AVERAGE($Y$6:Y128),Y128)</f>
        <v>#REF!</v>
      </c>
      <c r="AA128" s="13" t="e">
        <f>IF(YEAR($A128)=YEAR($A127),AVERAGE($Y$5:Y128,Y128),Y128)</f>
        <v>#REF!</v>
      </c>
      <c r="AB128" s="13">
        <f t="shared" si="35"/>
        <v>86</v>
      </c>
      <c r="AC128" s="13" t="e">
        <f>IF(MONTH($A128)=MONTH($A127),AVERAGE($AB$5:AB128),AB128)</f>
        <v>#REF!</v>
      </c>
      <c r="AD128" s="13" t="e">
        <f>IF(YEAR($A128)=YEAR($A127),AVERAGE($AB$5:AB127,AB128),AB128)</f>
        <v>#REF!</v>
      </c>
    </row>
    <row r="129" spans="1:30">
      <c r="A129" s="35">
        <f t="shared" si="27"/>
        <v>45416</v>
      </c>
      <c r="C129" s="3">
        <v>492.55704914949996</v>
      </c>
      <c r="E129" s="7">
        <v>100</v>
      </c>
      <c r="F129" s="3">
        <v>6824.23</v>
      </c>
      <c r="G129" s="7">
        <v>81</v>
      </c>
      <c r="H129" s="5">
        <v>0.27083333333333331</v>
      </c>
      <c r="I129" s="5">
        <v>0.78472222222222221</v>
      </c>
      <c r="J129" s="7">
        <f t="shared" si="38"/>
        <v>12.333333333333332</v>
      </c>
      <c r="Q129" s="103" t="s">
        <v>79</v>
      </c>
      <c r="S129" s="21">
        <f t="shared" si="28"/>
        <v>492.55704914949996</v>
      </c>
      <c r="T129" s="6">
        <f t="shared" si="29"/>
        <v>1700.0216435163002</v>
      </c>
      <c r="U129" s="6" t="e">
        <f t="shared" si="30"/>
        <v>#REF!</v>
      </c>
      <c r="V129" s="13">
        <f t="shared" si="31"/>
        <v>12.333333333333332</v>
      </c>
      <c r="W129" s="13">
        <f t="shared" si="32"/>
        <v>48.5</v>
      </c>
      <c r="X129" s="13">
        <f t="shared" si="33"/>
        <v>1419.0333333333338</v>
      </c>
      <c r="Y129" s="6">
        <f t="shared" si="34"/>
        <v>100</v>
      </c>
      <c r="Z129" s="13" t="e">
        <f>IF(MONTH($A129)=MONTH($A128),AVERAGE($Y$6:Y129),Y129)</f>
        <v>#REF!</v>
      </c>
      <c r="AA129" s="13" t="e">
        <f>IF(YEAR($A129)=YEAR($A128),AVERAGE($Y$5:Y129,Y129),Y129)</f>
        <v>#REF!</v>
      </c>
      <c r="AB129" s="13">
        <f t="shared" si="35"/>
        <v>81</v>
      </c>
      <c r="AC129" s="13" t="e">
        <f>IF(MONTH($A129)=MONTH($A128),AVERAGE($AB$5:AB129),AB129)</f>
        <v>#REF!</v>
      </c>
      <c r="AD129" s="13" t="e">
        <f>IF(YEAR($A129)=YEAR($A128),AVERAGE($AB$5:AB128,AB129),AB129)</f>
        <v>#REF!</v>
      </c>
    </row>
    <row r="130" spans="1:30" ht="45">
      <c r="A130" s="35">
        <f t="shared" si="27"/>
        <v>45417</v>
      </c>
      <c r="C130" s="3">
        <v>592.89873163279992</v>
      </c>
      <c r="E130" s="7">
        <v>99.91</v>
      </c>
      <c r="F130" s="3">
        <v>8124.66</v>
      </c>
      <c r="G130" s="7">
        <v>81</v>
      </c>
      <c r="H130" s="5">
        <v>0.27083333333333331</v>
      </c>
      <c r="I130" s="5">
        <v>0.78819444444444453</v>
      </c>
      <c r="J130" s="7">
        <f t="shared" si="38"/>
        <v>12.416666666666668</v>
      </c>
      <c r="M130" s="87">
        <f>0.33/18</f>
        <v>1.8333333333333333E-2</v>
      </c>
      <c r="Q130" s="103" t="s">
        <v>80</v>
      </c>
      <c r="S130" s="21">
        <f t="shared" si="28"/>
        <v>592.89873163279992</v>
      </c>
      <c r="T130" s="6">
        <f t="shared" si="29"/>
        <v>2292.9203751491</v>
      </c>
      <c r="U130" s="6" t="e">
        <f t="shared" si="30"/>
        <v>#REF!</v>
      </c>
      <c r="V130" s="13">
        <f t="shared" si="31"/>
        <v>12.416666666666668</v>
      </c>
      <c r="W130" s="13">
        <f t="shared" si="32"/>
        <v>60.916666666666671</v>
      </c>
      <c r="X130" s="13">
        <f t="shared" si="33"/>
        <v>1431.4500000000005</v>
      </c>
      <c r="Y130" s="6">
        <f t="shared" si="34"/>
        <v>99.91</v>
      </c>
      <c r="Z130" s="13" t="e">
        <f>IF(MONTH($A130)=MONTH($A129),AVERAGE($Y$6:Y130),Y130)</f>
        <v>#REF!</v>
      </c>
      <c r="AA130" s="13" t="e">
        <f>IF(YEAR($A130)=YEAR($A129),AVERAGE($Y$5:Y130,Y130),Y130)</f>
        <v>#REF!</v>
      </c>
      <c r="AB130" s="13">
        <f t="shared" si="35"/>
        <v>81</v>
      </c>
      <c r="AC130" s="13" t="e">
        <f>IF(MONTH($A130)=MONTH($A129),AVERAGE($AB$5:AB130),AB130)</f>
        <v>#REF!</v>
      </c>
      <c r="AD130" s="13" t="e">
        <f>IF(YEAR($A130)=YEAR($A129),AVERAGE($AB$5:AB129,AB130),AB130)</f>
        <v>#REF!</v>
      </c>
    </row>
    <row r="131" spans="1:30" ht="75">
      <c r="A131" s="35">
        <f t="shared" si="27"/>
        <v>45418</v>
      </c>
      <c r="C131" s="3">
        <v>530.61355818129994</v>
      </c>
      <c r="E131" s="7">
        <v>99.95</v>
      </c>
      <c r="F131" s="3">
        <v>7214.79</v>
      </c>
      <c r="G131" s="7">
        <v>81</v>
      </c>
      <c r="H131" s="5">
        <v>0.27083333333333331</v>
      </c>
      <c r="I131" s="5">
        <v>0.71527777777777779</v>
      </c>
      <c r="J131" s="7">
        <f t="shared" si="38"/>
        <v>10.666666666666668</v>
      </c>
      <c r="L131" s="7"/>
      <c r="M131" s="87">
        <f>0.25/18</f>
        <v>1.3888888888888888E-2</v>
      </c>
      <c r="Q131" s="103" t="s">
        <v>81</v>
      </c>
      <c r="S131" s="21">
        <f t="shared" si="28"/>
        <v>530.61355818129994</v>
      </c>
      <c r="T131" s="6">
        <f t="shared" si="29"/>
        <v>2823.5339333304</v>
      </c>
      <c r="U131" s="6" t="e">
        <f t="shared" si="30"/>
        <v>#REF!</v>
      </c>
      <c r="V131" s="13">
        <f t="shared" si="31"/>
        <v>10.666666666666668</v>
      </c>
      <c r="W131" s="13">
        <f t="shared" si="32"/>
        <v>71.583333333333343</v>
      </c>
      <c r="X131" s="13">
        <f t="shared" si="33"/>
        <v>1442.1166666666672</v>
      </c>
      <c r="Y131" s="6">
        <f t="shared" si="34"/>
        <v>99.95</v>
      </c>
      <c r="Z131" s="13" t="e">
        <f>IF(MONTH($A131)=MONTH($A130),AVERAGE($Y$6:Y131),Y131)</f>
        <v>#REF!</v>
      </c>
      <c r="AA131" s="13" t="e">
        <f>IF(YEAR($A131)=YEAR($A130),AVERAGE($Y$5:Y131,Y131),Y131)</f>
        <v>#REF!</v>
      </c>
      <c r="AB131" s="13">
        <f t="shared" si="35"/>
        <v>81</v>
      </c>
      <c r="AC131" s="13" t="e">
        <f>IF(MONTH($A131)=MONTH($A130),AVERAGE($AB$5:AB131),AB131)</f>
        <v>#REF!</v>
      </c>
      <c r="AD131" s="13" t="e">
        <f>IF(YEAR($A131)=YEAR($A130),AVERAGE($AB$5:AB130,AB131),AB131)</f>
        <v>#REF!</v>
      </c>
    </row>
    <row r="132" spans="1:30" ht="30">
      <c r="A132" s="35">
        <f t="shared" si="27"/>
        <v>45419</v>
      </c>
      <c r="C132" s="3">
        <v>650.97415843509998</v>
      </c>
      <c r="E132" s="7">
        <v>99.77</v>
      </c>
      <c r="F132" s="3">
        <v>8910.2099999999991</v>
      </c>
      <c r="G132" s="7">
        <v>81</v>
      </c>
      <c r="H132" s="5">
        <v>0.27083333333333331</v>
      </c>
      <c r="I132" s="5">
        <v>0.79861111111111116</v>
      </c>
      <c r="J132" s="7">
        <f t="shared" si="38"/>
        <v>12.66666666666667</v>
      </c>
      <c r="M132" s="87">
        <f>0.5/18</f>
        <v>2.7777777777777776E-2</v>
      </c>
      <c r="Q132" s="103" t="s">
        <v>82</v>
      </c>
      <c r="S132" s="21">
        <f t="shared" si="28"/>
        <v>650.97415843509998</v>
      </c>
      <c r="T132" s="6">
        <f t="shared" si="29"/>
        <v>3474.5080917655</v>
      </c>
      <c r="U132" s="6" t="e">
        <f t="shared" si="30"/>
        <v>#REF!</v>
      </c>
      <c r="V132" s="13">
        <f t="shared" si="31"/>
        <v>12.66666666666667</v>
      </c>
      <c r="W132" s="13">
        <f t="shared" si="32"/>
        <v>84.250000000000014</v>
      </c>
      <c r="X132" s="13">
        <f t="shared" si="33"/>
        <v>1454.783333333334</v>
      </c>
      <c r="Y132" s="6">
        <f t="shared" si="34"/>
        <v>99.77</v>
      </c>
      <c r="Z132" s="13" t="e">
        <f>IF(MONTH($A132)=MONTH($A131),AVERAGE($Y$6:Y132),Y132)</f>
        <v>#REF!</v>
      </c>
      <c r="AA132" s="13" t="e">
        <f>IF(YEAR($A132)=YEAR($A131),AVERAGE($Y$5:Y132,Y132),Y132)</f>
        <v>#REF!</v>
      </c>
      <c r="AB132" s="13">
        <f t="shared" si="35"/>
        <v>81</v>
      </c>
      <c r="AC132" s="13" t="e">
        <f>IF(MONTH($A132)=MONTH($A131),AVERAGE($AB$5:AB132),AB132)</f>
        <v>#REF!</v>
      </c>
      <c r="AD132" s="13" t="e">
        <f>IF(YEAR($A132)=YEAR($A131),AVERAGE($AB$5:AB131,AB132),AB132)</f>
        <v>#REF!</v>
      </c>
    </row>
    <row r="133" spans="1:30" ht="45">
      <c r="A133" s="35">
        <f t="shared" si="27"/>
        <v>45420</v>
      </c>
      <c r="C133" s="3">
        <v>652.57390877930004</v>
      </c>
      <c r="E133" s="7">
        <v>98.88</v>
      </c>
      <c r="F133" s="3">
        <v>8892.2099999999991</v>
      </c>
      <c r="G133" s="7">
        <v>81.12</v>
      </c>
      <c r="H133" s="5">
        <v>0.27777777777777779</v>
      </c>
      <c r="I133" s="5">
        <v>0.79861111111111116</v>
      </c>
      <c r="J133" s="7">
        <f t="shared" si="38"/>
        <v>12.5</v>
      </c>
      <c r="M133" s="4">
        <v>0.13425999999999999</v>
      </c>
      <c r="Q133" s="103" t="s">
        <v>83</v>
      </c>
      <c r="S133" s="21">
        <f t="shared" si="28"/>
        <v>652.57390877930004</v>
      </c>
      <c r="T133" s="6">
        <f t="shared" si="29"/>
        <v>4127.0820005448004</v>
      </c>
      <c r="U133" s="6" t="e">
        <f t="shared" si="30"/>
        <v>#REF!</v>
      </c>
      <c r="V133" s="13">
        <f t="shared" si="31"/>
        <v>12.5</v>
      </c>
      <c r="W133" s="13">
        <f t="shared" si="32"/>
        <v>96.750000000000014</v>
      </c>
      <c r="X133" s="13">
        <f t="shared" si="33"/>
        <v>1467.283333333334</v>
      </c>
      <c r="Y133" s="6">
        <f t="shared" si="34"/>
        <v>98.88</v>
      </c>
      <c r="Z133" s="13" t="e">
        <f>IF(MONTH($A133)=MONTH($A132),AVERAGE($Y$6:Y133),Y133)</f>
        <v>#REF!</v>
      </c>
      <c r="AA133" s="13" t="e">
        <f>IF(YEAR($A133)=YEAR($A132),AVERAGE($Y$5:Y133,Y133),Y133)</f>
        <v>#REF!</v>
      </c>
      <c r="AB133" s="13">
        <f t="shared" si="35"/>
        <v>81.12</v>
      </c>
      <c r="AC133" s="13" t="e">
        <f>IF(MONTH($A133)=MONTH($A132),AVERAGE($AB$5:AB133),AB133)</f>
        <v>#REF!</v>
      </c>
      <c r="AD133" s="13" t="e">
        <f>IF(YEAR($A133)=YEAR($A132),AVERAGE($AB$5:AB132,AB133),AB133)</f>
        <v>#REF!</v>
      </c>
    </row>
    <row r="134" spans="1:30" ht="120">
      <c r="A134" s="35">
        <f t="shared" si="27"/>
        <v>45421</v>
      </c>
      <c r="C134" s="3">
        <v>678.50174409919998</v>
      </c>
      <c r="E134" s="7">
        <v>99.61</v>
      </c>
      <c r="F134" s="3">
        <v>9485.99</v>
      </c>
      <c r="G134" s="7">
        <v>79.069999999999993</v>
      </c>
      <c r="H134" s="5">
        <v>0.2673611111111111</v>
      </c>
      <c r="I134" s="5">
        <v>0.79861111111111116</v>
      </c>
      <c r="J134" s="7">
        <f t="shared" si="38"/>
        <v>12.75</v>
      </c>
      <c r="L134" s="89">
        <f>0.5/18</f>
        <v>2.7777777777777776E-2</v>
      </c>
      <c r="M134" s="89">
        <f>0.16667/18</f>
        <v>9.2594444444444451E-3</v>
      </c>
      <c r="Q134" s="103" t="s">
        <v>84</v>
      </c>
      <c r="S134" s="21">
        <f t="shared" si="28"/>
        <v>678.50174409919998</v>
      </c>
      <c r="T134" s="6">
        <f t="shared" si="29"/>
        <v>4805.583744644</v>
      </c>
      <c r="U134" s="6" t="e">
        <f t="shared" si="30"/>
        <v>#REF!</v>
      </c>
      <c r="V134" s="13">
        <f t="shared" si="31"/>
        <v>12.75</v>
      </c>
      <c r="W134" s="13">
        <f t="shared" si="32"/>
        <v>109.50000000000001</v>
      </c>
      <c r="X134" s="13">
        <f t="shared" si="33"/>
        <v>1480.033333333334</v>
      </c>
      <c r="Y134" s="6">
        <f t="shared" si="34"/>
        <v>99.61</v>
      </c>
      <c r="Z134" s="13" t="e">
        <f>IF(MONTH($A134)=MONTH($A133),AVERAGE($Y$6:Y134),Y134)</f>
        <v>#REF!</v>
      </c>
      <c r="AA134" s="13" t="e">
        <f>IF(YEAR($A134)=YEAR($A133),AVERAGE($Y$5:Y134,Y134),Y134)</f>
        <v>#REF!</v>
      </c>
      <c r="AB134" s="13">
        <f t="shared" si="35"/>
        <v>79.069999999999993</v>
      </c>
      <c r="AC134" s="13" t="e">
        <f>IF(MONTH($A134)=MONTH($A133),AVERAGE($AB$5:AB134),AB134)</f>
        <v>#REF!</v>
      </c>
      <c r="AD134" s="13" t="e">
        <f>IF(YEAR($A134)=YEAR($A133),AVERAGE($AB$5:AB133,AB134),AB134)</f>
        <v>#REF!</v>
      </c>
    </row>
    <row r="135" spans="1:30" ht="45">
      <c r="A135" s="35">
        <f t="shared" ref="A135:A198" si="39">A134+1</f>
        <v>45422</v>
      </c>
      <c r="B135" s="6"/>
      <c r="C135" s="3">
        <v>651.49856887869998</v>
      </c>
      <c r="D135" s="6"/>
      <c r="E135" s="7">
        <v>100</v>
      </c>
      <c r="F135" s="3">
        <v>8691.31</v>
      </c>
      <c r="G135" s="7">
        <v>83</v>
      </c>
      <c r="H135" s="5">
        <v>0.26041666666666669</v>
      </c>
      <c r="I135" s="5">
        <v>0.80208333333333337</v>
      </c>
      <c r="J135" s="7">
        <f t="shared" si="38"/>
        <v>13.000000000000002</v>
      </c>
      <c r="K135" s="14"/>
      <c r="Q135" s="84" t="s">
        <v>85</v>
      </c>
      <c r="S135" s="21">
        <f t="shared" si="28"/>
        <v>651.49856887869998</v>
      </c>
      <c r="T135" s="6">
        <f t="shared" si="29"/>
        <v>5457.0823135227001</v>
      </c>
      <c r="U135" s="6" t="e">
        <f t="shared" si="30"/>
        <v>#REF!</v>
      </c>
      <c r="V135" s="13">
        <f t="shared" si="31"/>
        <v>13.000000000000002</v>
      </c>
      <c r="W135" s="13">
        <f t="shared" si="32"/>
        <v>122.50000000000001</v>
      </c>
      <c r="X135" s="13">
        <f t="shared" si="33"/>
        <v>1493.033333333334</v>
      </c>
      <c r="Y135" s="6">
        <f t="shared" si="34"/>
        <v>100</v>
      </c>
      <c r="Z135" s="13" t="e">
        <f>IF(MONTH($A135)=MONTH($A134),AVERAGE($Y$6:Y135),Y135)</f>
        <v>#REF!</v>
      </c>
      <c r="AA135" s="13" t="e">
        <f>IF(YEAR($A135)=YEAR($A134),AVERAGE($Y$5:Y135,Y135),Y135)</f>
        <v>#REF!</v>
      </c>
      <c r="AB135" s="13">
        <f t="shared" si="35"/>
        <v>83</v>
      </c>
      <c r="AC135" s="13" t="e">
        <f>IF(MONTH($A135)=MONTH($A134),AVERAGE($AB$5:AB135),AB135)</f>
        <v>#REF!</v>
      </c>
      <c r="AD135" s="13" t="e">
        <f>IF(YEAR($A135)=YEAR($A134),AVERAGE($AB$5:AB134,AB135),AB135)</f>
        <v>#REF!</v>
      </c>
    </row>
    <row r="136" spans="1:30">
      <c r="A136" s="35">
        <f t="shared" si="39"/>
        <v>45423</v>
      </c>
      <c r="C136" s="3">
        <v>672.56598603489999</v>
      </c>
      <c r="E136" s="7">
        <v>100</v>
      </c>
      <c r="F136" s="3">
        <v>9290.2000000000007</v>
      </c>
      <c r="G136" s="7">
        <v>80</v>
      </c>
      <c r="H136" s="5">
        <v>0.27083333333333331</v>
      </c>
      <c r="I136" s="5">
        <v>0.79861111111111116</v>
      </c>
      <c r="J136" s="7">
        <f t="shared" si="38"/>
        <v>12.66666666666667</v>
      </c>
      <c r="S136" s="21">
        <f t="shared" si="28"/>
        <v>672.56598603489999</v>
      </c>
      <c r="T136" s="6">
        <f t="shared" si="29"/>
        <v>6129.6482995575998</v>
      </c>
      <c r="U136" s="6" t="e">
        <f t="shared" si="30"/>
        <v>#REF!</v>
      </c>
      <c r="V136" s="13">
        <f t="shared" si="31"/>
        <v>12.66666666666667</v>
      </c>
      <c r="W136" s="13">
        <f t="shared" si="32"/>
        <v>135.16666666666669</v>
      </c>
      <c r="X136" s="13">
        <f t="shared" si="33"/>
        <v>1505.7000000000007</v>
      </c>
      <c r="Y136" s="6">
        <f t="shared" si="34"/>
        <v>100</v>
      </c>
      <c r="Z136" s="13" t="e">
        <f>IF(MONTH($A136)=MONTH($A135),AVERAGE($Y$6:Y136),Y136)</f>
        <v>#REF!</v>
      </c>
      <c r="AA136" s="13" t="e">
        <f>IF(YEAR($A136)=YEAR($A135),AVERAGE($Y$5:Y136,Y136),Y136)</f>
        <v>#REF!</v>
      </c>
      <c r="AB136" s="13">
        <f t="shared" si="35"/>
        <v>80</v>
      </c>
      <c r="AC136" s="13" t="e">
        <f>IF(MONTH($A136)=MONTH($A135),AVERAGE($AB$5:AB136),AB136)</f>
        <v>#REF!</v>
      </c>
      <c r="AD136" s="13" t="e">
        <f>IF(YEAR($A136)=YEAR($A135),AVERAGE($AB$5:AB135,AB136),AB136)</f>
        <v>#REF!</v>
      </c>
    </row>
    <row r="137" spans="1:30">
      <c r="A137" s="35">
        <f t="shared" si="39"/>
        <v>45424</v>
      </c>
      <c r="C137" s="3">
        <v>714.91258639549994</v>
      </c>
      <c r="E137" s="7">
        <v>100</v>
      </c>
      <c r="F137" s="3">
        <v>9874.0499999999993</v>
      </c>
      <c r="G137" s="7">
        <v>82.93</v>
      </c>
      <c r="H137" s="5">
        <v>0.2638888888888889</v>
      </c>
      <c r="I137" s="5">
        <v>0.80208333333333337</v>
      </c>
      <c r="J137" s="7">
        <f t="shared" si="38"/>
        <v>12.916666666666666</v>
      </c>
      <c r="M137" s="7"/>
      <c r="Q137" s="84"/>
      <c r="S137" s="21">
        <f t="shared" si="28"/>
        <v>714.91258639549994</v>
      </c>
      <c r="T137" s="6">
        <f t="shared" si="29"/>
        <v>6844.5608859530994</v>
      </c>
      <c r="U137" s="6" t="e">
        <f t="shared" si="30"/>
        <v>#REF!</v>
      </c>
      <c r="V137" s="13">
        <f t="shared" si="31"/>
        <v>12.916666666666666</v>
      </c>
      <c r="W137" s="13">
        <f t="shared" si="32"/>
        <v>148.08333333333334</v>
      </c>
      <c r="X137" s="13">
        <f t="shared" si="33"/>
        <v>1518.6166666666675</v>
      </c>
      <c r="Y137" s="6">
        <f t="shared" si="34"/>
        <v>100</v>
      </c>
      <c r="Z137" s="13" t="e">
        <f>IF(MONTH($A137)=MONTH($A136),AVERAGE($Y$6:Y137),Y137)</f>
        <v>#REF!</v>
      </c>
      <c r="AA137" s="13" t="e">
        <f>IF(YEAR($A137)=YEAR($A136),AVERAGE($Y$5:Y137,Y137),Y137)</f>
        <v>#REF!</v>
      </c>
      <c r="AB137" s="13">
        <f t="shared" si="35"/>
        <v>82.93</v>
      </c>
      <c r="AC137" s="13" t="e">
        <f>IF(MONTH($A137)=MONTH($A136),AVERAGE($AB$5:AB137),AB137)</f>
        <v>#REF!</v>
      </c>
      <c r="AD137" s="13" t="e">
        <f>IF(YEAR($A137)=YEAR($A136),AVERAGE($AB$5:AB136,AB137),AB137)</f>
        <v>#REF!</v>
      </c>
    </row>
    <row r="138" spans="1:30">
      <c r="A138" s="35">
        <f t="shared" si="39"/>
        <v>45425</v>
      </c>
      <c r="C138" s="3">
        <v>714.10737082540004</v>
      </c>
      <c r="E138" s="7">
        <v>100</v>
      </c>
      <c r="F138" s="3">
        <v>9583.94</v>
      </c>
      <c r="G138" s="7">
        <v>82.36</v>
      </c>
      <c r="H138" s="5">
        <v>0.2673611111111111</v>
      </c>
      <c r="I138" s="5">
        <v>0.80208333333333337</v>
      </c>
      <c r="J138" s="7">
        <f t="shared" si="38"/>
        <v>12.833333333333336</v>
      </c>
      <c r="L138" s="4"/>
      <c r="Q138" s="84"/>
      <c r="S138" s="21">
        <f t="shared" si="28"/>
        <v>714.10737082540004</v>
      </c>
      <c r="T138" s="6">
        <f t="shared" si="29"/>
        <v>7558.6682567784992</v>
      </c>
      <c r="U138" s="6" t="e">
        <f t="shared" si="30"/>
        <v>#REF!</v>
      </c>
      <c r="V138" s="13">
        <f t="shared" si="31"/>
        <v>12.833333333333336</v>
      </c>
      <c r="W138" s="13">
        <f t="shared" si="32"/>
        <v>160.91666666666669</v>
      </c>
      <c r="X138" s="13">
        <f t="shared" si="33"/>
        <v>1531.4500000000007</v>
      </c>
      <c r="Y138" s="6">
        <f t="shared" si="34"/>
        <v>100</v>
      </c>
      <c r="Z138" s="13" t="e">
        <f>IF(MONTH($A138)=MONTH($A137),AVERAGE($Y$6:Y138),Y138)</f>
        <v>#REF!</v>
      </c>
      <c r="AA138" s="13" t="e">
        <f>IF(YEAR($A138)=YEAR($A137),AVERAGE($Y$5:Y138,Y138),Y138)</f>
        <v>#REF!</v>
      </c>
      <c r="AB138" s="13">
        <f t="shared" si="35"/>
        <v>82.36</v>
      </c>
      <c r="AC138" s="13" t="e">
        <f>IF(MONTH($A138)=MONTH($A137),AVERAGE($AB$5:AB138),AB138)</f>
        <v>#REF!</v>
      </c>
      <c r="AD138" s="13" t="e">
        <f>IF(YEAR($A138)=YEAR($A137),AVERAGE($AB$5:AB137,AB138),AB138)</f>
        <v>#REF!</v>
      </c>
    </row>
    <row r="139" spans="1:30">
      <c r="A139" s="35">
        <f t="shared" si="39"/>
        <v>45426</v>
      </c>
      <c r="C139" s="3">
        <v>703.10876786849997</v>
      </c>
      <c r="E139" s="7">
        <v>100</v>
      </c>
      <c r="F139" s="3">
        <v>9430.41</v>
      </c>
      <c r="G139" s="7">
        <v>83</v>
      </c>
      <c r="H139" s="5">
        <v>0.2673611111111111</v>
      </c>
      <c r="I139" s="5">
        <v>0.80208333333333337</v>
      </c>
      <c r="J139" s="7">
        <f t="shared" si="38"/>
        <v>12.833333333333336</v>
      </c>
      <c r="L139" s="4"/>
      <c r="Q139" s="84"/>
      <c r="S139" s="21">
        <f t="shared" si="28"/>
        <v>703.10876786849997</v>
      </c>
      <c r="T139" s="6">
        <f t="shared" si="29"/>
        <v>8261.7770246469991</v>
      </c>
      <c r="U139" s="6" t="e">
        <f t="shared" si="30"/>
        <v>#REF!</v>
      </c>
      <c r="V139" s="13">
        <f t="shared" si="31"/>
        <v>12.833333333333336</v>
      </c>
      <c r="W139" s="13">
        <f t="shared" si="32"/>
        <v>173.75000000000003</v>
      </c>
      <c r="X139" s="13">
        <f t="shared" si="33"/>
        <v>1544.283333333334</v>
      </c>
      <c r="Y139" s="6">
        <f t="shared" si="34"/>
        <v>100</v>
      </c>
      <c r="Z139" s="13" t="e">
        <f>IF(MONTH($A139)=MONTH($A138),AVERAGE($Y$6:Y139),Y139)</f>
        <v>#REF!</v>
      </c>
      <c r="AA139" s="13" t="e">
        <f>IF(YEAR($A139)=YEAR($A138),AVERAGE($Y$5:Y139,Y139),Y139)</f>
        <v>#REF!</v>
      </c>
      <c r="AB139" s="13">
        <f t="shared" si="35"/>
        <v>83</v>
      </c>
      <c r="AC139" s="13" t="e">
        <f>IF(MONTH($A139)=MONTH($A138),AVERAGE($AB$5:AB139),AB139)</f>
        <v>#REF!</v>
      </c>
      <c r="AD139" s="13" t="e">
        <f>IF(YEAR($A139)=YEAR($A138),AVERAGE($AB$5:AB138,AB139),AB139)</f>
        <v>#REF!</v>
      </c>
    </row>
    <row r="140" spans="1:30" ht="60">
      <c r="A140" s="35">
        <f t="shared" si="39"/>
        <v>45427</v>
      </c>
      <c r="C140" s="3">
        <v>695.26145284309996</v>
      </c>
      <c r="E140" s="7">
        <v>99.96</v>
      </c>
      <c r="F140" s="3">
        <v>9310.02</v>
      </c>
      <c r="G140" s="7">
        <v>83</v>
      </c>
      <c r="H140" s="5">
        <v>0.27083333333333331</v>
      </c>
      <c r="I140" s="5">
        <v>0.79861111111111116</v>
      </c>
      <c r="J140" s="7">
        <f t="shared" si="38"/>
        <v>12.66666666666667</v>
      </c>
      <c r="Q140" s="84" t="s">
        <v>86</v>
      </c>
      <c r="S140" s="21">
        <f t="shared" si="28"/>
        <v>695.26145284309996</v>
      </c>
      <c r="T140" s="6">
        <f t="shared" si="29"/>
        <v>8957.0384774900995</v>
      </c>
      <c r="U140" s="6" t="e">
        <f t="shared" si="30"/>
        <v>#REF!</v>
      </c>
      <c r="V140" s="13">
        <f t="shared" si="31"/>
        <v>12.66666666666667</v>
      </c>
      <c r="W140" s="13">
        <f t="shared" si="32"/>
        <v>186.41666666666669</v>
      </c>
      <c r="X140" s="13">
        <f t="shared" si="33"/>
        <v>1556.9500000000007</v>
      </c>
      <c r="Y140" s="6">
        <f t="shared" si="34"/>
        <v>99.96</v>
      </c>
      <c r="Z140" s="13" t="e">
        <f>IF(MONTH($A140)=MONTH($A139),AVERAGE($Y$6:Y140),Y140)</f>
        <v>#REF!</v>
      </c>
      <c r="AA140" s="13" t="e">
        <f>IF(YEAR($A140)=YEAR($A139),AVERAGE($Y$5:Y140,Y140),Y140)</f>
        <v>#REF!</v>
      </c>
      <c r="AB140" s="13">
        <f t="shared" si="35"/>
        <v>83</v>
      </c>
      <c r="AC140" s="13" t="e">
        <f>IF(MONTH($A140)=MONTH($A139),AVERAGE($AB$5:AB140),AB140)</f>
        <v>#REF!</v>
      </c>
      <c r="AD140" s="13" t="e">
        <f>IF(YEAR($A140)=YEAR($A139),AVERAGE($AB$5:AB139,AB140),AB140)</f>
        <v>#REF!</v>
      </c>
    </row>
    <row r="141" spans="1:30">
      <c r="A141" s="35">
        <f t="shared" si="39"/>
        <v>45428</v>
      </c>
      <c r="C141" s="3">
        <v>686.82908091759998</v>
      </c>
      <c r="E141" s="7">
        <v>100</v>
      </c>
      <c r="F141" s="3">
        <v>9321.81</v>
      </c>
      <c r="G141" s="7">
        <v>82</v>
      </c>
      <c r="H141" s="5">
        <v>0.2673611111111111</v>
      </c>
      <c r="I141" s="5">
        <v>0.80208333333333337</v>
      </c>
      <c r="J141" s="7">
        <f t="shared" si="38"/>
        <v>12.833333333333336</v>
      </c>
      <c r="L141" s="4"/>
      <c r="Q141" s="84"/>
      <c r="S141" s="21">
        <f t="shared" si="28"/>
        <v>686.82908091759998</v>
      </c>
      <c r="T141" s="6">
        <f t="shared" si="29"/>
        <v>9643.8675584076991</v>
      </c>
      <c r="U141" s="6" t="e">
        <f t="shared" si="30"/>
        <v>#REF!</v>
      </c>
      <c r="V141" s="13">
        <f t="shared" si="31"/>
        <v>12.833333333333336</v>
      </c>
      <c r="W141" s="13">
        <f t="shared" si="32"/>
        <v>199.25000000000003</v>
      </c>
      <c r="X141" s="13">
        <f t="shared" si="33"/>
        <v>1569.783333333334</v>
      </c>
      <c r="Y141" s="6">
        <f t="shared" si="34"/>
        <v>100</v>
      </c>
      <c r="Z141" s="13" t="e">
        <f>IF(MONTH($A141)=MONTH($A140),AVERAGE($Y$6:Y141),Y141)</f>
        <v>#REF!</v>
      </c>
      <c r="AA141" s="13" t="e">
        <f>IF(YEAR($A141)=YEAR($A140),AVERAGE($Y$5:Y141,Y141),Y141)</f>
        <v>#REF!</v>
      </c>
      <c r="AB141" s="13">
        <f t="shared" si="35"/>
        <v>82</v>
      </c>
      <c r="AC141" s="13" t="e">
        <f>IF(MONTH($A141)=MONTH($A140),AVERAGE($AB$5:AB141),AB141)</f>
        <v>#REF!</v>
      </c>
      <c r="AD141" s="13" t="e">
        <f>IF(YEAR($A141)=YEAR($A140),AVERAGE($AB$5:AB140,AB141),AB141)</f>
        <v>#REF!</v>
      </c>
    </row>
    <row r="142" spans="1:30">
      <c r="A142" s="35">
        <f t="shared" si="39"/>
        <v>45429</v>
      </c>
      <c r="C142" s="3">
        <v>688.8874274451</v>
      </c>
      <c r="E142" s="7">
        <v>100</v>
      </c>
      <c r="F142" s="3">
        <v>9345.36</v>
      </c>
      <c r="G142" s="7">
        <v>82</v>
      </c>
      <c r="H142" s="5">
        <v>0.27083333333333331</v>
      </c>
      <c r="I142" s="5">
        <v>0.79513888888888884</v>
      </c>
      <c r="J142" s="7">
        <f t="shared" si="38"/>
        <v>12.583333333333334</v>
      </c>
      <c r="L142" s="7"/>
      <c r="M142" s="7"/>
      <c r="Q142" s="84"/>
      <c r="S142" s="21">
        <f t="shared" si="28"/>
        <v>688.8874274451</v>
      </c>
      <c r="T142" s="6">
        <f t="shared" si="29"/>
        <v>10332.7549858528</v>
      </c>
      <c r="U142" s="6" t="e">
        <f t="shared" si="30"/>
        <v>#REF!</v>
      </c>
      <c r="V142" s="13">
        <f t="shared" si="31"/>
        <v>12.583333333333334</v>
      </c>
      <c r="W142" s="13">
        <f t="shared" si="32"/>
        <v>211.83333333333337</v>
      </c>
      <c r="X142" s="13">
        <f t="shared" si="33"/>
        <v>1582.3666666666672</v>
      </c>
      <c r="Y142" s="6">
        <f t="shared" si="34"/>
        <v>100</v>
      </c>
      <c r="Z142" s="13" t="e">
        <f>IF(MONTH($A142)=MONTH($A141),AVERAGE($Y$6:Y142),Y142)</f>
        <v>#REF!</v>
      </c>
      <c r="AA142" s="13" t="e">
        <f>IF(YEAR($A142)=YEAR($A141),AVERAGE($Y$5:Y142,Y142),Y142)</f>
        <v>#REF!</v>
      </c>
      <c r="AB142" s="13">
        <f t="shared" si="35"/>
        <v>82</v>
      </c>
      <c r="AC142" s="13" t="e">
        <f>IF(MONTH($A142)=MONTH($A141),AVERAGE($AB$5:AB142),AB142)</f>
        <v>#REF!</v>
      </c>
      <c r="AD142" s="13" t="e">
        <f>IF(YEAR($A142)=YEAR($A141),AVERAGE($AB$5:AB141,AB142),AB142)</f>
        <v>#REF!</v>
      </c>
    </row>
    <row r="143" spans="1:30">
      <c r="A143" s="35">
        <f t="shared" si="39"/>
        <v>45430</v>
      </c>
      <c r="C143" s="3">
        <v>670.5397519073</v>
      </c>
      <c r="E143" s="7">
        <v>100</v>
      </c>
      <c r="F143" s="3">
        <v>9241.9699999999993</v>
      </c>
      <c r="G143" s="7">
        <v>80</v>
      </c>
      <c r="H143" s="5">
        <v>0.2673611111111111</v>
      </c>
      <c r="I143" s="5">
        <v>0.79861111111111116</v>
      </c>
      <c r="J143" s="7">
        <f t="shared" si="38"/>
        <v>12.75</v>
      </c>
      <c r="L143" s="4"/>
      <c r="Q143" s="84"/>
      <c r="S143" s="21">
        <f t="shared" si="28"/>
        <v>670.5397519073</v>
      </c>
      <c r="T143" s="6">
        <f t="shared" si="29"/>
        <v>11003.294737760099</v>
      </c>
      <c r="U143" s="6" t="e">
        <f t="shared" si="30"/>
        <v>#REF!</v>
      </c>
      <c r="V143" s="13">
        <f t="shared" si="31"/>
        <v>12.75</v>
      </c>
      <c r="W143" s="13">
        <f t="shared" si="32"/>
        <v>224.58333333333337</v>
      </c>
      <c r="X143" s="13">
        <f t="shared" si="33"/>
        <v>1595.1166666666672</v>
      </c>
      <c r="Y143" s="6">
        <f t="shared" si="34"/>
        <v>100</v>
      </c>
      <c r="Z143" s="13" t="e">
        <f>IF(MONTH($A143)=MONTH($A142),AVERAGE($Y$6:Y143),Y143)</f>
        <v>#REF!</v>
      </c>
      <c r="AA143" s="13" t="e">
        <f>IF(YEAR($A143)=YEAR($A142),AVERAGE($Y$5:Y143,Y143),Y143)</f>
        <v>#REF!</v>
      </c>
      <c r="AB143" s="13">
        <f t="shared" si="35"/>
        <v>80</v>
      </c>
      <c r="AC143" s="13" t="e">
        <f>IF(MONTH($A143)=MONTH($A142),AVERAGE($AB$5:AB143),AB143)</f>
        <v>#REF!</v>
      </c>
      <c r="AD143" s="13" t="e">
        <f>IF(YEAR($A143)=YEAR($A142),AVERAGE($AB$5:AB142,AB143),AB143)</f>
        <v>#REF!</v>
      </c>
    </row>
    <row r="144" spans="1:30">
      <c r="A144" s="35">
        <f t="shared" si="39"/>
        <v>45431</v>
      </c>
      <c r="C144" s="3">
        <v>702.76399498029991</v>
      </c>
      <c r="E144" s="7">
        <v>100</v>
      </c>
      <c r="F144" s="3">
        <v>9556.51</v>
      </c>
      <c r="G144" s="7">
        <v>81</v>
      </c>
      <c r="H144" s="5">
        <v>0.2673611111111111</v>
      </c>
      <c r="I144" s="5">
        <v>0.80208333333333337</v>
      </c>
      <c r="J144" s="7">
        <f t="shared" si="38"/>
        <v>12.833333333333336</v>
      </c>
      <c r="S144" s="21">
        <f t="shared" si="28"/>
        <v>702.76399498029991</v>
      </c>
      <c r="T144" s="6">
        <f t="shared" si="29"/>
        <v>11706.058732740399</v>
      </c>
      <c r="U144" s="6" t="e">
        <f t="shared" si="30"/>
        <v>#REF!</v>
      </c>
      <c r="V144" s="13">
        <f t="shared" si="31"/>
        <v>12.833333333333336</v>
      </c>
      <c r="W144" s="13">
        <f t="shared" si="32"/>
        <v>237.41666666666671</v>
      </c>
      <c r="X144" s="13">
        <f t="shared" si="33"/>
        <v>1607.9500000000005</v>
      </c>
      <c r="Y144" s="6">
        <f t="shared" si="34"/>
        <v>100</v>
      </c>
      <c r="Z144" s="13" t="e">
        <f>IF(MONTH($A144)=MONTH($A143),AVERAGE($Y$6:Y144),Y144)</f>
        <v>#REF!</v>
      </c>
      <c r="AA144" s="13" t="e">
        <f>IF(YEAR($A144)=YEAR($A143),AVERAGE($Y$5:Y144,Y144),Y144)</f>
        <v>#REF!</v>
      </c>
      <c r="AB144" s="13">
        <f t="shared" si="35"/>
        <v>81</v>
      </c>
      <c r="AC144" s="13" t="e">
        <f>IF(MONTH($A144)=MONTH($A143),AVERAGE($AB$5:AB144),AB144)</f>
        <v>#REF!</v>
      </c>
      <c r="AD144" s="13" t="e">
        <f>IF(YEAR($A144)=YEAR($A143),AVERAGE($AB$5:AB143,AB144),AB144)</f>
        <v>#REF!</v>
      </c>
    </row>
    <row r="145" spans="1:30">
      <c r="A145" s="35">
        <f t="shared" si="39"/>
        <v>45432</v>
      </c>
      <c r="C145" s="3">
        <v>570.36418500169998</v>
      </c>
      <c r="E145" s="7">
        <v>100</v>
      </c>
      <c r="F145" s="3">
        <v>7420.16</v>
      </c>
      <c r="G145" s="7">
        <v>85</v>
      </c>
      <c r="H145" s="5">
        <v>0.2673611111111111</v>
      </c>
      <c r="I145" s="5">
        <v>0.79513888888888884</v>
      </c>
      <c r="J145" s="7">
        <f t="shared" si="38"/>
        <v>12.666666666666664</v>
      </c>
      <c r="S145" s="21">
        <f t="shared" si="28"/>
        <v>570.36418500169998</v>
      </c>
      <c r="T145" s="6">
        <f t="shared" si="29"/>
        <v>12276.422917742098</v>
      </c>
      <c r="U145" s="6" t="e">
        <f t="shared" si="30"/>
        <v>#REF!</v>
      </c>
      <c r="V145" s="13">
        <f t="shared" si="31"/>
        <v>12.666666666666664</v>
      </c>
      <c r="W145" s="13">
        <f t="shared" si="32"/>
        <v>250.08333333333337</v>
      </c>
      <c r="X145" s="13">
        <f t="shared" si="33"/>
        <v>1620.6166666666672</v>
      </c>
      <c r="Y145" s="6">
        <f t="shared" si="34"/>
        <v>100</v>
      </c>
      <c r="Z145" s="13" t="e">
        <f>IF(MONTH($A145)=MONTH($A144),AVERAGE($Y$6:Y145),Y145)</f>
        <v>#REF!</v>
      </c>
      <c r="AA145" s="13" t="e">
        <f>IF(YEAR($A145)=YEAR($A144),AVERAGE($Y$5:Y145,Y145),Y145)</f>
        <v>#REF!</v>
      </c>
      <c r="AB145" s="13">
        <f t="shared" si="35"/>
        <v>85</v>
      </c>
      <c r="AC145" s="13" t="e">
        <f>IF(MONTH($A145)=MONTH($A144),AVERAGE($AB$5:AB145),AB145)</f>
        <v>#REF!</v>
      </c>
      <c r="AD145" s="13" t="e">
        <f>IF(YEAR($A145)=YEAR($A144),AVERAGE($AB$5:AB144,AB145),AB145)</f>
        <v>#REF!</v>
      </c>
    </row>
    <row r="146" spans="1:30" ht="45">
      <c r="A146" s="35">
        <f t="shared" si="39"/>
        <v>45433</v>
      </c>
      <c r="C146" s="3">
        <v>417.62065503709999</v>
      </c>
      <c r="E146" s="7">
        <v>100</v>
      </c>
      <c r="F146" s="3">
        <v>5431.95</v>
      </c>
      <c r="G146" s="7">
        <v>85</v>
      </c>
      <c r="H146" s="5">
        <v>0.27430555555555552</v>
      </c>
      <c r="I146" s="5">
        <v>0.78472222222222221</v>
      </c>
      <c r="J146" s="7">
        <f t="shared" si="38"/>
        <v>12.250000000000002</v>
      </c>
      <c r="M146" s="89">
        <f>1.88/18</f>
        <v>0.10444444444444444</v>
      </c>
      <c r="Q146" s="84" t="s">
        <v>87</v>
      </c>
      <c r="S146" s="21">
        <f t="shared" ref="S146:S209" si="40">C146</f>
        <v>417.62065503709999</v>
      </c>
      <c r="T146" s="6">
        <f t="shared" ref="T146:T209" si="41">IF(MONTH($A146)=MONTH($A145),T145+S146,S146)</f>
        <v>12694.043572779199</v>
      </c>
      <c r="U146" s="6" t="e">
        <f t="shared" ref="U146:U209" si="42">IF(YEAR($A146)=YEAR($A145),U145+S146,S146)</f>
        <v>#REF!</v>
      </c>
      <c r="V146" s="13">
        <f t="shared" ref="V146:V209" si="43">J146</f>
        <v>12.250000000000002</v>
      </c>
      <c r="W146" s="13">
        <f t="shared" ref="W146:W209" si="44">IF(MONTH($A146)=MONTH($A145),W145+V146,V146)</f>
        <v>262.33333333333337</v>
      </c>
      <c r="X146" s="13">
        <f t="shared" ref="X146:X209" si="45">IF(YEAR($A146)=YEAR($A145),X145+V146,V146)</f>
        <v>1632.8666666666672</v>
      </c>
      <c r="Y146" s="6">
        <f t="shared" ref="Y146:Y209" si="46">E146</f>
        <v>100</v>
      </c>
      <c r="Z146" s="13" t="e">
        <f>IF(MONTH($A146)=MONTH($A145),AVERAGE($Y$6:Y146),Y146)</f>
        <v>#REF!</v>
      </c>
      <c r="AA146" s="13" t="e">
        <f>IF(YEAR($A146)=YEAR($A145),AVERAGE($Y$5:Y146,Y146),Y146)</f>
        <v>#REF!</v>
      </c>
      <c r="AB146" s="13">
        <f t="shared" ref="AB146:AB209" si="47">G146</f>
        <v>85</v>
      </c>
      <c r="AC146" s="13" t="e">
        <f>IF(MONTH($A146)=MONTH($A145),AVERAGE($AB$5:AB146),AB146)</f>
        <v>#REF!</v>
      </c>
      <c r="AD146" s="13" t="e">
        <f>IF(YEAR($A146)=YEAR($A145),AVERAGE($AB$5:AB145,AB146),AB146)</f>
        <v>#REF!</v>
      </c>
    </row>
    <row r="147" spans="1:30" ht="60">
      <c r="A147" s="35">
        <f t="shared" si="39"/>
        <v>45434</v>
      </c>
      <c r="C147" s="3">
        <v>113.9581846776</v>
      </c>
      <c r="E147" s="7">
        <v>94.44</v>
      </c>
      <c r="F147" s="3">
        <v>1291.8</v>
      </c>
      <c r="G147" s="7">
        <v>99</v>
      </c>
      <c r="H147" s="5">
        <v>0.28819444444444448</v>
      </c>
      <c r="I147" s="5">
        <v>0.79166666666666663</v>
      </c>
      <c r="J147" s="7">
        <f t="shared" si="38"/>
        <v>12.08333333333333</v>
      </c>
      <c r="M147" s="89">
        <f>12.08/18</f>
        <v>0.6711111111111111</v>
      </c>
      <c r="Q147" s="84" t="s">
        <v>88</v>
      </c>
      <c r="S147" s="21">
        <f t="shared" si="40"/>
        <v>113.9581846776</v>
      </c>
      <c r="T147" s="6">
        <f t="shared" si="41"/>
        <v>12808.001757456799</v>
      </c>
      <c r="U147" s="6" t="e">
        <f t="shared" si="42"/>
        <v>#REF!</v>
      </c>
      <c r="V147" s="13">
        <f t="shared" si="43"/>
        <v>12.08333333333333</v>
      </c>
      <c r="W147" s="13">
        <f t="shared" si="44"/>
        <v>274.41666666666669</v>
      </c>
      <c r="X147" s="13">
        <f t="shared" si="45"/>
        <v>1644.9500000000005</v>
      </c>
      <c r="Y147" s="6">
        <f t="shared" si="46"/>
        <v>94.44</v>
      </c>
      <c r="Z147" s="13" t="e">
        <f>IF(MONTH($A147)=MONTH($A146),AVERAGE($Y$6:Y147),Y147)</f>
        <v>#REF!</v>
      </c>
      <c r="AA147" s="13" t="e">
        <f>IF(YEAR($A147)=YEAR($A146),AVERAGE($Y$5:Y147,Y147),Y147)</f>
        <v>#REF!</v>
      </c>
      <c r="AB147" s="13">
        <f t="shared" si="47"/>
        <v>99</v>
      </c>
      <c r="AC147" s="13" t="e">
        <f>IF(MONTH($A147)=MONTH($A146),AVERAGE($AB$5:AB147),AB147)</f>
        <v>#REF!</v>
      </c>
      <c r="AD147" s="13" t="e">
        <f>IF(YEAR($A147)=YEAR($A146),AVERAGE($AB$5:AB146,AB147),AB147)</f>
        <v>#REF!</v>
      </c>
    </row>
    <row r="148" spans="1:30" ht="60">
      <c r="A148" s="35">
        <f t="shared" si="39"/>
        <v>45435</v>
      </c>
      <c r="C148" s="3">
        <v>329.3875837594</v>
      </c>
      <c r="E148" s="7">
        <v>94.44</v>
      </c>
      <c r="F148" s="3">
        <v>4441.67</v>
      </c>
      <c r="G148" s="7">
        <v>82</v>
      </c>
      <c r="H148" s="5">
        <v>0.27083333333333331</v>
      </c>
      <c r="I148" s="5">
        <v>0.80208333333333337</v>
      </c>
      <c r="J148" s="7">
        <f t="shared" si="38"/>
        <v>12.75</v>
      </c>
      <c r="M148" s="89">
        <f>12.75/18</f>
        <v>0.70833333333333337</v>
      </c>
      <c r="Q148" s="84" t="s">
        <v>89</v>
      </c>
      <c r="S148" s="21">
        <f t="shared" si="40"/>
        <v>329.3875837594</v>
      </c>
      <c r="T148" s="6">
        <f t="shared" si="41"/>
        <v>13137.3893412162</v>
      </c>
      <c r="U148" s="6" t="e">
        <f t="shared" si="42"/>
        <v>#REF!</v>
      </c>
      <c r="V148" s="13">
        <f t="shared" si="43"/>
        <v>12.75</v>
      </c>
      <c r="W148" s="13">
        <f t="shared" si="44"/>
        <v>287.16666666666669</v>
      </c>
      <c r="X148" s="13">
        <f t="shared" si="45"/>
        <v>1657.7000000000005</v>
      </c>
      <c r="Y148" s="6">
        <f t="shared" si="46"/>
        <v>94.44</v>
      </c>
      <c r="Z148" s="13" t="e">
        <f>IF(MONTH($A148)=MONTH($A147),AVERAGE($Y$6:Y148),Y148)</f>
        <v>#REF!</v>
      </c>
      <c r="AA148" s="13" t="e">
        <f>IF(YEAR($A148)=YEAR($A147),AVERAGE($Y$5:Y148,Y148),Y148)</f>
        <v>#REF!</v>
      </c>
      <c r="AB148" s="13">
        <f t="shared" si="47"/>
        <v>82</v>
      </c>
      <c r="AC148" s="13" t="e">
        <f>IF(MONTH($A148)=MONTH($A147),AVERAGE($AB$5:AB148),AB148)</f>
        <v>#REF!</v>
      </c>
      <c r="AD148" s="13" t="e">
        <f>IF(YEAR($A148)=YEAR($A147),AVERAGE($AB$5:AB147,AB148),AB148)</f>
        <v>#REF!</v>
      </c>
    </row>
    <row r="149" spans="1:30" ht="45">
      <c r="A149" s="35">
        <f t="shared" si="39"/>
        <v>45436</v>
      </c>
      <c r="C149" s="3">
        <v>415.10671090200003</v>
      </c>
      <c r="E149" s="7">
        <v>95.9</v>
      </c>
      <c r="F149" s="3">
        <v>5781.28</v>
      </c>
      <c r="G149" s="7">
        <v>79.12</v>
      </c>
      <c r="H149" s="5">
        <v>0.27083333333333331</v>
      </c>
      <c r="I149" s="5">
        <v>0.80902777777777779</v>
      </c>
      <c r="J149" s="7">
        <f t="shared" si="38"/>
        <v>12.916666666666666</v>
      </c>
      <c r="M149" s="89">
        <f>12.92/18</f>
        <v>0.71777777777777774</v>
      </c>
      <c r="Q149" s="84" t="s">
        <v>90</v>
      </c>
      <c r="S149" s="21">
        <f t="shared" si="40"/>
        <v>415.10671090200003</v>
      </c>
      <c r="T149" s="6">
        <f t="shared" si="41"/>
        <v>13552.4960521182</v>
      </c>
      <c r="U149" s="6" t="e">
        <f t="shared" si="42"/>
        <v>#REF!</v>
      </c>
      <c r="V149" s="13">
        <f t="shared" si="43"/>
        <v>12.916666666666666</v>
      </c>
      <c r="W149" s="13">
        <f t="shared" si="44"/>
        <v>300.08333333333337</v>
      </c>
      <c r="X149" s="13">
        <f t="shared" si="45"/>
        <v>1670.6166666666672</v>
      </c>
      <c r="Y149" s="6">
        <f t="shared" si="46"/>
        <v>95.9</v>
      </c>
      <c r="Z149" s="13" t="e">
        <f>IF(MONTH($A149)=MONTH($A148),AVERAGE($Y$6:Y149),Y149)</f>
        <v>#REF!</v>
      </c>
      <c r="AA149" s="13" t="e">
        <f>IF(YEAR($A149)=YEAR($A148),AVERAGE($Y$5:Y149,Y149),Y149)</f>
        <v>#REF!</v>
      </c>
      <c r="AB149" s="13">
        <f t="shared" si="47"/>
        <v>79.12</v>
      </c>
      <c r="AC149" s="13" t="e">
        <f>IF(MONTH($A149)=MONTH($A148),AVERAGE($AB$5:AB149),AB149)</f>
        <v>#REF!</v>
      </c>
      <c r="AD149" s="13" t="e">
        <f>IF(YEAR($A149)=YEAR($A148),AVERAGE($AB$5:AB148,AB149),AB149)</f>
        <v>#REF!</v>
      </c>
    </row>
    <row r="150" spans="1:30" ht="75">
      <c r="A150" s="35">
        <f t="shared" si="39"/>
        <v>45437</v>
      </c>
      <c r="C150" s="3">
        <v>422.05407815760003</v>
      </c>
      <c r="D150" s="4"/>
      <c r="E150" s="7">
        <v>90.06</v>
      </c>
      <c r="F150" s="3">
        <v>6384.7</v>
      </c>
      <c r="G150" s="7">
        <v>73.05</v>
      </c>
      <c r="H150" s="5">
        <v>0.2673611111111111</v>
      </c>
      <c r="I150" s="5">
        <v>0.80208333333333337</v>
      </c>
      <c r="J150" s="7">
        <f t="shared" si="38"/>
        <v>12.833333333333336</v>
      </c>
      <c r="M150" s="89">
        <f>(12.83+8.48)/18</f>
        <v>1.183888888888889</v>
      </c>
      <c r="Q150" s="84" t="s">
        <v>91</v>
      </c>
      <c r="S150" s="21">
        <f t="shared" si="40"/>
        <v>422.05407815760003</v>
      </c>
      <c r="T150" s="6">
        <f t="shared" si="41"/>
        <v>13974.5501302758</v>
      </c>
      <c r="U150" s="6" t="e">
        <f t="shared" si="42"/>
        <v>#REF!</v>
      </c>
      <c r="V150" s="13">
        <f t="shared" si="43"/>
        <v>12.833333333333336</v>
      </c>
      <c r="W150" s="13">
        <f t="shared" si="44"/>
        <v>312.91666666666669</v>
      </c>
      <c r="X150" s="13">
        <f t="shared" si="45"/>
        <v>1683.4500000000005</v>
      </c>
      <c r="Y150" s="6">
        <f t="shared" si="46"/>
        <v>90.06</v>
      </c>
      <c r="Z150" s="13" t="e">
        <f>IF(MONTH($A150)=MONTH($A149),AVERAGE($Y$6:Y150),Y150)</f>
        <v>#REF!</v>
      </c>
      <c r="AA150" s="13" t="e">
        <f>IF(YEAR($A150)=YEAR($A149),AVERAGE($Y$5:Y150,Y150),Y150)</f>
        <v>#REF!</v>
      </c>
      <c r="AB150" s="13">
        <f t="shared" si="47"/>
        <v>73.05</v>
      </c>
      <c r="AC150" s="13" t="e">
        <f>IF(MONTH($A150)=MONTH($A149),AVERAGE($AB$5:AB150),AB150)</f>
        <v>#REF!</v>
      </c>
      <c r="AD150" s="13" t="e">
        <f>IF(YEAR($A150)=YEAR($A149),AVERAGE($AB$5:AB149,AB150),AB150)</f>
        <v>#REF!</v>
      </c>
    </row>
    <row r="151" spans="1:30" ht="30">
      <c r="A151" s="35">
        <f t="shared" si="39"/>
        <v>45438</v>
      </c>
      <c r="C151" s="3">
        <v>462.29772734560004</v>
      </c>
      <c r="E151" s="7">
        <v>94.44</v>
      </c>
      <c r="F151" s="3">
        <v>6258.6</v>
      </c>
      <c r="G151" s="7">
        <v>82</v>
      </c>
      <c r="H151" s="5">
        <v>0.27430555555555552</v>
      </c>
      <c r="I151" s="5">
        <v>0.80555555555555547</v>
      </c>
      <c r="J151" s="7">
        <f t="shared" si="38"/>
        <v>12.75</v>
      </c>
      <c r="M151" s="89">
        <f>12.75/18</f>
        <v>0.70833333333333337</v>
      </c>
      <c r="Q151" s="84" t="s">
        <v>92</v>
      </c>
      <c r="S151" s="21">
        <f t="shared" si="40"/>
        <v>462.29772734560004</v>
      </c>
      <c r="T151" s="6">
        <f t="shared" si="41"/>
        <v>14436.8478576214</v>
      </c>
      <c r="U151" s="6" t="e">
        <f t="shared" si="42"/>
        <v>#REF!</v>
      </c>
      <c r="V151" s="13">
        <f t="shared" si="43"/>
        <v>12.75</v>
      </c>
      <c r="W151" s="13">
        <f t="shared" si="44"/>
        <v>325.66666666666669</v>
      </c>
      <c r="X151" s="13">
        <f t="shared" si="45"/>
        <v>1696.2000000000005</v>
      </c>
      <c r="Y151" s="6">
        <f t="shared" si="46"/>
        <v>94.44</v>
      </c>
      <c r="Z151" s="13" t="e">
        <f>IF(MONTH($A151)=MONTH($A150),AVERAGE($Y$6:Y151),Y151)</f>
        <v>#REF!</v>
      </c>
      <c r="AA151" s="13" t="e">
        <f>IF(YEAR($A151)=YEAR($A150),AVERAGE($Y$5:Y151,Y151),Y151)</f>
        <v>#REF!</v>
      </c>
      <c r="AB151" s="13">
        <f t="shared" si="47"/>
        <v>82</v>
      </c>
      <c r="AC151" s="13" t="e">
        <f>IF(MONTH($A151)=MONTH($A150),AVERAGE($AB$5:AB151),AB151)</f>
        <v>#REF!</v>
      </c>
      <c r="AD151" s="13" t="e">
        <f>IF(YEAR($A151)=YEAR($A150),AVERAGE($AB$5:AB150,AB151),AB151)</f>
        <v>#REF!</v>
      </c>
    </row>
    <row r="152" spans="1:30" ht="30">
      <c r="A152" s="35">
        <f t="shared" si="39"/>
        <v>45439</v>
      </c>
      <c r="C152" s="3">
        <v>451.26050926050004</v>
      </c>
      <c r="E152" s="7">
        <v>94.44</v>
      </c>
      <c r="F152" s="3">
        <v>6129.61</v>
      </c>
      <c r="G152" s="7">
        <v>82</v>
      </c>
      <c r="H152" s="5">
        <v>0.2638888888888889</v>
      </c>
      <c r="I152" s="5">
        <v>0.78125</v>
      </c>
      <c r="J152" s="7">
        <f t="shared" si="38"/>
        <v>12.416666666666668</v>
      </c>
      <c r="M152" s="89">
        <f>12.42/18</f>
        <v>0.69</v>
      </c>
      <c r="Q152" s="84" t="s">
        <v>92</v>
      </c>
      <c r="S152" s="21">
        <f t="shared" si="40"/>
        <v>451.26050926050004</v>
      </c>
      <c r="T152" s="6">
        <f t="shared" si="41"/>
        <v>14888.108366881901</v>
      </c>
      <c r="U152" s="6" t="e">
        <f t="shared" si="42"/>
        <v>#REF!</v>
      </c>
      <c r="V152" s="13">
        <f t="shared" si="43"/>
        <v>12.416666666666668</v>
      </c>
      <c r="W152" s="13">
        <f t="shared" si="44"/>
        <v>338.08333333333337</v>
      </c>
      <c r="X152" s="13">
        <f t="shared" si="45"/>
        <v>1708.6166666666672</v>
      </c>
      <c r="Y152" s="6">
        <f t="shared" si="46"/>
        <v>94.44</v>
      </c>
      <c r="Z152" s="13" t="e">
        <f>IF(MONTH($A152)=MONTH($A151),AVERAGE($Y$6:Y152),Y152)</f>
        <v>#REF!</v>
      </c>
      <c r="AA152" s="13" t="e">
        <f>IF(YEAR($A152)=YEAR($A151),AVERAGE($Y$5:Y152,Y152),Y152)</f>
        <v>#REF!</v>
      </c>
      <c r="AB152" s="13">
        <f t="shared" si="47"/>
        <v>82</v>
      </c>
      <c r="AC152" s="13" t="e">
        <f>IF(MONTH($A152)=MONTH($A151),AVERAGE($AB$5:AB152),AB152)</f>
        <v>#REF!</v>
      </c>
      <c r="AD152" s="13" t="e">
        <f>IF(YEAR($A152)=YEAR($A151),AVERAGE($AB$5:AB151,AB152),AB152)</f>
        <v>#REF!</v>
      </c>
    </row>
    <row r="153" spans="1:30" ht="30">
      <c r="A153" s="35">
        <f t="shared" si="39"/>
        <v>45440</v>
      </c>
      <c r="C153" s="3">
        <v>334.1848762477</v>
      </c>
      <c r="E153" s="7">
        <v>94.44</v>
      </c>
      <c r="F153" s="3">
        <v>4269.3</v>
      </c>
      <c r="G153" s="7">
        <v>87</v>
      </c>
      <c r="H153" s="5">
        <v>0.27083333333333331</v>
      </c>
      <c r="I153" s="5">
        <v>0.79861111111111116</v>
      </c>
      <c r="J153" s="7">
        <f t="shared" si="38"/>
        <v>12.66666666666667</v>
      </c>
      <c r="M153" s="89">
        <f>12.67/18</f>
        <v>0.7038888888888889</v>
      </c>
      <c r="Q153" s="84" t="s">
        <v>92</v>
      </c>
      <c r="S153" s="21">
        <f t="shared" si="40"/>
        <v>334.1848762477</v>
      </c>
      <c r="T153" s="6">
        <f t="shared" si="41"/>
        <v>15222.293243129601</v>
      </c>
      <c r="U153" s="6" t="e">
        <f t="shared" si="42"/>
        <v>#REF!</v>
      </c>
      <c r="V153" s="13">
        <f t="shared" si="43"/>
        <v>12.66666666666667</v>
      </c>
      <c r="W153" s="13">
        <f t="shared" si="44"/>
        <v>350.75000000000006</v>
      </c>
      <c r="X153" s="13">
        <f t="shared" si="45"/>
        <v>1721.283333333334</v>
      </c>
      <c r="Y153" s="6">
        <f t="shared" si="46"/>
        <v>94.44</v>
      </c>
      <c r="Z153" s="13" t="e">
        <f>IF(MONTH($A153)=MONTH($A152),AVERAGE($Y$6:Y153),Y153)</f>
        <v>#REF!</v>
      </c>
      <c r="AA153" s="13" t="e">
        <f>IF(YEAR($A153)=YEAR($A152),AVERAGE($Y$5:Y153,Y153),Y153)</f>
        <v>#REF!</v>
      </c>
      <c r="AB153" s="13">
        <f t="shared" si="47"/>
        <v>87</v>
      </c>
      <c r="AC153" s="13" t="e">
        <f>IF(MONTH($A153)=MONTH($A152),AVERAGE($AB$5:AB153),AB153)</f>
        <v>#REF!</v>
      </c>
      <c r="AD153" s="13" t="e">
        <f>IF(YEAR($A153)=YEAR($A152),AVERAGE($AB$5:AB152,AB153),AB153)</f>
        <v>#REF!</v>
      </c>
    </row>
    <row r="154" spans="1:30" ht="30">
      <c r="A154" s="35">
        <f t="shared" si="39"/>
        <v>45441</v>
      </c>
      <c r="B154" s="4"/>
      <c r="C154" s="3">
        <v>413.81877881460002</v>
      </c>
      <c r="D154" s="4"/>
      <c r="E154" s="7">
        <v>94.44</v>
      </c>
      <c r="F154" s="3">
        <v>5702.81</v>
      </c>
      <c r="G154" s="7">
        <v>81</v>
      </c>
      <c r="H154" s="5">
        <v>0.27083333333333331</v>
      </c>
      <c r="I154" s="5">
        <v>0.80208333333333337</v>
      </c>
      <c r="J154" s="7">
        <f t="shared" si="38"/>
        <v>12.75</v>
      </c>
      <c r="K154" s="15"/>
      <c r="L154" s="4"/>
      <c r="M154" s="89">
        <f>12.75/18</f>
        <v>0.70833333333333337</v>
      </c>
      <c r="N154" s="4"/>
      <c r="O154" s="4"/>
      <c r="P154" s="4"/>
      <c r="Q154" s="84" t="s">
        <v>92</v>
      </c>
      <c r="S154" s="21">
        <f t="shared" si="40"/>
        <v>413.81877881460002</v>
      </c>
      <c r="T154" s="6">
        <f t="shared" si="41"/>
        <v>15636.112021944202</v>
      </c>
      <c r="U154" s="6" t="e">
        <f t="shared" si="42"/>
        <v>#REF!</v>
      </c>
      <c r="V154" s="13">
        <f t="shared" si="43"/>
        <v>12.75</v>
      </c>
      <c r="W154" s="13">
        <f t="shared" si="44"/>
        <v>363.50000000000006</v>
      </c>
      <c r="X154" s="13">
        <f t="shared" si="45"/>
        <v>1734.033333333334</v>
      </c>
      <c r="Y154" s="6">
        <f t="shared" si="46"/>
        <v>94.44</v>
      </c>
      <c r="Z154" s="13" t="e">
        <f>IF(MONTH($A154)=MONTH($A153),AVERAGE($Y$6:Y154),Y154)</f>
        <v>#REF!</v>
      </c>
      <c r="AA154" s="13" t="e">
        <f>IF(YEAR($A154)=YEAR($A153),AVERAGE($Y$5:Y154,Y154),Y154)</f>
        <v>#REF!</v>
      </c>
      <c r="AB154" s="13">
        <f t="shared" si="47"/>
        <v>81</v>
      </c>
      <c r="AC154" s="13" t="e">
        <f>IF(MONTH($A154)=MONTH($A153),AVERAGE($AB$5:AB154),AB154)</f>
        <v>#REF!</v>
      </c>
      <c r="AD154" s="13" t="e">
        <f>IF(YEAR($A154)=YEAR($A153),AVERAGE($AB$5:AB153,AB154),AB154)</f>
        <v>#REF!</v>
      </c>
    </row>
    <row r="155" spans="1:30" ht="30">
      <c r="A155" s="35">
        <f t="shared" si="39"/>
        <v>45442</v>
      </c>
      <c r="C155" s="3">
        <v>557.06122008199998</v>
      </c>
      <c r="E155" s="7">
        <v>94.44</v>
      </c>
      <c r="F155" s="3">
        <v>7873.71</v>
      </c>
      <c r="G155" s="7">
        <v>78</v>
      </c>
      <c r="H155" s="5">
        <v>0.2638888888888889</v>
      </c>
      <c r="I155" s="5">
        <v>0.76388888888888884</v>
      </c>
      <c r="J155" s="7">
        <f t="shared" si="38"/>
        <v>11.999999999999998</v>
      </c>
      <c r="M155" s="89">
        <f>12/18</f>
        <v>0.66666666666666663</v>
      </c>
      <c r="Q155" s="84" t="s">
        <v>93</v>
      </c>
      <c r="S155" s="21">
        <f t="shared" si="40"/>
        <v>557.06122008199998</v>
      </c>
      <c r="T155" s="6">
        <f t="shared" si="41"/>
        <v>16193.173242026201</v>
      </c>
      <c r="U155" s="6" t="e">
        <f t="shared" si="42"/>
        <v>#REF!</v>
      </c>
      <c r="V155" s="13">
        <f t="shared" si="43"/>
        <v>11.999999999999998</v>
      </c>
      <c r="W155" s="13">
        <f t="shared" si="44"/>
        <v>375.50000000000006</v>
      </c>
      <c r="X155" s="13">
        <f t="shared" si="45"/>
        <v>1746.033333333334</v>
      </c>
      <c r="Y155" s="6">
        <f t="shared" si="46"/>
        <v>94.44</v>
      </c>
      <c r="Z155" s="13" t="e">
        <f>IF(MONTH($A155)=MONTH($A154),AVERAGE($Y$6:Y155),Y155)</f>
        <v>#REF!</v>
      </c>
      <c r="AA155" s="13" t="e">
        <f>IF(YEAR($A155)=YEAR($A154),AVERAGE($Y$5:Y155,Y155),Y155)</f>
        <v>#REF!</v>
      </c>
      <c r="AB155" s="13">
        <f t="shared" si="47"/>
        <v>78</v>
      </c>
      <c r="AC155" s="13" t="e">
        <f>IF(MONTH($A155)=MONTH($A154),AVERAGE($AB$5:AB155),AB155)</f>
        <v>#REF!</v>
      </c>
      <c r="AD155" s="13" t="e">
        <f>IF(YEAR($A155)=YEAR($A154),AVERAGE($AB$5:AB154,AB155),AB155)</f>
        <v>#REF!</v>
      </c>
    </row>
    <row r="156" spans="1:30" ht="45">
      <c r="A156" s="35">
        <f t="shared" si="39"/>
        <v>45443</v>
      </c>
      <c r="C156" s="3">
        <v>373.65848905190001</v>
      </c>
      <c r="E156" s="7">
        <v>96.31</v>
      </c>
      <c r="F156" s="3">
        <v>5169.09</v>
      </c>
      <c r="G156" s="7">
        <v>80</v>
      </c>
      <c r="H156" s="5">
        <v>0.27430555555555552</v>
      </c>
      <c r="I156" s="5">
        <v>0.79861111111111116</v>
      </c>
      <c r="J156" s="7">
        <f t="shared" si="38"/>
        <v>12.583333333333334</v>
      </c>
      <c r="L156" s="90">
        <f>2*6.62/18</f>
        <v>0.73555555555555552</v>
      </c>
      <c r="M156" s="89">
        <f>(J156+-6.62)/18</f>
        <v>0.33129629629629631</v>
      </c>
      <c r="Q156" s="84" t="s">
        <v>94</v>
      </c>
      <c r="S156" s="21">
        <f t="shared" si="40"/>
        <v>373.65848905190001</v>
      </c>
      <c r="T156" s="6">
        <f t="shared" si="41"/>
        <v>16566.831731078102</v>
      </c>
      <c r="U156" s="6" t="e">
        <f t="shared" si="42"/>
        <v>#REF!</v>
      </c>
      <c r="V156" s="13">
        <f t="shared" si="43"/>
        <v>12.583333333333334</v>
      </c>
      <c r="W156" s="13">
        <f t="shared" si="44"/>
        <v>388.08333333333337</v>
      </c>
      <c r="X156" s="13">
        <f t="shared" si="45"/>
        <v>1758.6166666666672</v>
      </c>
      <c r="Y156" s="6">
        <f t="shared" si="46"/>
        <v>96.31</v>
      </c>
      <c r="Z156" s="13" t="e">
        <f>IF(MONTH($A156)=MONTH($A155),AVERAGE($Y$6:Y156),Y156)</f>
        <v>#REF!</v>
      </c>
      <c r="AA156" s="13" t="e">
        <f>IF(YEAR($A156)=YEAR($A155),AVERAGE($Y$5:Y156,Y156),Y156)</f>
        <v>#REF!</v>
      </c>
      <c r="AB156" s="13">
        <f t="shared" si="47"/>
        <v>80</v>
      </c>
      <c r="AC156" s="13" t="e">
        <f>IF(MONTH($A156)=MONTH($A155),AVERAGE($AB$5:AB156),AB156)</f>
        <v>#REF!</v>
      </c>
      <c r="AD156" s="13" t="e">
        <f>IF(YEAR($A156)=YEAR($A155),AVERAGE($AB$5:AB155,AB156),AB156)</f>
        <v>#REF!</v>
      </c>
    </row>
    <row r="157" spans="1:30" ht="150">
      <c r="A157" s="35">
        <f t="shared" si="39"/>
        <v>45444</v>
      </c>
      <c r="C157" s="3">
        <v>222.3589771844</v>
      </c>
      <c r="E157" s="7">
        <v>56.44</v>
      </c>
      <c r="F157" s="3">
        <v>6466.08</v>
      </c>
      <c r="G157" s="7">
        <v>38</v>
      </c>
      <c r="H157" s="5">
        <v>0.27083333333333331</v>
      </c>
      <c r="I157" s="5">
        <v>0.70138888888888884</v>
      </c>
      <c r="J157" s="7">
        <f t="shared" si="38"/>
        <v>10.333333333333332</v>
      </c>
      <c r="M157" s="89">
        <f>(4.93+2.68)/18</f>
        <v>0.42277777777777775</v>
      </c>
      <c r="O157" s="89">
        <f>4.58/18</f>
        <v>0.25444444444444447</v>
      </c>
      <c r="Q157" s="84" t="s">
        <v>95</v>
      </c>
      <c r="S157" s="21">
        <f t="shared" si="40"/>
        <v>222.3589771844</v>
      </c>
      <c r="T157" s="6">
        <f t="shared" si="41"/>
        <v>222.3589771844</v>
      </c>
      <c r="U157" s="6" t="e">
        <f t="shared" si="42"/>
        <v>#REF!</v>
      </c>
      <c r="V157" s="13">
        <f t="shared" si="43"/>
        <v>10.333333333333332</v>
      </c>
      <c r="W157" s="13">
        <f t="shared" si="44"/>
        <v>10.333333333333332</v>
      </c>
      <c r="X157" s="13">
        <f t="shared" si="45"/>
        <v>1768.9500000000005</v>
      </c>
      <c r="Y157" s="6">
        <f t="shared" si="46"/>
        <v>56.44</v>
      </c>
      <c r="Z157" s="13">
        <f>IF(MONTH($A157)=MONTH($A156),AVERAGE($Y$6:Y157),Y157)</f>
        <v>56.44</v>
      </c>
      <c r="AA157" s="13" t="e">
        <f>IF(YEAR($A157)=YEAR($A156),AVERAGE($Y$5:Y157,Y157),Y157)</f>
        <v>#REF!</v>
      </c>
      <c r="AB157" s="13">
        <f t="shared" si="47"/>
        <v>38</v>
      </c>
      <c r="AC157" s="13">
        <f>IF(MONTH($A157)=MONTH($A156),AVERAGE($AB$5:AB157),AB157)</f>
        <v>38</v>
      </c>
      <c r="AD157" s="13" t="e">
        <f>IF(YEAR($A157)=YEAR($A156),AVERAGE($AB$5:AB156,AB157),AB157)</f>
        <v>#REF!</v>
      </c>
    </row>
    <row r="158" spans="1:30" ht="120">
      <c r="A158" s="35">
        <f t="shared" si="39"/>
        <v>45445</v>
      </c>
      <c r="C158" s="3">
        <v>298.88339366230002</v>
      </c>
      <c r="E158" s="7">
        <v>93.71</v>
      </c>
      <c r="F158" s="3">
        <v>3647.23</v>
      </c>
      <c r="G158" s="7">
        <v>91</v>
      </c>
      <c r="H158" s="5">
        <v>0.2638888888888889</v>
      </c>
      <c r="I158" s="5">
        <v>0.79861111111111116</v>
      </c>
      <c r="J158" s="7">
        <f t="shared" si="38"/>
        <v>12.833333333333336</v>
      </c>
      <c r="M158" s="89">
        <f>(J158+1)/18</f>
        <v>0.7685185185185186</v>
      </c>
      <c r="Q158" s="84" t="s">
        <v>96</v>
      </c>
      <c r="S158" s="21">
        <f t="shared" si="40"/>
        <v>298.88339366230002</v>
      </c>
      <c r="T158" s="6">
        <f t="shared" si="41"/>
        <v>521.24237084670006</v>
      </c>
      <c r="U158" s="6" t="e">
        <f t="shared" si="42"/>
        <v>#REF!</v>
      </c>
      <c r="V158" s="13">
        <f t="shared" si="43"/>
        <v>12.833333333333336</v>
      </c>
      <c r="W158" s="13">
        <f t="shared" si="44"/>
        <v>23.166666666666668</v>
      </c>
      <c r="X158" s="13">
        <f t="shared" si="45"/>
        <v>1781.7833333333338</v>
      </c>
      <c r="Y158" s="6">
        <f t="shared" si="46"/>
        <v>93.71</v>
      </c>
      <c r="Z158" s="13" t="e">
        <f>IF(MONTH($A158)=MONTH($A157),AVERAGE($Y$6:Y158),Y158)</f>
        <v>#REF!</v>
      </c>
      <c r="AA158" s="13" t="e">
        <f>IF(YEAR($A158)=YEAR($A157),AVERAGE($Y$5:Y158,Y158),Y158)</f>
        <v>#REF!</v>
      </c>
      <c r="AB158" s="13">
        <f t="shared" si="47"/>
        <v>91</v>
      </c>
      <c r="AC158" s="13" t="e">
        <f>IF(MONTH($A158)=MONTH($A157),AVERAGE($AB$5:AB158),AB158)</f>
        <v>#REF!</v>
      </c>
      <c r="AD158" s="13" t="e">
        <f>IF(YEAR($A158)=YEAR($A157),AVERAGE($AB$5:AB157,AB158),AB158)</f>
        <v>#REF!</v>
      </c>
    </row>
    <row r="159" spans="1:30" ht="60">
      <c r="A159" s="35">
        <f t="shared" si="39"/>
        <v>45446</v>
      </c>
      <c r="C159" s="3">
        <v>383.19984090000003</v>
      </c>
      <c r="E159" s="7">
        <v>94.34</v>
      </c>
      <c r="F159" s="3">
        <v>5143.2299999999996</v>
      </c>
      <c r="G159" s="7">
        <v>83</v>
      </c>
      <c r="H159" s="5">
        <v>0.2673611111111111</v>
      </c>
      <c r="I159" s="5">
        <v>0.80208333333333337</v>
      </c>
      <c r="J159" s="7">
        <f t="shared" si="38"/>
        <v>12.833333333333336</v>
      </c>
      <c r="M159" s="89">
        <f>J159/18</f>
        <v>0.71296296296296313</v>
      </c>
      <c r="Q159" s="84" t="s">
        <v>97</v>
      </c>
      <c r="S159" s="21">
        <f t="shared" si="40"/>
        <v>383.19984090000003</v>
      </c>
      <c r="T159" s="6">
        <f t="shared" si="41"/>
        <v>904.44221174670008</v>
      </c>
      <c r="U159" s="6" t="e">
        <f t="shared" si="42"/>
        <v>#REF!</v>
      </c>
      <c r="V159" s="13">
        <f t="shared" si="43"/>
        <v>12.833333333333336</v>
      </c>
      <c r="W159" s="13">
        <f t="shared" si="44"/>
        <v>36</v>
      </c>
      <c r="X159" s="13">
        <f t="shared" si="45"/>
        <v>1794.616666666667</v>
      </c>
      <c r="Y159" s="6">
        <f t="shared" si="46"/>
        <v>94.34</v>
      </c>
      <c r="Z159" s="13" t="e">
        <f>IF(MONTH($A159)=MONTH($A158),AVERAGE($Y$6:Y159),Y159)</f>
        <v>#REF!</v>
      </c>
      <c r="AA159" s="13" t="e">
        <f>IF(YEAR($A159)=YEAR($A158),AVERAGE($Y$5:Y159,Y159),Y159)</f>
        <v>#REF!</v>
      </c>
      <c r="AB159" s="13">
        <f t="shared" si="47"/>
        <v>83</v>
      </c>
      <c r="AC159" s="13" t="e">
        <f>IF(MONTH($A159)=MONTH($A158),AVERAGE($AB$5:AB159),AB159)</f>
        <v>#REF!</v>
      </c>
      <c r="AD159" s="13" t="e">
        <f>IF(YEAR($A159)=YEAR($A158),AVERAGE($AB$5:AB158,AB159),AB159)</f>
        <v>#REF!</v>
      </c>
    </row>
    <row r="160" spans="1:30" ht="120">
      <c r="A160" s="35">
        <f t="shared" si="39"/>
        <v>45447</v>
      </c>
      <c r="C160" s="3">
        <v>455.03580769109999</v>
      </c>
      <c r="E160" s="7">
        <v>90.41</v>
      </c>
      <c r="F160" s="3">
        <v>6640.22</v>
      </c>
      <c r="G160" s="7">
        <v>76</v>
      </c>
      <c r="H160" s="5">
        <v>0.2638888888888889</v>
      </c>
      <c r="I160" s="5">
        <v>0.79513888888888884</v>
      </c>
      <c r="J160" s="7">
        <f>(I160-H160)*24</f>
        <v>12.75</v>
      </c>
      <c r="M160" s="89">
        <f>(7.58+9.33)/18</f>
        <v>0.93944444444444442</v>
      </c>
      <c r="Q160" s="84" t="s">
        <v>98</v>
      </c>
      <c r="S160" s="21">
        <f t="shared" si="40"/>
        <v>455.03580769109999</v>
      </c>
      <c r="T160" s="6">
        <f t="shared" si="41"/>
        <v>1359.4780194378</v>
      </c>
      <c r="U160" s="6" t="e">
        <f t="shared" si="42"/>
        <v>#REF!</v>
      </c>
      <c r="V160" s="13">
        <f t="shared" si="43"/>
        <v>12.75</v>
      </c>
      <c r="W160" s="13">
        <f t="shared" si="44"/>
        <v>48.75</v>
      </c>
      <c r="X160" s="13">
        <f t="shared" si="45"/>
        <v>1807.366666666667</v>
      </c>
      <c r="Y160" s="6">
        <f t="shared" si="46"/>
        <v>90.41</v>
      </c>
      <c r="Z160" s="13" t="e">
        <f>IF(MONTH($A160)=MONTH($A159),AVERAGE($Y$6:Y160),Y160)</f>
        <v>#REF!</v>
      </c>
      <c r="AA160" s="13" t="e">
        <f>IF(YEAR($A160)=YEAR($A159),AVERAGE($Y$5:Y160,Y160),Y160)</f>
        <v>#REF!</v>
      </c>
      <c r="AB160" s="13">
        <f t="shared" si="47"/>
        <v>76</v>
      </c>
      <c r="AC160" s="13" t="e">
        <f>IF(MONTH($A160)=MONTH($A159),AVERAGE($AB$5:AB160),AB160)</f>
        <v>#REF!</v>
      </c>
      <c r="AD160" s="13" t="e">
        <f>IF(YEAR($A160)=YEAR($A159),AVERAGE($AB$5:AB159,AB160),AB160)</f>
        <v>#REF!</v>
      </c>
    </row>
    <row r="161" spans="1:30" ht="150">
      <c r="A161" s="35">
        <f t="shared" si="39"/>
        <v>45448</v>
      </c>
      <c r="C161" s="3">
        <v>430.17029975449998</v>
      </c>
      <c r="E161" s="7">
        <v>90.02</v>
      </c>
      <c r="F161" s="3">
        <v>6448.96</v>
      </c>
      <c r="G161" s="7">
        <v>74</v>
      </c>
      <c r="H161" s="5">
        <v>0.27430555555555552</v>
      </c>
      <c r="I161" s="5">
        <v>0.69097222222222221</v>
      </c>
      <c r="J161" s="7">
        <f t="shared" si="38"/>
        <v>10</v>
      </c>
      <c r="M161" s="89">
        <f>(4.9+4.48+5.68+2.58)/18</f>
        <v>0.98</v>
      </c>
      <c r="Q161" s="84" t="s">
        <v>99</v>
      </c>
      <c r="S161" s="21">
        <f t="shared" si="40"/>
        <v>430.17029975449998</v>
      </c>
      <c r="T161" s="6">
        <f t="shared" si="41"/>
        <v>1789.6483191922998</v>
      </c>
      <c r="U161" s="6" t="e">
        <f t="shared" si="42"/>
        <v>#REF!</v>
      </c>
      <c r="V161" s="13">
        <f t="shared" si="43"/>
        <v>10</v>
      </c>
      <c r="W161" s="13">
        <f t="shared" si="44"/>
        <v>58.75</v>
      </c>
      <c r="X161" s="13">
        <f t="shared" si="45"/>
        <v>1817.366666666667</v>
      </c>
      <c r="Y161" s="6">
        <f t="shared" si="46"/>
        <v>90.02</v>
      </c>
      <c r="Z161" s="13" t="e">
        <f>IF(MONTH($A161)=MONTH($A160),AVERAGE($Y$6:Y161),Y161)</f>
        <v>#REF!</v>
      </c>
      <c r="AA161" s="13" t="e">
        <f>IF(YEAR($A161)=YEAR($A160),AVERAGE($Y$5:Y161,Y161),Y161)</f>
        <v>#REF!</v>
      </c>
      <c r="AB161" s="13">
        <f t="shared" si="47"/>
        <v>74</v>
      </c>
      <c r="AC161" s="13" t="e">
        <f>IF(MONTH($A161)=MONTH($A160),AVERAGE($AB$5:AB161),AB161)</f>
        <v>#REF!</v>
      </c>
      <c r="AD161" s="13" t="e">
        <f>IF(YEAR($A161)=YEAR($A160),AVERAGE($AB$5:AB160,AB161),AB161)</f>
        <v>#REF!</v>
      </c>
    </row>
    <row r="162" spans="1:30" ht="135">
      <c r="A162" s="35">
        <f t="shared" si="39"/>
        <v>45449</v>
      </c>
      <c r="C162" s="3">
        <v>514.74330927640005</v>
      </c>
      <c r="E162" s="7">
        <v>99.53</v>
      </c>
      <c r="F162" s="3">
        <v>7087.41</v>
      </c>
      <c r="G162" s="7">
        <v>81</v>
      </c>
      <c r="H162" s="5">
        <v>0.27430555555555552</v>
      </c>
      <c r="I162" s="5">
        <v>0.79513888888888884</v>
      </c>
      <c r="J162" s="7">
        <f t="shared" si="38"/>
        <v>12.499999999999998</v>
      </c>
      <c r="M162" s="89">
        <f>2.18/18</f>
        <v>0.12111111111111111</v>
      </c>
      <c r="Q162" s="84" t="s">
        <v>100</v>
      </c>
      <c r="S162" s="21">
        <f t="shared" si="40"/>
        <v>514.74330927640005</v>
      </c>
      <c r="T162" s="6">
        <f t="shared" si="41"/>
        <v>2304.3916284686998</v>
      </c>
      <c r="U162" s="6" t="e">
        <f t="shared" si="42"/>
        <v>#REF!</v>
      </c>
      <c r="V162" s="13">
        <f t="shared" si="43"/>
        <v>12.499999999999998</v>
      </c>
      <c r="W162" s="13">
        <f t="shared" si="44"/>
        <v>71.25</v>
      </c>
      <c r="X162" s="13">
        <f t="shared" si="45"/>
        <v>1829.866666666667</v>
      </c>
      <c r="Y162" s="6">
        <f t="shared" si="46"/>
        <v>99.53</v>
      </c>
      <c r="Z162" s="13" t="e">
        <f>IF(MONTH($A162)=MONTH($A161),AVERAGE($Y$6:Y162),Y162)</f>
        <v>#REF!</v>
      </c>
      <c r="AA162" s="13" t="e">
        <f>IF(YEAR($A162)=YEAR($A161),AVERAGE($Y$5:Y162,Y162),Y162)</f>
        <v>#REF!</v>
      </c>
      <c r="AB162" s="13">
        <f t="shared" si="47"/>
        <v>81</v>
      </c>
      <c r="AC162" s="13" t="e">
        <f>IF(MONTH($A162)=MONTH($A161),AVERAGE($AB$5:AB162),AB162)</f>
        <v>#REF!</v>
      </c>
      <c r="AD162" s="13" t="e">
        <f>IF(YEAR($A162)=YEAR($A161),AVERAGE($AB$5:AB161,AB162),AB162)</f>
        <v>#REF!</v>
      </c>
    </row>
    <row r="163" spans="1:30" ht="45">
      <c r="A163" s="35">
        <f t="shared" si="39"/>
        <v>45450</v>
      </c>
      <c r="C163" s="3">
        <v>344.3090191142</v>
      </c>
      <c r="E163" s="7">
        <v>97.07</v>
      </c>
      <c r="F163" s="3">
        <v>4492.28</v>
      </c>
      <c r="G163" s="7">
        <v>85</v>
      </c>
      <c r="H163" s="5">
        <v>0.27430555555555552</v>
      </c>
      <c r="I163" s="5">
        <v>0.79861111111111116</v>
      </c>
      <c r="J163" s="7">
        <f>(I163-H163)*24</f>
        <v>12.583333333333334</v>
      </c>
      <c r="M163" s="89">
        <f>7.83/18</f>
        <v>0.435</v>
      </c>
      <c r="Q163" s="84" t="s">
        <v>101</v>
      </c>
      <c r="S163" s="21">
        <f t="shared" si="40"/>
        <v>344.3090191142</v>
      </c>
      <c r="T163" s="6">
        <f t="shared" si="41"/>
        <v>2648.7006475828998</v>
      </c>
      <c r="U163" s="6" t="e">
        <f t="shared" si="42"/>
        <v>#REF!</v>
      </c>
      <c r="V163" s="13">
        <f t="shared" si="43"/>
        <v>12.583333333333334</v>
      </c>
      <c r="W163" s="13">
        <f t="shared" si="44"/>
        <v>83.833333333333329</v>
      </c>
      <c r="X163" s="13">
        <f t="shared" si="45"/>
        <v>1842.4500000000003</v>
      </c>
      <c r="Y163" s="6">
        <f t="shared" si="46"/>
        <v>97.07</v>
      </c>
      <c r="Z163" s="13" t="e">
        <f>IF(MONTH($A163)=MONTH($A162),AVERAGE($Y$6:Y163),Y163)</f>
        <v>#REF!</v>
      </c>
      <c r="AA163" s="13" t="e">
        <f>IF(YEAR($A163)=YEAR($A162),AVERAGE($Y$5:Y163,Y163),Y163)</f>
        <v>#REF!</v>
      </c>
      <c r="AB163" s="13">
        <f t="shared" si="47"/>
        <v>85</v>
      </c>
      <c r="AC163" s="13" t="e">
        <f>IF(MONTH($A163)=MONTH($A162),AVERAGE($AB$5:AB163),AB163)</f>
        <v>#REF!</v>
      </c>
      <c r="AD163" s="13" t="e">
        <f>IF(YEAR($A163)=YEAR($A162),AVERAGE($AB$5:AB162,AB163),AB163)</f>
        <v>#REF!</v>
      </c>
    </row>
    <row r="164" spans="1:30" ht="75">
      <c r="A164" s="35">
        <f t="shared" si="39"/>
        <v>45451</v>
      </c>
      <c r="B164" s="4"/>
      <c r="C164" s="3">
        <v>579.4299711914</v>
      </c>
      <c r="D164" s="4"/>
      <c r="E164" s="7">
        <v>94.38</v>
      </c>
      <c r="F164" s="3">
        <v>8340.7099999999991</v>
      </c>
      <c r="G164" s="7">
        <v>77</v>
      </c>
      <c r="H164" s="5">
        <v>0.27430555555555552</v>
      </c>
      <c r="I164" s="5">
        <v>0.79861111111111116</v>
      </c>
      <c r="J164" s="7">
        <f t="shared" si="38"/>
        <v>12.583333333333334</v>
      </c>
      <c r="K164" s="15"/>
      <c r="L164" s="4"/>
      <c r="M164" s="89">
        <f>(7.83+4.75)/18</f>
        <v>0.69888888888888889</v>
      </c>
      <c r="N164" s="4"/>
      <c r="O164" s="4"/>
      <c r="P164" s="4"/>
      <c r="Q164" s="102" t="s">
        <v>102</v>
      </c>
      <c r="S164" s="21">
        <f t="shared" si="40"/>
        <v>579.4299711914</v>
      </c>
      <c r="T164" s="6">
        <f t="shared" si="41"/>
        <v>3228.1306187742998</v>
      </c>
      <c r="U164" s="6" t="e">
        <f t="shared" si="42"/>
        <v>#REF!</v>
      </c>
      <c r="V164" s="13">
        <f t="shared" si="43"/>
        <v>12.583333333333334</v>
      </c>
      <c r="W164" s="13">
        <f t="shared" si="44"/>
        <v>96.416666666666657</v>
      </c>
      <c r="X164" s="13">
        <f t="shared" si="45"/>
        <v>1855.0333333333335</v>
      </c>
      <c r="Y164" s="6">
        <f t="shared" si="46"/>
        <v>94.38</v>
      </c>
      <c r="Z164" s="13" t="e">
        <f>IF(MONTH($A164)=MONTH($A163),AVERAGE($Y$6:Y164),Y164)</f>
        <v>#REF!</v>
      </c>
      <c r="AA164" s="13" t="e">
        <f>IF(YEAR($A164)=YEAR($A163),AVERAGE($Y$5:Y164,Y164),Y164)</f>
        <v>#REF!</v>
      </c>
      <c r="AB164" s="13">
        <f t="shared" si="47"/>
        <v>77</v>
      </c>
      <c r="AC164" s="13" t="e">
        <f>IF(MONTH($A164)=MONTH($A163),AVERAGE($AB$5:AB164),AB164)</f>
        <v>#REF!</v>
      </c>
      <c r="AD164" s="13" t="e">
        <f>IF(YEAR($A164)=YEAR($A163),AVERAGE($AB$5:AB163,AB164),AB164)</f>
        <v>#REF!</v>
      </c>
    </row>
    <row r="165" spans="1:30" ht="135">
      <c r="A165" s="35">
        <f t="shared" si="39"/>
        <v>45452</v>
      </c>
      <c r="C165" s="3">
        <v>650.71247416740005</v>
      </c>
      <c r="E165" s="7">
        <v>92.23</v>
      </c>
      <c r="F165" s="3">
        <v>9191.57</v>
      </c>
      <c r="G165" s="7">
        <v>78</v>
      </c>
      <c r="H165" s="5">
        <v>0.2673611111111111</v>
      </c>
      <c r="I165" s="5">
        <v>0.80208333333333337</v>
      </c>
      <c r="J165" s="7">
        <f t="shared" si="38"/>
        <v>12.833333333333336</v>
      </c>
      <c r="M165" s="89">
        <f>(2.92+1.33+1.58+12.83)/18</f>
        <v>1.0366666666666666</v>
      </c>
      <c r="Q165" s="84" t="s">
        <v>103</v>
      </c>
      <c r="S165" s="21">
        <f t="shared" si="40"/>
        <v>650.71247416740005</v>
      </c>
      <c r="T165" s="6">
        <f t="shared" si="41"/>
        <v>3878.8430929417</v>
      </c>
      <c r="U165" s="6" t="e">
        <f t="shared" si="42"/>
        <v>#REF!</v>
      </c>
      <c r="V165" s="13">
        <f t="shared" si="43"/>
        <v>12.833333333333336</v>
      </c>
      <c r="W165" s="13">
        <f t="shared" si="44"/>
        <v>109.25</v>
      </c>
      <c r="X165" s="13">
        <f t="shared" si="45"/>
        <v>1867.8666666666668</v>
      </c>
      <c r="Y165" s="6">
        <f t="shared" si="46"/>
        <v>92.23</v>
      </c>
      <c r="Z165" s="13" t="e">
        <f>IF(MONTH($A165)=MONTH($A164),AVERAGE($Y$6:Y165),Y165)</f>
        <v>#REF!</v>
      </c>
      <c r="AA165" s="13" t="e">
        <f>IF(YEAR($A165)=YEAR($A164),AVERAGE($Y$5:Y165,Y165),Y165)</f>
        <v>#REF!</v>
      </c>
      <c r="AB165" s="13">
        <f t="shared" si="47"/>
        <v>78</v>
      </c>
      <c r="AC165" s="13" t="e">
        <f>IF(MONTH($A165)=MONTH($A164),AVERAGE($AB$5:AB165),AB165)</f>
        <v>#REF!</v>
      </c>
      <c r="AD165" s="13" t="e">
        <f>IF(YEAR($A165)=YEAR($A164),AVERAGE($AB$5:AB164,AB165),AB165)</f>
        <v>#REF!</v>
      </c>
    </row>
    <row r="166" spans="1:30" ht="150">
      <c r="A166" s="35">
        <f t="shared" si="39"/>
        <v>45453</v>
      </c>
      <c r="C166" s="3">
        <v>630.03277593090002</v>
      </c>
      <c r="E166" s="7">
        <v>96.69</v>
      </c>
      <c r="F166" s="3">
        <v>8757.8700000000008</v>
      </c>
      <c r="G166" s="7">
        <v>80</v>
      </c>
      <c r="H166" s="5">
        <v>0.26041666666666669</v>
      </c>
      <c r="I166" s="5">
        <v>0.80555555555555547</v>
      </c>
      <c r="J166" s="7">
        <f t="shared" si="38"/>
        <v>13.083333333333332</v>
      </c>
      <c r="M166" s="89">
        <f>(6.25+4.72+0.08)/18</f>
        <v>0.61388888888888882</v>
      </c>
      <c r="Q166" s="84" t="s">
        <v>104</v>
      </c>
      <c r="S166" s="21">
        <f t="shared" si="40"/>
        <v>630.03277593090002</v>
      </c>
      <c r="T166" s="6">
        <f t="shared" si="41"/>
        <v>4508.8758688726002</v>
      </c>
      <c r="U166" s="6" t="e">
        <f t="shared" si="42"/>
        <v>#REF!</v>
      </c>
      <c r="V166" s="13">
        <f t="shared" si="43"/>
        <v>13.083333333333332</v>
      </c>
      <c r="W166" s="13">
        <f t="shared" si="44"/>
        <v>122.33333333333333</v>
      </c>
      <c r="X166" s="13">
        <f t="shared" si="45"/>
        <v>1880.95</v>
      </c>
      <c r="Y166" s="6">
        <f t="shared" si="46"/>
        <v>96.69</v>
      </c>
      <c r="Z166" s="13" t="e">
        <f>IF(MONTH($A166)=MONTH($A165),AVERAGE($Y$6:Y166),Y166)</f>
        <v>#REF!</v>
      </c>
      <c r="AA166" s="13" t="e">
        <f>IF(YEAR($A166)=YEAR($A165),AVERAGE($Y$5:Y166,Y166),Y166)</f>
        <v>#REF!</v>
      </c>
      <c r="AB166" s="13">
        <f t="shared" si="47"/>
        <v>80</v>
      </c>
      <c r="AC166" s="13" t="e">
        <f>IF(MONTH($A166)=MONTH($A165),AVERAGE($AB$5:AB166),AB166)</f>
        <v>#REF!</v>
      </c>
      <c r="AD166" s="13" t="e">
        <f>IF(YEAR($A166)=YEAR($A165),AVERAGE($AB$5:AB165,AB166),AB166)</f>
        <v>#REF!</v>
      </c>
    </row>
    <row r="167" spans="1:30" ht="45">
      <c r="A167" s="35">
        <f t="shared" si="39"/>
        <v>45454</v>
      </c>
      <c r="C167" s="3">
        <v>705.67151577959999</v>
      </c>
      <c r="E167" s="7">
        <v>100</v>
      </c>
      <c r="F167" s="3">
        <v>9563.94</v>
      </c>
      <c r="G167" s="7">
        <v>82</v>
      </c>
      <c r="H167" s="5">
        <v>0.2673611111111111</v>
      </c>
      <c r="I167" s="5">
        <v>0.80555555555555547</v>
      </c>
      <c r="J167" s="7">
        <f t="shared" si="38"/>
        <v>12.916666666666666</v>
      </c>
      <c r="Q167" s="84" t="s">
        <v>105</v>
      </c>
      <c r="S167" s="21">
        <f t="shared" si="40"/>
        <v>705.67151577959999</v>
      </c>
      <c r="T167" s="6">
        <f t="shared" si="41"/>
        <v>5214.5473846522</v>
      </c>
      <c r="U167" s="6" t="e">
        <f t="shared" si="42"/>
        <v>#REF!</v>
      </c>
      <c r="V167" s="13">
        <f t="shared" si="43"/>
        <v>12.916666666666666</v>
      </c>
      <c r="W167" s="13">
        <f t="shared" si="44"/>
        <v>135.25</v>
      </c>
      <c r="X167" s="13">
        <f t="shared" si="45"/>
        <v>1893.8666666666668</v>
      </c>
      <c r="Y167" s="6">
        <f t="shared" si="46"/>
        <v>100</v>
      </c>
      <c r="Z167" s="13" t="e">
        <f>IF(MONTH($A167)=MONTH($A166),AVERAGE($Y$6:Y167),Y167)</f>
        <v>#REF!</v>
      </c>
      <c r="AA167" s="13" t="e">
        <f>IF(YEAR($A167)=YEAR($A166),AVERAGE($Y$5:Y167,Y167),Y167)</f>
        <v>#REF!</v>
      </c>
      <c r="AB167" s="13">
        <f t="shared" si="47"/>
        <v>82</v>
      </c>
      <c r="AC167" s="13" t="e">
        <f>IF(MONTH($A167)=MONTH($A166),AVERAGE($AB$5:AB167),AB167)</f>
        <v>#REF!</v>
      </c>
      <c r="AD167" s="13" t="e">
        <f>IF(YEAR($A167)=YEAR($A166),AVERAGE($AB$5:AB166,AB167),AB167)</f>
        <v>#REF!</v>
      </c>
    </row>
    <row r="168" spans="1:30" ht="30">
      <c r="A168" s="35">
        <f t="shared" si="39"/>
        <v>45455</v>
      </c>
      <c r="C168" s="3">
        <v>720.07450689760003</v>
      </c>
      <c r="E168" s="7">
        <v>100</v>
      </c>
      <c r="F168" s="3">
        <v>9680.2199999999993</v>
      </c>
      <c r="G168" s="7">
        <v>82</v>
      </c>
      <c r="H168" s="5">
        <v>0.2638888888888889</v>
      </c>
      <c r="I168" s="5">
        <v>0.80555555555555547</v>
      </c>
      <c r="J168" s="7">
        <f t="shared" si="38"/>
        <v>12.999999999999996</v>
      </c>
      <c r="Q168" s="84" t="s">
        <v>106</v>
      </c>
      <c r="S168" s="21">
        <f t="shared" si="40"/>
        <v>720.07450689760003</v>
      </c>
      <c r="T168" s="6">
        <f t="shared" si="41"/>
        <v>5934.6218915498002</v>
      </c>
      <c r="U168" s="6" t="e">
        <f t="shared" si="42"/>
        <v>#REF!</v>
      </c>
      <c r="V168" s="13">
        <f t="shared" si="43"/>
        <v>12.999999999999996</v>
      </c>
      <c r="W168" s="13">
        <f t="shared" si="44"/>
        <v>148.25</v>
      </c>
      <c r="X168" s="13">
        <f t="shared" si="45"/>
        <v>1906.8666666666668</v>
      </c>
      <c r="Y168" s="6">
        <f t="shared" si="46"/>
        <v>100</v>
      </c>
      <c r="Z168" s="13" t="e">
        <f>IF(MONTH($A168)=MONTH($A167),AVERAGE($Y$6:Y168),Y168)</f>
        <v>#REF!</v>
      </c>
      <c r="AA168" s="13" t="e">
        <f>IF(YEAR($A168)=YEAR($A167),AVERAGE($Y$5:Y168,Y168),Y168)</f>
        <v>#REF!</v>
      </c>
      <c r="AB168" s="13">
        <f t="shared" si="47"/>
        <v>82</v>
      </c>
      <c r="AC168" s="13" t="e">
        <f>IF(MONTH($A168)=MONTH($A167),AVERAGE($AB$5:AB168),AB168)</f>
        <v>#REF!</v>
      </c>
      <c r="AD168" s="13" t="e">
        <f>IF(YEAR($A168)=YEAR($A167),AVERAGE($AB$5:AB167,AB168),AB168)</f>
        <v>#REF!</v>
      </c>
    </row>
    <row r="169" spans="1:30" s="6" customFormat="1" ht="60">
      <c r="A169" s="35">
        <f t="shared" si="39"/>
        <v>45456</v>
      </c>
      <c r="C169" s="3">
        <v>696.32039605720001</v>
      </c>
      <c r="E169" s="7">
        <v>99.07</v>
      </c>
      <c r="F169" s="3">
        <v>9556.52</v>
      </c>
      <c r="G169" s="7">
        <v>81</v>
      </c>
      <c r="H169" s="5">
        <v>0.2638888888888889</v>
      </c>
      <c r="I169" s="5">
        <v>0.80555555555555547</v>
      </c>
      <c r="J169" s="7">
        <f t="shared" si="38"/>
        <v>12.999999999999996</v>
      </c>
      <c r="K169" s="14"/>
      <c r="M169" s="89">
        <f>2.48/18</f>
        <v>0.13777777777777778</v>
      </c>
      <c r="Q169" s="103" t="s">
        <v>107</v>
      </c>
      <c r="R169" s="14"/>
      <c r="S169" s="21">
        <f t="shared" si="40"/>
        <v>696.32039605720001</v>
      </c>
      <c r="T169" s="6">
        <f t="shared" si="41"/>
        <v>6630.9422876070003</v>
      </c>
      <c r="U169" s="6" t="e">
        <f t="shared" si="42"/>
        <v>#REF!</v>
      </c>
      <c r="V169" s="13">
        <f t="shared" si="43"/>
        <v>12.999999999999996</v>
      </c>
      <c r="W169" s="13">
        <f t="shared" si="44"/>
        <v>161.25</v>
      </c>
      <c r="X169" s="13">
        <f t="shared" si="45"/>
        <v>1919.8666666666668</v>
      </c>
      <c r="Y169" s="6">
        <f t="shared" si="46"/>
        <v>99.07</v>
      </c>
      <c r="Z169" s="13" t="e">
        <f>IF(MONTH($A169)=MONTH($A168),AVERAGE($Y$6:Y169),Y169)</f>
        <v>#REF!</v>
      </c>
      <c r="AA169" s="13" t="e">
        <f>IF(YEAR($A169)=YEAR($A168),AVERAGE($Y$5:Y169,Y169),Y169)</f>
        <v>#REF!</v>
      </c>
      <c r="AB169" s="13">
        <f t="shared" si="47"/>
        <v>81</v>
      </c>
      <c r="AC169" s="13" t="e">
        <f>IF(MONTH($A169)=MONTH($A168),AVERAGE($AB$5:AB169),AB169)</f>
        <v>#REF!</v>
      </c>
      <c r="AD169" s="13" t="e">
        <f>IF(YEAR($A169)=YEAR($A168),AVERAGE($AB$5:AB168,AB169),AB169)</f>
        <v>#REF!</v>
      </c>
    </row>
    <row r="170" spans="1:30" ht="90">
      <c r="A170" s="35">
        <f t="shared" si="39"/>
        <v>45457</v>
      </c>
      <c r="C170" s="3">
        <v>736.58396233799999</v>
      </c>
      <c r="E170" s="7">
        <v>99.35</v>
      </c>
      <c r="F170" s="3">
        <v>9976.1299999999992</v>
      </c>
      <c r="G170" s="7">
        <v>82</v>
      </c>
      <c r="H170" s="5">
        <v>0.2673611111111111</v>
      </c>
      <c r="I170" s="5">
        <v>0.80902777777777779</v>
      </c>
      <c r="J170" s="7">
        <f t="shared" si="38"/>
        <v>13.000000000000002</v>
      </c>
      <c r="M170" s="89">
        <f>(0.93+1.17)/18</f>
        <v>0.11666666666666667</v>
      </c>
      <c r="Q170" s="84" t="s">
        <v>108</v>
      </c>
      <c r="S170" s="21">
        <f t="shared" si="40"/>
        <v>736.58396233799999</v>
      </c>
      <c r="T170" s="6">
        <f t="shared" si="41"/>
        <v>7367.526249945</v>
      </c>
      <c r="U170" s="6" t="e">
        <f t="shared" si="42"/>
        <v>#REF!</v>
      </c>
      <c r="V170" s="13">
        <f t="shared" si="43"/>
        <v>13.000000000000002</v>
      </c>
      <c r="W170" s="13">
        <f t="shared" si="44"/>
        <v>174.25</v>
      </c>
      <c r="X170" s="13">
        <f t="shared" si="45"/>
        <v>1932.8666666666668</v>
      </c>
      <c r="Y170" s="6">
        <f t="shared" si="46"/>
        <v>99.35</v>
      </c>
      <c r="Z170" s="13" t="e">
        <f>IF(MONTH($A170)=MONTH($A169),AVERAGE($Y$6:Y170),Y170)</f>
        <v>#REF!</v>
      </c>
      <c r="AA170" s="13" t="e">
        <f>IF(YEAR($A170)=YEAR($A169),AVERAGE($Y$5:Y170,Y170),Y170)</f>
        <v>#REF!</v>
      </c>
      <c r="AB170" s="13">
        <f t="shared" si="47"/>
        <v>82</v>
      </c>
      <c r="AC170" s="13" t="e">
        <f>IF(MONTH($A170)=MONTH($A169),AVERAGE($AB$5:AB170),AB170)</f>
        <v>#REF!</v>
      </c>
      <c r="AD170" s="13" t="e">
        <f>IF(YEAR($A170)=YEAR($A169),AVERAGE($AB$5:AB169,AB170),AB170)</f>
        <v>#REF!</v>
      </c>
    </row>
    <row r="171" spans="1:30" ht="105">
      <c r="A171" s="35">
        <f t="shared" si="39"/>
        <v>45458</v>
      </c>
      <c r="C171" s="3">
        <v>693.903735278</v>
      </c>
      <c r="E171" s="7">
        <v>99.31</v>
      </c>
      <c r="F171" s="3">
        <v>9426.07</v>
      </c>
      <c r="G171" s="7">
        <v>81</v>
      </c>
      <c r="H171" s="5">
        <v>0.26041666666666669</v>
      </c>
      <c r="I171" s="5">
        <v>0.80555555555555547</v>
      </c>
      <c r="J171" s="7">
        <f t="shared" si="38"/>
        <v>13.083333333333332</v>
      </c>
      <c r="M171" s="89">
        <f>1.88/18</f>
        <v>0.10444444444444444</v>
      </c>
      <c r="Q171" s="84" t="s">
        <v>109</v>
      </c>
      <c r="S171" s="21">
        <f t="shared" si="40"/>
        <v>693.903735278</v>
      </c>
      <c r="T171" s="6">
        <f t="shared" si="41"/>
        <v>8061.4299852229997</v>
      </c>
      <c r="U171" s="6" t="e">
        <f t="shared" si="42"/>
        <v>#REF!</v>
      </c>
      <c r="V171" s="13">
        <f t="shared" si="43"/>
        <v>13.083333333333332</v>
      </c>
      <c r="W171" s="13">
        <f t="shared" si="44"/>
        <v>187.33333333333334</v>
      </c>
      <c r="X171" s="13">
        <f t="shared" si="45"/>
        <v>1945.95</v>
      </c>
      <c r="Y171" s="6">
        <f t="shared" si="46"/>
        <v>99.31</v>
      </c>
      <c r="Z171" s="13" t="e">
        <f>IF(MONTH($A171)=MONTH($A170),AVERAGE($Y$6:Y171),Y171)</f>
        <v>#REF!</v>
      </c>
      <c r="AA171" s="13" t="e">
        <f>IF(YEAR($A171)=YEAR($A170),AVERAGE($Y$5:Y171,Y171),Y171)</f>
        <v>#REF!</v>
      </c>
      <c r="AB171" s="13">
        <f t="shared" si="47"/>
        <v>81</v>
      </c>
      <c r="AC171" s="13" t="e">
        <f>IF(MONTH($A171)=MONTH($A170),AVERAGE($AB$5:AB171),AB171)</f>
        <v>#REF!</v>
      </c>
      <c r="AD171" s="13" t="e">
        <f>IF(YEAR($A171)=YEAR($A170),AVERAGE($AB$5:AB170,AB171),AB171)</f>
        <v>#REF!</v>
      </c>
    </row>
    <row r="172" spans="1:30">
      <c r="A172" s="35">
        <f t="shared" si="39"/>
        <v>45459</v>
      </c>
      <c r="C172" s="3">
        <v>544.10967427909998</v>
      </c>
      <c r="E172" s="7">
        <v>100</v>
      </c>
      <c r="F172" s="3">
        <v>7101.52</v>
      </c>
      <c r="G172" s="7">
        <v>85</v>
      </c>
      <c r="H172" s="5">
        <v>0.2673611111111111</v>
      </c>
      <c r="I172" s="5">
        <v>0.80208333333333337</v>
      </c>
      <c r="J172" s="7">
        <f t="shared" si="38"/>
        <v>12.833333333333336</v>
      </c>
      <c r="M172" s="89"/>
      <c r="Q172" s="84"/>
      <c r="S172" s="21">
        <f t="shared" si="40"/>
        <v>544.10967427909998</v>
      </c>
      <c r="T172" s="6">
        <f t="shared" si="41"/>
        <v>8605.5396595020993</v>
      </c>
      <c r="U172" s="6" t="e">
        <f t="shared" si="42"/>
        <v>#REF!</v>
      </c>
      <c r="V172" s="13">
        <f t="shared" si="43"/>
        <v>12.833333333333336</v>
      </c>
      <c r="W172" s="13">
        <f t="shared" si="44"/>
        <v>200.16666666666669</v>
      </c>
      <c r="X172" s="13">
        <f t="shared" si="45"/>
        <v>1958.7833333333333</v>
      </c>
      <c r="Y172" s="6">
        <f t="shared" si="46"/>
        <v>100</v>
      </c>
      <c r="Z172" s="13" t="e">
        <f>IF(MONTH($A172)=MONTH($A171),AVERAGE($Y$6:Y172),Y172)</f>
        <v>#REF!</v>
      </c>
      <c r="AA172" s="13" t="e">
        <f>IF(YEAR($A172)=YEAR($A171),AVERAGE($Y$5:Y172,Y172),Y172)</f>
        <v>#REF!</v>
      </c>
      <c r="AB172" s="13">
        <f t="shared" si="47"/>
        <v>85</v>
      </c>
      <c r="AC172" s="13" t="e">
        <f>IF(MONTH($A172)=MONTH($A171),AVERAGE($AB$5:AB172),AB172)</f>
        <v>#REF!</v>
      </c>
      <c r="AD172" s="13" t="e">
        <f>IF(YEAR($A172)=YEAR($A171),AVERAGE($AB$5:AB171,AB172),AB172)</f>
        <v>#REF!</v>
      </c>
    </row>
    <row r="173" spans="1:30" ht="30">
      <c r="A173" s="35">
        <f t="shared" si="39"/>
        <v>45460</v>
      </c>
      <c r="C173" s="3">
        <v>523.86289844470002</v>
      </c>
      <c r="E173" s="7">
        <v>100</v>
      </c>
      <c r="F173" s="3">
        <v>7009.94</v>
      </c>
      <c r="G173" s="7">
        <v>83</v>
      </c>
      <c r="H173" s="5">
        <v>0.27083333333333331</v>
      </c>
      <c r="I173" s="5">
        <v>0.8125</v>
      </c>
      <c r="J173" s="7">
        <f t="shared" si="38"/>
        <v>13.000000000000002</v>
      </c>
      <c r="Q173" s="84" t="s">
        <v>110</v>
      </c>
      <c r="S173" s="21">
        <f t="shared" si="40"/>
        <v>523.86289844470002</v>
      </c>
      <c r="T173" s="6">
        <f t="shared" si="41"/>
        <v>9129.4025579467998</v>
      </c>
      <c r="U173" s="6" t="e">
        <f t="shared" si="42"/>
        <v>#REF!</v>
      </c>
      <c r="V173" s="13">
        <f t="shared" si="43"/>
        <v>13.000000000000002</v>
      </c>
      <c r="W173" s="13">
        <f t="shared" si="44"/>
        <v>213.16666666666669</v>
      </c>
      <c r="X173" s="13">
        <f t="shared" si="45"/>
        <v>1971.7833333333333</v>
      </c>
      <c r="Y173" s="6">
        <f t="shared" si="46"/>
        <v>100</v>
      </c>
      <c r="Z173" s="13" t="e">
        <f>IF(MONTH($A173)=MONTH($A172),AVERAGE($Y$6:Y173),Y173)</f>
        <v>#REF!</v>
      </c>
      <c r="AA173" s="13" t="e">
        <f>IF(YEAR($A173)=YEAR($A172),AVERAGE($Y$5:Y173,Y173),Y173)</f>
        <v>#REF!</v>
      </c>
      <c r="AB173" s="13">
        <f t="shared" si="47"/>
        <v>83</v>
      </c>
      <c r="AC173" s="13" t="e">
        <f>IF(MONTH($A173)=MONTH($A172),AVERAGE($AB$5:AB173),AB173)</f>
        <v>#REF!</v>
      </c>
      <c r="AD173" s="13" t="e">
        <f>IF(YEAR($A173)=YEAR($A172),AVERAGE($AB$5:AB172,AB173),AB173)</f>
        <v>#REF!</v>
      </c>
    </row>
    <row r="174" spans="1:30">
      <c r="A174" s="35">
        <f t="shared" si="39"/>
        <v>45461</v>
      </c>
      <c r="C174" s="3">
        <v>362.83847056550002</v>
      </c>
      <c r="E174" s="7">
        <v>100</v>
      </c>
      <c r="F174" s="3">
        <v>4446.9799999999996</v>
      </c>
      <c r="G174" s="7">
        <v>90</v>
      </c>
      <c r="H174" s="5">
        <v>0.2673611111111111</v>
      </c>
      <c r="I174" s="5">
        <v>0.80902777777777779</v>
      </c>
      <c r="J174" s="7">
        <f t="shared" si="38"/>
        <v>13.000000000000002</v>
      </c>
      <c r="M174" s="7"/>
      <c r="Q174" s="84" t="s">
        <v>111</v>
      </c>
      <c r="S174" s="21">
        <f t="shared" si="40"/>
        <v>362.83847056550002</v>
      </c>
      <c r="T174" s="6">
        <f t="shared" si="41"/>
        <v>9492.2410285123005</v>
      </c>
      <c r="U174" s="6" t="e">
        <f t="shared" si="42"/>
        <v>#REF!</v>
      </c>
      <c r="V174" s="13">
        <f t="shared" si="43"/>
        <v>13.000000000000002</v>
      </c>
      <c r="W174" s="13">
        <f t="shared" si="44"/>
        <v>226.16666666666669</v>
      </c>
      <c r="X174" s="13">
        <f t="shared" si="45"/>
        <v>1984.7833333333333</v>
      </c>
      <c r="Y174" s="6">
        <f t="shared" si="46"/>
        <v>100</v>
      </c>
      <c r="Z174" s="13" t="e">
        <f>IF(MONTH($A174)=MONTH($A173),AVERAGE($Y$6:Y174),Y174)</f>
        <v>#REF!</v>
      </c>
      <c r="AA174" s="13" t="e">
        <f>IF(YEAR($A174)=YEAR($A173),AVERAGE($Y$5:Y174,Y174),Y174)</f>
        <v>#REF!</v>
      </c>
      <c r="AB174" s="13">
        <f t="shared" si="47"/>
        <v>90</v>
      </c>
      <c r="AC174" s="13" t="e">
        <f>IF(MONTH($A174)=MONTH($A173),AVERAGE($AB$5:AB174),AB174)</f>
        <v>#REF!</v>
      </c>
      <c r="AD174" s="13" t="e">
        <f>IF(YEAR($A174)=YEAR($A173),AVERAGE($AB$5:AB173,AB174),AB174)</f>
        <v>#REF!</v>
      </c>
    </row>
    <row r="175" spans="1:30">
      <c r="A175" s="35">
        <f t="shared" si="39"/>
        <v>45462</v>
      </c>
      <c r="C175" s="3">
        <v>578.01323886110004</v>
      </c>
      <c r="E175" s="7">
        <v>100</v>
      </c>
      <c r="F175" s="3">
        <v>7680.95</v>
      </c>
      <c r="G175" s="7">
        <v>83</v>
      </c>
      <c r="H175" s="5">
        <v>0.2673611111111111</v>
      </c>
      <c r="I175" s="5">
        <v>0.78125</v>
      </c>
      <c r="J175" s="7">
        <f t="shared" si="38"/>
        <v>12.333333333333332</v>
      </c>
      <c r="L175" s="7"/>
      <c r="M175" s="7"/>
      <c r="Q175" s="84"/>
      <c r="S175" s="21">
        <f t="shared" si="40"/>
        <v>578.01323886110004</v>
      </c>
      <c r="T175" s="6">
        <f t="shared" si="41"/>
        <v>10070.254267373401</v>
      </c>
      <c r="U175" s="6" t="e">
        <f t="shared" si="42"/>
        <v>#REF!</v>
      </c>
      <c r="V175" s="13">
        <f t="shared" si="43"/>
        <v>12.333333333333332</v>
      </c>
      <c r="W175" s="13">
        <f t="shared" si="44"/>
        <v>238.50000000000003</v>
      </c>
      <c r="X175" s="13">
        <f t="shared" si="45"/>
        <v>1997.1166666666666</v>
      </c>
      <c r="Y175" s="6">
        <f t="shared" si="46"/>
        <v>100</v>
      </c>
      <c r="Z175" s="13" t="e">
        <f>IF(MONTH($A175)=MONTH($A174),AVERAGE($Y$6:Y175),Y175)</f>
        <v>#REF!</v>
      </c>
      <c r="AA175" s="13" t="e">
        <f>IF(YEAR($A175)=YEAR($A174),AVERAGE($Y$5:Y175,Y175),Y175)</f>
        <v>#REF!</v>
      </c>
      <c r="AB175" s="13">
        <f t="shared" si="47"/>
        <v>83</v>
      </c>
      <c r="AC175" s="13" t="e">
        <f>IF(MONTH($A175)=MONTH($A174),AVERAGE($AB$5:AB175),AB175)</f>
        <v>#REF!</v>
      </c>
      <c r="AD175" s="13" t="e">
        <f>IF(YEAR($A175)=YEAR($A174),AVERAGE($AB$5:AB174,AB175),AB175)</f>
        <v>#REF!</v>
      </c>
    </row>
    <row r="176" spans="1:30" s="16" customFormat="1">
      <c r="A176" s="35">
        <f t="shared" si="39"/>
        <v>45463</v>
      </c>
      <c r="B176"/>
      <c r="C176" s="3">
        <v>474.08352281400005</v>
      </c>
      <c r="D176" s="21"/>
      <c r="E176" s="7">
        <v>100</v>
      </c>
      <c r="F176" s="3">
        <v>5845.09</v>
      </c>
      <c r="G176" s="7">
        <v>90</v>
      </c>
      <c r="H176" s="5">
        <v>0.2673611111111111</v>
      </c>
      <c r="I176" s="5">
        <v>0.80208333333333337</v>
      </c>
      <c r="J176" s="3">
        <f t="shared" si="38"/>
        <v>12.833333333333336</v>
      </c>
      <c r="K176" s="1"/>
      <c r="L176" s="4"/>
      <c r="M176" s="4"/>
      <c r="N176"/>
      <c r="O176"/>
      <c r="P176"/>
      <c r="Q176" s="84" t="s">
        <v>111</v>
      </c>
      <c r="R176" s="1"/>
      <c r="S176" s="21">
        <f t="shared" si="40"/>
        <v>474.08352281400005</v>
      </c>
      <c r="T176" s="6">
        <f t="shared" si="41"/>
        <v>10544.337790187401</v>
      </c>
      <c r="U176" s="6" t="e">
        <f t="shared" si="42"/>
        <v>#REF!</v>
      </c>
      <c r="V176" s="13">
        <f t="shared" si="43"/>
        <v>12.833333333333336</v>
      </c>
      <c r="W176" s="13">
        <f t="shared" si="44"/>
        <v>251.33333333333337</v>
      </c>
      <c r="X176" s="13">
        <f t="shared" si="45"/>
        <v>2009.9499999999998</v>
      </c>
      <c r="Y176" s="6">
        <f t="shared" si="46"/>
        <v>100</v>
      </c>
      <c r="Z176" s="13" t="e">
        <f>IF(MONTH($A176)=MONTH($A175),AVERAGE($Y$6:Y176),Y176)</f>
        <v>#REF!</v>
      </c>
      <c r="AA176" s="13" t="e">
        <f>IF(YEAR($A176)=YEAR($A175),AVERAGE($Y$5:Y176,Y176),Y176)</f>
        <v>#REF!</v>
      </c>
      <c r="AB176" s="13">
        <f t="shared" si="47"/>
        <v>90</v>
      </c>
      <c r="AC176" s="13" t="e">
        <f>IF(MONTH($A176)=MONTH($A175),AVERAGE($AB$5:AB176),AB176)</f>
        <v>#REF!</v>
      </c>
      <c r="AD176" s="13" t="e">
        <f>IF(YEAR($A176)=YEAR($A175),AVERAGE($AB$5:AB175,AB176),AB176)</f>
        <v>#REF!</v>
      </c>
    </row>
    <row r="177" spans="1:30" s="4" customFormat="1">
      <c r="A177" s="35">
        <f t="shared" si="39"/>
        <v>45464</v>
      </c>
      <c r="C177" s="3">
        <v>518.78233810609993</v>
      </c>
      <c r="E177" s="7">
        <v>100</v>
      </c>
      <c r="F177" s="3">
        <v>6725.28</v>
      </c>
      <c r="G177" s="7">
        <v>85</v>
      </c>
      <c r="H177" s="5">
        <v>0.2638888888888889</v>
      </c>
      <c r="I177" s="5">
        <v>0.80208333333333337</v>
      </c>
      <c r="J177" s="7">
        <f t="shared" si="38"/>
        <v>12.916666666666666</v>
      </c>
      <c r="K177" s="15"/>
      <c r="Q177" s="84" t="s">
        <v>111</v>
      </c>
      <c r="R177" s="15"/>
      <c r="S177" s="21">
        <f t="shared" si="40"/>
        <v>518.78233810609993</v>
      </c>
      <c r="T177" s="6">
        <f t="shared" si="41"/>
        <v>11063.120128293502</v>
      </c>
      <c r="U177" s="6" t="e">
        <f t="shared" si="42"/>
        <v>#REF!</v>
      </c>
      <c r="V177" s="13">
        <f t="shared" si="43"/>
        <v>12.916666666666666</v>
      </c>
      <c r="W177" s="13">
        <f t="shared" si="44"/>
        <v>264.25000000000006</v>
      </c>
      <c r="X177" s="13">
        <f t="shared" si="45"/>
        <v>2022.8666666666666</v>
      </c>
      <c r="Y177" s="6">
        <f t="shared" si="46"/>
        <v>100</v>
      </c>
      <c r="Z177" s="13" t="e">
        <f>IF(MONTH($A177)=MONTH($A176),AVERAGE($Y$6:Y177),Y177)</f>
        <v>#REF!</v>
      </c>
      <c r="AA177" s="13" t="e">
        <f>IF(YEAR($A177)=YEAR($A176),AVERAGE($Y$5:Y177,Y177),Y177)</f>
        <v>#REF!</v>
      </c>
      <c r="AB177" s="13">
        <f t="shared" si="47"/>
        <v>85</v>
      </c>
      <c r="AC177" s="13" t="e">
        <f>IF(MONTH($A177)=MONTH($A176),AVERAGE($AB$5:AB177),AB177)</f>
        <v>#REF!</v>
      </c>
      <c r="AD177" s="13" t="e">
        <f>IF(YEAR($A177)=YEAR($A176),AVERAGE($AB$5:AB176,AB177),AB177)</f>
        <v>#REF!</v>
      </c>
    </row>
    <row r="178" spans="1:30">
      <c r="A178" s="35">
        <f t="shared" si="39"/>
        <v>45465</v>
      </c>
      <c r="C178" s="3">
        <v>640.66242153970006</v>
      </c>
      <c r="E178" s="7">
        <v>100</v>
      </c>
      <c r="F178" s="3">
        <v>8610.51</v>
      </c>
      <c r="G178" s="7">
        <v>82</v>
      </c>
      <c r="H178" s="5">
        <v>0.27083333333333331</v>
      </c>
      <c r="I178" s="5">
        <v>0.80902777777777779</v>
      </c>
      <c r="J178" s="7">
        <f t="shared" si="38"/>
        <v>12.916666666666666</v>
      </c>
      <c r="Q178" s="103"/>
      <c r="S178" s="21">
        <f t="shared" si="40"/>
        <v>640.66242153970006</v>
      </c>
      <c r="T178" s="6">
        <f t="shared" si="41"/>
        <v>11703.782549833202</v>
      </c>
      <c r="U178" s="6" t="e">
        <f t="shared" si="42"/>
        <v>#REF!</v>
      </c>
      <c r="V178" s="13">
        <f t="shared" si="43"/>
        <v>12.916666666666666</v>
      </c>
      <c r="W178" s="13">
        <f t="shared" si="44"/>
        <v>277.16666666666674</v>
      </c>
      <c r="X178" s="13">
        <f t="shared" si="45"/>
        <v>2035.7833333333333</v>
      </c>
      <c r="Y178" s="6">
        <f t="shared" si="46"/>
        <v>100</v>
      </c>
      <c r="Z178" s="13" t="e">
        <f>IF(MONTH($A178)=MONTH($A177),AVERAGE($Y$6:Y178),Y178)</f>
        <v>#REF!</v>
      </c>
      <c r="AA178" s="13" t="e">
        <f>IF(YEAR($A178)=YEAR($A177),AVERAGE($Y$5:Y178,Y178),Y178)</f>
        <v>#REF!</v>
      </c>
      <c r="AB178" s="13">
        <f t="shared" si="47"/>
        <v>82</v>
      </c>
      <c r="AC178" s="13" t="e">
        <f>IF(MONTH($A178)=MONTH($A177),AVERAGE($AB$5:AB178),AB178)</f>
        <v>#REF!</v>
      </c>
      <c r="AD178" s="13" t="e">
        <f>IF(YEAR($A178)=YEAR($A177),AVERAGE($AB$5:AB177,AB178),AB178)</f>
        <v>#REF!</v>
      </c>
    </row>
    <row r="179" spans="1:30" ht="45">
      <c r="A179" s="35">
        <f t="shared" si="39"/>
        <v>45466</v>
      </c>
      <c r="C179" s="3">
        <v>534.56401567559999</v>
      </c>
      <c r="E179" s="7">
        <v>99.49</v>
      </c>
      <c r="F179" s="3">
        <v>7272.04</v>
      </c>
      <c r="G179" s="7">
        <v>82</v>
      </c>
      <c r="H179" s="5">
        <v>0.27083333333333331</v>
      </c>
      <c r="I179" s="5">
        <v>0.80555555555555547</v>
      </c>
      <c r="J179" s="7">
        <f t="shared" si="38"/>
        <v>12.83333333333333</v>
      </c>
      <c r="M179" s="89">
        <f>1.17/18</f>
        <v>6.5000000000000002E-2</v>
      </c>
      <c r="Q179" s="103" t="s">
        <v>112</v>
      </c>
      <c r="S179" s="21">
        <f t="shared" si="40"/>
        <v>534.56401567559999</v>
      </c>
      <c r="T179" s="6">
        <f t="shared" si="41"/>
        <v>12238.346565508802</v>
      </c>
      <c r="U179" s="6" t="e">
        <f t="shared" si="42"/>
        <v>#REF!</v>
      </c>
      <c r="V179" s="13">
        <f t="shared" si="43"/>
        <v>12.83333333333333</v>
      </c>
      <c r="W179" s="13">
        <f t="shared" si="44"/>
        <v>290.00000000000006</v>
      </c>
      <c r="X179" s="13">
        <f t="shared" si="45"/>
        <v>2048.6166666666668</v>
      </c>
      <c r="Y179" s="6">
        <f t="shared" si="46"/>
        <v>99.49</v>
      </c>
      <c r="Z179" s="13" t="e">
        <f>IF(MONTH($A179)=MONTH($A178),AVERAGE($Y$6:Y179),Y179)</f>
        <v>#REF!</v>
      </c>
      <c r="AA179" s="13" t="e">
        <f>IF(YEAR($A179)=YEAR($A178),AVERAGE($Y$5:Y179,Y179),Y179)</f>
        <v>#REF!</v>
      </c>
      <c r="AB179" s="13">
        <f t="shared" si="47"/>
        <v>82</v>
      </c>
      <c r="AC179" s="13" t="e">
        <f>IF(MONTH($A179)=MONTH($A178),AVERAGE($AB$5:AB179),AB179)</f>
        <v>#REF!</v>
      </c>
      <c r="AD179" s="13" t="e">
        <f>IF(YEAR($A179)=YEAR($A178),AVERAGE($AB$5:AB178,AB179),AB179)</f>
        <v>#REF!</v>
      </c>
    </row>
    <row r="180" spans="1:30">
      <c r="A180" s="35">
        <f t="shared" si="39"/>
        <v>45467</v>
      </c>
      <c r="C180" s="3">
        <v>572.36457611879996</v>
      </c>
      <c r="E180" s="7">
        <v>100</v>
      </c>
      <c r="F180" s="3">
        <v>7590.47</v>
      </c>
      <c r="G180" s="7">
        <v>84</v>
      </c>
      <c r="H180" s="5">
        <v>0.27083333333333331</v>
      </c>
      <c r="I180" s="5">
        <v>0.77777777777777779</v>
      </c>
      <c r="J180" s="7">
        <f t="shared" si="38"/>
        <v>12.166666666666666</v>
      </c>
      <c r="Q180" s="84" t="s">
        <v>113</v>
      </c>
      <c r="S180" s="21">
        <f t="shared" si="40"/>
        <v>572.36457611879996</v>
      </c>
      <c r="T180" s="6">
        <f t="shared" si="41"/>
        <v>12810.711141627602</v>
      </c>
      <c r="U180" s="6" t="e">
        <f t="shared" si="42"/>
        <v>#REF!</v>
      </c>
      <c r="V180" s="13">
        <f t="shared" si="43"/>
        <v>12.166666666666666</v>
      </c>
      <c r="W180" s="13">
        <f t="shared" si="44"/>
        <v>302.16666666666674</v>
      </c>
      <c r="X180" s="13">
        <f t="shared" si="45"/>
        <v>2060.7833333333333</v>
      </c>
      <c r="Y180" s="6">
        <f t="shared" si="46"/>
        <v>100</v>
      </c>
      <c r="Z180" s="13" t="e">
        <f>IF(MONTH($A180)=MONTH($A179),AVERAGE($Y$6:Y180),Y180)</f>
        <v>#REF!</v>
      </c>
      <c r="AA180" s="13" t="e">
        <f>IF(YEAR($A180)=YEAR($A179),AVERAGE($Y$5:Y180,Y180),Y180)</f>
        <v>#REF!</v>
      </c>
      <c r="AB180" s="13">
        <f t="shared" si="47"/>
        <v>84</v>
      </c>
      <c r="AC180" s="13" t="e">
        <f>IF(MONTH($A180)=MONTH($A179),AVERAGE($AB$5:AB180),AB180)</f>
        <v>#REF!</v>
      </c>
      <c r="AD180" s="13" t="e">
        <f>IF(YEAR($A180)=YEAR($A179),AVERAGE($AB$5:AB179,AB180),AB180)</f>
        <v>#REF!</v>
      </c>
    </row>
    <row r="181" spans="1:30">
      <c r="A181" s="35">
        <f t="shared" si="39"/>
        <v>45468</v>
      </c>
      <c r="C181" s="3">
        <v>620.46045861089999</v>
      </c>
      <c r="D181" s="2"/>
      <c r="E181" s="7">
        <v>100</v>
      </c>
      <c r="F181" s="3">
        <v>8194.83</v>
      </c>
      <c r="G181" s="7">
        <v>84</v>
      </c>
      <c r="H181" s="5">
        <v>0.27083333333333331</v>
      </c>
      <c r="I181" s="36">
        <v>0.80555555555555547</v>
      </c>
      <c r="J181" s="7">
        <f t="shared" si="38"/>
        <v>12.83333333333333</v>
      </c>
      <c r="S181" s="21">
        <f t="shared" si="40"/>
        <v>620.46045861089999</v>
      </c>
      <c r="T181" s="6">
        <f t="shared" si="41"/>
        <v>13431.171600238502</v>
      </c>
      <c r="U181" s="6" t="e">
        <f t="shared" si="42"/>
        <v>#REF!</v>
      </c>
      <c r="V181" s="13">
        <f t="shared" si="43"/>
        <v>12.83333333333333</v>
      </c>
      <c r="W181" s="13">
        <f t="shared" si="44"/>
        <v>315.00000000000006</v>
      </c>
      <c r="X181" s="13">
        <f t="shared" si="45"/>
        <v>2073.6166666666668</v>
      </c>
      <c r="Y181" s="6">
        <f t="shared" si="46"/>
        <v>100</v>
      </c>
      <c r="Z181" s="13" t="e">
        <f>IF(MONTH($A181)=MONTH($A180),AVERAGE($Y$6:Y181),Y181)</f>
        <v>#REF!</v>
      </c>
      <c r="AA181" s="13" t="e">
        <f>IF(YEAR($A181)=YEAR($A180),AVERAGE($Y$5:Y181,Y181),Y181)</f>
        <v>#REF!</v>
      </c>
      <c r="AB181" s="13">
        <f t="shared" si="47"/>
        <v>84</v>
      </c>
      <c r="AC181" s="13" t="e">
        <f>IF(MONTH($A181)=MONTH($A180),AVERAGE($AB$5:AB181),AB181)</f>
        <v>#REF!</v>
      </c>
      <c r="AD181" s="13" t="e">
        <f>IF(YEAR($A181)=YEAR($A180),AVERAGE($AB$5:AB180,AB181),AB181)</f>
        <v>#REF!</v>
      </c>
    </row>
    <row r="182" spans="1:30">
      <c r="A182" s="35">
        <f t="shared" si="39"/>
        <v>45469</v>
      </c>
      <c r="C182" s="3">
        <v>595.63575668379997</v>
      </c>
      <c r="E182" s="7">
        <v>100</v>
      </c>
      <c r="F182" s="3">
        <v>7803.92</v>
      </c>
      <c r="G182" s="7">
        <v>85</v>
      </c>
      <c r="H182" s="5">
        <v>0.2673611111111111</v>
      </c>
      <c r="I182" s="5">
        <v>0.80208333333333337</v>
      </c>
      <c r="J182" s="7">
        <f t="shared" si="38"/>
        <v>12.833333333333336</v>
      </c>
      <c r="S182" s="21">
        <f t="shared" si="40"/>
        <v>595.63575668379997</v>
      </c>
      <c r="T182" s="6">
        <f t="shared" si="41"/>
        <v>14026.807356922302</v>
      </c>
      <c r="U182" s="6" t="e">
        <f t="shared" si="42"/>
        <v>#REF!</v>
      </c>
      <c r="V182" s="13">
        <f t="shared" si="43"/>
        <v>12.833333333333336</v>
      </c>
      <c r="W182" s="13">
        <f t="shared" si="44"/>
        <v>327.83333333333337</v>
      </c>
      <c r="X182" s="13">
        <f t="shared" si="45"/>
        <v>2086.4500000000003</v>
      </c>
      <c r="Y182" s="6">
        <f t="shared" si="46"/>
        <v>100</v>
      </c>
      <c r="Z182" s="13" t="e">
        <f>IF(MONTH($A182)=MONTH($A181),AVERAGE($Y$6:Y182),Y182)</f>
        <v>#REF!</v>
      </c>
      <c r="AA182" s="13" t="e">
        <f>IF(YEAR($A182)=YEAR($A181),AVERAGE($Y$5:Y182,Y182),Y182)</f>
        <v>#REF!</v>
      </c>
      <c r="AB182" s="13">
        <f t="shared" si="47"/>
        <v>85</v>
      </c>
      <c r="AC182" s="13" t="e">
        <f>IF(MONTH($A182)=MONTH($A181),AVERAGE($AB$5:AB182),AB182)</f>
        <v>#REF!</v>
      </c>
      <c r="AD182" s="13" t="e">
        <f>IF(YEAR($A182)=YEAR($A181),AVERAGE($AB$5:AB181,AB182),AB182)</f>
        <v>#REF!</v>
      </c>
    </row>
    <row r="183" spans="1:30">
      <c r="A183" s="35">
        <f t="shared" si="39"/>
        <v>45470</v>
      </c>
      <c r="C183" s="3">
        <v>657.60326673320003</v>
      </c>
      <c r="E183" s="7">
        <v>100</v>
      </c>
      <c r="F183" s="3">
        <v>8657.39</v>
      </c>
      <c r="G183" s="7">
        <v>84</v>
      </c>
      <c r="H183" s="5">
        <v>0.27430555555555552</v>
      </c>
      <c r="I183" s="5">
        <v>0.80555555555555547</v>
      </c>
      <c r="J183" s="7">
        <f t="shared" si="38"/>
        <v>12.75</v>
      </c>
      <c r="S183" s="21">
        <f t="shared" si="40"/>
        <v>657.60326673320003</v>
      </c>
      <c r="T183" s="6">
        <f t="shared" si="41"/>
        <v>14684.410623655502</v>
      </c>
      <c r="U183" s="6" t="e">
        <f t="shared" si="42"/>
        <v>#REF!</v>
      </c>
      <c r="V183" s="13">
        <f t="shared" si="43"/>
        <v>12.75</v>
      </c>
      <c r="W183" s="13">
        <f t="shared" si="44"/>
        <v>340.58333333333337</v>
      </c>
      <c r="X183" s="13">
        <f t="shared" si="45"/>
        <v>2099.2000000000003</v>
      </c>
      <c r="Y183" s="6">
        <f t="shared" si="46"/>
        <v>100</v>
      </c>
      <c r="Z183" s="13" t="e">
        <f>IF(MONTH($A183)=MONTH($A182),AVERAGE($Y$6:Y183),Y183)</f>
        <v>#REF!</v>
      </c>
      <c r="AA183" s="13" t="e">
        <f>IF(YEAR($A183)=YEAR($A182),AVERAGE($Y$5:Y183,Y183),Y183)</f>
        <v>#REF!</v>
      </c>
      <c r="AB183" s="13">
        <f t="shared" si="47"/>
        <v>84</v>
      </c>
      <c r="AC183" s="13" t="e">
        <f>IF(MONTH($A183)=MONTH($A182),AVERAGE($AB$5:AB183),AB183)</f>
        <v>#REF!</v>
      </c>
      <c r="AD183" s="13" t="e">
        <f>IF(YEAR($A183)=YEAR($A182),AVERAGE($AB$5:AB182,AB183),AB183)</f>
        <v>#REF!</v>
      </c>
    </row>
    <row r="184" spans="1:30" ht="30">
      <c r="A184" s="35">
        <f t="shared" si="39"/>
        <v>45471</v>
      </c>
      <c r="C184" s="3">
        <v>622.87955844139992</v>
      </c>
      <c r="E184" s="7">
        <v>99.8</v>
      </c>
      <c r="F184" s="3">
        <v>8272.85</v>
      </c>
      <c r="G184" s="7">
        <v>83</v>
      </c>
      <c r="H184" s="5">
        <v>0.27430555555555552</v>
      </c>
      <c r="I184" s="5">
        <v>0.80902777777777779</v>
      </c>
      <c r="J184" s="7">
        <f t="shared" si="38"/>
        <v>12.833333333333336</v>
      </c>
      <c r="M184" s="89">
        <f>0.33/18</f>
        <v>1.8333333333333333E-2</v>
      </c>
      <c r="Q184" s="84" t="s">
        <v>114</v>
      </c>
      <c r="S184" s="21">
        <f t="shared" si="40"/>
        <v>622.87955844139992</v>
      </c>
      <c r="T184" s="6">
        <f t="shared" si="41"/>
        <v>15307.290182096902</v>
      </c>
      <c r="U184" s="6" t="e">
        <f t="shared" si="42"/>
        <v>#REF!</v>
      </c>
      <c r="V184" s="13">
        <f t="shared" si="43"/>
        <v>12.833333333333336</v>
      </c>
      <c r="W184" s="13">
        <f t="shared" si="44"/>
        <v>353.41666666666669</v>
      </c>
      <c r="X184" s="13">
        <f t="shared" si="45"/>
        <v>2112.0333333333338</v>
      </c>
      <c r="Y184" s="6">
        <f t="shared" si="46"/>
        <v>99.8</v>
      </c>
      <c r="Z184" s="13" t="e">
        <f>IF(MONTH($A184)=MONTH($A183),AVERAGE($Y$6:Y184),Y184)</f>
        <v>#REF!</v>
      </c>
      <c r="AA184" s="13" t="e">
        <f>IF(YEAR($A184)=YEAR($A183),AVERAGE($Y$5:Y184,Y184),Y184)</f>
        <v>#REF!</v>
      </c>
      <c r="AB184" s="13">
        <f t="shared" si="47"/>
        <v>83</v>
      </c>
      <c r="AC184" s="13" t="e">
        <f>IF(MONTH($A184)=MONTH($A183),AVERAGE($AB$5:AB184),AB184)</f>
        <v>#REF!</v>
      </c>
      <c r="AD184" s="13" t="e">
        <f>IF(YEAR($A184)=YEAR($A183),AVERAGE($AB$5:AB183,AB184),AB184)</f>
        <v>#REF!</v>
      </c>
    </row>
    <row r="185" spans="1:30" s="4" customFormat="1">
      <c r="A185" s="35">
        <f t="shared" si="39"/>
        <v>45472</v>
      </c>
      <c r="C185" s="3">
        <v>651.53269786119995</v>
      </c>
      <c r="E185" s="7">
        <v>100</v>
      </c>
      <c r="F185" s="3">
        <v>8751.39</v>
      </c>
      <c r="G185" s="7">
        <v>82</v>
      </c>
      <c r="H185" s="5">
        <v>0.2638888888888889</v>
      </c>
      <c r="I185" s="5">
        <v>0.80902777777777779</v>
      </c>
      <c r="J185" s="7">
        <f t="shared" si="38"/>
        <v>13.083333333333332</v>
      </c>
      <c r="K185" s="15"/>
      <c r="M185" s="18"/>
      <c r="Q185" s="103"/>
      <c r="R185" s="15"/>
      <c r="S185" s="21">
        <f t="shared" si="40"/>
        <v>651.53269786119995</v>
      </c>
      <c r="T185" s="6">
        <f t="shared" si="41"/>
        <v>15958.822879958101</v>
      </c>
      <c r="U185" s="6" t="e">
        <f t="shared" si="42"/>
        <v>#REF!</v>
      </c>
      <c r="V185" s="13">
        <f t="shared" si="43"/>
        <v>13.083333333333332</v>
      </c>
      <c r="W185" s="13">
        <f t="shared" si="44"/>
        <v>366.5</v>
      </c>
      <c r="X185" s="13">
        <f t="shared" si="45"/>
        <v>2125.1166666666672</v>
      </c>
      <c r="Y185" s="6">
        <f t="shared" si="46"/>
        <v>100</v>
      </c>
      <c r="Z185" s="13" t="e">
        <f>IF(MONTH($A185)=MONTH($A184),AVERAGE($Y$6:Y185),Y185)</f>
        <v>#REF!</v>
      </c>
      <c r="AA185" s="13" t="e">
        <f>IF(YEAR($A185)=YEAR($A184),AVERAGE($Y$5:Y185,Y185),Y185)</f>
        <v>#REF!</v>
      </c>
      <c r="AB185" s="13">
        <f t="shared" si="47"/>
        <v>82</v>
      </c>
      <c r="AC185" s="13" t="e">
        <f>IF(MONTH($A185)=MONTH($A184),AVERAGE($AB$5:AB185),AB185)</f>
        <v>#REF!</v>
      </c>
      <c r="AD185" s="13" t="e">
        <f>IF(YEAR($A185)=YEAR($A184),AVERAGE($AB$5:AB184,AB185),AB185)</f>
        <v>#REF!</v>
      </c>
    </row>
    <row r="186" spans="1:30">
      <c r="A186" s="35">
        <f t="shared" si="39"/>
        <v>45473</v>
      </c>
      <c r="C186" s="3">
        <v>558.48732424550008</v>
      </c>
      <c r="E186" s="7">
        <v>100</v>
      </c>
      <c r="F186" s="3">
        <v>7554.46</v>
      </c>
      <c r="G186" s="7">
        <v>82</v>
      </c>
      <c r="H186" s="5">
        <v>0.2673611111111111</v>
      </c>
      <c r="I186" s="5">
        <v>0.80902777777777779</v>
      </c>
      <c r="J186" s="7">
        <f t="shared" si="38"/>
        <v>13.000000000000002</v>
      </c>
      <c r="S186" s="21">
        <f t="shared" si="40"/>
        <v>558.48732424550008</v>
      </c>
      <c r="T186" s="6">
        <f t="shared" si="41"/>
        <v>16517.310204203601</v>
      </c>
      <c r="U186" s="6" t="e">
        <f t="shared" si="42"/>
        <v>#REF!</v>
      </c>
      <c r="V186" s="13">
        <f t="shared" si="43"/>
        <v>13.000000000000002</v>
      </c>
      <c r="W186" s="13">
        <f t="shared" si="44"/>
        <v>379.5</v>
      </c>
      <c r="X186" s="13">
        <f t="shared" si="45"/>
        <v>2138.1166666666672</v>
      </c>
      <c r="Y186" s="6">
        <f t="shared" si="46"/>
        <v>100</v>
      </c>
      <c r="Z186" s="13" t="e">
        <f>IF(MONTH($A186)=MONTH($A185),AVERAGE($Y$6:Y186),Y186)</f>
        <v>#REF!</v>
      </c>
      <c r="AA186" s="13" t="e">
        <f>IF(YEAR($A186)=YEAR($A185),AVERAGE($Y$5:Y186,Y186),Y186)</f>
        <v>#REF!</v>
      </c>
      <c r="AB186" s="13">
        <f t="shared" si="47"/>
        <v>82</v>
      </c>
      <c r="AC186" s="13" t="e">
        <f>IF(MONTH($A186)=MONTH($A185),AVERAGE($AB$5:AB186),AB186)</f>
        <v>#REF!</v>
      </c>
      <c r="AD186" s="13" t="e">
        <f>IF(YEAR($A186)=YEAR($A185),AVERAGE($AB$5:AB185,AB186),AB186)</f>
        <v>#REF!</v>
      </c>
    </row>
    <row r="187" spans="1:30" ht="30">
      <c r="A187" s="35">
        <f t="shared" si="39"/>
        <v>45474</v>
      </c>
      <c r="C187" s="3">
        <v>641.62882144130003</v>
      </c>
      <c r="E187" s="7">
        <v>98.61</v>
      </c>
      <c r="F187" s="3">
        <v>8561.34</v>
      </c>
      <c r="G187" s="7">
        <v>83</v>
      </c>
      <c r="H187" s="5">
        <v>0.2638888888888889</v>
      </c>
      <c r="I187" s="5">
        <v>0.8125</v>
      </c>
      <c r="J187" s="7">
        <f t="shared" si="38"/>
        <v>13.166666666666668</v>
      </c>
      <c r="M187" s="89">
        <f>3.58/18</f>
        <v>0.19888888888888889</v>
      </c>
      <c r="Q187" s="84" t="s">
        <v>115</v>
      </c>
      <c r="S187" s="21">
        <f t="shared" si="40"/>
        <v>641.62882144130003</v>
      </c>
      <c r="T187" s="6">
        <f t="shared" si="41"/>
        <v>641.62882144130003</v>
      </c>
      <c r="U187" s="6" t="e">
        <f t="shared" si="42"/>
        <v>#REF!</v>
      </c>
      <c r="V187" s="13">
        <f t="shared" si="43"/>
        <v>13.166666666666668</v>
      </c>
      <c r="W187" s="13">
        <f t="shared" si="44"/>
        <v>13.166666666666668</v>
      </c>
      <c r="X187" s="13">
        <f t="shared" si="45"/>
        <v>2151.2833333333338</v>
      </c>
      <c r="Y187" s="6">
        <f t="shared" si="46"/>
        <v>98.61</v>
      </c>
      <c r="Z187" s="13">
        <f>IF(MONTH($A187)=MONTH($A186),AVERAGE($Y$6:Y187),Y187)</f>
        <v>98.61</v>
      </c>
      <c r="AA187" s="13" t="e">
        <f>IF(YEAR($A187)=YEAR($A186),AVERAGE($Y$5:Y187,Y187),Y187)</f>
        <v>#REF!</v>
      </c>
      <c r="AB187" s="13">
        <f t="shared" si="47"/>
        <v>83</v>
      </c>
      <c r="AC187" s="13">
        <f>IF(MONTH($A187)=MONTH($A186),AVERAGE($AB$5:AB187),AB187)</f>
        <v>83</v>
      </c>
      <c r="AD187" s="13" t="e">
        <f>IF(YEAR($A187)=YEAR($A186),AVERAGE($AB$5:AB186,AB187),AB187)</f>
        <v>#REF!</v>
      </c>
    </row>
    <row r="188" spans="1:30" s="4" customFormat="1">
      <c r="A188" s="35">
        <f t="shared" si="39"/>
        <v>45475</v>
      </c>
      <c r="C188" s="3">
        <v>389.87709933410002</v>
      </c>
      <c r="E188" s="7">
        <v>100</v>
      </c>
      <c r="F188" s="3">
        <v>4885.62</v>
      </c>
      <c r="G188" s="7">
        <v>88</v>
      </c>
      <c r="H188" s="5">
        <v>0.2638888888888889</v>
      </c>
      <c r="I188" s="5">
        <v>0.80555555555555547</v>
      </c>
      <c r="J188" s="7">
        <f t="shared" si="38"/>
        <v>12.999999999999996</v>
      </c>
      <c r="K188" s="15"/>
      <c r="Q188" s="103"/>
      <c r="R188" s="15"/>
      <c r="S188" s="21">
        <f t="shared" si="40"/>
        <v>389.87709933410002</v>
      </c>
      <c r="T188" s="6">
        <f t="shared" si="41"/>
        <v>1031.5059207754</v>
      </c>
      <c r="U188" s="6" t="e">
        <f t="shared" si="42"/>
        <v>#REF!</v>
      </c>
      <c r="V188" s="13">
        <f t="shared" si="43"/>
        <v>12.999999999999996</v>
      </c>
      <c r="W188" s="13">
        <f t="shared" si="44"/>
        <v>26.166666666666664</v>
      </c>
      <c r="X188" s="13">
        <f t="shared" si="45"/>
        <v>2164.2833333333338</v>
      </c>
      <c r="Y188" s="6">
        <f t="shared" si="46"/>
        <v>100</v>
      </c>
      <c r="Z188" s="13" t="e">
        <f>IF(MONTH($A188)=MONTH($A187),AVERAGE($Y$6:Y188),Y188)</f>
        <v>#REF!</v>
      </c>
      <c r="AA188" s="13" t="e">
        <f>IF(YEAR($A188)=YEAR($A187),AVERAGE($Y$5:Y188,Y188),Y188)</f>
        <v>#REF!</v>
      </c>
      <c r="AB188" s="13">
        <f t="shared" si="47"/>
        <v>88</v>
      </c>
      <c r="AC188" s="13" t="e">
        <f>IF(MONTH($A188)=MONTH($A187),AVERAGE($AB$5:AB188),AB188)</f>
        <v>#REF!</v>
      </c>
      <c r="AD188" s="13" t="e">
        <f>IF(YEAR($A188)=YEAR($A187),AVERAGE($AB$5:AB187,AB188),AB188)</f>
        <v>#REF!</v>
      </c>
    </row>
    <row r="189" spans="1:30">
      <c r="A189" s="35">
        <f t="shared" si="39"/>
        <v>45476</v>
      </c>
      <c r="B189" s="4"/>
      <c r="C189" s="3">
        <v>351.75771674250001</v>
      </c>
      <c r="D189" s="4"/>
      <c r="E189" s="7">
        <v>100</v>
      </c>
      <c r="F189" s="3">
        <v>4058.99</v>
      </c>
      <c r="G189" s="7">
        <v>96</v>
      </c>
      <c r="H189" s="5">
        <v>0.27777777777777779</v>
      </c>
      <c r="I189" s="5">
        <v>0.80555555555555547</v>
      </c>
      <c r="J189" s="7">
        <f t="shared" si="38"/>
        <v>12.666666666666664</v>
      </c>
      <c r="M189" s="7"/>
      <c r="Q189" s="84"/>
      <c r="S189" s="21">
        <f t="shared" si="40"/>
        <v>351.75771674250001</v>
      </c>
      <c r="T189" s="6">
        <f t="shared" si="41"/>
        <v>1383.2636375179</v>
      </c>
      <c r="U189" s="6" t="e">
        <f t="shared" si="42"/>
        <v>#REF!</v>
      </c>
      <c r="V189" s="13">
        <f t="shared" si="43"/>
        <v>12.666666666666664</v>
      </c>
      <c r="W189" s="13">
        <f t="shared" si="44"/>
        <v>38.833333333333329</v>
      </c>
      <c r="X189" s="13">
        <f t="shared" si="45"/>
        <v>2176.9500000000003</v>
      </c>
      <c r="Y189" s="6">
        <f t="shared" si="46"/>
        <v>100</v>
      </c>
      <c r="Z189" s="13" t="e">
        <f>IF(MONTH($A189)=MONTH($A188),AVERAGE($Y$6:Y189),Y189)</f>
        <v>#REF!</v>
      </c>
      <c r="AA189" s="13" t="e">
        <f>IF(YEAR($A189)=YEAR($A188),AVERAGE($Y$5:Y189,Y189),Y189)</f>
        <v>#REF!</v>
      </c>
      <c r="AB189" s="13">
        <f t="shared" si="47"/>
        <v>96</v>
      </c>
      <c r="AC189" s="13" t="e">
        <f>IF(MONTH($A189)=MONTH($A188),AVERAGE($AB$5:AB189),AB189)</f>
        <v>#REF!</v>
      </c>
      <c r="AD189" s="13" t="e">
        <f>IF(YEAR($A189)=YEAR($A188),AVERAGE($AB$5:AB188,AB189),AB189)</f>
        <v>#REF!</v>
      </c>
    </row>
    <row r="190" spans="1:30">
      <c r="A190" s="35">
        <f t="shared" si="39"/>
        <v>45477</v>
      </c>
      <c r="C190" s="3">
        <v>624.14880402439996</v>
      </c>
      <c r="E190" s="7">
        <v>100</v>
      </c>
      <c r="F190" s="3">
        <v>8202.11</v>
      </c>
      <c r="G190" s="7">
        <v>84</v>
      </c>
      <c r="H190" s="5">
        <v>0.2638888888888889</v>
      </c>
      <c r="I190" s="5">
        <v>0.80902777777777779</v>
      </c>
      <c r="J190" s="7">
        <f>(I190-H190)*24</f>
        <v>13.083333333333332</v>
      </c>
      <c r="L190" s="4"/>
      <c r="Q190" s="102"/>
      <c r="S190" s="21">
        <f t="shared" si="40"/>
        <v>624.14880402439996</v>
      </c>
      <c r="T190" s="6">
        <f t="shared" si="41"/>
        <v>2007.4124415422998</v>
      </c>
      <c r="U190" s="6" t="e">
        <f t="shared" si="42"/>
        <v>#REF!</v>
      </c>
      <c r="V190" s="13">
        <f t="shared" si="43"/>
        <v>13.083333333333332</v>
      </c>
      <c r="W190" s="13">
        <f t="shared" si="44"/>
        <v>51.916666666666657</v>
      </c>
      <c r="X190" s="13">
        <f t="shared" si="45"/>
        <v>2190.0333333333338</v>
      </c>
      <c r="Y190" s="6">
        <f t="shared" si="46"/>
        <v>100</v>
      </c>
      <c r="Z190" s="13" t="e">
        <f>IF(MONTH($A190)=MONTH($A189),AVERAGE($Y$6:Y190),Y190)</f>
        <v>#REF!</v>
      </c>
      <c r="AA190" s="13" t="e">
        <f>IF(YEAR($A190)=YEAR($A189),AVERAGE($Y$5:Y190,Y190),Y190)</f>
        <v>#REF!</v>
      </c>
      <c r="AB190" s="13">
        <f t="shared" si="47"/>
        <v>84</v>
      </c>
      <c r="AC190" s="13" t="e">
        <f>IF(MONTH($A190)=MONTH($A189),AVERAGE($AB$5:AB190),AB190)</f>
        <v>#REF!</v>
      </c>
      <c r="AD190" s="13" t="e">
        <f>IF(YEAR($A190)=YEAR($A189),AVERAGE($AB$5:AB189,AB190),AB190)</f>
        <v>#REF!</v>
      </c>
    </row>
    <row r="191" spans="1:30">
      <c r="A191" s="35">
        <f t="shared" si="39"/>
        <v>45478</v>
      </c>
      <c r="C191" s="3">
        <v>431.24415078340002</v>
      </c>
      <c r="E191" s="7">
        <v>100</v>
      </c>
      <c r="F191" s="3">
        <v>5688.94</v>
      </c>
      <c r="G191" s="7">
        <v>84</v>
      </c>
      <c r="H191" s="5">
        <v>0.27083333333333331</v>
      </c>
      <c r="I191" s="5">
        <v>0.80208333333333337</v>
      </c>
      <c r="J191" s="7">
        <f t="shared" ref="J191:J254" si="48">(I191-H191)*24</f>
        <v>12.75</v>
      </c>
      <c r="L191" s="4"/>
      <c r="Q191" s="84"/>
      <c r="S191" s="21">
        <f t="shared" si="40"/>
        <v>431.24415078340002</v>
      </c>
      <c r="T191" s="6">
        <f t="shared" si="41"/>
        <v>2438.6565923256999</v>
      </c>
      <c r="U191" s="6" t="e">
        <f t="shared" si="42"/>
        <v>#REF!</v>
      </c>
      <c r="V191" s="13">
        <f t="shared" si="43"/>
        <v>12.75</v>
      </c>
      <c r="W191" s="13">
        <f t="shared" si="44"/>
        <v>64.666666666666657</v>
      </c>
      <c r="X191" s="13">
        <f t="shared" si="45"/>
        <v>2202.7833333333338</v>
      </c>
      <c r="Y191" s="6">
        <f t="shared" si="46"/>
        <v>100</v>
      </c>
      <c r="Z191" s="13" t="e">
        <f>IF(MONTH($A191)=MONTH($A190),AVERAGE($Y$6:Y191),Y191)</f>
        <v>#REF!</v>
      </c>
      <c r="AA191" s="13" t="e">
        <f>IF(YEAR($A191)=YEAR($A190),AVERAGE($Y$5:Y191,Y191),Y191)</f>
        <v>#REF!</v>
      </c>
      <c r="AB191" s="13">
        <f t="shared" si="47"/>
        <v>84</v>
      </c>
      <c r="AC191" s="13" t="e">
        <f>IF(MONTH($A191)=MONTH($A190),AVERAGE($AB$5:AB191),AB191)</f>
        <v>#REF!</v>
      </c>
      <c r="AD191" s="13" t="e">
        <f>IF(YEAR($A191)=YEAR($A190),AVERAGE($AB$5:AB190,AB191),AB191)</f>
        <v>#REF!</v>
      </c>
    </row>
    <row r="192" spans="1:30">
      <c r="A192" s="35">
        <f t="shared" si="39"/>
        <v>45479</v>
      </c>
      <c r="C192" s="3">
        <v>625.01234526259998</v>
      </c>
      <c r="E192" s="7">
        <v>100</v>
      </c>
      <c r="F192" s="3">
        <v>8235.92</v>
      </c>
      <c r="G192" s="7">
        <v>84</v>
      </c>
      <c r="H192" s="5">
        <v>0.27430555555555552</v>
      </c>
      <c r="I192" s="5">
        <v>0.80555555555555547</v>
      </c>
      <c r="J192" s="7">
        <f t="shared" si="48"/>
        <v>12.75</v>
      </c>
      <c r="Q192" s="84"/>
      <c r="S192" s="21">
        <f t="shared" si="40"/>
        <v>625.01234526259998</v>
      </c>
      <c r="T192" s="6">
        <f t="shared" si="41"/>
        <v>3063.6689375882997</v>
      </c>
      <c r="U192" s="6" t="e">
        <f t="shared" si="42"/>
        <v>#REF!</v>
      </c>
      <c r="V192" s="13">
        <f t="shared" si="43"/>
        <v>12.75</v>
      </c>
      <c r="W192" s="13">
        <f t="shared" si="44"/>
        <v>77.416666666666657</v>
      </c>
      <c r="X192" s="13">
        <f t="shared" si="45"/>
        <v>2215.5333333333338</v>
      </c>
      <c r="Y192" s="6">
        <f t="shared" si="46"/>
        <v>100</v>
      </c>
      <c r="Z192" s="13" t="e">
        <f>IF(MONTH($A192)=MONTH($A191),AVERAGE($Y$6:Y192),Y192)</f>
        <v>#REF!</v>
      </c>
      <c r="AA192" s="13" t="e">
        <f>IF(YEAR($A192)=YEAR($A191),AVERAGE($Y$5:Y192,Y192),Y192)</f>
        <v>#REF!</v>
      </c>
      <c r="AB192" s="13">
        <f t="shared" si="47"/>
        <v>84</v>
      </c>
      <c r="AC192" s="13" t="e">
        <f>IF(MONTH($A192)=MONTH($A191),AVERAGE($AB$5:AB192),AB192)</f>
        <v>#REF!</v>
      </c>
      <c r="AD192" s="13" t="e">
        <f>IF(YEAR($A192)=YEAR($A191),AVERAGE($AB$5:AB191,AB192),AB192)</f>
        <v>#REF!</v>
      </c>
    </row>
    <row r="193" spans="1:30">
      <c r="A193" s="35">
        <f t="shared" si="39"/>
        <v>45480</v>
      </c>
      <c r="C193" s="3">
        <v>633.10729608200006</v>
      </c>
      <c r="E193" s="7">
        <v>100</v>
      </c>
      <c r="F193" s="3">
        <v>8313.14</v>
      </c>
      <c r="G193" s="7">
        <v>84</v>
      </c>
      <c r="H193" s="5">
        <v>0.27083333333333331</v>
      </c>
      <c r="I193" s="5">
        <v>0.80555555555555547</v>
      </c>
      <c r="J193" s="7">
        <f t="shared" si="48"/>
        <v>12.83333333333333</v>
      </c>
      <c r="S193" s="21">
        <f t="shared" si="40"/>
        <v>633.10729608200006</v>
      </c>
      <c r="T193" s="6">
        <f t="shared" si="41"/>
        <v>3696.7762336702999</v>
      </c>
      <c r="U193" s="6" t="e">
        <f t="shared" si="42"/>
        <v>#REF!</v>
      </c>
      <c r="V193" s="13">
        <f t="shared" si="43"/>
        <v>12.83333333333333</v>
      </c>
      <c r="W193" s="13">
        <f t="shared" si="44"/>
        <v>90.249999999999986</v>
      </c>
      <c r="X193" s="13">
        <f t="shared" si="45"/>
        <v>2228.3666666666672</v>
      </c>
      <c r="Y193" s="6">
        <f t="shared" si="46"/>
        <v>100</v>
      </c>
      <c r="Z193" s="13" t="e">
        <f>IF(MONTH($A193)=MONTH($A192),AVERAGE($Y$6:Y193),Y193)</f>
        <v>#REF!</v>
      </c>
      <c r="AA193" s="13" t="e">
        <f>IF(YEAR($A193)=YEAR($A192),AVERAGE($Y$5:Y193,Y193),Y193)</f>
        <v>#REF!</v>
      </c>
      <c r="AB193" s="13">
        <f t="shared" si="47"/>
        <v>84</v>
      </c>
      <c r="AC193" s="13" t="e">
        <f>IF(MONTH($A193)=MONTH($A192),AVERAGE($AB$5:AB193),AB193)</f>
        <v>#REF!</v>
      </c>
      <c r="AD193" s="13" t="e">
        <f>IF(YEAR($A193)=YEAR($A192),AVERAGE($AB$5:AB192,AB193),AB193)</f>
        <v>#REF!</v>
      </c>
    </row>
    <row r="194" spans="1:30" ht="30">
      <c r="A194" s="35">
        <f t="shared" si="39"/>
        <v>45481</v>
      </c>
      <c r="C194" s="3">
        <v>648.77863719959998</v>
      </c>
      <c r="E194" s="7">
        <v>97.28</v>
      </c>
      <c r="F194" s="3">
        <v>8990</v>
      </c>
      <c r="G194" s="7">
        <v>80</v>
      </c>
      <c r="H194" s="5">
        <v>0.27083333333333331</v>
      </c>
      <c r="I194" s="5">
        <v>0.80902777777777779</v>
      </c>
      <c r="J194" s="7">
        <f t="shared" si="48"/>
        <v>12.916666666666666</v>
      </c>
      <c r="M194" s="89">
        <f>6.6/18</f>
        <v>0.36666666666666664</v>
      </c>
      <c r="Q194" s="84" t="s">
        <v>116</v>
      </c>
      <c r="S194" s="21">
        <f t="shared" si="40"/>
        <v>648.77863719959998</v>
      </c>
      <c r="T194" s="6">
        <f t="shared" si="41"/>
        <v>4345.5548708698998</v>
      </c>
      <c r="U194" s="6" t="e">
        <f t="shared" si="42"/>
        <v>#REF!</v>
      </c>
      <c r="V194" s="13">
        <f t="shared" si="43"/>
        <v>12.916666666666666</v>
      </c>
      <c r="W194" s="13">
        <f t="shared" si="44"/>
        <v>103.16666666666666</v>
      </c>
      <c r="X194" s="13">
        <f t="shared" si="45"/>
        <v>2241.2833333333338</v>
      </c>
      <c r="Y194" s="6">
        <f t="shared" si="46"/>
        <v>97.28</v>
      </c>
      <c r="Z194" s="13" t="e">
        <f>IF(MONTH($A194)=MONTH($A193),AVERAGE($Y$6:Y194),Y194)</f>
        <v>#REF!</v>
      </c>
      <c r="AA194" s="13" t="e">
        <f>IF(YEAR($A194)=YEAR($A193),AVERAGE($Y$5:Y194,Y194),Y194)</f>
        <v>#REF!</v>
      </c>
      <c r="AB194" s="13">
        <f t="shared" si="47"/>
        <v>80</v>
      </c>
      <c r="AC194" s="13" t="e">
        <f>IF(MONTH($A194)=MONTH($A193),AVERAGE($AB$5:AB194),AB194)</f>
        <v>#REF!</v>
      </c>
      <c r="AD194" s="13" t="e">
        <f>IF(YEAR($A194)=YEAR($A193),AVERAGE($AB$5:AB193,AB194),AB194)</f>
        <v>#REF!</v>
      </c>
    </row>
    <row r="195" spans="1:30" ht="30">
      <c r="A195" s="35">
        <f t="shared" si="39"/>
        <v>45482</v>
      </c>
      <c r="C195" s="3">
        <v>475.70158174930003</v>
      </c>
      <c r="E195" s="7">
        <v>96.2</v>
      </c>
      <c r="F195" s="3">
        <v>6710</v>
      </c>
      <c r="G195" s="7">
        <v>78</v>
      </c>
      <c r="H195" s="5">
        <v>0.28472222222222221</v>
      </c>
      <c r="I195" s="5">
        <v>0.79861111111111116</v>
      </c>
      <c r="J195" s="7">
        <f t="shared" si="48"/>
        <v>12.333333333333336</v>
      </c>
      <c r="M195" s="89">
        <f>11.12/18</f>
        <v>0.61777777777777776</v>
      </c>
      <c r="Q195" s="84" t="s">
        <v>117</v>
      </c>
      <c r="S195" s="21">
        <f t="shared" si="40"/>
        <v>475.70158174930003</v>
      </c>
      <c r="T195" s="6">
        <f t="shared" si="41"/>
        <v>4821.2564526192</v>
      </c>
      <c r="U195" s="6" t="e">
        <f t="shared" si="42"/>
        <v>#REF!</v>
      </c>
      <c r="V195" s="13">
        <f t="shared" si="43"/>
        <v>12.333333333333336</v>
      </c>
      <c r="W195" s="13">
        <f t="shared" si="44"/>
        <v>115.5</v>
      </c>
      <c r="X195" s="13">
        <f t="shared" si="45"/>
        <v>2253.6166666666672</v>
      </c>
      <c r="Y195" s="6">
        <f t="shared" si="46"/>
        <v>96.2</v>
      </c>
      <c r="Z195" s="13" t="e">
        <f>IF(MONTH($A195)=MONTH($A194),AVERAGE($Y$6:Y195),Y195)</f>
        <v>#REF!</v>
      </c>
      <c r="AA195" s="13" t="e">
        <f>IF(YEAR($A195)=YEAR($A194),AVERAGE($Y$5:Y195,Y195),Y195)</f>
        <v>#REF!</v>
      </c>
      <c r="AB195" s="13">
        <f t="shared" si="47"/>
        <v>78</v>
      </c>
      <c r="AC195" s="13" t="e">
        <f>IF(MONTH($A195)=MONTH($A194),AVERAGE($AB$5:AB195),AB195)</f>
        <v>#REF!</v>
      </c>
      <c r="AD195" s="13" t="e">
        <f>IF(YEAR($A195)=YEAR($A194),AVERAGE($AB$5:AB194,AB195),AB195)</f>
        <v>#REF!</v>
      </c>
    </row>
    <row r="196" spans="1:30" ht="60">
      <c r="A196" s="35">
        <f t="shared" si="39"/>
        <v>45483</v>
      </c>
      <c r="C196" s="3">
        <v>382.63576450760002</v>
      </c>
      <c r="E196" s="7">
        <v>99.92</v>
      </c>
      <c r="F196" s="3">
        <v>5090</v>
      </c>
      <c r="G196" s="7">
        <v>83</v>
      </c>
      <c r="H196" s="5">
        <v>0.28819444444444442</v>
      </c>
      <c r="I196" s="5">
        <v>0.79861111111111116</v>
      </c>
      <c r="J196" s="7">
        <f t="shared" si="48"/>
        <v>12.250000000000002</v>
      </c>
      <c r="M196" s="89">
        <f>0.98/18</f>
        <v>5.4444444444444441E-2</v>
      </c>
      <c r="Q196" s="103" t="s">
        <v>118</v>
      </c>
      <c r="S196" s="21">
        <f t="shared" si="40"/>
        <v>382.63576450760002</v>
      </c>
      <c r="T196" s="6">
        <f t="shared" si="41"/>
        <v>5203.8922171268005</v>
      </c>
      <c r="U196" s="6" t="e">
        <f t="shared" si="42"/>
        <v>#REF!</v>
      </c>
      <c r="V196" s="13">
        <f t="shared" si="43"/>
        <v>12.250000000000002</v>
      </c>
      <c r="W196" s="13">
        <f t="shared" si="44"/>
        <v>127.75</v>
      </c>
      <c r="X196" s="13">
        <f t="shared" si="45"/>
        <v>2265.8666666666672</v>
      </c>
      <c r="Y196" s="6">
        <f t="shared" si="46"/>
        <v>99.92</v>
      </c>
      <c r="Z196" s="13" t="e">
        <f>IF(MONTH($A196)=MONTH($A195),AVERAGE($Y$6:Y196),Y196)</f>
        <v>#REF!</v>
      </c>
      <c r="AA196" s="13" t="e">
        <f>IF(YEAR($A196)=YEAR($A195),AVERAGE($Y$5:Y196,Y196),Y196)</f>
        <v>#REF!</v>
      </c>
      <c r="AB196" s="13">
        <f t="shared" si="47"/>
        <v>83</v>
      </c>
      <c r="AC196" s="13" t="e">
        <f>IF(MONTH($A196)=MONTH($A195),AVERAGE($AB$5:AB196),AB196)</f>
        <v>#REF!</v>
      </c>
      <c r="AD196" s="13" t="e">
        <f>IF(YEAR($A196)=YEAR($A195),AVERAGE($AB$5:AB195,AB196),AB196)</f>
        <v>#REF!</v>
      </c>
    </row>
    <row r="197" spans="1:30">
      <c r="A197" s="35">
        <f t="shared" si="39"/>
        <v>45484</v>
      </c>
      <c r="C197" s="3">
        <v>682.24406336899995</v>
      </c>
      <c r="E197" s="7">
        <v>100</v>
      </c>
      <c r="F197" s="3">
        <v>9201.77</v>
      </c>
      <c r="G197" s="7">
        <v>82</v>
      </c>
      <c r="H197" s="5">
        <v>0.27430555555555558</v>
      </c>
      <c r="I197" s="5">
        <v>0.80555555555555558</v>
      </c>
      <c r="J197" s="7">
        <f t="shared" si="48"/>
        <v>12.75</v>
      </c>
      <c r="L197" s="13"/>
      <c r="M197" s="89"/>
      <c r="Q197" s="84"/>
      <c r="S197" s="21">
        <f t="shared" si="40"/>
        <v>682.24406336899995</v>
      </c>
      <c r="T197" s="6">
        <f t="shared" si="41"/>
        <v>5886.1362804958007</v>
      </c>
      <c r="U197" s="6" t="e">
        <f t="shared" si="42"/>
        <v>#REF!</v>
      </c>
      <c r="V197" s="13">
        <f t="shared" si="43"/>
        <v>12.75</v>
      </c>
      <c r="W197" s="13">
        <f t="shared" si="44"/>
        <v>140.5</v>
      </c>
      <c r="X197" s="13">
        <f t="shared" si="45"/>
        <v>2278.6166666666672</v>
      </c>
      <c r="Y197" s="6">
        <f t="shared" si="46"/>
        <v>100</v>
      </c>
      <c r="Z197" s="13" t="e">
        <f>IF(MONTH($A197)=MONTH($A196),AVERAGE($Y$6:Y197),Y197)</f>
        <v>#REF!</v>
      </c>
      <c r="AA197" s="13" t="e">
        <f>IF(YEAR($A197)=YEAR($A196),AVERAGE($Y$5:Y197,Y197),Y197)</f>
        <v>#REF!</v>
      </c>
      <c r="AB197" s="13">
        <f t="shared" si="47"/>
        <v>82</v>
      </c>
      <c r="AC197" s="13" t="e">
        <f>IF(MONTH($A197)=MONTH($A196),AVERAGE($AB$5:AB197),AB197)</f>
        <v>#REF!</v>
      </c>
      <c r="AD197" s="13" t="e">
        <f>IF(YEAR($A197)=YEAR($A196),AVERAGE($AB$5:AB196,AB197),AB197)</f>
        <v>#REF!</v>
      </c>
    </row>
    <row r="198" spans="1:30" ht="30">
      <c r="A198" s="35">
        <f t="shared" si="39"/>
        <v>45485</v>
      </c>
      <c r="C198" s="3">
        <v>733.17190663550002</v>
      </c>
      <c r="E198" s="7">
        <v>99.92</v>
      </c>
      <c r="F198" s="3">
        <v>9930</v>
      </c>
      <c r="G198" s="7">
        <v>82</v>
      </c>
      <c r="H198" s="5">
        <v>0.2673611111111111</v>
      </c>
      <c r="I198" s="5">
        <v>0.80902777777777779</v>
      </c>
      <c r="J198" s="7">
        <f t="shared" si="48"/>
        <v>13.000000000000002</v>
      </c>
      <c r="L198" s="13"/>
      <c r="M198" s="89">
        <f>0.33/18</f>
        <v>1.8333333333333333E-2</v>
      </c>
      <c r="Q198" s="84" t="s">
        <v>119</v>
      </c>
      <c r="S198" s="21">
        <f t="shared" si="40"/>
        <v>733.17190663550002</v>
      </c>
      <c r="T198" s="6">
        <f t="shared" si="41"/>
        <v>6619.3081871313007</v>
      </c>
      <c r="U198" s="6" t="e">
        <f t="shared" si="42"/>
        <v>#REF!</v>
      </c>
      <c r="V198" s="13">
        <f t="shared" si="43"/>
        <v>13.000000000000002</v>
      </c>
      <c r="W198" s="13">
        <f t="shared" si="44"/>
        <v>153.5</v>
      </c>
      <c r="X198" s="13">
        <f t="shared" si="45"/>
        <v>2291.6166666666672</v>
      </c>
      <c r="Y198" s="6">
        <f t="shared" si="46"/>
        <v>99.92</v>
      </c>
      <c r="Z198" s="13" t="e">
        <f>IF(MONTH($A198)=MONTH($A197),AVERAGE($Y$6:Y198),Y198)</f>
        <v>#REF!</v>
      </c>
      <c r="AA198" s="13" t="e">
        <f>IF(YEAR($A198)=YEAR($A197),AVERAGE($Y$5:Y198,Y198),Y198)</f>
        <v>#REF!</v>
      </c>
      <c r="AB198" s="13">
        <f t="shared" si="47"/>
        <v>82</v>
      </c>
      <c r="AC198" s="13" t="e">
        <f>IF(MONTH($A198)=MONTH($A197),AVERAGE($AB$5:AB198),AB198)</f>
        <v>#REF!</v>
      </c>
      <c r="AD198" s="13" t="e">
        <f>IF(YEAR($A198)=YEAR($A197),AVERAGE($AB$5:AB197,AB198),AB198)</f>
        <v>#REF!</v>
      </c>
    </row>
    <row r="199" spans="1:30">
      <c r="A199" s="35">
        <f t="shared" ref="A199:A262" si="49">A198+1</f>
        <v>45486</v>
      </c>
      <c r="C199" s="3">
        <v>424.33773780839999</v>
      </c>
      <c r="E199" s="7">
        <v>100</v>
      </c>
      <c r="F199" s="3">
        <v>5540</v>
      </c>
      <c r="G199" s="7">
        <v>85</v>
      </c>
      <c r="H199" s="5">
        <v>0.27777777777777779</v>
      </c>
      <c r="I199" s="5">
        <v>0.78472222222222221</v>
      </c>
      <c r="J199" s="7">
        <f t="shared" si="48"/>
        <v>12.166666666666666</v>
      </c>
      <c r="L199" s="13"/>
      <c r="M199" s="89"/>
      <c r="Q199" s="84"/>
      <c r="S199" s="21">
        <f t="shared" si="40"/>
        <v>424.33773780839999</v>
      </c>
      <c r="T199" s="6">
        <f t="shared" si="41"/>
        <v>7043.6459249397003</v>
      </c>
      <c r="U199" s="6" t="e">
        <f t="shared" si="42"/>
        <v>#REF!</v>
      </c>
      <c r="V199" s="13">
        <f t="shared" si="43"/>
        <v>12.166666666666666</v>
      </c>
      <c r="W199" s="13">
        <f t="shared" si="44"/>
        <v>165.66666666666666</v>
      </c>
      <c r="X199" s="13">
        <f t="shared" si="45"/>
        <v>2303.7833333333338</v>
      </c>
      <c r="Y199" s="6">
        <f t="shared" si="46"/>
        <v>100</v>
      </c>
      <c r="Z199" s="13" t="e">
        <f>IF(MONTH($A199)=MONTH($A198),AVERAGE($Y$6:Y199),Y199)</f>
        <v>#REF!</v>
      </c>
      <c r="AA199" s="13" t="e">
        <f>IF(YEAR($A199)=YEAR($A198),AVERAGE($Y$5:Y199,Y199),Y199)</f>
        <v>#REF!</v>
      </c>
      <c r="AB199" s="13">
        <f t="shared" si="47"/>
        <v>85</v>
      </c>
      <c r="AC199" s="13" t="e">
        <f>IF(MONTH($A199)=MONTH($A198),AVERAGE($AB$5:AB199),AB199)</f>
        <v>#REF!</v>
      </c>
      <c r="AD199" s="13" t="e">
        <f>IF(YEAR($A199)=YEAR($A198),AVERAGE($AB$5:AB198,AB199),AB199)</f>
        <v>#REF!</v>
      </c>
    </row>
    <row r="200" spans="1:30">
      <c r="A200" s="35">
        <f t="shared" si="49"/>
        <v>45487</v>
      </c>
      <c r="C200" s="3">
        <v>525.42781939439999</v>
      </c>
      <c r="E200" s="7">
        <v>100</v>
      </c>
      <c r="F200" s="3">
        <v>6770</v>
      </c>
      <c r="G200" s="7">
        <v>86</v>
      </c>
      <c r="H200" s="5">
        <v>0.2951388888888889</v>
      </c>
      <c r="I200" s="5">
        <v>0.79861111111111116</v>
      </c>
      <c r="J200" s="7">
        <f t="shared" si="48"/>
        <v>12.083333333333336</v>
      </c>
      <c r="L200" s="13"/>
      <c r="M200" s="89"/>
      <c r="Q200" s="84"/>
      <c r="S200" s="21">
        <f t="shared" si="40"/>
        <v>525.42781939439999</v>
      </c>
      <c r="T200" s="6">
        <f t="shared" si="41"/>
        <v>7569.0737443341004</v>
      </c>
      <c r="U200" s="6" t="e">
        <f t="shared" si="42"/>
        <v>#REF!</v>
      </c>
      <c r="V200" s="13">
        <f t="shared" si="43"/>
        <v>12.083333333333336</v>
      </c>
      <c r="W200" s="13">
        <f t="shared" si="44"/>
        <v>177.75</v>
      </c>
      <c r="X200" s="13">
        <f t="shared" si="45"/>
        <v>2315.8666666666672</v>
      </c>
      <c r="Y200" s="6">
        <f t="shared" si="46"/>
        <v>100</v>
      </c>
      <c r="Z200" s="13" t="e">
        <f>IF(MONTH($A200)=MONTH($A199),AVERAGE($Y$6:Y200),Y200)</f>
        <v>#REF!</v>
      </c>
      <c r="AA200" s="13" t="e">
        <f>IF(YEAR($A200)=YEAR($A199),AVERAGE($Y$5:Y200,Y200),Y200)</f>
        <v>#REF!</v>
      </c>
      <c r="AB200" s="13">
        <f t="shared" si="47"/>
        <v>86</v>
      </c>
      <c r="AC200" s="13" t="e">
        <f>IF(MONTH($A200)=MONTH($A199),AVERAGE($AB$5:AB200),AB200)</f>
        <v>#REF!</v>
      </c>
      <c r="AD200" s="13" t="e">
        <f>IF(YEAR($A200)=YEAR($A199),AVERAGE($AB$5:AB199,AB200),AB200)</f>
        <v>#REF!</v>
      </c>
    </row>
    <row r="201" spans="1:30">
      <c r="A201" s="35">
        <f t="shared" si="49"/>
        <v>45488</v>
      </c>
      <c r="C201" s="3">
        <v>685.27285857419997</v>
      </c>
      <c r="E201" s="7">
        <v>100</v>
      </c>
      <c r="F201" s="3">
        <v>9339.06</v>
      </c>
      <c r="G201" s="7">
        <v>81</v>
      </c>
      <c r="H201" s="5">
        <v>0.28125</v>
      </c>
      <c r="I201" s="5">
        <v>0.80902777777777779</v>
      </c>
      <c r="J201" s="7">
        <f t="shared" si="48"/>
        <v>12.666666666666668</v>
      </c>
      <c r="M201" s="89"/>
      <c r="Q201" s="84"/>
      <c r="S201" s="21">
        <f t="shared" si="40"/>
        <v>685.27285857419997</v>
      </c>
      <c r="T201" s="6">
        <f t="shared" si="41"/>
        <v>8254.3466029083011</v>
      </c>
      <c r="U201" s="6" t="e">
        <f t="shared" si="42"/>
        <v>#REF!</v>
      </c>
      <c r="V201" s="13">
        <f t="shared" si="43"/>
        <v>12.666666666666668</v>
      </c>
      <c r="W201" s="13">
        <f t="shared" si="44"/>
        <v>190.41666666666666</v>
      </c>
      <c r="X201" s="13">
        <f t="shared" si="45"/>
        <v>2328.5333333333338</v>
      </c>
      <c r="Y201" s="6">
        <f t="shared" si="46"/>
        <v>100</v>
      </c>
      <c r="Z201" s="13" t="e">
        <f>IF(MONTH($A201)=MONTH($A200),AVERAGE($Y$6:Y201),Y201)</f>
        <v>#REF!</v>
      </c>
      <c r="AA201" s="13" t="e">
        <f>IF(YEAR($A201)=YEAR($A200),AVERAGE($Y$5:Y201,Y201),Y201)</f>
        <v>#REF!</v>
      </c>
      <c r="AB201" s="13">
        <f t="shared" si="47"/>
        <v>81</v>
      </c>
      <c r="AC201" s="13" t="e">
        <f>IF(MONTH($A201)=MONTH($A200),AVERAGE($AB$5:AB201),AB201)</f>
        <v>#REF!</v>
      </c>
      <c r="AD201" s="13" t="e">
        <f>IF(YEAR($A201)=YEAR($A200),AVERAGE($AB$5:AB200,AB201),AB201)</f>
        <v>#REF!</v>
      </c>
    </row>
    <row r="202" spans="1:30">
      <c r="A202" s="35">
        <f t="shared" si="49"/>
        <v>45489</v>
      </c>
      <c r="C202" s="3">
        <v>724.09447279970004</v>
      </c>
      <c r="E202" s="7">
        <v>100</v>
      </c>
      <c r="F202" s="3">
        <v>9900.68</v>
      </c>
      <c r="G202" s="7">
        <v>81</v>
      </c>
      <c r="H202" s="5">
        <v>0.27083333333333331</v>
      </c>
      <c r="I202" s="5">
        <v>0.8125</v>
      </c>
      <c r="J202" s="7">
        <f t="shared" si="48"/>
        <v>13.000000000000002</v>
      </c>
      <c r="M202" s="89"/>
      <c r="S202" s="21">
        <f t="shared" si="40"/>
        <v>724.09447279970004</v>
      </c>
      <c r="T202" s="6">
        <f t="shared" si="41"/>
        <v>8978.4410757080004</v>
      </c>
      <c r="U202" s="6" t="e">
        <f t="shared" si="42"/>
        <v>#REF!</v>
      </c>
      <c r="V202" s="13">
        <f t="shared" si="43"/>
        <v>13.000000000000002</v>
      </c>
      <c r="W202" s="13">
        <f t="shared" si="44"/>
        <v>203.41666666666666</v>
      </c>
      <c r="X202" s="13">
        <f t="shared" si="45"/>
        <v>2341.5333333333338</v>
      </c>
      <c r="Y202" s="6">
        <f t="shared" si="46"/>
        <v>100</v>
      </c>
      <c r="Z202" s="13" t="e">
        <f>IF(MONTH($A202)=MONTH($A201),AVERAGE($Y$6:Y202),Y202)</f>
        <v>#REF!</v>
      </c>
      <c r="AA202" s="13" t="e">
        <f>IF(YEAR($A202)=YEAR($A201),AVERAGE($Y$5:Y202,Y202),Y202)</f>
        <v>#REF!</v>
      </c>
      <c r="AB202" s="13">
        <f t="shared" si="47"/>
        <v>81</v>
      </c>
      <c r="AC202" s="13" t="e">
        <f>IF(MONTH($A202)=MONTH($A201),AVERAGE($AB$5:AB202),AB202)</f>
        <v>#REF!</v>
      </c>
      <c r="AD202" s="13" t="e">
        <f>IF(YEAR($A202)=YEAR($A201),AVERAGE($AB$5:AB201,AB202),AB202)</f>
        <v>#REF!</v>
      </c>
    </row>
    <row r="203" spans="1:30" ht="30">
      <c r="A203" s="35">
        <f t="shared" si="49"/>
        <v>45490</v>
      </c>
      <c r="C203" s="4">
        <v>597.90716709999992</v>
      </c>
      <c r="E203" s="7">
        <v>98.66</v>
      </c>
      <c r="F203" s="3">
        <v>8071.78</v>
      </c>
      <c r="G203" s="7">
        <v>82</v>
      </c>
      <c r="H203" s="5">
        <v>0.27083333333333331</v>
      </c>
      <c r="I203" s="5">
        <v>0.80902777777777779</v>
      </c>
      <c r="J203" s="7">
        <f t="shared" si="48"/>
        <v>12.916666666666666</v>
      </c>
      <c r="L203" s="4"/>
      <c r="M203" s="89">
        <f>2.5/18</f>
        <v>0.1388888888888889</v>
      </c>
      <c r="Q203" s="84" t="s">
        <v>120</v>
      </c>
      <c r="S203" s="21">
        <f t="shared" si="40"/>
        <v>597.90716709999992</v>
      </c>
      <c r="T203" s="6">
        <f t="shared" si="41"/>
        <v>9576.3482428080006</v>
      </c>
      <c r="U203" s="6" t="e">
        <f t="shared" si="42"/>
        <v>#REF!</v>
      </c>
      <c r="V203" s="13">
        <f t="shared" si="43"/>
        <v>12.916666666666666</v>
      </c>
      <c r="W203" s="13">
        <f t="shared" si="44"/>
        <v>216.33333333333331</v>
      </c>
      <c r="X203" s="13">
        <f t="shared" si="45"/>
        <v>2354.4500000000003</v>
      </c>
      <c r="Y203" s="6">
        <f t="shared" si="46"/>
        <v>98.66</v>
      </c>
      <c r="Z203" s="13" t="e">
        <f>IF(MONTH($A203)=MONTH($A202),AVERAGE($Y$6:Y203),Y203)</f>
        <v>#REF!</v>
      </c>
      <c r="AA203" s="13" t="e">
        <f>IF(YEAR($A203)=YEAR($A202),AVERAGE($Y$5:Y203,Y203),Y203)</f>
        <v>#REF!</v>
      </c>
      <c r="AB203" s="13">
        <f t="shared" si="47"/>
        <v>82</v>
      </c>
      <c r="AC203" s="13" t="e">
        <f>IF(MONTH($A203)=MONTH($A202),AVERAGE($AB$5:AB203),AB203)</f>
        <v>#REF!</v>
      </c>
      <c r="AD203" s="13" t="e">
        <f>IF(YEAR($A203)=YEAR($A202),AVERAGE($AB$5:AB202,AB203),AB203)</f>
        <v>#REF!</v>
      </c>
    </row>
    <row r="204" spans="1:30" ht="30">
      <c r="A204" s="35">
        <f t="shared" si="49"/>
        <v>45491</v>
      </c>
      <c r="C204" s="4">
        <v>561.2195530555</v>
      </c>
      <c r="E204" s="7">
        <v>97.41</v>
      </c>
      <c r="F204" s="3">
        <v>7689.11</v>
      </c>
      <c r="G204" s="7">
        <v>81</v>
      </c>
      <c r="H204" s="5">
        <v>0.27430555555555558</v>
      </c>
      <c r="I204" s="5">
        <v>0.78125</v>
      </c>
      <c r="J204" s="7">
        <f t="shared" si="48"/>
        <v>12.166666666666666</v>
      </c>
      <c r="L204" s="4"/>
      <c r="M204" s="89">
        <f>6.15/18</f>
        <v>0.34166666666666667</v>
      </c>
      <c r="Q204" s="84" t="s">
        <v>120</v>
      </c>
      <c r="S204" s="21">
        <f t="shared" si="40"/>
        <v>561.2195530555</v>
      </c>
      <c r="T204" s="6">
        <f t="shared" si="41"/>
        <v>10137.567795863501</v>
      </c>
      <c r="U204" s="6" t="e">
        <f t="shared" si="42"/>
        <v>#REF!</v>
      </c>
      <c r="V204" s="13">
        <f t="shared" si="43"/>
        <v>12.166666666666666</v>
      </c>
      <c r="W204" s="13">
        <f t="shared" si="44"/>
        <v>228.49999999999997</v>
      </c>
      <c r="X204" s="13">
        <f t="shared" si="45"/>
        <v>2366.6166666666668</v>
      </c>
      <c r="Y204" s="6">
        <f t="shared" si="46"/>
        <v>97.41</v>
      </c>
      <c r="Z204" s="13" t="e">
        <f>IF(MONTH($A204)=MONTH($A203),AVERAGE($Y$6:Y204),Y204)</f>
        <v>#REF!</v>
      </c>
      <c r="AA204" s="13" t="e">
        <f>IF(YEAR($A204)=YEAR($A203),AVERAGE($Y$5:Y204,Y204),Y204)</f>
        <v>#REF!</v>
      </c>
      <c r="AB204" s="13">
        <f t="shared" si="47"/>
        <v>81</v>
      </c>
      <c r="AC204" s="13" t="e">
        <f>IF(MONTH($A204)=MONTH($A203),AVERAGE($AB$5:AB204),AB204)</f>
        <v>#REF!</v>
      </c>
      <c r="AD204" s="13" t="e">
        <f>IF(YEAR($A204)=YEAR($A203),AVERAGE($AB$5:AB203,AB204),AB204)</f>
        <v>#REF!</v>
      </c>
    </row>
    <row r="205" spans="1:30" ht="30">
      <c r="A205" s="35">
        <f t="shared" si="49"/>
        <v>45492</v>
      </c>
      <c r="C205" s="3">
        <v>604.38451986710004</v>
      </c>
      <c r="E205" s="7">
        <v>99.71</v>
      </c>
      <c r="F205" s="3">
        <v>8034</v>
      </c>
      <c r="G205" s="7">
        <v>83</v>
      </c>
      <c r="H205" s="5">
        <v>0.28125</v>
      </c>
      <c r="I205" s="5">
        <v>0.80555555555555558</v>
      </c>
      <c r="J205" s="7">
        <f t="shared" si="48"/>
        <v>12.583333333333334</v>
      </c>
      <c r="M205" s="89">
        <f>0.48/18</f>
        <v>2.6666666666666665E-2</v>
      </c>
      <c r="Q205" s="84" t="s">
        <v>121</v>
      </c>
      <c r="S205" s="21">
        <f t="shared" si="40"/>
        <v>604.38451986710004</v>
      </c>
      <c r="T205" s="6">
        <f t="shared" si="41"/>
        <v>10741.952315730601</v>
      </c>
      <c r="U205" s="6" t="e">
        <f t="shared" si="42"/>
        <v>#REF!</v>
      </c>
      <c r="V205" s="13">
        <f t="shared" si="43"/>
        <v>12.583333333333334</v>
      </c>
      <c r="W205" s="13">
        <f t="shared" si="44"/>
        <v>241.08333333333331</v>
      </c>
      <c r="X205" s="13">
        <f t="shared" si="45"/>
        <v>2379.2000000000003</v>
      </c>
      <c r="Y205" s="6">
        <f t="shared" si="46"/>
        <v>99.71</v>
      </c>
      <c r="Z205" s="13" t="e">
        <f>IF(MONTH($A205)=MONTH($A204),AVERAGE($Y$6:Y205),Y205)</f>
        <v>#REF!</v>
      </c>
      <c r="AA205" s="13" t="e">
        <f>IF(YEAR($A205)=YEAR($A204),AVERAGE($Y$5:Y205,Y205),Y205)</f>
        <v>#REF!</v>
      </c>
      <c r="AB205" s="13">
        <f t="shared" si="47"/>
        <v>83</v>
      </c>
      <c r="AC205" s="13" t="e">
        <f>IF(MONTH($A205)=MONTH($A204),AVERAGE($AB$5:AB205),AB205)</f>
        <v>#REF!</v>
      </c>
      <c r="AD205" s="13" t="e">
        <f>IF(YEAR($A205)=YEAR($A204),AVERAGE($AB$5:AB204,AB205),AB205)</f>
        <v>#REF!</v>
      </c>
    </row>
    <row r="206" spans="1:30">
      <c r="A206" s="35">
        <f t="shared" si="49"/>
        <v>45493</v>
      </c>
      <c r="C206" s="3">
        <v>295.31457342109996</v>
      </c>
      <c r="E206" s="7">
        <v>100</v>
      </c>
      <c r="F206" s="3">
        <v>3832.86</v>
      </c>
      <c r="G206" s="7">
        <v>86</v>
      </c>
      <c r="H206" s="5">
        <v>0.28125</v>
      </c>
      <c r="I206" s="5">
        <v>0.79513888888888884</v>
      </c>
      <c r="J206" s="7">
        <f t="shared" si="48"/>
        <v>12.333333333333332</v>
      </c>
      <c r="M206" s="89"/>
      <c r="Q206" s="84"/>
      <c r="S206" s="21">
        <f t="shared" si="40"/>
        <v>295.31457342109996</v>
      </c>
      <c r="T206" s="6">
        <f t="shared" si="41"/>
        <v>11037.266889151701</v>
      </c>
      <c r="U206" s="6" t="e">
        <f t="shared" si="42"/>
        <v>#REF!</v>
      </c>
      <c r="V206" s="13">
        <f t="shared" si="43"/>
        <v>12.333333333333332</v>
      </c>
      <c r="W206" s="13">
        <f t="shared" si="44"/>
        <v>253.41666666666666</v>
      </c>
      <c r="X206" s="13">
        <f t="shared" si="45"/>
        <v>2391.5333333333338</v>
      </c>
      <c r="Y206" s="6">
        <f t="shared" si="46"/>
        <v>100</v>
      </c>
      <c r="Z206" s="13" t="e">
        <f>IF(MONTH($A206)=MONTH($A205),AVERAGE($Y$6:Y206),Y206)</f>
        <v>#REF!</v>
      </c>
      <c r="AA206" s="13" t="e">
        <f>IF(YEAR($A206)=YEAR($A205),AVERAGE($Y$5:Y206,Y206),Y206)</f>
        <v>#REF!</v>
      </c>
      <c r="AB206" s="13">
        <f t="shared" si="47"/>
        <v>86</v>
      </c>
      <c r="AC206" s="13" t="e">
        <f>IF(MONTH($A206)=MONTH($A205),AVERAGE($AB$5:AB206),AB206)</f>
        <v>#REF!</v>
      </c>
      <c r="AD206" s="13" t="e">
        <f>IF(YEAR($A206)=YEAR($A205),AVERAGE($AB$5:AB205,AB206),AB206)</f>
        <v>#REF!</v>
      </c>
    </row>
    <row r="207" spans="1:30" ht="30">
      <c r="A207" s="35">
        <f t="shared" si="49"/>
        <v>45494</v>
      </c>
      <c r="C207" s="3">
        <v>642.5861391894</v>
      </c>
      <c r="E207" s="7">
        <v>96.74</v>
      </c>
      <c r="F207" s="3">
        <v>8870.15</v>
      </c>
      <c r="G207" s="7">
        <v>80</v>
      </c>
      <c r="H207" s="5">
        <v>0.27430555555555558</v>
      </c>
      <c r="I207" s="5">
        <v>0.80555555555555558</v>
      </c>
      <c r="J207" s="7">
        <f t="shared" si="48"/>
        <v>12.75</v>
      </c>
      <c r="L207" s="4"/>
      <c r="M207" s="89">
        <f>7.05/18</f>
        <v>0.39166666666666666</v>
      </c>
      <c r="Q207" s="84" t="s">
        <v>122</v>
      </c>
      <c r="S207" s="21">
        <f t="shared" si="40"/>
        <v>642.5861391894</v>
      </c>
      <c r="T207" s="6">
        <f t="shared" si="41"/>
        <v>11679.8530283411</v>
      </c>
      <c r="U207" s="6" t="e">
        <f t="shared" si="42"/>
        <v>#REF!</v>
      </c>
      <c r="V207" s="13">
        <f t="shared" si="43"/>
        <v>12.75</v>
      </c>
      <c r="W207" s="13">
        <f t="shared" si="44"/>
        <v>266.16666666666663</v>
      </c>
      <c r="X207" s="13">
        <f t="shared" si="45"/>
        <v>2404.2833333333338</v>
      </c>
      <c r="Y207" s="6">
        <f t="shared" si="46"/>
        <v>96.74</v>
      </c>
      <c r="Z207" s="13" t="e">
        <f>IF(MONTH($A207)=MONTH($A206),AVERAGE($Y$6:Y207),Y207)</f>
        <v>#REF!</v>
      </c>
      <c r="AA207" s="13" t="e">
        <f>IF(YEAR($A207)=YEAR($A206),AVERAGE($Y$5:Y207,Y207),Y207)</f>
        <v>#REF!</v>
      </c>
      <c r="AB207" s="13">
        <f t="shared" si="47"/>
        <v>80</v>
      </c>
      <c r="AC207" s="13" t="e">
        <f>IF(MONTH($A207)=MONTH($A206),AVERAGE($AB$5:AB207),AB207)</f>
        <v>#REF!</v>
      </c>
      <c r="AD207" s="13" t="e">
        <f>IF(YEAR($A207)=YEAR($A206),AVERAGE($AB$5:AB206,AB207),AB207)</f>
        <v>#REF!</v>
      </c>
    </row>
    <row r="208" spans="1:30" ht="60">
      <c r="A208" s="35">
        <f t="shared" si="49"/>
        <v>45495</v>
      </c>
      <c r="C208" s="3">
        <v>570.35188769530009</v>
      </c>
      <c r="E208" s="7">
        <v>96.41</v>
      </c>
      <c r="F208" s="3">
        <v>8270.89</v>
      </c>
      <c r="G208" s="7">
        <v>76</v>
      </c>
      <c r="H208" s="5">
        <v>0.27430555555555558</v>
      </c>
      <c r="I208" s="5">
        <v>0.80902777777777779</v>
      </c>
      <c r="J208" s="7">
        <f t="shared" si="48"/>
        <v>12.833333333333332</v>
      </c>
      <c r="M208" s="89">
        <f>9.68/18</f>
        <v>0.5377777777777778</v>
      </c>
      <c r="Q208" s="84" t="s">
        <v>123</v>
      </c>
      <c r="S208" s="21">
        <f t="shared" si="40"/>
        <v>570.35188769530009</v>
      </c>
      <c r="T208" s="6">
        <f t="shared" si="41"/>
        <v>12250.2049160364</v>
      </c>
      <c r="U208" s="6" t="e">
        <f t="shared" si="42"/>
        <v>#REF!</v>
      </c>
      <c r="V208" s="13">
        <f t="shared" si="43"/>
        <v>12.833333333333332</v>
      </c>
      <c r="W208" s="13">
        <f t="shared" si="44"/>
        <v>278.99999999999994</v>
      </c>
      <c r="X208" s="13">
        <f t="shared" si="45"/>
        <v>2417.1166666666672</v>
      </c>
      <c r="Y208" s="6">
        <f t="shared" si="46"/>
        <v>96.41</v>
      </c>
      <c r="Z208" s="13" t="e">
        <f>IF(MONTH($A208)=MONTH($A207),AVERAGE($Y$6:Y208),Y208)</f>
        <v>#REF!</v>
      </c>
      <c r="AA208" s="13" t="e">
        <f>IF(YEAR($A208)=YEAR($A207),AVERAGE($Y$5:Y208,Y208),Y208)</f>
        <v>#REF!</v>
      </c>
      <c r="AB208" s="13">
        <f t="shared" si="47"/>
        <v>76</v>
      </c>
      <c r="AC208" s="13" t="e">
        <f>IF(MONTH($A208)=MONTH($A207),AVERAGE($AB$5:AB208),AB208)</f>
        <v>#REF!</v>
      </c>
      <c r="AD208" s="13" t="e">
        <f>IF(YEAR($A208)=YEAR($A207),AVERAGE($AB$5:AB207,AB208),AB208)</f>
        <v>#REF!</v>
      </c>
    </row>
    <row r="209" spans="1:30" ht="75">
      <c r="A209" s="35">
        <f t="shared" si="49"/>
        <v>45496</v>
      </c>
      <c r="C209" s="3">
        <v>698.42537936470001</v>
      </c>
      <c r="E209" s="7">
        <v>98.45</v>
      </c>
      <c r="F209" s="3">
        <v>9982.4500000000007</v>
      </c>
      <c r="G209" s="7">
        <v>77</v>
      </c>
      <c r="H209" s="5">
        <v>0.27430555555555558</v>
      </c>
      <c r="I209" s="5">
        <v>0.80555555555555558</v>
      </c>
      <c r="J209" s="7">
        <f t="shared" si="48"/>
        <v>12.75</v>
      </c>
      <c r="M209" s="89">
        <f>1.55/18</f>
        <v>8.611111111111111E-2</v>
      </c>
      <c r="Q209" s="84" t="s">
        <v>124</v>
      </c>
      <c r="S209" s="21">
        <f t="shared" si="40"/>
        <v>698.42537936470001</v>
      </c>
      <c r="T209" s="6">
        <f t="shared" si="41"/>
        <v>12948.630295401101</v>
      </c>
      <c r="U209" s="6" t="e">
        <f t="shared" si="42"/>
        <v>#REF!</v>
      </c>
      <c r="V209" s="13">
        <f t="shared" si="43"/>
        <v>12.75</v>
      </c>
      <c r="W209" s="13">
        <f t="shared" si="44"/>
        <v>291.74999999999994</v>
      </c>
      <c r="X209" s="13">
        <f t="shared" si="45"/>
        <v>2429.8666666666672</v>
      </c>
      <c r="Y209" s="6">
        <f t="shared" si="46"/>
        <v>98.45</v>
      </c>
      <c r="Z209" s="13" t="e">
        <f>IF(MONTH($A209)=MONTH($A208),AVERAGE($Y$6:Y209),Y209)</f>
        <v>#REF!</v>
      </c>
      <c r="AA209" s="13" t="e">
        <f>IF(YEAR($A209)=YEAR($A208),AVERAGE($Y$5:Y209,Y209),Y209)</f>
        <v>#REF!</v>
      </c>
      <c r="AB209" s="13">
        <f t="shared" si="47"/>
        <v>77</v>
      </c>
      <c r="AC209" s="13" t="e">
        <f>IF(MONTH($A209)=MONTH($A208),AVERAGE($AB$5:AB209),AB209)</f>
        <v>#REF!</v>
      </c>
      <c r="AD209" s="13" t="e">
        <f>IF(YEAR($A209)=YEAR($A208),AVERAGE($AB$5:AB208,AB209),AB209)</f>
        <v>#REF!</v>
      </c>
    </row>
    <row r="210" spans="1:30" ht="45">
      <c r="A210" s="35">
        <f t="shared" si="49"/>
        <v>45497</v>
      </c>
      <c r="C210" s="3">
        <v>671.29540515959991</v>
      </c>
      <c r="E210" s="7">
        <v>99.79</v>
      </c>
      <c r="F210" s="3">
        <v>9183.6299999999992</v>
      </c>
      <c r="G210" s="7">
        <v>80.78</v>
      </c>
      <c r="H210" s="5">
        <v>0.27430555555555558</v>
      </c>
      <c r="I210" s="5">
        <v>0.80902777777777779</v>
      </c>
      <c r="J210" s="7">
        <f t="shared" si="48"/>
        <v>12.833333333333332</v>
      </c>
      <c r="L210" s="4"/>
      <c r="M210" s="89">
        <f>0.75/18</f>
        <v>4.1666666666666664E-2</v>
      </c>
      <c r="Q210" s="84" t="s">
        <v>125</v>
      </c>
      <c r="S210" s="21">
        <f t="shared" ref="S210:S273" si="50">C210</f>
        <v>671.29540515959991</v>
      </c>
      <c r="T210" s="6">
        <f t="shared" ref="T210:T273" si="51">IF(MONTH($A210)=MONTH($A209),T209+S210,S210)</f>
        <v>13619.925700560701</v>
      </c>
      <c r="U210" s="6" t="e">
        <f t="shared" ref="U210:U273" si="52">IF(YEAR($A210)=YEAR($A209),U209+S210,S210)</f>
        <v>#REF!</v>
      </c>
      <c r="V210" s="13">
        <f t="shared" ref="V210:V273" si="53">J210</f>
        <v>12.833333333333332</v>
      </c>
      <c r="W210" s="13">
        <f t="shared" ref="W210:W273" si="54">IF(MONTH($A210)=MONTH($A209),W209+V210,V210)</f>
        <v>304.58333333333326</v>
      </c>
      <c r="X210" s="13">
        <f t="shared" ref="X210:X273" si="55">IF(YEAR($A210)=YEAR($A209),X209+V210,V210)</f>
        <v>2442.7000000000007</v>
      </c>
      <c r="Y210" s="6">
        <f t="shared" ref="Y210:Y273" si="56">E210</f>
        <v>99.79</v>
      </c>
      <c r="Z210" s="13" t="e">
        <f>IF(MONTH($A210)=MONTH($A209),AVERAGE($Y$6:Y210),Y210)</f>
        <v>#REF!</v>
      </c>
      <c r="AA210" s="13" t="e">
        <f>IF(YEAR($A210)=YEAR($A209),AVERAGE($Y$5:Y210,Y210),Y210)</f>
        <v>#REF!</v>
      </c>
      <c r="AB210" s="13">
        <f t="shared" ref="AB210:AB273" si="57">G210</f>
        <v>80.78</v>
      </c>
      <c r="AC210" s="13" t="e">
        <f>IF(MONTH($A210)=MONTH($A209),AVERAGE($AB$5:AB210),AB210)</f>
        <v>#REF!</v>
      </c>
      <c r="AD210" s="13" t="e">
        <f>IF(YEAR($A210)=YEAR($A209),AVERAGE($AB$5:AB209,AB210),AB210)</f>
        <v>#REF!</v>
      </c>
    </row>
    <row r="211" spans="1:30" ht="45">
      <c r="A211" s="35">
        <f t="shared" si="49"/>
        <v>45498</v>
      </c>
      <c r="C211" s="3">
        <v>460.20827034000001</v>
      </c>
      <c r="E211" s="7">
        <v>99.92</v>
      </c>
      <c r="F211" s="3">
        <v>6197.71</v>
      </c>
      <c r="G211" s="7">
        <v>82.06</v>
      </c>
      <c r="H211" s="5">
        <v>0.28125</v>
      </c>
      <c r="I211" s="5">
        <v>0.79166666666666663</v>
      </c>
      <c r="J211" s="7">
        <f t="shared" si="48"/>
        <v>12.25</v>
      </c>
      <c r="L211" s="7"/>
      <c r="M211" s="89">
        <f>0.3/18</f>
        <v>1.6666666666666666E-2</v>
      </c>
      <c r="Q211" s="84" t="s">
        <v>126</v>
      </c>
      <c r="S211" s="21">
        <f t="shared" si="50"/>
        <v>460.20827034000001</v>
      </c>
      <c r="T211" s="6">
        <f t="shared" si="51"/>
        <v>14080.133970900701</v>
      </c>
      <c r="U211" s="6" t="e">
        <f t="shared" si="52"/>
        <v>#REF!</v>
      </c>
      <c r="V211" s="13">
        <f t="shared" si="53"/>
        <v>12.25</v>
      </c>
      <c r="W211" s="13">
        <f t="shared" si="54"/>
        <v>316.83333333333326</v>
      </c>
      <c r="X211" s="13">
        <f t="shared" si="55"/>
        <v>2454.9500000000007</v>
      </c>
      <c r="Y211" s="6">
        <f t="shared" si="56"/>
        <v>99.92</v>
      </c>
      <c r="Z211" s="13" t="e">
        <f>IF(MONTH($A211)=MONTH($A210),AVERAGE($Y$6:Y211),Y211)</f>
        <v>#REF!</v>
      </c>
      <c r="AA211" s="13" t="e">
        <f>IF(YEAR($A211)=YEAR($A210),AVERAGE($Y$5:Y211,Y211),Y211)</f>
        <v>#REF!</v>
      </c>
      <c r="AB211" s="13">
        <f t="shared" si="57"/>
        <v>82.06</v>
      </c>
      <c r="AC211" s="13" t="e">
        <f>IF(MONTH($A211)=MONTH($A210),AVERAGE($AB$5:AB211),AB211)</f>
        <v>#REF!</v>
      </c>
      <c r="AD211" s="13" t="e">
        <f>IF(YEAR($A211)=YEAR($A210),AVERAGE($AB$5:AB210,AB211),AB211)</f>
        <v>#REF!</v>
      </c>
    </row>
    <row r="212" spans="1:30">
      <c r="A212" s="35">
        <f t="shared" si="49"/>
        <v>45499</v>
      </c>
      <c r="C212" s="3">
        <v>400.34331582269999</v>
      </c>
      <c r="E212" s="7">
        <v>99.42</v>
      </c>
      <c r="F212" s="3">
        <v>4876.6000000000004</v>
      </c>
      <c r="G212" s="7">
        <v>88</v>
      </c>
      <c r="H212" s="5">
        <v>0.27777777777777779</v>
      </c>
      <c r="I212" s="5">
        <v>0.80555555555555558</v>
      </c>
      <c r="J212" s="7">
        <f t="shared" si="48"/>
        <v>12.666666666666668</v>
      </c>
      <c r="L212" s="7"/>
      <c r="M212" s="89">
        <f>2.17/18</f>
        <v>0.12055555555555555</v>
      </c>
      <c r="Q212" s="84" t="s">
        <v>127</v>
      </c>
      <c r="S212" s="21">
        <f t="shared" si="50"/>
        <v>400.34331582269999</v>
      </c>
      <c r="T212" s="6">
        <f t="shared" si="51"/>
        <v>14480.477286723401</v>
      </c>
      <c r="U212" s="6" t="e">
        <f t="shared" si="52"/>
        <v>#REF!</v>
      </c>
      <c r="V212" s="13">
        <f t="shared" si="53"/>
        <v>12.666666666666668</v>
      </c>
      <c r="W212" s="13">
        <f t="shared" si="54"/>
        <v>329.49999999999994</v>
      </c>
      <c r="X212" s="13">
        <f t="shared" si="55"/>
        <v>2467.6166666666672</v>
      </c>
      <c r="Y212" s="6">
        <f t="shared" si="56"/>
        <v>99.42</v>
      </c>
      <c r="Z212" s="13" t="e">
        <f>IF(MONTH($A212)=MONTH($A211),AVERAGE($Y$6:Y212),Y212)</f>
        <v>#REF!</v>
      </c>
      <c r="AA212" s="13" t="e">
        <f>IF(YEAR($A212)=YEAR($A211),AVERAGE($Y$5:Y212,Y212),Y212)</f>
        <v>#REF!</v>
      </c>
      <c r="AB212" s="13">
        <f t="shared" si="57"/>
        <v>88</v>
      </c>
      <c r="AC212" s="13" t="e">
        <f>IF(MONTH($A212)=MONTH($A211),AVERAGE($AB$5:AB212),AB212)</f>
        <v>#REF!</v>
      </c>
      <c r="AD212" s="13" t="e">
        <f>IF(YEAR($A212)=YEAR($A211),AVERAGE($AB$5:AB211,AB212),AB212)</f>
        <v>#REF!</v>
      </c>
    </row>
    <row r="213" spans="1:30">
      <c r="A213" s="35">
        <f t="shared" si="49"/>
        <v>45500</v>
      </c>
      <c r="C213" s="3">
        <v>420.94459037029998</v>
      </c>
      <c r="E213" s="7">
        <v>100</v>
      </c>
      <c r="F213" s="3">
        <v>5380</v>
      </c>
      <c r="G213" s="7">
        <v>86.3</v>
      </c>
      <c r="H213" s="5">
        <v>0.27777777777777779</v>
      </c>
      <c r="I213" s="5">
        <v>0.79861111111111116</v>
      </c>
      <c r="J213" s="7">
        <f t="shared" si="48"/>
        <v>12.5</v>
      </c>
      <c r="L213" s="7"/>
      <c r="Q213" s="84"/>
      <c r="S213" s="21">
        <f t="shared" si="50"/>
        <v>420.94459037029998</v>
      </c>
      <c r="T213" s="6">
        <f t="shared" si="51"/>
        <v>14901.4218770937</v>
      </c>
      <c r="U213" s="6" t="e">
        <f t="shared" si="52"/>
        <v>#REF!</v>
      </c>
      <c r="V213" s="13">
        <f t="shared" si="53"/>
        <v>12.5</v>
      </c>
      <c r="W213" s="13">
        <f t="shared" si="54"/>
        <v>341.99999999999994</v>
      </c>
      <c r="X213" s="13">
        <f t="shared" si="55"/>
        <v>2480.1166666666672</v>
      </c>
      <c r="Y213" s="6">
        <f t="shared" si="56"/>
        <v>100</v>
      </c>
      <c r="Z213" s="13" t="e">
        <f>IF(MONTH($A213)=MONTH($A212),AVERAGE($Y$6:Y213),Y213)</f>
        <v>#REF!</v>
      </c>
      <c r="AA213" s="13" t="e">
        <f>IF(YEAR($A213)=YEAR($A212),AVERAGE($Y$5:Y213,Y213),Y213)</f>
        <v>#REF!</v>
      </c>
      <c r="AB213" s="13">
        <f t="shared" si="57"/>
        <v>86.3</v>
      </c>
      <c r="AC213" s="13" t="e">
        <f>IF(MONTH($A213)=MONTH($A212),AVERAGE($AB$5:AB213),AB213)</f>
        <v>#REF!</v>
      </c>
      <c r="AD213" s="13" t="e">
        <f>IF(YEAR($A213)=YEAR($A212),AVERAGE($AB$5:AB212,AB213),AB213)</f>
        <v>#REF!</v>
      </c>
    </row>
    <row r="214" spans="1:30">
      <c r="A214" s="35">
        <f t="shared" si="49"/>
        <v>45501</v>
      </c>
      <c r="C214" s="3">
        <v>411.67418472269998</v>
      </c>
      <c r="E214" s="7">
        <v>100</v>
      </c>
      <c r="F214" s="3">
        <v>4870</v>
      </c>
      <c r="G214" s="7">
        <v>88.19</v>
      </c>
      <c r="H214" s="5">
        <v>0.27777777777777779</v>
      </c>
      <c r="I214" s="5">
        <v>0.80555555555555558</v>
      </c>
      <c r="J214" s="7">
        <f t="shared" si="48"/>
        <v>12.666666666666668</v>
      </c>
      <c r="L214" s="7"/>
      <c r="M214" s="7"/>
      <c r="Q214" s="84"/>
      <c r="S214" s="21">
        <f t="shared" si="50"/>
        <v>411.67418472269998</v>
      </c>
      <c r="T214" s="6">
        <f t="shared" si="51"/>
        <v>15313.096061816401</v>
      </c>
      <c r="U214" s="6" t="e">
        <f t="shared" si="52"/>
        <v>#REF!</v>
      </c>
      <c r="V214" s="13">
        <f t="shared" si="53"/>
        <v>12.666666666666668</v>
      </c>
      <c r="W214" s="13">
        <f t="shared" si="54"/>
        <v>354.66666666666663</v>
      </c>
      <c r="X214" s="13">
        <f t="shared" si="55"/>
        <v>2492.7833333333338</v>
      </c>
      <c r="Y214" s="6">
        <f t="shared" si="56"/>
        <v>100</v>
      </c>
      <c r="Z214" s="13" t="e">
        <f>IF(MONTH($A214)=MONTH($A213),AVERAGE($Y$6:Y214),Y214)</f>
        <v>#REF!</v>
      </c>
      <c r="AA214" s="13" t="e">
        <f>IF(YEAR($A214)=YEAR($A213),AVERAGE($Y$5:Y214,Y214),Y214)</f>
        <v>#REF!</v>
      </c>
      <c r="AB214" s="13">
        <f t="shared" si="57"/>
        <v>88.19</v>
      </c>
      <c r="AC214" s="13" t="e">
        <f>IF(MONTH($A214)=MONTH($A213),AVERAGE($AB$5:AB214),AB214)</f>
        <v>#REF!</v>
      </c>
      <c r="AD214" s="13" t="e">
        <f>IF(YEAR($A214)=YEAR($A213),AVERAGE($AB$5:AB213,AB214),AB214)</f>
        <v>#REF!</v>
      </c>
    </row>
    <row r="215" spans="1:30">
      <c r="A215" s="35">
        <f t="shared" si="49"/>
        <v>45502</v>
      </c>
      <c r="C215" s="3">
        <v>605.0827351872</v>
      </c>
      <c r="E215" s="7">
        <v>100</v>
      </c>
      <c r="F215" s="3">
        <v>8056.35</v>
      </c>
      <c r="G215" s="7">
        <v>83</v>
      </c>
      <c r="H215" s="5">
        <v>0.27777777777777779</v>
      </c>
      <c r="I215" s="5">
        <v>0.80555555555555558</v>
      </c>
      <c r="J215" s="7">
        <f t="shared" si="48"/>
        <v>12.666666666666668</v>
      </c>
      <c r="Q215" s="84"/>
      <c r="S215" s="21">
        <f t="shared" si="50"/>
        <v>605.0827351872</v>
      </c>
      <c r="T215" s="6">
        <f t="shared" si="51"/>
        <v>15918.1787970036</v>
      </c>
      <c r="U215" s="6" t="e">
        <f t="shared" si="52"/>
        <v>#REF!</v>
      </c>
      <c r="V215" s="13">
        <f t="shared" si="53"/>
        <v>12.666666666666668</v>
      </c>
      <c r="W215" s="13">
        <f t="shared" si="54"/>
        <v>367.33333333333331</v>
      </c>
      <c r="X215" s="13">
        <f t="shared" si="55"/>
        <v>2505.4500000000003</v>
      </c>
      <c r="Y215" s="6">
        <f t="shared" si="56"/>
        <v>100</v>
      </c>
      <c r="Z215" s="13" t="e">
        <f>IF(MONTH($A215)=MONTH($A214),AVERAGE($Y$6:Y215),Y215)</f>
        <v>#REF!</v>
      </c>
      <c r="AA215" s="13" t="e">
        <f>IF(YEAR($A215)=YEAR($A214),AVERAGE($Y$5:Y215,Y215),Y215)</f>
        <v>#REF!</v>
      </c>
      <c r="AB215" s="13">
        <f t="shared" si="57"/>
        <v>83</v>
      </c>
      <c r="AC215" s="13" t="e">
        <f>IF(MONTH($A215)=MONTH($A214),AVERAGE($AB$5:AB215),AB215)</f>
        <v>#REF!</v>
      </c>
      <c r="AD215" s="13" t="e">
        <f>IF(YEAR($A215)=YEAR($A214),AVERAGE($AB$5:AB214,AB215),AB215)</f>
        <v>#REF!</v>
      </c>
    </row>
    <row r="216" spans="1:30">
      <c r="A216" s="35">
        <f t="shared" si="49"/>
        <v>45503</v>
      </c>
      <c r="C216" s="3">
        <v>654.15038867440001</v>
      </c>
      <c r="E216" s="7">
        <v>100</v>
      </c>
      <c r="F216" s="3">
        <v>8853.42</v>
      </c>
      <c r="G216" s="7">
        <v>81.650000000000006</v>
      </c>
      <c r="H216" s="5">
        <v>0.28125</v>
      </c>
      <c r="I216" s="5">
        <v>0.79861111111111116</v>
      </c>
      <c r="J216" s="7">
        <f t="shared" si="48"/>
        <v>12.416666666666668</v>
      </c>
      <c r="Q216" s="84"/>
      <c r="S216" s="21">
        <f t="shared" si="50"/>
        <v>654.15038867440001</v>
      </c>
      <c r="T216" s="6">
        <f t="shared" si="51"/>
        <v>16572.329185678002</v>
      </c>
      <c r="U216" s="6" t="e">
        <f t="shared" si="52"/>
        <v>#REF!</v>
      </c>
      <c r="V216" s="13">
        <f t="shared" si="53"/>
        <v>12.416666666666668</v>
      </c>
      <c r="W216" s="13">
        <f t="shared" si="54"/>
        <v>379.75</v>
      </c>
      <c r="X216" s="13">
        <f t="shared" si="55"/>
        <v>2517.8666666666668</v>
      </c>
      <c r="Y216" s="6">
        <f t="shared" si="56"/>
        <v>100</v>
      </c>
      <c r="Z216" s="13" t="e">
        <f>IF(MONTH($A216)=MONTH($A215),AVERAGE($Y$6:Y216),Y216)</f>
        <v>#REF!</v>
      </c>
      <c r="AA216" s="13" t="e">
        <f>IF(YEAR($A216)=YEAR($A215),AVERAGE($Y$5:Y216,Y216),Y216)</f>
        <v>#REF!</v>
      </c>
      <c r="AB216" s="13">
        <f t="shared" si="57"/>
        <v>81.650000000000006</v>
      </c>
      <c r="AC216" s="13" t="e">
        <f>IF(MONTH($A216)=MONTH($A215),AVERAGE($AB$5:AB216),AB216)</f>
        <v>#REF!</v>
      </c>
      <c r="AD216" s="13" t="e">
        <f>IF(YEAR($A216)=YEAR($A215),AVERAGE($AB$5:AB215,AB216),AB216)</f>
        <v>#REF!</v>
      </c>
    </row>
    <row r="217" spans="1:30">
      <c r="A217" s="35">
        <f t="shared" si="49"/>
        <v>45504</v>
      </c>
      <c r="C217" s="3">
        <v>698.68184483990001</v>
      </c>
      <c r="E217" s="7">
        <v>100</v>
      </c>
      <c r="F217" s="3">
        <v>9613.8700000000008</v>
      </c>
      <c r="G217" s="7">
        <v>80.319999999999993</v>
      </c>
      <c r="H217" s="5">
        <v>0.27430555555555558</v>
      </c>
      <c r="I217" s="5">
        <v>0.80555555555555558</v>
      </c>
      <c r="J217" s="7">
        <f t="shared" si="48"/>
        <v>12.75</v>
      </c>
      <c r="L217" s="4"/>
      <c r="Q217" s="84"/>
      <c r="S217" s="21">
        <f t="shared" si="50"/>
        <v>698.68184483990001</v>
      </c>
      <c r="T217" s="6">
        <f t="shared" si="51"/>
        <v>17271.011030517901</v>
      </c>
      <c r="U217" s="6" t="e">
        <f t="shared" si="52"/>
        <v>#REF!</v>
      </c>
      <c r="V217" s="13">
        <f t="shared" si="53"/>
        <v>12.75</v>
      </c>
      <c r="W217" s="13">
        <f t="shared" si="54"/>
        <v>392.5</v>
      </c>
      <c r="X217" s="13">
        <f t="shared" si="55"/>
        <v>2530.6166666666668</v>
      </c>
      <c r="Y217" s="6">
        <f t="shared" si="56"/>
        <v>100</v>
      </c>
      <c r="Z217" s="13" t="e">
        <f>IF(MONTH($A217)=MONTH($A216),AVERAGE($Y$6:Y217),Y217)</f>
        <v>#REF!</v>
      </c>
      <c r="AA217" s="13" t="e">
        <f>IF(YEAR($A217)=YEAR($A216),AVERAGE($Y$5:Y217,Y217),Y217)</f>
        <v>#REF!</v>
      </c>
      <c r="AB217" s="13">
        <f t="shared" si="57"/>
        <v>80.319999999999993</v>
      </c>
      <c r="AC217" s="13" t="e">
        <f>IF(MONTH($A217)=MONTH($A216),AVERAGE($AB$5:AB217),AB217)</f>
        <v>#REF!</v>
      </c>
      <c r="AD217" s="13" t="e">
        <f>IF(YEAR($A217)=YEAR($A216),AVERAGE($AB$5:AB216,AB217),AB217)</f>
        <v>#REF!</v>
      </c>
    </row>
    <row r="218" spans="1:30" s="6" customFormat="1">
      <c r="A218" s="35">
        <f t="shared" si="49"/>
        <v>45505</v>
      </c>
      <c r="C218" s="3">
        <v>320.938749304</v>
      </c>
      <c r="E218" s="7">
        <v>100</v>
      </c>
      <c r="F218" s="3">
        <v>3879.43</v>
      </c>
      <c r="G218" s="7">
        <v>91.4</v>
      </c>
      <c r="H218" s="5">
        <v>0.29166666666666669</v>
      </c>
      <c r="I218" s="5">
        <v>0.80208333333333337</v>
      </c>
      <c r="J218" s="7">
        <f t="shared" si="48"/>
        <v>12.250000000000002</v>
      </c>
      <c r="K218" s="14"/>
      <c r="L218" s="4"/>
      <c r="M218" s="18"/>
      <c r="Q218" s="84"/>
      <c r="R218" s="14"/>
      <c r="S218" s="21">
        <f t="shared" si="50"/>
        <v>320.938749304</v>
      </c>
      <c r="T218" s="6">
        <f t="shared" si="51"/>
        <v>320.938749304</v>
      </c>
      <c r="U218" s="6" t="e">
        <f t="shared" si="52"/>
        <v>#REF!</v>
      </c>
      <c r="V218" s="13">
        <f t="shared" si="53"/>
        <v>12.250000000000002</v>
      </c>
      <c r="W218" s="13">
        <f t="shared" si="54"/>
        <v>12.250000000000002</v>
      </c>
      <c r="X218" s="13">
        <f t="shared" si="55"/>
        <v>2542.8666666666668</v>
      </c>
      <c r="Y218" s="6">
        <f t="shared" si="56"/>
        <v>100</v>
      </c>
      <c r="Z218" s="13">
        <f>IF(MONTH($A218)=MONTH($A217),AVERAGE($Y$6:Y218),Y218)</f>
        <v>100</v>
      </c>
      <c r="AA218" s="13" t="e">
        <f>IF(YEAR($A218)=YEAR($A217),AVERAGE($Y$5:Y218,Y218),Y218)</f>
        <v>#REF!</v>
      </c>
      <c r="AB218" s="13">
        <f t="shared" si="57"/>
        <v>91.4</v>
      </c>
      <c r="AC218" s="13">
        <f>IF(MONTH($A218)=MONTH($A217),AVERAGE($AB$5:AB218),AB218)</f>
        <v>91.4</v>
      </c>
      <c r="AD218" s="13" t="e">
        <f>IF(YEAR($A218)=YEAR($A217),AVERAGE($AB$5:AB217,AB218),AB218)</f>
        <v>#REF!</v>
      </c>
    </row>
    <row r="219" spans="1:30">
      <c r="A219" s="35">
        <f t="shared" si="49"/>
        <v>45506</v>
      </c>
      <c r="C219" s="3">
        <v>543.70542506449999</v>
      </c>
      <c r="E219" s="7">
        <v>100</v>
      </c>
      <c r="F219" s="3">
        <v>7220</v>
      </c>
      <c r="G219" s="7">
        <v>83.09</v>
      </c>
      <c r="H219" s="5">
        <v>0.28819444444444442</v>
      </c>
      <c r="I219" s="5">
        <v>0.80208333333333337</v>
      </c>
      <c r="J219" s="7">
        <f t="shared" si="48"/>
        <v>12.333333333333336</v>
      </c>
      <c r="K219" s="14"/>
      <c r="L219" s="7"/>
      <c r="M219" s="7"/>
      <c r="Q219" s="84"/>
      <c r="S219" s="21">
        <f t="shared" si="50"/>
        <v>543.70542506449999</v>
      </c>
      <c r="T219" s="6">
        <f t="shared" si="51"/>
        <v>864.64417436849999</v>
      </c>
      <c r="U219" s="6" t="e">
        <f t="shared" si="52"/>
        <v>#REF!</v>
      </c>
      <c r="V219" s="13">
        <f t="shared" si="53"/>
        <v>12.333333333333336</v>
      </c>
      <c r="W219" s="13">
        <f t="shared" si="54"/>
        <v>24.583333333333336</v>
      </c>
      <c r="X219" s="13">
        <f t="shared" si="55"/>
        <v>2555.2000000000003</v>
      </c>
      <c r="Y219" s="6">
        <f t="shared" si="56"/>
        <v>100</v>
      </c>
      <c r="Z219" s="13" t="e">
        <f>IF(MONTH($A219)=MONTH($A218),AVERAGE($Y$6:Y219),Y219)</f>
        <v>#REF!</v>
      </c>
      <c r="AA219" s="13" t="e">
        <f>IF(YEAR($A219)=YEAR($A218),AVERAGE($Y$5:Y219,Y219),Y219)</f>
        <v>#REF!</v>
      </c>
      <c r="AB219" s="13">
        <f t="shared" si="57"/>
        <v>83.09</v>
      </c>
      <c r="AC219" s="13" t="e">
        <f>IF(MONTH($A219)=MONTH($A218),AVERAGE($AB$5:AB219),AB219)</f>
        <v>#REF!</v>
      </c>
      <c r="AD219" s="13" t="e">
        <f>IF(YEAR($A219)=YEAR($A218),AVERAGE($AB$5:AB218,AB219),AB219)</f>
        <v>#REF!</v>
      </c>
    </row>
    <row r="220" spans="1:30" ht="75">
      <c r="A220" s="35">
        <f t="shared" si="49"/>
        <v>45507</v>
      </c>
      <c r="C220" s="3">
        <v>703.94887763320003</v>
      </c>
      <c r="E220" s="7">
        <v>98.75</v>
      </c>
      <c r="F220" s="3">
        <v>9760</v>
      </c>
      <c r="G220" s="7">
        <v>79.66</v>
      </c>
      <c r="H220" s="5">
        <v>0.28125</v>
      </c>
      <c r="I220" s="5">
        <v>0.80208333333333337</v>
      </c>
      <c r="J220" s="7">
        <f t="shared" si="48"/>
        <v>12.5</v>
      </c>
      <c r="K220" s="14"/>
      <c r="L220" s="7"/>
      <c r="M220" s="89">
        <f>3.08/18</f>
        <v>0.1711111111111111</v>
      </c>
      <c r="Q220" s="103" t="s">
        <v>128</v>
      </c>
      <c r="S220" s="21">
        <f t="shared" si="50"/>
        <v>703.94887763320003</v>
      </c>
      <c r="T220" s="6">
        <f t="shared" si="51"/>
        <v>1568.5930520017</v>
      </c>
      <c r="U220" s="6" t="e">
        <f t="shared" si="52"/>
        <v>#REF!</v>
      </c>
      <c r="V220" s="13">
        <f t="shared" si="53"/>
        <v>12.5</v>
      </c>
      <c r="W220" s="13">
        <f t="shared" si="54"/>
        <v>37.083333333333336</v>
      </c>
      <c r="X220" s="13">
        <f t="shared" si="55"/>
        <v>2567.7000000000003</v>
      </c>
      <c r="Y220" s="6">
        <f t="shared" si="56"/>
        <v>98.75</v>
      </c>
      <c r="Z220" s="13" t="e">
        <f>IF(MONTH($A220)=MONTH($A219),AVERAGE($Y$6:Y220),Y220)</f>
        <v>#REF!</v>
      </c>
      <c r="AA220" s="13" t="e">
        <f>IF(YEAR($A220)=YEAR($A219),AVERAGE($Y$5:Y220,Y220),Y220)</f>
        <v>#REF!</v>
      </c>
      <c r="AB220" s="13">
        <f t="shared" si="57"/>
        <v>79.66</v>
      </c>
      <c r="AC220" s="13" t="e">
        <f>IF(MONTH($A220)=MONTH($A219),AVERAGE($AB$5:AB220),AB220)</f>
        <v>#REF!</v>
      </c>
      <c r="AD220" s="13" t="e">
        <f>IF(YEAR($A220)=YEAR($A219),AVERAGE($AB$5:AB219,AB220),AB220)</f>
        <v>#REF!</v>
      </c>
    </row>
    <row r="221" spans="1:30" ht="60">
      <c r="A221" s="35">
        <f t="shared" si="49"/>
        <v>45508</v>
      </c>
      <c r="C221" s="3">
        <v>709.9933598225</v>
      </c>
      <c r="E221" s="7">
        <v>100</v>
      </c>
      <c r="F221" s="3">
        <v>9920</v>
      </c>
      <c r="G221" s="7">
        <v>79.06</v>
      </c>
      <c r="H221" s="5">
        <v>0.27430555555555558</v>
      </c>
      <c r="I221" s="5">
        <v>0.80555555555555558</v>
      </c>
      <c r="J221" s="7">
        <f t="shared" si="48"/>
        <v>12.75</v>
      </c>
      <c r="M221" s="89"/>
      <c r="Q221" s="84" t="s">
        <v>129</v>
      </c>
      <c r="S221" s="21">
        <f t="shared" si="50"/>
        <v>709.9933598225</v>
      </c>
      <c r="T221" s="6">
        <f t="shared" si="51"/>
        <v>2278.5864118241998</v>
      </c>
      <c r="U221" s="6" t="e">
        <f t="shared" si="52"/>
        <v>#REF!</v>
      </c>
      <c r="V221" s="13">
        <f t="shared" si="53"/>
        <v>12.75</v>
      </c>
      <c r="W221" s="13">
        <f t="shared" si="54"/>
        <v>49.833333333333336</v>
      </c>
      <c r="X221" s="13">
        <f t="shared" si="55"/>
        <v>2580.4500000000003</v>
      </c>
      <c r="Y221" s="6">
        <f t="shared" si="56"/>
        <v>100</v>
      </c>
      <c r="Z221" s="13" t="e">
        <f>IF(MONTH($A221)=MONTH($A220),AVERAGE($Y$6:Y221),Y221)</f>
        <v>#REF!</v>
      </c>
      <c r="AA221" s="13" t="e">
        <f>IF(YEAR($A221)=YEAR($A220),AVERAGE($Y$5:Y221,Y221),Y221)</f>
        <v>#REF!</v>
      </c>
      <c r="AB221" s="13">
        <f t="shared" si="57"/>
        <v>79.06</v>
      </c>
      <c r="AC221" s="13" t="e">
        <f>IF(MONTH($A221)=MONTH($A220),AVERAGE($AB$5:AB221),AB221)</f>
        <v>#REF!</v>
      </c>
      <c r="AD221" s="13" t="e">
        <f>IF(YEAR($A221)=YEAR($A220),AVERAGE($AB$5:AB220,AB221),AB221)</f>
        <v>#REF!</v>
      </c>
    </row>
    <row r="222" spans="1:30" ht="45">
      <c r="A222" s="35">
        <f t="shared" si="49"/>
        <v>45509</v>
      </c>
      <c r="C222" s="3">
        <v>670.18602393169999</v>
      </c>
      <c r="E222" s="7">
        <v>100</v>
      </c>
      <c r="F222" s="3">
        <v>9300.26</v>
      </c>
      <c r="G222" s="7">
        <v>79.680000000000007</v>
      </c>
      <c r="H222" s="5">
        <v>0.27777777777777779</v>
      </c>
      <c r="I222" s="5">
        <v>0.80208333333333337</v>
      </c>
      <c r="J222" s="7">
        <f t="shared" si="48"/>
        <v>12.583333333333334</v>
      </c>
      <c r="M222" s="89"/>
      <c r="Q222" s="84" t="s">
        <v>130</v>
      </c>
      <c r="S222" s="21">
        <f t="shared" si="50"/>
        <v>670.18602393169999</v>
      </c>
      <c r="T222" s="6">
        <f t="shared" si="51"/>
        <v>2948.7724357559</v>
      </c>
      <c r="U222" s="6" t="e">
        <f t="shared" si="52"/>
        <v>#REF!</v>
      </c>
      <c r="V222" s="13">
        <f t="shared" si="53"/>
        <v>12.583333333333334</v>
      </c>
      <c r="W222" s="13">
        <f t="shared" si="54"/>
        <v>62.416666666666671</v>
      </c>
      <c r="X222" s="13">
        <f t="shared" si="55"/>
        <v>2593.0333333333338</v>
      </c>
      <c r="Y222" s="6">
        <f t="shared" si="56"/>
        <v>100</v>
      </c>
      <c r="Z222" s="13" t="e">
        <f>IF(MONTH($A222)=MONTH($A221),AVERAGE($Y$6:Y222),Y222)</f>
        <v>#REF!</v>
      </c>
      <c r="AA222" s="13" t="e">
        <f>IF(YEAR($A222)=YEAR($A221),AVERAGE($Y$5:Y222,Y222),Y222)</f>
        <v>#REF!</v>
      </c>
      <c r="AB222" s="13">
        <f t="shared" si="57"/>
        <v>79.680000000000007</v>
      </c>
      <c r="AC222" s="13" t="e">
        <f>IF(MONTH($A222)=MONTH($A221),AVERAGE($AB$5:AB222),AB222)</f>
        <v>#REF!</v>
      </c>
      <c r="AD222" s="13" t="e">
        <f>IF(YEAR($A222)=YEAR($A221),AVERAGE($AB$5:AB221,AB222),AB222)</f>
        <v>#REF!</v>
      </c>
    </row>
    <row r="223" spans="1:30" ht="30">
      <c r="A223" s="35">
        <f t="shared" si="49"/>
        <v>45510</v>
      </c>
      <c r="C223" s="3">
        <v>671.11902544060001</v>
      </c>
      <c r="E223" s="7">
        <v>99.84</v>
      </c>
      <c r="F223" s="3">
        <v>9259.08</v>
      </c>
      <c r="G223" s="7">
        <v>80.150000000000006</v>
      </c>
      <c r="H223" s="5">
        <v>0.27777777777777779</v>
      </c>
      <c r="I223" s="5">
        <v>0.80555555555555547</v>
      </c>
      <c r="J223" s="7">
        <f t="shared" si="48"/>
        <v>12.666666666666664</v>
      </c>
      <c r="M223" s="89"/>
      <c r="Q223" s="84" t="s">
        <v>131</v>
      </c>
      <c r="S223" s="21">
        <f t="shared" si="50"/>
        <v>671.11902544060001</v>
      </c>
      <c r="T223" s="6">
        <f t="shared" si="51"/>
        <v>3619.8914611965001</v>
      </c>
      <c r="U223" s="6" t="e">
        <f t="shared" si="52"/>
        <v>#REF!</v>
      </c>
      <c r="V223" s="13">
        <f t="shared" si="53"/>
        <v>12.666666666666664</v>
      </c>
      <c r="W223" s="13">
        <f t="shared" si="54"/>
        <v>75.083333333333343</v>
      </c>
      <c r="X223" s="13">
        <f t="shared" si="55"/>
        <v>2605.7000000000003</v>
      </c>
      <c r="Y223" s="6">
        <f t="shared" si="56"/>
        <v>99.84</v>
      </c>
      <c r="Z223" s="13" t="e">
        <f>IF(MONTH($A223)=MONTH($A222),AVERAGE($Y$6:Y223),Y223)</f>
        <v>#REF!</v>
      </c>
      <c r="AA223" s="13" t="e">
        <f>IF(YEAR($A223)=YEAR($A222),AVERAGE($Y$5:Y223,Y223),Y223)</f>
        <v>#REF!</v>
      </c>
      <c r="AB223" s="13">
        <f t="shared" si="57"/>
        <v>80.150000000000006</v>
      </c>
      <c r="AC223" s="13" t="e">
        <f>IF(MONTH($A223)=MONTH($A222),AVERAGE($AB$5:AB223),AB223)</f>
        <v>#REF!</v>
      </c>
      <c r="AD223" s="13" t="e">
        <f>IF(YEAR($A223)=YEAR($A222),AVERAGE($AB$5:AB222,AB223),AB223)</f>
        <v>#REF!</v>
      </c>
    </row>
    <row r="224" spans="1:30" ht="45">
      <c r="A224" s="35">
        <f t="shared" si="49"/>
        <v>45511</v>
      </c>
      <c r="C224" s="3">
        <v>574.18669723010009</v>
      </c>
      <c r="E224" s="7">
        <v>99.91</v>
      </c>
      <c r="F224" s="3">
        <v>7764.8</v>
      </c>
      <c r="G224" s="7">
        <v>81.75</v>
      </c>
      <c r="H224" s="5">
        <v>0.28125</v>
      </c>
      <c r="I224" s="5">
        <v>0.80555555555555547</v>
      </c>
      <c r="J224" s="7">
        <f t="shared" si="48"/>
        <v>12.583333333333332</v>
      </c>
      <c r="M224" s="89"/>
      <c r="Q224" s="84" t="s">
        <v>132</v>
      </c>
      <c r="S224" s="21">
        <f t="shared" si="50"/>
        <v>574.18669723010009</v>
      </c>
      <c r="T224" s="6">
        <f t="shared" si="51"/>
        <v>4194.0781584266006</v>
      </c>
      <c r="U224" s="6" t="e">
        <f t="shared" si="52"/>
        <v>#REF!</v>
      </c>
      <c r="V224" s="13">
        <f t="shared" si="53"/>
        <v>12.583333333333332</v>
      </c>
      <c r="W224" s="13">
        <f t="shared" si="54"/>
        <v>87.666666666666671</v>
      </c>
      <c r="X224" s="13">
        <f t="shared" si="55"/>
        <v>2618.2833333333338</v>
      </c>
      <c r="Y224" s="6">
        <f t="shared" si="56"/>
        <v>99.91</v>
      </c>
      <c r="Z224" s="13" t="e">
        <f>IF(MONTH($A224)=MONTH($A223),AVERAGE($Y$6:Y224),Y224)</f>
        <v>#REF!</v>
      </c>
      <c r="AA224" s="13" t="e">
        <f>IF(YEAR($A224)=YEAR($A223),AVERAGE($Y$5:Y224,Y224),Y224)</f>
        <v>#REF!</v>
      </c>
      <c r="AB224" s="13">
        <f t="shared" si="57"/>
        <v>81.75</v>
      </c>
      <c r="AC224" s="13" t="e">
        <f>IF(MONTH($A224)=MONTH($A223),AVERAGE($AB$5:AB224),AB224)</f>
        <v>#REF!</v>
      </c>
      <c r="AD224" s="13" t="e">
        <f>IF(YEAR($A224)=YEAR($A223),AVERAGE($AB$5:AB223,AB224),AB224)</f>
        <v>#REF!</v>
      </c>
    </row>
    <row r="225" spans="1:30" ht="135">
      <c r="A225" s="35">
        <f t="shared" si="49"/>
        <v>45512</v>
      </c>
      <c r="C225" s="3">
        <v>652.40518994199999</v>
      </c>
      <c r="E225" s="7">
        <v>99.38</v>
      </c>
      <c r="F225" s="3">
        <v>9164.11</v>
      </c>
      <c r="G225" s="7">
        <v>78.680000000000007</v>
      </c>
      <c r="H225" s="5">
        <v>0.27777777777777779</v>
      </c>
      <c r="I225" s="5">
        <v>0.80208333333333337</v>
      </c>
      <c r="J225" s="7">
        <f t="shared" si="48"/>
        <v>12.583333333333334</v>
      </c>
      <c r="L225" s="4"/>
      <c r="M225" s="89">
        <f>1.1/18</f>
        <v>6.1111111111111116E-2</v>
      </c>
      <c r="Q225" s="84" t="s">
        <v>133</v>
      </c>
      <c r="S225" s="21">
        <f t="shared" si="50"/>
        <v>652.40518994199999</v>
      </c>
      <c r="T225" s="6">
        <f t="shared" si="51"/>
        <v>4846.4833483686007</v>
      </c>
      <c r="U225" s="6" t="e">
        <f t="shared" si="52"/>
        <v>#REF!</v>
      </c>
      <c r="V225" s="13">
        <f t="shared" si="53"/>
        <v>12.583333333333334</v>
      </c>
      <c r="W225" s="13">
        <f t="shared" si="54"/>
        <v>100.25</v>
      </c>
      <c r="X225" s="13">
        <f t="shared" si="55"/>
        <v>2630.8666666666672</v>
      </c>
      <c r="Y225" s="6">
        <f t="shared" si="56"/>
        <v>99.38</v>
      </c>
      <c r="Z225" s="13" t="e">
        <f>IF(MONTH($A225)=MONTH($A224),AVERAGE($Y$6:Y225),Y225)</f>
        <v>#REF!</v>
      </c>
      <c r="AA225" s="13" t="e">
        <f>IF(YEAR($A225)=YEAR($A224),AVERAGE($Y$5:Y225,Y225),Y225)</f>
        <v>#REF!</v>
      </c>
      <c r="AB225" s="13">
        <f t="shared" si="57"/>
        <v>78.680000000000007</v>
      </c>
      <c r="AC225" s="13" t="e">
        <f>IF(MONTH($A225)=MONTH($A224),AVERAGE($AB$5:AB225),AB225)</f>
        <v>#REF!</v>
      </c>
      <c r="AD225" s="13" t="e">
        <f>IF(YEAR($A225)=YEAR($A224),AVERAGE($AB$5:AB224,AB225),AB225)</f>
        <v>#REF!</v>
      </c>
    </row>
    <row r="226" spans="1:30" ht="30">
      <c r="A226" s="35">
        <f t="shared" si="49"/>
        <v>45513</v>
      </c>
      <c r="C226" s="3">
        <v>687.69716732070003</v>
      </c>
      <c r="E226" s="7">
        <v>99.84</v>
      </c>
      <c r="F226" s="3">
        <v>9412.43</v>
      </c>
      <c r="G226" s="7">
        <v>80.03</v>
      </c>
      <c r="H226" s="5">
        <v>0.27777777777777779</v>
      </c>
      <c r="I226" s="5">
        <v>0.79861111111111116</v>
      </c>
      <c r="J226" s="7">
        <f t="shared" si="48"/>
        <v>12.5</v>
      </c>
      <c r="L226" s="4"/>
      <c r="M226" s="89">
        <f>0.67/18</f>
        <v>3.7222222222222226E-2</v>
      </c>
      <c r="Q226" s="84" t="s">
        <v>134</v>
      </c>
      <c r="S226" s="21">
        <f t="shared" si="50"/>
        <v>687.69716732070003</v>
      </c>
      <c r="T226" s="6">
        <f t="shared" si="51"/>
        <v>5534.1805156893006</v>
      </c>
      <c r="U226" s="6" t="e">
        <f t="shared" si="52"/>
        <v>#REF!</v>
      </c>
      <c r="V226" s="13">
        <f t="shared" si="53"/>
        <v>12.5</v>
      </c>
      <c r="W226" s="13">
        <f t="shared" si="54"/>
        <v>112.75</v>
      </c>
      <c r="X226" s="13">
        <f t="shared" si="55"/>
        <v>2643.3666666666672</v>
      </c>
      <c r="Y226" s="6">
        <f t="shared" si="56"/>
        <v>99.84</v>
      </c>
      <c r="Z226" s="13" t="e">
        <f>IF(MONTH($A226)=MONTH($A225),AVERAGE($Y$6:Y226),Y226)</f>
        <v>#REF!</v>
      </c>
      <c r="AA226" s="13" t="e">
        <f>IF(YEAR($A226)=YEAR($A225),AVERAGE($Y$5:Y226,Y226),Y226)</f>
        <v>#REF!</v>
      </c>
      <c r="AB226" s="13">
        <f t="shared" si="57"/>
        <v>80.03</v>
      </c>
      <c r="AC226" s="13" t="e">
        <f>IF(MONTH($A226)=MONTH($A225),AVERAGE($AB$5:AB226),AB226)</f>
        <v>#REF!</v>
      </c>
      <c r="AD226" s="13" t="e">
        <f>IF(YEAR($A226)=YEAR($A225),AVERAGE($AB$5:AB225,AB226),AB226)</f>
        <v>#REF!</v>
      </c>
    </row>
    <row r="227" spans="1:30">
      <c r="A227" s="35">
        <f t="shared" si="49"/>
        <v>45514</v>
      </c>
      <c r="C227" s="3">
        <v>654.76839035839998</v>
      </c>
      <c r="E227" s="7">
        <v>100</v>
      </c>
      <c r="F227" s="3">
        <v>8944.98</v>
      </c>
      <c r="G227" s="7">
        <v>80.87</v>
      </c>
      <c r="H227" s="5">
        <v>0.28125</v>
      </c>
      <c r="I227" s="5">
        <v>0.80208333333333337</v>
      </c>
      <c r="J227" s="7">
        <f t="shared" si="48"/>
        <v>12.5</v>
      </c>
      <c r="L227" s="4"/>
      <c r="M227" s="7"/>
      <c r="Q227" s="84"/>
      <c r="S227" s="21">
        <f t="shared" si="50"/>
        <v>654.76839035839998</v>
      </c>
      <c r="T227" s="6">
        <f t="shared" si="51"/>
        <v>6188.9489060477008</v>
      </c>
      <c r="U227" s="6" t="e">
        <f t="shared" si="52"/>
        <v>#REF!</v>
      </c>
      <c r="V227" s="13">
        <f t="shared" si="53"/>
        <v>12.5</v>
      </c>
      <c r="W227" s="13">
        <f t="shared" si="54"/>
        <v>125.25</v>
      </c>
      <c r="X227" s="13">
        <f t="shared" si="55"/>
        <v>2655.8666666666672</v>
      </c>
      <c r="Y227" s="6">
        <f t="shared" si="56"/>
        <v>100</v>
      </c>
      <c r="Z227" s="13" t="e">
        <f>IF(MONTH($A227)=MONTH($A226),AVERAGE($Y$6:Y227),Y227)</f>
        <v>#REF!</v>
      </c>
      <c r="AA227" s="13" t="e">
        <f>IF(YEAR($A227)=YEAR($A226),AVERAGE($Y$5:Y227,Y227),Y227)</f>
        <v>#REF!</v>
      </c>
      <c r="AB227" s="13">
        <f t="shared" si="57"/>
        <v>80.87</v>
      </c>
      <c r="AC227" s="13" t="e">
        <f>IF(MONTH($A227)=MONTH($A226),AVERAGE($AB$5:AB227),AB227)</f>
        <v>#REF!</v>
      </c>
      <c r="AD227" s="13" t="e">
        <f>IF(YEAR($A227)=YEAR($A226),AVERAGE($AB$5:AB226,AB227),AB227)</f>
        <v>#REF!</v>
      </c>
    </row>
    <row r="228" spans="1:30" s="6" customFormat="1" ht="45">
      <c r="A228" s="35">
        <f t="shared" si="49"/>
        <v>45515</v>
      </c>
      <c r="C228" s="3">
        <v>662.00362765540001</v>
      </c>
      <c r="E228" s="7">
        <v>99.71</v>
      </c>
      <c r="F228" s="3">
        <v>9129.4</v>
      </c>
      <c r="G228" s="7">
        <v>80.13</v>
      </c>
      <c r="H228" s="5">
        <v>0.28472222222222221</v>
      </c>
      <c r="I228" s="5">
        <v>0.80208333333333337</v>
      </c>
      <c r="J228" s="7">
        <f t="shared" si="48"/>
        <v>12.416666666666668</v>
      </c>
      <c r="K228" s="14"/>
      <c r="L228" s="4"/>
      <c r="M228" s="89">
        <f>1.17/18</f>
        <v>6.5000000000000002E-2</v>
      </c>
      <c r="Q228" s="84" t="s">
        <v>135</v>
      </c>
      <c r="R228" s="14"/>
      <c r="S228" s="21">
        <f t="shared" si="50"/>
        <v>662.00362765540001</v>
      </c>
      <c r="T228" s="6">
        <f t="shared" si="51"/>
        <v>6850.9525337031009</v>
      </c>
      <c r="U228" s="6" t="e">
        <f t="shared" si="52"/>
        <v>#REF!</v>
      </c>
      <c r="V228" s="13">
        <f t="shared" si="53"/>
        <v>12.416666666666668</v>
      </c>
      <c r="W228" s="13">
        <f t="shared" si="54"/>
        <v>137.66666666666666</v>
      </c>
      <c r="X228" s="13">
        <f t="shared" si="55"/>
        <v>2668.2833333333338</v>
      </c>
      <c r="Y228" s="6">
        <f t="shared" si="56"/>
        <v>99.71</v>
      </c>
      <c r="Z228" s="13" t="e">
        <f>IF(MONTH($A228)=MONTH($A227),AVERAGE($Y$6:Y228),Y228)</f>
        <v>#REF!</v>
      </c>
      <c r="AA228" s="13" t="e">
        <f>IF(YEAR($A228)=YEAR($A227),AVERAGE($Y$5:Y228,Y228),Y228)</f>
        <v>#REF!</v>
      </c>
      <c r="AB228" s="13">
        <f t="shared" si="57"/>
        <v>80.13</v>
      </c>
      <c r="AC228" s="13" t="e">
        <f>IF(MONTH($A228)=MONTH($A227),AVERAGE($AB$5:AB228),AB228)</f>
        <v>#REF!</v>
      </c>
      <c r="AD228" s="13" t="e">
        <f>IF(YEAR($A228)=YEAR($A227),AVERAGE($AB$5:AB227,AB228),AB228)</f>
        <v>#REF!</v>
      </c>
    </row>
    <row r="229" spans="1:30" ht="45">
      <c r="A229" s="35">
        <f t="shared" si="49"/>
        <v>45516</v>
      </c>
      <c r="C229" s="3">
        <v>616.77536173279998</v>
      </c>
      <c r="E229" s="7">
        <v>100</v>
      </c>
      <c r="F229" s="3">
        <v>8444.83</v>
      </c>
      <c r="G229" s="7">
        <v>80.739999999999995</v>
      </c>
      <c r="H229" s="5">
        <v>0.28819444444444448</v>
      </c>
      <c r="I229" s="5">
        <v>0.79861111111111116</v>
      </c>
      <c r="J229" s="7">
        <f t="shared" si="48"/>
        <v>12.250000000000002</v>
      </c>
      <c r="M229" s="89"/>
      <c r="Q229" s="84" t="s">
        <v>136</v>
      </c>
      <c r="S229" s="21">
        <f t="shared" si="50"/>
        <v>616.77536173279998</v>
      </c>
      <c r="T229" s="6">
        <f t="shared" si="51"/>
        <v>7467.7278954359008</v>
      </c>
      <c r="U229" s="6" t="e">
        <f t="shared" si="52"/>
        <v>#REF!</v>
      </c>
      <c r="V229" s="13">
        <f t="shared" si="53"/>
        <v>12.250000000000002</v>
      </c>
      <c r="W229" s="13">
        <f t="shared" si="54"/>
        <v>149.91666666666666</v>
      </c>
      <c r="X229" s="13">
        <f t="shared" si="55"/>
        <v>2680.5333333333338</v>
      </c>
      <c r="Y229" s="6">
        <f t="shared" si="56"/>
        <v>100</v>
      </c>
      <c r="Z229" s="13" t="e">
        <f>IF(MONTH($A229)=MONTH($A228),AVERAGE($Y$6:Y229),Y229)</f>
        <v>#REF!</v>
      </c>
      <c r="AA229" s="13" t="e">
        <f>IF(YEAR($A229)=YEAR($A228),AVERAGE($Y$5:Y229,Y229),Y229)</f>
        <v>#REF!</v>
      </c>
      <c r="AB229" s="13">
        <f t="shared" si="57"/>
        <v>80.739999999999995</v>
      </c>
      <c r="AC229" s="13" t="e">
        <f>IF(MONTH($A229)=MONTH($A228),AVERAGE($AB$5:AB229),AB229)</f>
        <v>#REF!</v>
      </c>
      <c r="AD229" s="13" t="e">
        <f>IF(YEAR($A229)=YEAR($A228),AVERAGE($AB$5:AB228,AB229),AB229)</f>
        <v>#REF!</v>
      </c>
    </row>
    <row r="230" spans="1:30">
      <c r="A230" s="35">
        <f t="shared" si="49"/>
        <v>45517</v>
      </c>
      <c r="C230" s="3">
        <v>618.21770798529997</v>
      </c>
      <c r="E230" s="7">
        <v>100</v>
      </c>
      <c r="F230" s="3">
        <v>8398.08</v>
      </c>
      <c r="G230" s="7">
        <v>81.34</v>
      </c>
      <c r="H230" s="5">
        <v>0.27777777777777779</v>
      </c>
      <c r="I230" s="5">
        <v>0.79861111111111116</v>
      </c>
      <c r="J230" s="7">
        <f t="shared" si="48"/>
        <v>12.5</v>
      </c>
      <c r="Q230" s="84"/>
      <c r="S230" s="21">
        <f t="shared" si="50"/>
        <v>618.21770798529997</v>
      </c>
      <c r="T230" s="6">
        <f t="shared" si="51"/>
        <v>8085.9456034212008</v>
      </c>
      <c r="U230" s="6" t="e">
        <f t="shared" si="52"/>
        <v>#REF!</v>
      </c>
      <c r="V230" s="13">
        <f t="shared" si="53"/>
        <v>12.5</v>
      </c>
      <c r="W230" s="13">
        <f t="shared" si="54"/>
        <v>162.41666666666666</v>
      </c>
      <c r="X230" s="13">
        <f t="shared" si="55"/>
        <v>2693.0333333333338</v>
      </c>
      <c r="Y230" s="6">
        <f t="shared" si="56"/>
        <v>100</v>
      </c>
      <c r="Z230" s="13" t="e">
        <f>IF(MONTH($A230)=MONTH($A229),AVERAGE($Y$6:Y230),Y230)</f>
        <v>#REF!</v>
      </c>
      <c r="AA230" s="13" t="e">
        <f>IF(YEAR($A230)=YEAR($A229),AVERAGE($Y$5:Y230,Y230),Y230)</f>
        <v>#REF!</v>
      </c>
      <c r="AB230" s="13">
        <f t="shared" si="57"/>
        <v>81.34</v>
      </c>
      <c r="AC230" s="13" t="e">
        <f>IF(MONTH($A230)=MONTH($A229),AVERAGE($AB$5:AB230),AB230)</f>
        <v>#REF!</v>
      </c>
      <c r="AD230" s="13" t="e">
        <f>IF(YEAR($A230)=YEAR($A229),AVERAGE($AB$5:AB229,AB230),AB230)</f>
        <v>#REF!</v>
      </c>
    </row>
    <row r="231" spans="1:30" ht="30">
      <c r="A231" s="35">
        <f t="shared" si="49"/>
        <v>45518</v>
      </c>
      <c r="C231" s="3">
        <v>519.52998191839993</v>
      </c>
      <c r="E231" s="7">
        <v>99.96</v>
      </c>
      <c r="F231" s="3">
        <v>6971.66</v>
      </c>
      <c r="G231" s="7">
        <v>82.31</v>
      </c>
      <c r="H231" s="5">
        <v>0.28125</v>
      </c>
      <c r="I231" s="5">
        <v>0.79861111111111116</v>
      </c>
      <c r="J231" s="7">
        <f t="shared" si="48"/>
        <v>12.416666666666668</v>
      </c>
      <c r="L231" s="4"/>
      <c r="M231" s="89">
        <f>0.17/18</f>
        <v>9.4444444444444445E-3</v>
      </c>
      <c r="Q231" s="84" t="s">
        <v>137</v>
      </c>
      <c r="S231" s="21">
        <f t="shared" si="50"/>
        <v>519.52998191839993</v>
      </c>
      <c r="T231" s="6">
        <f t="shared" si="51"/>
        <v>8605.4755853396</v>
      </c>
      <c r="U231" s="6" t="e">
        <f t="shared" si="52"/>
        <v>#REF!</v>
      </c>
      <c r="V231" s="13">
        <f t="shared" si="53"/>
        <v>12.416666666666668</v>
      </c>
      <c r="W231" s="13">
        <f t="shared" si="54"/>
        <v>174.83333333333331</v>
      </c>
      <c r="X231" s="13">
        <f t="shared" si="55"/>
        <v>2705.4500000000003</v>
      </c>
      <c r="Y231" s="6">
        <f t="shared" si="56"/>
        <v>99.96</v>
      </c>
      <c r="Z231" s="13" t="e">
        <f>IF(MONTH($A231)=MONTH($A230),AVERAGE($Y$6:Y231),Y231)</f>
        <v>#REF!</v>
      </c>
      <c r="AA231" s="13" t="e">
        <f>IF(YEAR($A231)=YEAR($A230),AVERAGE($Y$5:Y231,Y231),Y231)</f>
        <v>#REF!</v>
      </c>
      <c r="AB231" s="13">
        <f t="shared" si="57"/>
        <v>82.31</v>
      </c>
      <c r="AC231" s="13" t="e">
        <f>IF(MONTH($A231)=MONTH($A230),AVERAGE($AB$5:AB231),AB231)</f>
        <v>#REF!</v>
      </c>
      <c r="AD231" s="13" t="e">
        <f>IF(YEAR($A231)=YEAR($A230),AVERAGE($AB$5:AB230,AB231),AB231)</f>
        <v>#REF!</v>
      </c>
    </row>
    <row r="232" spans="1:30">
      <c r="A232" s="35">
        <f t="shared" si="49"/>
        <v>45519</v>
      </c>
      <c r="C232" s="3">
        <v>489.94234284250001</v>
      </c>
      <c r="E232" s="7">
        <v>100</v>
      </c>
      <c r="F232" s="3">
        <v>6786.44</v>
      </c>
      <c r="G232" s="7">
        <v>79.790000000000006</v>
      </c>
      <c r="H232" s="5">
        <v>0.27777777777777779</v>
      </c>
      <c r="I232" s="5">
        <v>0.77777777777777779</v>
      </c>
      <c r="J232" s="7">
        <f t="shared" si="48"/>
        <v>12</v>
      </c>
      <c r="L232" s="4"/>
      <c r="Q232" s="84"/>
      <c r="S232" s="21">
        <f t="shared" si="50"/>
        <v>489.94234284250001</v>
      </c>
      <c r="T232" s="6">
        <f t="shared" si="51"/>
        <v>9095.4179281820998</v>
      </c>
      <c r="U232" s="6" t="e">
        <f t="shared" si="52"/>
        <v>#REF!</v>
      </c>
      <c r="V232" s="13">
        <f t="shared" si="53"/>
        <v>12</v>
      </c>
      <c r="W232" s="13">
        <f t="shared" si="54"/>
        <v>186.83333333333331</v>
      </c>
      <c r="X232" s="13">
        <f t="shared" si="55"/>
        <v>2717.4500000000003</v>
      </c>
      <c r="Y232" s="6">
        <f t="shared" si="56"/>
        <v>100</v>
      </c>
      <c r="Z232" s="13" t="e">
        <f>IF(MONTH($A232)=MONTH($A231),AVERAGE($Y$6:Y232),Y232)</f>
        <v>#REF!</v>
      </c>
      <c r="AA232" s="13" t="e">
        <f>IF(YEAR($A232)=YEAR($A231),AVERAGE($Y$5:Y232,Y232),Y232)</f>
        <v>#REF!</v>
      </c>
      <c r="AB232" s="13">
        <f t="shared" si="57"/>
        <v>79.790000000000006</v>
      </c>
      <c r="AC232" s="13" t="e">
        <f>IF(MONTH($A232)=MONTH($A231),AVERAGE($AB$5:AB232),AB232)</f>
        <v>#REF!</v>
      </c>
      <c r="AD232" s="13" t="e">
        <f>IF(YEAR($A232)=YEAR($A231),AVERAGE($AB$5:AB231,AB232),AB232)</f>
        <v>#REF!</v>
      </c>
    </row>
    <row r="233" spans="1:30" s="6" customFormat="1" ht="45">
      <c r="A233" s="35">
        <f t="shared" si="49"/>
        <v>45520</v>
      </c>
      <c r="C233" s="3">
        <v>539.77285438200011</v>
      </c>
      <c r="E233" s="7">
        <v>99.97</v>
      </c>
      <c r="F233" s="95">
        <v>7307.74</v>
      </c>
      <c r="G233" s="7">
        <v>81.63</v>
      </c>
      <c r="H233" s="5">
        <v>0.28125</v>
      </c>
      <c r="I233" s="5">
        <v>0.79166666666666663</v>
      </c>
      <c r="J233" s="7">
        <f t="shared" si="48"/>
        <v>12.25</v>
      </c>
      <c r="K233" s="14"/>
      <c r="L233" s="4"/>
      <c r="M233" s="89">
        <f>0.75/18</f>
        <v>4.1666666666666664E-2</v>
      </c>
      <c r="Q233" s="84" t="s">
        <v>138</v>
      </c>
      <c r="R233" s="14"/>
      <c r="S233" s="21">
        <f t="shared" si="50"/>
        <v>539.77285438200011</v>
      </c>
      <c r="T233" s="6">
        <f t="shared" si="51"/>
        <v>9635.1907825640992</v>
      </c>
      <c r="U233" s="6" t="e">
        <f t="shared" si="52"/>
        <v>#REF!</v>
      </c>
      <c r="V233" s="13">
        <f t="shared" si="53"/>
        <v>12.25</v>
      </c>
      <c r="W233" s="13">
        <f t="shared" si="54"/>
        <v>199.08333333333331</v>
      </c>
      <c r="X233" s="13">
        <f t="shared" si="55"/>
        <v>2729.7000000000003</v>
      </c>
      <c r="Y233" s="6">
        <f t="shared" si="56"/>
        <v>99.97</v>
      </c>
      <c r="Z233" s="13" t="e">
        <f>IF(MONTH($A233)=MONTH($A232),AVERAGE($Y$6:Y233),Y233)</f>
        <v>#REF!</v>
      </c>
      <c r="AA233" s="13" t="e">
        <f>IF(YEAR($A233)=YEAR($A232),AVERAGE($Y$5:Y233,Y233),Y233)</f>
        <v>#REF!</v>
      </c>
      <c r="AB233" s="13">
        <f t="shared" si="57"/>
        <v>81.63</v>
      </c>
      <c r="AC233" s="13" t="e">
        <f>IF(MONTH($A233)=MONTH($A232),AVERAGE($AB$5:AB233),AB233)</f>
        <v>#REF!</v>
      </c>
      <c r="AD233" s="13" t="e">
        <f>IF(YEAR($A233)=YEAR($A232),AVERAGE($AB$5:AB232,AB233),AB233)</f>
        <v>#REF!</v>
      </c>
    </row>
    <row r="234" spans="1:30" ht="45">
      <c r="A234" s="35">
        <f t="shared" si="49"/>
        <v>45521</v>
      </c>
      <c r="C234" s="3">
        <v>641.97527887779995</v>
      </c>
      <c r="E234" s="7">
        <v>99.47</v>
      </c>
      <c r="F234" s="3">
        <v>8806.2999999999993</v>
      </c>
      <c r="G234" s="7">
        <v>80.59</v>
      </c>
      <c r="H234" s="5">
        <v>0.28125</v>
      </c>
      <c r="I234" s="5">
        <v>0.79861111111111116</v>
      </c>
      <c r="J234" s="7">
        <f t="shared" si="48"/>
        <v>12.416666666666668</v>
      </c>
      <c r="L234" s="4"/>
      <c r="M234" s="89">
        <f>1.33/18</f>
        <v>7.3888888888888893E-2</v>
      </c>
      <c r="Q234" s="84" t="s">
        <v>138</v>
      </c>
      <c r="S234" s="21">
        <f t="shared" si="50"/>
        <v>641.97527887779995</v>
      </c>
      <c r="T234" s="6">
        <f t="shared" si="51"/>
        <v>10277.1660614419</v>
      </c>
      <c r="U234" s="6" t="e">
        <f t="shared" si="52"/>
        <v>#REF!</v>
      </c>
      <c r="V234" s="13">
        <f t="shared" si="53"/>
        <v>12.416666666666668</v>
      </c>
      <c r="W234" s="13">
        <f t="shared" si="54"/>
        <v>211.49999999999997</v>
      </c>
      <c r="X234" s="13">
        <f t="shared" si="55"/>
        <v>2742.1166666666668</v>
      </c>
      <c r="Y234" s="6">
        <f>F233</f>
        <v>7307.74</v>
      </c>
      <c r="Z234" s="13" t="e">
        <f>IF(MONTH($A234)=MONTH($A233),AVERAGE($Y$6:Y234),Y234)</f>
        <v>#REF!</v>
      </c>
      <c r="AA234" s="13" t="e">
        <f>IF(YEAR($A234)=YEAR($A233),AVERAGE($Y$5:Y234,Y234),Y234)</f>
        <v>#REF!</v>
      </c>
      <c r="AB234" s="13">
        <f t="shared" si="57"/>
        <v>80.59</v>
      </c>
      <c r="AC234" s="13" t="e">
        <f>IF(MONTH($A234)=MONTH($A233),AVERAGE($AB$5:AB234),AB234)</f>
        <v>#REF!</v>
      </c>
      <c r="AD234" s="13" t="e">
        <f>IF(YEAR($A234)=YEAR($A233),AVERAGE($AB$5:AB233,AB234),AB234)</f>
        <v>#REF!</v>
      </c>
    </row>
    <row r="235" spans="1:30" ht="45">
      <c r="A235" s="35">
        <f t="shared" si="49"/>
        <v>45522</v>
      </c>
      <c r="C235" s="3">
        <v>537.23730901609997</v>
      </c>
      <c r="E235" s="7">
        <v>99.89</v>
      </c>
      <c r="F235" s="3">
        <v>7330.2</v>
      </c>
      <c r="G235" s="7">
        <v>80.989999999999995</v>
      </c>
      <c r="H235" s="5">
        <v>0.28125</v>
      </c>
      <c r="I235" s="5">
        <v>0.70833333333333337</v>
      </c>
      <c r="J235" s="7">
        <f t="shared" si="48"/>
        <v>10.25</v>
      </c>
      <c r="L235" s="4"/>
      <c r="M235" s="89">
        <f>0.42/18</f>
        <v>2.3333333333333331E-2</v>
      </c>
      <c r="N235" s="6"/>
      <c r="Q235" s="84" t="s">
        <v>138</v>
      </c>
      <c r="S235" s="21">
        <f t="shared" si="50"/>
        <v>537.23730901609997</v>
      </c>
      <c r="T235" s="6">
        <f t="shared" si="51"/>
        <v>10814.403370458</v>
      </c>
      <c r="U235" s="6" t="e">
        <f t="shared" si="52"/>
        <v>#REF!</v>
      </c>
      <c r="V235" s="13">
        <f t="shared" si="53"/>
        <v>10.25</v>
      </c>
      <c r="W235" s="13">
        <f t="shared" si="54"/>
        <v>221.74999999999997</v>
      </c>
      <c r="X235" s="13">
        <f t="shared" si="55"/>
        <v>2752.3666666666668</v>
      </c>
      <c r="Y235" s="6">
        <f t="shared" si="56"/>
        <v>99.89</v>
      </c>
      <c r="Z235" s="13" t="e">
        <f>IF(MONTH($A235)=MONTH($A234),AVERAGE($Y$6:Y235),Y235)</f>
        <v>#REF!</v>
      </c>
      <c r="AA235" s="13" t="e">
        <f>IF(YEAR($A235)=YEAR($A234),AVERAGE($Y$5:Y235,Y235),Y235)</f>
        <v>#REF!</v>
      </c>
      <c r="AB235" s="13">
        <f t="shared" si="57"/>
        <v>80.989999999999995</v>
      </c>
      <c r="AC235" s="13" t="e">
        <f>IF(MONTH($A235)=MONTH($A234),AVERAGE($AB$5:AB235),AB235)</f>
        <v>#REF!</v>
      </c>
      <c r="AD235" s="13" t="e">
        <f>IF(YEAR($A235)=YEAR($A234),AVERAGE($AB$5:AB234,AB235),AB235)</f>
        <v>#REF!</v>
      </c>
    </row>
    <row r="236" spans="1:30" ht="45">
      <c r="A236" s="35">
        <f t="shared" si="49"/>
        <v>45523</v>
      </c>
      <c r="C236" s="3">
        <v>660.13409111670001</v>
      </c>
      <c r="E236" s="7">
        <v>99.92</v>
      </c>
      <c r="F236" s="3">
        <v>8939.15</v>
      </c>
      <c r="G236" s="7">
        <v>81.599999999999994</v>
      </c>
      <c r="H236" s="5">
        <v>0.28125</v>
      </c>
      <c r="I236" s="5">
        <v>0.79861111111111116</v>
      </c>
      <c r="J236" s="7">
        <f t="shared" si="48"/>
        <v>12.416666666666668</v>
      </c>
      <c r="M236" s="89">
        <f>0.83/18</f>
        <v>4.611111111111111E-2</v>
      </c>
      <c r="Q236" s="84" t="s">
        <v>138</v>
      </c>
      <c r="S236" s="21">
        <f t="shared" si="50"/>
        <v>660.13409111670001</v>
      </c>
      <c r="T236" s="6">
        <f t="shared" si="51"/>
        <v>11474.537461574701</v>
      </c>
      <c r="U236" s="6" t="e">
        <f t="shared" si="52"/>
        <v>#REF!</v>
      </c>
      <c r="V236" s="13">
        <f t="shared" si="53"/>
        <v>12.416666666666668</v>
      </c>
      <c r="W236" s="13">
        <f t="shared" si="54"/>
        <v>234.16666666666663</v>
      </c>
      <c r="X236" s="13">
        <f t="shared" si="55"/>
        <v>2764.7833333333333</v>
      </c>
      <c r="Y236" s="6">
        <f t="shared" si="56"/>
        <v>99.92</v>
      </c>
      <c r="Z236" s="13" t="e">
        <f>IF(MONTH($A236)=MONTH($A235),AVERAGE($Y$6:Y236),Y236)</f>
        <v>#REF!</v>
      </c>
      <c r="AA236" s="13" t="e">
        <f>IF(YEAR($A236)=YEAR($A235),AVERAGE($Y$5:Y236,Y236),Y236)</f>
        <v>#REF!</v>
      </c>
      <c r="AB236" s="13">
        <f t="shared" si="57"/>
        <v>81.599999999999994</v>
      </c>
      <c r="AC236" s="13" t="e">
        <f>IF(MONTH($A236)=MONTH($A235),AVERAGE($AB$5:AB236),AB236)</f>
        <v>#REF!</v>
      </c>
      <c r="AD236" s="13" t="e">
        <f>IF(YEAR($A236)=YEAR($A235),AVERAGE($AB$5:AB235,AB236),AB236)</f>
        <v>#REF!</v>
      </c>
    </row>
    <row r="237" spans="1:30">
      <c r="A237" s="35">
        <f t="shared" si="49"/>
        <v>45524</v>
      </c>
      <c r="C237" s="3">
        <v>686.09165607499995</v>
      </c>
      <c r="E237" s="7">
        <v>100</v>
      </c>
      <c r="F237" s="3">
        <v>9339.2199999999993</v>
      </c>
      <c r="G237" s="7">
        <v>81.180000000000007</v>
      </c>
      <c r="H237" s="5">
        <v>0.28125</v>
      </c>
      <c r="I237" s="5">
        <v>0.79513888888888884</v>
      </c>
      <c r="J237" s="7">
        <f t="shared" si="48"/>
        <v>12.333333333333332</v>
      </c>
      <c r="Q237" s="84"/>
      <c r="S237" s="21">
        <f t="shared" si="50"/>
        <v>686.09165607499995</v>
      </c>
      <c r="T237" s="6">
        <f t="shared" si="51"/>
        <v>12160.6291176497</v>
      </c>
      <c r="U237" s="6" t="e">
        <f t="shared" si="52"/>
        <v>#REF!</v>
      </c>
      <c r="V237" s="13">
        <f t="shared" si="53"/>
        <v>12.333333333333332</v>
      </c>
      <c r="W237" s="13">
        <f t="shared" si="54"/>
        <v>246.49999999999997</v>
      </c>
      <c r="X237" s="13">
        <f t="shared" si="55"/>
        <v>2777.1166666666668</v>
      </c>
      <c r="Y237" s="6">
        <f t="shared" si="56"/>
        <v>100</v>
      </c>
      <c r="Z237" s="13" t="e">
        <f>IF(MONTH($A237)=MONTH($A236),AVERAGE($Y$6:Y237),Y237)</f>
        <v>#REF!</v>
      </c>
      <c r="AA237" s="13" t="e">
        <f>IF(YEAR($A237)=YEAR($A236),AVERAGE($Y$5:Y237,Y237),Y237)</f>
        <v>#REF!</v>
      </c>
      <c r="AB237" s="13">
        <f t="shared" si="57"/>
        <v>81.180000000000007</v>
      </c>
      <c r="AC237" s="13" t="e">
        <f>IF(MONTH($A237)=MONTH($A236),AVERAGE($AB$5:AB237),AB237)</f>
        <v>#REF!</v>
      </c>
      <c r="AD237" s="13" t="e">
        <f>IF(YEAR($A237)=YEAR($A236),AVERAGE($AB$5:AB236,AB237),AB237)</f>
        <v>#REF!</v>
      </c>
    </row>
    <row r="238" spans="1:30" ht="75">
      <c r="A238" s="35">
        <f t="shared" si="49"/>
        <v>45525</v>
      </c>
      <c r="C238" s="3">
        <v>659.71091746160005</v>
      </c>
      <c r="E238" s="7">
        <v>99.76</v>
      </c>
      <c r="F238" s="3">
        <v>9209.09</v>
      </c>
      <c r="G238" s="7">
        <v>79.19</v>
      </c>
      <c r="H238" s="5">
        <v>0.28125</v>
      </c>
      <c r="I238" s="5">
        <v>0.79513888888888884</v>
      </c>
      <c r="J238" s="7">
        <f t="shared" si="48"/>
        <v>12.333333333333332</v>
      </c>
      <c r="L238" s="4"/>
      <c r="M238" s="89">
        <f>0.5/18</f>
        <v>2.7777777777777776E-2</v>
      </c>
      <c r="Q238" s="84" t="s">
        <v>139</v>
      </c>
      <c r="S238" s="21">
        <f t="shared" si="50"/>
        <v>659.71091746160005</v>
      </c>
      <c r="T238" s="6">
        <f t="shared" si="51"/>
        <v>12820.3400351113</v>
      </c>
      <c r="U238" s="6" t="e">
        <f t="shared" si="52"/>
        <v>#REF!</v>
      </c>
      <c r="V238" s="13">
        <f t="shared" si="53"/>
        <v>12.333333333333332</v>
      </c>
      <c r="W238" s="13">
        <f t="shared" si="54"/>
        <v>258.83333333333331</v>
      </c>
      <c r="X238" s="13">
        <f t="shared" si="55"/>
        <v>2789.4500000000003</v>
      </c>
      <c r="Y238" s="6">
        <f t="shared" si="56"/>
        <v>99.76</v>
      </c>
      <c r="Z238" s="13" t="e">
        <f>IF(MONTH($A238)=MONTH($A237),AVERAGE($Y$6:Y238),Y238)</f>
        <v>#REF!</v>
      </c>
      <c r="AA238" s="13" t="e">
        <f>IF(YEAR($A238)=YEAR($A237),AVERAGE($Y$5:Y238,Y238),Y238)</f>
        <v>#REF!</v>
      </c>
      <c r="AB238" s="13">
        <f t="shared" si="57"/>
        <v>79.19</v>
      </c>
      <c r="AC238" s="13" t="e">
        <f>IF(MONTH($A238)=MONTH($A237),AVERAGE($AB$5:AB238),AB238)</f>
        <v>#REF!</v>
      </c>
      <c r="AD238" s="13" t="e">
        <f>IF(YEAR($A238)=YEAR($A237),AVERAGE($AB$5:AB237,AB238),AB238)</f>
        <v>#REF!</v>
      </c>
    </row>
    <row r="239" spans="1:30" ht="30">
      <c r="A239" s="35">
        <f t="shared" si="49"/>
        <v>45526</v>
      </c>
      <c r="C239" s="3">
        <v>579.27693250849995</v>
      </c>
      <c r="E239" s="7">
        <v>99.95</v>
      </c>
      <c r="F239" s="3">
        <v>7872.66</v>
      </c>
      <c r="G239" s="7">
        <v>81.27</v>
      </c>
      <c r="H239" s="5">
        <v>0.29166666666666669</v>
      </c>
      <c r="I239" s="5">
        <v>0.79513888888888884</v>
      </c>
      <c r="J239" s="7">
        <f t="shared" si="48"/>
        <v>12.08333333333333</v>
      </c>
      <c r="L239" s="4"/>
      <c r="Q239" s="102" t="s">
        <v>140</v>
      </c>
      <c r="S239" s="21">
        <f t="shared" si="50"/>
        <v>579.27693250849995</v>
      </c>
      <c r="T239" s="6">
        <f t="shared" si="51"/>
        <v>13399.616967619799</v>
      </c>
      <c r="U239" s="6" t="e">
        <f t="shared" si="52"/>
        <v>#REF!</v>
      </c>
      <c r="V239" s="13">
        <f t="shared" si="53"/>
        <v>12.08333333333333</v>
      </c>
      <c r="W239" s="13">
        <f t="shared" si="54"/>
        <v>270.91666666666663</v>
      </c>
      <c r="X239" s="13">
        <f t="shared" si="55"/>
        <v>2801.5333333333338</v>
      </c>
      <c r="Y239" s="6">
        <f t="shared" si="56"/>
        <v>99.95</v>
      </c>
      <c r="Z239" s="13" t="e">
        <f>IF(MONTH($A239)=MONTH($A238),AVERAGE($Y$6:Y239),Y239)</f>
        <v>#REF!</v>
      </c>
      <c r="AA239" s="13" t="e">
        <f>IF(YEAR($A239)=YEAR($A238),AVERAGE($Y$5:Y239,Y239),Y239)</f>
        <v>#REF!</v>
      </c>
      <c r="AB239" s="13">
        <f t="shared" si="57"/>
        <v>81.27</v>
      </c>
      <c r="AC239" s="13" t="e">
        <f>IF(MONTH($A239)=MONTH($A238),AVERAGE($AB$5:AB239),AB239)</f>
        <v>#REF!</v>
      </c>
      <c r="AD239" s="13" t="e">
        <f>IF(YEAR($A239)=YEAR($A238),AVERAGE($AB$5:AB238,AB239),AB239)</f>
        <v>#REF!</v>
      </c>
    </row>
    <row r="240" spans="1:30" ht="45">
      <c r="A240" s="35">
        <f t="shared" si="49"/>
        <v>45527</v>
      </c>
      <c r="C240" s="3">
        <v>627.24295433930001</v>
      </c>
      <c r="E240" s="7">
        <v>96.11</v>
      </c>
      <c r="F240" s="3">
        <v>8748.7999999999993</v>
      </c>
      <c r="G240" s="7">
        <v>79.239999999999995</v>
      </c>
      <c r="H240" s="5">
        <v>0.2986111111111111</v>
      </c>
      <c r="I240" s="5">
        <v>0.79166666666666663</v>
      </c>
      <c r="J240" s="7">
        <f t="shared" si="48"/>
        <v>11.833333333333332</v>
      </c>
      <c r="L240" s="4"/>
      <c r="M240" s="89">
        <f>20/18</f>
        <v>1.1111111111111112</v>
      </c>
      <c r="Q240" s="102" t="s">
        <v>141</v>
      </c>
      <c r="S240" s="21">
        <f t="shared" si="50"/>
        <v>627.24295433930001</v>
      </c>
      <c r="T240" s="6">
        <f t="shared" si="51"/>
        <v>14026.859921959098</v>
      </c>
      <c r="U240" s="6" t="e">
        <f t="shared" si="52"/>
        <v>#REF!</v>
      </c>
      <c r="V240" s="13">
        <f t="shared" si="53"/>
        <v>11.833333333333332</v>
      </c>
      <c r="W240" s="13">
        <f t="shared" si="54"/>
        <v>282.74999999999994</v>
      </c>
      <c r="X240" s="13">
        <f t="shared" si="55"/>
        <v>2813.3666666666672</v>
      </c>
      <c r="Y240" s="6">
        <f t="shared" si="56"/>
        <v>96.11</v>
      </c>
      <c r="Z240" s="13" t="e">
        <f>IF(MONTH($A240)=MONTH($A239),AVERAGE($Y$6:Y240),Y240)</f>
        <v>#REF!</v>
      </c>
      <c r="AA240" s="13" t="e">
        <f>IF(YEAR($A240)=YEAR($A239),AVERAGE($Y$5:Y240,Y240),Y240)</f>
        <v>#REF!</v>
      </c>
      <c r="AB240" s="13">
        <f t="shared" si="57"/>
        <v>79.239999999999995</v>
      </c>
      <c r="AC240" s="13" t="e">
        <f>IF(MONTH($A240)=MONTH($A239),AVERAGE($AB$5:AB240),AB240)</f>
        <v>#REF!</v>
      </c>
      <c r="AD240" s="13" t="e">
        <f>IF(YEAR($A240)=YEAR($A239),AVERAGE($AB$5:AB239,AB240),AB240)</f>
        <v>#REF!</v>
      </c>
    </row>
    <row r="241" spans="1:30">
      <c r="A241" s="35">
        <f t="shared" si="49"/>
        <v>45528</v>
      </c>
      <c r="C241" s="3">
        <v>681.34482697750002</v>
      </c>
      <c r="E241" s="7">
        <v>100</v>
      </c>
      <c r="F241" s="3">
        <v>9424.85</v>
      </c>
      <c r="G241" s="7">
        <v>79.94</v>
      </c>
      <c r="H241" s="5">
        <v>0.28125</v>
      </c>
      <c r="I241" s="5">
        <v>0.79166666666666663</v>
      </c>
      <c r="J241" s="7">
        <f t="shared" si="48"/>
        <v>12.25</v>
      </c>
      <c r="L241" s="4"/>
      <c r="Q241" s="102"/>
      <c r="S241" s="21">
        <f t="shared" si="50"/>
        <v>681.34482697750002</v>
      </c>
      <c r="T241" s="6">
        <f t="shared" si="51"/>
        <v>14708.204748936598</v>
      </c>
      <c r="U241" s="6" t="e">
        <f t="shared" si="52"/>
        <v>#REF!</v>
      </c>
      <c r="V241" s="13">
        <f t="shared" si="53"/>
        <v>12.25</v>
      </c>
      <c r="W241" s="13">
        <f t="shared" si="54"/>
        <v>294.99999999999994</v>
      </c>
      <c r="X241" s="13">
        <f t="shared" si="55"/>
        <v>2825.6166666666672</v>
      </c>
      <c r="Y241" s="6">
        <f t="shared" si="56"/>
        <v>100</v>
      </c>
      <c r="Z241" s="13" t="e">
        <f>IF(MONTH($A241)=MONTH($A240),AVERAGE($Y$6:Y241),Y241)</f>
        <v>#REF!</v>
      </c>
      <c r="AA241" s="13" t="e">
        <f>IF(YEAR($A241)=YEAR($A240),AVERAGE($Y$5:Y241,Y241),Y241)</f>
        <v>#REF!</v>
      </c>
      <c r="AB241" s="13">
        <f t="shared" si="57"/>
        <v>79.94</v>
      </c>
      <c r="AC241" s="13" t="e">
        <f>IF(MONTH($A241)=MONTH($A240),AVERAGE($AB$5:AB241),AB241)</f>
        <v>#REF!</v>
      </c>
      <c r="AD241" s="13" t="e">
        <f>IF(YEAR($A241)=YEAR($A240),AVERAGE($AB$5:AB240,AB241),AB241)</f>
        <v>#REF!</v>
      </c>
    </row>
    <row r="242" spans="1:30">
      <c r="A242" s="35">
        <f t="shared" si="49"/>
        <v>45529</v>
      </c>
      <c r="C242" s="3">
        <v>708.96554411080001</v>
      </c>
      <c r="E242" s="7">
        <v>100</v>
      </c>
      <c r="F242" s="3">
        <v>9889.01</v>
      </c>
      <c r="G242" s="7">
        <v>79.22</v>
      </c>
      <c r="H242" s="5">
        <v>0.28125</v>
      </c>
      <c r="I242" s="5">
        <v>0.79513888888888884</v>
      </c>
      <c r="J242" s="7">
        <f t="shared" si="48"/>
        <v>12.333333333333332</v>
      </c>
      <c r="L242" s="4"/>
      <c r="Q242" s="102"/>
      <c r="S242" s="21">
        <f t="shared" si="50"/>
        <v>708.96554411080001</v>
      </c>
      <c r="T242" s="6">
        <f t="shared" si="51"/>
        <v>15417.170293047398</v>
      </c>
      <c r="U242" s="6" t="e">
        <f t="shared" si="52"/>
        <v>#REF!</v>
      </c>
      <c r="V242" s="13">
        <f t="shared" si="53"/>
        <v>12.333333333333332</v>
      </c>
      <c r="W242" s="13">
        <f t="shared" si="54"/>
        <v>307.33333333333326</v>
      </c>
      <c r="X242" s="13">
        <f t="shared" si="55"/>
        <v>2837.9500000000007</v>
      </c>
      <c r="Y242" s="6">
        <f t="shared" si="56"/>
        <v>100</v>
      </c>
      <c r="Z242" s="13" t="e">
        <f>IF(MONTH($A242)=MONTH($A241),AVERAGE($Y$6:Y242),Y242)</f>
        <v>#REF!</v>
      </c>
      <c r="AA242" s="13" t="e">
        <f>IF(YEAR($A242)=YEAR($A241),AVERAGE($Y$5:Y242,Y242),Y242)</f>
        <v>#REF!</v>
      </c>
      <c r="AB242" s="13">
        <f t="shared" si="57"/>
        <v>79.22</v>
      </c>
      <c r="AC242" s="13" t="e">
        <f>IF(MONTH($A242)=MONTH($A241),AVERAGE($AB$5:AB242),AB242)</f>
        <v>#REF!</v>
      </c>
      <c r="AD242" s="13" t="e">
        <f>IF(YEAR($A242)=YEAR($A241),AVERAGE($AB$5:AB241,AB242),AB242)</f>
        <v>#REF!</v>
      </c>
    </row>
    <row r="243" spans="1:30">
      <c r="A243" s="35">
        <f t="shared" si="49"/>
        <v>45530</v>
      </c>
      <c r="C243" s="3">
        <v>671.92837736939998</v>
      </c>
      <c r="E243" s="7">
        <v>100</v>
      </c>
      <c r="F243" s="3">
        <v>9220.01</v>
      </c>
      <c r="G243" s="7">
        <v>80.540000000000006</v>
      </c>
      <c r="H243" s="5">
        <v>0.28125</v>
      </c>
      <c r="I243" s="5">
        <v>0.79166666666666663</v>
      </c>
      <c r="J243" s="7">
        <f t="shared" si="48"/>
        <v>12.25</v>
      </c>
      <c r="Q243" s="84"/>
      <c r="S243" s="21">
        <f t="shared" si="50"/>
        <v>671.92837736939998</v>
      </c>
      <c r="T243" s="6">
        <f t="shared" si="51"/>
        <v>16089.098670416799</v>
      </c>
      <c r="U243" s="6" t="e">
        <f t="shared" si="52"/>
        <v>#REF!</v>
      </c>
      <c r="V243" s="13">
        <f t="shared" si="53"/>
        <v>12.25</v>
      </c>
      <c r="W243" s="13">
        <f t="shared" si="54"/>
        <v>319.58333333333326</v>
      </c>
      <c r="X243" s="13">
        <f t="shared" si="55"/>
        <v>2850.2000000000007</v>
      </c>
      <c r="Y243" s="6">
        <f t="shared" si="56"/>
        <v>100</v>
      </c>
      <c r="Z243" s="13" t="e">
        <f>IF(MONTH($A243)=MONTH($A242),AVERAGE($Y$6:Y243),Y243)</f>
        <v>#REF!</v>
      </c>
      <c r="AA243" s="13" t="e">
        <f>IF(YEAR($A243)=YEAR($A242),AVERAGE($Y$5:Y243,Y243),Y243)</f>
        <v>#REF!</v>
      </c>
      <c r="AB243" s="13">
        <f t="shared" si="57"/>
        <v>80.540000000000006</v>
      </c>
      <c r="AC243" s="13" t="e">
        <f>IF(MONTH($A243)=MONTH($A242),AVERAGE($AB$5:AB243),AB243)</f>
        <v>#REF!</v>
      </c>
      <c r="AD243" s="13" t="e">
        <f>IF(YEAR($A243)=YEAR($A242),AVERAGE($AB$5:AB242,AB243),AB243)</f>
        <v>#REF!</v>
      </c>
    </row>
    <row r="244" spans="1:30">
      <c r="A244" s="35">
        <f t="shared" si="49"/>
        <v>45531</v>
      </c>
      <c r="C244" s="3">
        <v>680.37642123240005</v>
      </c>
      <c r="E244" s="7">
        <v>100</v>
      </c>
      <c r="F244" s="3">
        <v>9471.7999999999993</v>
      </c>
      <c r="G244" s="7">
        <v>79.42</v>
      </c>
      <c r="H244" s="5">
        <v>0.28125</v>
      </c>
      <c r="I244" s="5">
        <v>0.78819444444444453</v>
      </c>
      <c r="J244" s="7">
        <f t="shared" si="48"/>
        <v>12.166666666666668</v>
      </c>
      <c r="Q244" s="84"/>
      <c r="S244" s="21">
        <f t="shared" si="50"/>
        <v>680.37642123240005</v>
      </c>
      <c r="T244" s="6">
        <f t="shared" si="51"/>
        <v>16769.475091649198</v>
      </c>
      <c r="U244" s="6" t="e">
        <f t="shared" si="52"/>
        <v>#REF!</v>
      </c>
      <c r="V244" s="13">
        <f t="shared" si="53"/>
        <v>12.166666666666668</v>
      </c>
      <c r="W244" s="13">
        <f t="shared" si="54"/>
        <v>331.74999999999994</v>
      </c>
      <c r="X244" s="13">
        <f t="shared" si="55"/>
        <v>2862.3666666666672</v>
      </c>
      <c r="Y244" s="6">
        <f t="shared" si="56"/>
        <v>100</v>
      </c>
      <c r="Z244" s="13" t="e">
        <f>IF(MONTH($A244)=MONTH($A243),AVERAGE($Y$6:Y244),Y244)</f>
        <v>#REF!</v>
      </c>
      <c r="AA244" s="13" t="e">
        <f>IF(YEAR($A244)=YEAR($A243),AVERAGE($Y$5:Y244,Y244),Y244)</f>
        <v>#REF!</v>
      </c>
      <c r="AB244" s="13">
        <f t="shared" si="57"/>
        <v>79.42</v>
      </c>
      <c r="AC244" s="13" t="e">
        <f>IF(MONTH($A244)=MONTH($A243),AVERAGE($AB$5:AB244),AB244)</f>
        <v>#REF!</v>
      </c>
      <c r="AD244" s="13" t="e">
        <f>IF(YEAR($A244)=YEAR($A243),AVERAGE($AB$5:AB243,AB244),AB244)</f>
        <v>#REF!</v>
      </c>
    </row>
    <row r="245" spans="1:30" ht="30">
      <c r="A245" s="35">
        <f t="shared" si="49"/>
        <v>45532</v>
      </c>
      <c r="C245" s="3">
        <v>675.42529123049997</v>
      </c>
      <c r="E245" s="7">
        <v>99.64</v>
      </c>
      <c r="F245" s="3">
        <v>9542.6299999999992</v>
      </c>
      <c r="G245" s="7">
        <v>78.25</v>
      </c>
      <c r="H245" s="5">
        <v>0.28125</v>
      </c>
      <c r="I245" s="5">
        <v>0.79166666666666663</v>
      </c>
      <c r="J245" s="7">
        <f t="shared" si="48"/>
        <v>12.25</v>
      </c>
      <c r="L245" s="4"/>
      <c r="M245" s="89">
        <f>1/18</f>
        <v>5.5555555555555552E-2</v>
      </c>
      <c r="Q245" s="102" t="s">
        <v>142</v>
      </c>
      <c r="S245" s="21">
        <f t="shared" si="50"/>
        <v>675.42529123049997</v>
      </c>
      <c r="T245" s="6">
        <f t="shared" si="51"/>
        <v>17444.900382879696</v>
      </c>
      <c r="U245" s="6" t="e">
        <f t="shared" si="52"/>
        <v>#REF!</v>
      </c>
      <c r="V245" s="13">
        <f t="shared" si="53"/>
        <v>12.25</v>
      </c>
      <c r="W245" s="13">
        <f t="shared" si="54"/>
        <v>343.99999999999994</v>
      </c>
      <c r="X245" s="13">
        <f t="shared" si="55"/>
        <v>2874.6166666666672</v>
      </c>
      <c r="Y245" s="6">
        <f t="shared" si="56"/>
        <v>99.64</v>
      </c>
      <c r="Z245" s="13" t="e">
        <f>IF(MONTH($A245)=MONTH($A244),AVERAGE($Y$6:Y245),Y245)</f>
        <v>#REF!</v>
      </c>
      <c r="AA245" s="13" t="e">
        <f>IF(YEAR($A245)=YEAR($A244),AVERAGE($Y$5:Y245,Y245),Y245)</f>
        <v>#REF!</v>
      </c>
      <c r="AB245" s="13">
        <f t="shared" si="57"/>
        <v>78.25</v>
      </c>
      <c r="AC245" s="13" t="e">
        <f>IF(MONTH($A245)=MONTH($A244),AVERAGE($AB$5:AB245),AB245)</f>
        <v>#REF!</v>
      </c>
      <c r="AD245" s="13" t="e">
        <f>IF(YEAR($A245)=YEAR($A244),AVERAGE($AB$5:AB244,AB245),AB245)</f>
        <v>#REF!</v>
      </c>
    </row>
    <row r="246" spans="1:30">
      <c r="A246" s="35">
        <f t="shared" si="49"/>
        <v>45533</v>
      </c>
      <c r="C246" s="3">
        <v>595.79935934989999</v>
      </c>
      <c r="E246" s="7">
        <v>100</v>
      </c>
      <c r="F246" s="3">
        <v>8200</v>
      </c>
      <c r="G246" s="7">
        <v>80.19</v>
      </c>
      <c r="H246" s="5">
        <v>0.28125</v>
      </c>
      <c r="I246" s="5">
        <v>0.78819444444444442</v>
      </c>
      <c r="J246" s="7">
        <f t="shared" si="48"/>
        <v>12.166666666666666</v>
      </c>
      <c r="S246" s="21">
        <f t="shared" si="50"/>
        <v>595.79935934989999</v>
      </c>
      <c r="T246" s="6">
        <f t="shared" si="51"/>
        <v>18040.699742229597</v>
      </c>
      <c r="U246" s="6" t="e">
        <f t="shared" si="52"/>
        <v>#REF!</v>
      </c>
      <c r="V246" s="13">
        <f t="shared" si="53"/>
        <v>12.166666666666666</v>
      </c>
      <c r="W246" s="13">
        <f t="shared" si="54"/>
        <v>356.16666666666663</v>
      </c>
      <c r="X246" s="13">
        <f t="shared" si="55"/>
        <v>2886.7833333333338</v>
      </c>
      <c r="Y246" s="6">
        <f t="shared" si="56"/>
        <v>100</v>
      </c>
      <c r="Z246" s="13" t="e">
        <f>IF(MONTH($A246)=MONTH($A245),AVERAGE($Y$6:Y246),Y246)</f>
        <v>#REF!</v>
      </c>
      <c r="AA246" s="13" t="e">
        <f>IF(YEAR($A246)=YEAR($A245),AVERAGE($Y$5:Y246,Y246),Y246)</f>
        <v>#REF!</v>
      </c>
      <c r="AB246" s="13">
        <f t="shared" si="57"/>
        <v>80.19</v>
      </c>
      <c r="AC246" s="13" t="e">
        <f>IF(MONTH($A246)=MONTH($A245),AVERAGE($AB$5:AB246),AB246)</f>
        <v>#REF!</v>
      </c>
      <c r="AD246" s="13" t="e">
        <f>IF(YEAR($A246)=YEAR($A245),AVERAGE($AB$5:AB245,AB246),AB246)</f>
        <v>#REF!</v>
      </c>
    </row>
    <row r="247" spans="1:30">
      <c r="A247" s="35">
        <f t="shared" si="49"/>
        <v>45534</v>
      </c>
      <c r="C247" s="3">
        <v>654.73901876699995</v>
      </c>
      <c r="E247" s="7">
        <v>100</v>
      </c>
      <c r="F247" s="3">
        <v>8998.4500000000007</v>
      </c>
      <c r="G247" s="7">
        <v>80.400000000000006</v>
      </c>
      <c r="H247" s="5">
        <v>0.28125</v>
      </c>
      <c r="I247" s="5">
        <v>0.78819444444444453</v>
      </c>
      <c r="J247" s="7">
        <f t="shared" si="48"/>
        <v>12.166666666666668</v>
      </c>
      <c r="S247" s="21">
        <f t="shared" si="50"/>
        <v>654.73901876699995</v>
      </c>
      <c r="T247" s="6">
        <f t="shared" si="51"/>
        <v>18695.438760996596</v>
      </c>
      <c r="U247" s="6" t="e">
        <f t="shared" si="52"/>
        <v>#REF!</v>
      </c>
      <c r="V247" s="13">
        <f t="shared" si="53"/>
        <v>12.166666666666668</v>
      </c>
      <c r="W247" s="13">
        <f t="shared" si="54"/>
        <v>368.33333333333331</v>
      </c>
      <c r="X247" s="13">
        <f t="shared" si="55"/>
        <v>2898.9500000000003</v>
      </c>
      <c r="Y247" s="6">
        <f t="shared" si="56"/>
        <v>100</v>
      </c>
      <c r="Z247" s="13" t="e">
        <f>IF(MONTH($A247)=MONTH($A246),AVERAGE($Y$6:Y247),Y247)</f>
        <v>#REF!</v>
      </c>
      <c r="AA247" s="13" t="e">
        <f>IF(YEAR($A247)=YEAR($A246),AVERAGE($Y$5:Y247,Y247),Y247)</f>
        <v>#REF!</v>
      </c>
      <c r="AB247" s="13">
        <f t="shared" si="57"/>
        <v>80.400000000000006</v>
      </c>
      <c r="AC247" s="13" t="e">
        <f>IF(MONTH($A247)=MONTH($A246),AVERAGE($AB$5:AB247),AB247)</f>
        <v>#REF!</v>
      </c>
      <c r="AD247" s="13" t="e">
        <f>IF(YEAR($A247)=YEAR($A246),AVERAGE($AB$5:AB246,AB247),AB247)</f>
        <v>#REF!</v>
      </c>
    </row>
    <row r="248" spans="1:30">
      <c r="A248" s="35">
        <f t="shared" si="49"/>
        <v>45535</v>
      </c>
      <c r="C248" s="3">
        <v>596.95734997559998</v>
      </c>
      <c r="E248" s="7">
        <v>100</v>
      </c>
      <c r="F248" s="3">
        <v>8279.08</v>
      </c>
      <c r="G248" s="7">
        <v>79.680000000000007</v>
      </c>
      <c r="H248" s="5">
        <v>0.28819444444444448</v>
      </c>
      <c r="I248" s="5">
        <v>0.78819444444444453</v>
      </c>
      <c r="J248" s="7">
        <f t="shared" si="48"/>
        <v>12</v>
      </c>
      <c r="L248" s="4"/>
      <c r="Q248" s="84"/>
      <c r="S248" s="21">
        <f t="shared" si="50"/>
        <v>596.95734997559998</v>
      </c>
      <c r="T248" s="6">
        <f t="shared" si="51"/>
        <v>19292.396110972197</v>
      </c>
      <c r="U248" s="6" t="e">
        <f t="shared" si="52"/>
        <v>#REF!</v>
      </c>
      <c r="V248" s="13">
        <f t="shared" si="53"/>
        <v>12</v>
      </c>
      <c r="W248" s="13">
        <f t="shared" si="54"/>
        <v>380.33333333333331</v>
      </c>
      <c r="X248" s="13">
        <f t="shared" si="55"/>
        <v>2910.9500000000003</v>
      </c>
      <c r="Y248" s="6">
        <f t="shared" si="56"/>
        <v>100</v>
      </c>
      <c r="Z248" s="13" t="e">
        <f>IF(MONTH($A248)=MONTH($A247),AVERAGE($Y$6:Y248),Y248)</f>
        <v>#REF!</v>
      </c>
      <c r="AA248" s="13" t="e">
        <f>IF(YEAR($A248)=YEAR($A247),AVERAGE($Y$5:Y248,Y248),Y248)</f>
        <v>#REF!</v>
      </c>
      <c r="AB248" s="13">
        <f t="shared" si="57"/>
        <v>79.680000000000007</v>
      </c>
      <c r="AC248" s="13" t="e">
        <f>IF(MONTH($A248)=MONTH($A247),AVERAGE($AB$5:AB248),AB248)</f>
        <v>#REF!</v>
      </c>
      <c r="AD248" s="13" t="e">
        <f>IF(YEAR($A248)=YEAR($A247),AVERAGE($AB$5:AB247,AB248),AB248)</f>
        <v>#REF!</v>
      </c>
    </row>
    <row r="249" spans="1:30">
      <c r="A249" s="35">
        <f t="shared" si="49"/>
        <v>45536</v>
      </c>
      <c r="C249" s="3">
        <v>701.26532245630005</v>
      </c>
      <c r="E249" s="7">
        <v>100</v>
      </c>
      <c r="F249" s="3">
        <v>9663.4</v>
      </c>
      <c r="G249" s="7">
        <v>80.19</v>
      </c>
      <c r="H249" s="5">
        <v>0.28125</v>
      </c>
      <c r="I249" s="5">
        <v>0.78819444444444453</v>
      </c>
      <c r="J249" s="7">
        <f t="shared" si="48"/>
        <v>12.166666666666668</v>
      </c>
      <c r="M249" s="7"/>
      <c r="Q249" s="84"/>
      <c r="S249" s="21">
        <f t="shared" si="50"/>
        <v>701.26532245630005</v>
      </c>
      <c r="T249" s="6">
        <f t="shared" si="51"/>
        <v>701.26532245630005</v>
      </c>
      <c r="U249" s="6" t="e">
        <f t="shared" si="52"/>
        <v>#REF!</v>
      </c>
      <c r="V249" s="13">
        <f t="shared" si="53"/>
        <v>12.166666666666668</v>
      </c>
      <c r="W249" s="13">
        <f t="shared" si="54"/>
        <v>12.166666666666668</v>
      </c>
      <c r="X249" s="13">
        <f t="shared" si="55"/>
        <v>2923.1166666666668</v>
      </c>
      <c r="Y249" s="6">
        <f t="shared" si="56"/>
        <v>100</v>
      </c>
      <c r="Z249" s="13">
        <f>IF(MONTH($A249)=MONTH($A248),AVERAGE($Y$6:Y249),Y249)</f>
        <v>100</v>
      </c>
      <c r="AA249" s="13" t="e">
        <f>IF(YEAR($A249)=YEAR($A248),AVERAGE($Y$5:Y249,Y249),Y249)</f>
        <v>#REF!</v>
      </c>
      <c r="AB249" s="13">
        <f t="shared" si="57"/>
        <v>80.19</v>
      </c>
      <c r="AC249" s="13">
        <f>IF(MONTH($A249)=MONTH($A248),AVERAGE($AB$5:AB249),AB249)</f>
        <v>80.19</v>
      </c>
      <c r="AD249" s="13" t="e">
        <f>IF(YEAR($A249)=YEAR($A248),AVERAGE($AB$5:AB248,AB249),AB249)</f>
        <v>#REF!</v>
      </c>
    </row>
    <row r="250" spans="1:30">
      <c r="A250" s="35">
        <f t="shared" si="49"/>
        <v>45537</v>
      </c>
      <c r="C250" s="3">
        <v>494.53154537970005</v>
      </c>
      <c r="E250" s="7">
        <v>100</v>
      </c>
      <c r="F250" s="3">
        <v>6655.49</v>
      </c>
      <c r="G250" s="7">
        <v>82.12</v>
      </c>
      <c r="H250" s="5">
        <v>0.28472222222222221</v>
      </c>
      <c r="I250" s="5">
        <v>0.78125</v>
      </c>
      <c r="J250" s="7">
        <f t="shared" si="48"/>
        <v>11.916666666666668</v>
      </c>
      <c r="M250" s="7"/>
      <c r="S250" s="21">
        <f t="shared" si="50"/>
        <v>494.53154537970005</v>
      </c>
      <c r="T250" s="6">
        <f t="shared" si="51"/>
        <v>1195.796867836</v>
      </c>
      <c r="U250" s="6" t="e">
        <f t="shared" si="52"/>
        <v>#REF!</v>
      </c>
      <c r="V250" s="13">
        <f t="shared" si="53"/>
        <v>11.916666666666668</v>
      </c>
      <c r="W250" s="13">
        <f t="shared" si="54"/>
        <v>24.083333333333336</v>
      </c>
      <c r="X250" s="13">
        <f t="shared" si="55"/>
        <v>2935.0333333333333</v>
      </c>
      <c r="Y250" s="6">
        <f t="shared" si="56"/>
        <v>100</v>
      </c>
      <c r="Z250" s="13" t="e">
        <f>IF(MONTH($A250)=MONTH($A249),AVERAGE($Y$6:Y250),Y250)</f>
        <v>#REF!</v>
      </c>
      <c r="AA250" s="13" t="e">
        <f>IF(YEAR($A250)=YEAR($A249),AVERAGE($Y$5:Y250,Y250),Y250)</f>
        <v>#REF!</v>
      </c>
      <c r="AB250" s="13">
        <f t="shared" si="57"/>
        <v>82.12</v>
      </c>
      <c r="AC250" s="13" t="e">
        <f>IF(MONTH($A250)=MONTH($A249),AVERAGE($AB$5:AB250),AB250)</f>
        <v>#REF!</v>
      </c>
      <c r="AD250" s="13" t="e">
        <f>IF(YEAR($A250)=YEAR($A249),AVERAGE($AB$5:AB249,AB250),AB250)</f>
        <v>#REF!</v>
      </c>
    </row>
    <row r="251" spans="1:30">
      <c r="A251" s="35">
        <f t="shared" si="49"/>
        <v>45538</v>
      </c>
      <c r="C251" s="3">
        <v>253.04180731209999</v>
      </c>
      <c r="E251" s="7">
        <v>100</v>
      </c>
      <c r="F251" s="3">
        <v>2926.03</v>
      </c>
      <c r="G251" s="7">
        <v>95.54</v>
      </c>
      <c r="H251" s="5">
        <v>0.31944444444444442</v>
      </c>
      <c r="I251" s="5">
        <v>0.77777777777777779</v>
      </c>
      <c r="J251" s="7">
        <f t="shared" si="48"/>
        <v>11</v>
      </c>
      <c r="Q251" s="84"/>
      <c r="S251" s="21">
        <f t="shared" si="50"/>
        <v>253.04180731209999</v>
      </c>
      <c r="T251" s="6">
        <f t="shared" si="51"/>
        <v>1448.8386751481</v>
      </c>
      <c r="U251" s="6" t="e">
        <f t="shared" si="52"/>
        <v>#REF!</v>
      </c>
      <c r="V251" s="13">
        <f t="shared" si="53"/>
        <v>11</v>
      </c>
      <c r="W251" s="13">
        <f t="shared" si="54"/>
        <v>35.083333333333336</v>
      </c>
      <c r="X251" s="13">
        <f t="shared" si="55"/>
        <v>2946.0333333333333</v>
      </c>
      <c r="Y251" s="6">
        <f t="shared" si="56"/>
        <v>100</v>
      </c>
      <c r="Z251" s="13" t="e">
        <f>IF(MONTH($A251)=MONTH($A250),AVERAGE($Y$6:Y251),Y251)</f>
        <v>#REF!</v>
      </c>
      <c r="AA251" s="13" t="e">
        <f>IF(YEAR($A251)=YEAR($A250),AVERAGE($Y$5:Y251,Y251),Y251)</f>
        <v>#REF!</v>
      </c>
      <c r="AB251" s="13">
        <f t="shared" si="57"/>
        <v>95.54</v>
      </c>
      <c r="AC251" s="13" t="e">
        <f>IF(MONTH($A251)=MONTH($A250),AVERAGE($AB$5:AB251),AB251)</f>
        <v>#REF!</v>
      </c>
      <c r="AD251" s="13" t="e">
        <f>IF(YEAR($A251)=YEAR($A250),AVERAGE($AB$5:AB250,AB251),AB251)</f>
        <v>#REF!</v>
      </c>
    </row>
    <row r="252" spans="1:30" ht="30">
      <c r="A252" s="35">
        <f t="shared" si="49"/>
        <v>45539</v>
      </c>
      <c r="C252" s="3">
        <v>573.69817700599992</v>
      </c>
      <c r="E252" s="7">
        <v>100</v>
      </c>
      <c r="F252" s="3">
        <v>7863.14</v>
      </c>
      <c r="G252" s="7">
        <v>80.650000000000006</v>
      </c>
      <c r="H252" s="5">
        <v>0.28472222222222221</v>
      </c>
      <c r="I252" s="5">
        <v>0.78819444444444453</v>
      </c>
      <c r="J252" s="7">
        <f t="shared" si="48"/>
        <v>12.083333333333336</v>
      </c>
      <c r="M252" s="89">
        <f>0.33/18</f>
        <v>1.8333333333333333E-2</v>
      </c>
      <c r="Q252" s="102" t="s">
        <v>143</v>
      </c>
      <c r="S252" s="21">
        <f t="shared" si="50"/>
        <v>573.69817700599992</v>
      </c>
      <c r="T252" s="6">
        <f t="shared" si="51"/>
        <v>2022.5368521541</v>
      </c>
      <c r="U252" s="6" t="e">
        <f t="shared" si="52"/>
        <v>#REF!</v>
      </c>
      <c r="V252" s="13">
        <f t="shared" si="53"/>
        <v>12.083333333333336</v>
      </c>
      <c r="W252" s="13">
        <f t="shared" si="54"/>
        <v>47.166666666666671</v>
      </c>
      <c r="X252" s="13">
        <f t="shared" si="55"/>
        <v>2958.1166666666668</v>
      </c>
      <c r="Y252" s="6">
        <f t="shared" si="56"/>
        <v>100</v>
      </c>
      <c r="Z252" s="13" t="e">
        <f>IF(MONTH($A252)=MONTH($A251),AVERAGE($Y$6:Y252),Y252)</f>
        <v>#REF!</v>
      </c>
      <c r="AA252" s="13" t="e">
        <f>IF(YEAR($A252)=YEAR($A251),AVERAGE($Y$5:Y252,Y252),Y252)</f>
        <v>#REF!</v>
      </c>
      <c r="AB252" s="13">
        <f t="shared" si="57"/>
        <v>80.650000000000006</v>
      </c>
      <c r="AC252" s="13" t="e">
        <f>IF(MONTH($A252)=MONTH($A251),AVERAGE($AB$5:AB252),AB252)</f>
        <v>#REF!</v>
      </c>
      <c r="AD252" s="13" t="e">
        <f>IF(YEAR($A252)=YEAR($A251),AVERAGE($AB$5:AB251,AB252),AB252)</f>
        <v>#REF!</v>
      </c>
    </row>
    <row r="253" spans="1:30">
      <c r="A253" s="35">
        <f t="shared" si="49"/>
        <v>45540</v>
      </c>
      <c r="C253" s="3">
        <v>583.31005141129992</v>
      </c>
      <c r="E253" s="7">
        <v>99.83</v>
      </c>
      <c r="F253" s="3">
        <v>7913.64</v>
      </c>
      <c r="G253" s="7">
        <v>81.45</v>
      </c>
      <c r="H253" s="5">
        <v>0.28125</v>
      </c>
      <c r="I253" s="5">
        <v>0.78472222222222221</v>
      </c>
      <c r="J253" s="7">
        <f t="shared" si="48"/>
        <v>12.083333333333332</v>
      </c>
      <c r="L253" s="4"/>
      <c r="M253" s="89">
        <f>0.25/18</f>
        <v>1.3888888888888888E-2</v>
      </c>
      <c r="Q253" s="84" t="s">
        <v>144</v>
      </c>
      <c r="S253" s="21">
        <f t="shared" si="50"/>
        <v>583.31005141129992</v>
      </c>
      <c r="T253" s="6">
        <f t="shared" si="51"/>
        <v>2605.8469035653998</v>
      </c>
      <c r="U253" s="6" t="e">
        <f t="shared" si="52"/>
        <v>#REF!</v>
      </c>
      <c r="V253" s="13">
        <f t="shared" si="53"/>
        <v>12.083333333333332</v>
      </c>
      <c r="W253" s="13">
        <f t="shared" si="54"/>
        <v>59.25</v>
      </c>
      <c r="X253" s="13">
        <f t="shared" si="55"/>
        <v>2970.2000000000003</v>
      </c>
      <c r="Y253" s="6">
        <f t="shared" si="56"/>
        <v>99.83</v>
      </c>
      <c r="Z253" s="13" t="e">
        <f>IF(MONTH($A253)=MONTH($A252),AVERAGE($Y$6:Y253),Y253)</f>
        <v>#REF!</v>
      </c>
      <c r="AA253" s="13" t="e">
        <f>IF(YEAR($A253)=YEAR($A252),AVERAGE($Y$5:Y253,Y253),Y253)</f>
        <v>#REF!</v>
      </c>
      <c r="AB253" s="13">
        <f t="shared" si="57"/>
        <v>81.45</v>
      </c>
      <c r="AC253" s="13" t="e">
        <f>IF(MONTH($A253)=MONTH($A252),AVERAGE($AB$5:AB253),AB253)</f>
        <v>#REF!</v>
      </c>
      <c r="AD253" s="13" t="e">
        <f>IF(YEAR($A253)=YEAR($A252),AVERAGE($AB$5:AB252,AB253),AB253)</f>
        <v>#REF!</v>
      </c>
    </row>
    <row r="254" spans="1:30" ht="30">
      <c r="A254" s="35">
        <f t="shared" si="49"/>
        <v>45541</v>
      </c>
      <c r="C254" s="3">
        <v>588.72004674180005</v>
      </c>
      <c r="E254" s="7">
        <v>99.92</v>
      </c>
      <c r="F254" s="3">
        <v>8267.33</v>
      </c>
      <c r="G254" s="7">
        <v>78.75</v>
      </c>
      <c r="H254" s="5">
        <v>0.28125</v>
      </c>
      <c r="I254" s="5">
        <v>0.78472222222222221</v>
      </c>
      <c r="J254" s="7">
        <f t="shared" si="48"/>
        <v>12.083333333333332</v>
      </c>
      <c r="M254" s="89">
        <f>0.5/18</f>
        <v>2.7777777777777776E-2</v>
      </c>
      <c r="Q254" s="104" t="s">
        <v>145</v>
      </c>
      <c r="S254" s="21">
        <f t="shared" si="50"/>
        <v>588.72004674180005</v>
      </c>
      <c r="T254" s="6">
        <f t="shared" si="51"/>
        <v>3194.5669503071999</v>
      </c>
      <c r="U254" s="6" t="e">
        <f t="shared" si="52"/>
        <v>#REF!</v>
      </c>
      <c r="V254" s="13">
        <f t="shared" si="53"/>
        <v>12.083333333333332</v>
      </c>
      <c r="W254" s="13">
        <f t="shared" si="54"/>
        <v>71.333333333333329</v>
      </c>
      <c r="X254" s="13">
        <f t="shared" si="55"/>
        <v>2982.2833333333338</v>
      </c>
      <c r="Y254" s="6">
        <f t="shared" si="56"/>
        <v>99.92</v>
      </c>
      <c r="Z254" s="13" t="e">
        <f>IF(MONTH($A254)=MONTH($A253),AVERAGE($Y$6:Y254),Y254)</f>
        <v>#REF!</v>
      </c>
      <c r="AA254" s="13" t="e">
        <f>IF(YEAR($A254)=YEAR($A253),AVERAGE($Y$5:Y254,Y254),Y254)</f>
        <v>#REF!</v>
      </c>
      <c r="AB254" s="13">
        <f t="shared" si="57"/>
        <v>78.75</v>
      </c>
      <c r="AC254" s="13" t="e">
        <f>IF(MONTH($A254)=MONTH($A253),AVERAGE($AB$5:AB254),AB254)</f>
        <v>#REF!</v>
      </c>
      <c r="AD254" s="13" t="e">
        <f>IF(YEAR($A254)=YEAR($A253),AVERAGE($AB$5:AB253,AB254),AB254)</f>
        <v>#REF!</v>
      </c>
    </row>
    <row r="255" spans="1:30">
      <c r="A255" s="35">
        <f t="shared" si="49"/>
        <v>45542</v>
      </c>
      <c r="C255" s="3">
        <v>585.42555386790002</v>
      </c>
      <c r="E255" s="7">
        <v>100</v>
      </c>
      <c r="F255" s="3">
        <v>7973.13</v>
      </c>
      <c r="G255" s="7">
        <v>81.13</v>
      </c>
      <c r="H255" s="5">
        <v>0.2951388888888889</v>
      </c>
      <c r="I255" s="5">
        <v>0.78125</v>
      </c>
      <c r="J255" s="7">
        <f t="shared" ref="J255:J318" si="58">(I255-H255)*24</f>
        <v>11.666666666666666</v>
      </c>
      <c r="Q255" s="84"/>
      <c r="S255" s="21">
        <f t="shared" si="50"/>
        <v>585.42555386790002</v>
      </c>
      <c r="T255" s="6">
        <f t="shared" si="51"/>
        <v>3779.9925041750998</v>
      </c>
      <c r="U255" s="6" t="e">
        <f t="shared" si="52"/>
        <v>#REF!</v>
      </c>
      <c r="V255" s="13">
        <f t="shared" si="53"/>
        <v>11.666666666666666</v>
      </c>
      <c r="W255" s="13">
        <f t="shared" si="54"/>
        <v>83</v>
      </c>
      <c r="X255" s="13">
        <f t="shared" si="55"/>
        <v>2993.9500000000003</v>
      </c>
      <c r="Y255" s="6">
        <f t="shared" si="56"/>
        <v>100</v>
      </c>
      <c r="Z255" s="13" t="e">
        <f>IF(MONTH($A255)=MONTH($A254),AVERAGE($Y$6:Y255),Y255)</f>
        <v>#REF!</v>
      </c>
      <c r="AA255" s="13" t="e">
        <f>IF(YEAR($A255)=YEAR($A254),AVERAGE($Y$5:Y255,Y255),Y255)</f>
        <v>#REF!</v>
      </c>
      <c r="AB255" s="13">
        <f t="shared" si="57"/>
        <v>81.13</v>
      </c>
      <c r="AC255" s="13" t="e">
        <f>IF(MONTH($A255)=MONTH($A254),AVERAGE($AB$5:AB255),AB255)</f>
        <v>#REF!</v>
      </c>
      <c r="AD255" s="13" t="e">
        <f>IF(YEAR($A255)=YEAR($A254),AVERAGE($AB$5:AB254,AB255),AB255)</f>
        <v>#REF!</v>
      </c>
    </row>
    <row r="256" spans="1:30" ht="30">
      <c r="A256" s="35">
        <f t="shared" si="49"/>
        <v>45543</v>
      </c>
      <c r="C256" s="3">
        <v>604.24829602839998</v>
      </c>
      <c r="E256" s="7">
        <v>99.68</v>
      </c>
      <c r="F256" s="3">
        <v>8331.98</v>
      </c>
      <c r="G256" s="7">
        <v>80.17</v>
      </c>
      <c r="H256" s="5">
        <v>0.28819444444444448</v>
      </c>
      <c r="I256" s="5">
        <v>0.78125</v>
      </c>
      <c r="J256" s="7">
        <f t="shared" si="58"/>
        <v>11.833333333333332</v>
      </c>
      <c r="M256" s="89">
        <f>(0.5+0.25)/18</f>
        <v>4.1666666666666664E-2</v>
      </c>
      <c r="Q256" s="84" t="s">
        <v>146</v>
      </c>
      <c r="S256" s="21">
        <f t="shared" si="50"/>
        <v>604.24829602839998</v>
      </c>
      <c r="T256" s="6">
        <f t="shared" si="51"/>
        <v>4384.2408002034999</v>
      </c>
      <c r="U256" s="6" t="e">
        <f t="shared" si="52"/>
        <v>#REF!</v>
      </c>
      <c r="V256" s="13">
        <f t="shared" si="53"/>
        <v>11.833333333333332</v>
      </c>
      <c r="W256" s="13">
        <f t="shared" si="54"/>
        <v>94.833333333333329</v>
      </c>
      <c r="X256" s="13">
        <f t="shared" si="55"/>
        <v>3005.7833333333338</v>
      </c>
      <c r="Y256" s="6">
        <f t="shared" si="56"/>
        <v>99.68</v>
      </c>
      <c r="Z256" s="13" t="e">
        <f>IF(MONTH($A256)=MONTH($A255),AVERAGE($Y$6:Y256),Y256)</f>
        <v>#REF!</v>
      </c>
      <c r="AA256" s="13" t="e">
        <f>IF(YEAR($A256)=YEAR($A255),AVERAGE($Y$5:Y256,Y256),Y256)</f>
        <v>#REF!</v>
      </c>
      <c r="AB256" s="13">
        <f t="shared" si="57"/>
        <v>80.17</v>
      </c>
      <c r="AC256" s="13" t="e">
        <f>IF(MONTH($A256)=MONTH($A255),AVERAGE($AB$5:AB256),AB256)</f>
        <v>#REF!</v>
      </c>
      <c r="AD256" s="13" t="e">
        <f>IF(YEAR($A256)=YEAR($A255),AVERAGE($AB$5:AB255,AB256),AB256)</f>
        <v>#REF!</v>
      </c>
    </row>
    <row r="257" spans="1:30" ht="45">
      <c r="A257" s="35">
        <f t="shared" si="49"/>
        <v>45544</v>
      </c>
      <c r="C257" s="3">
        <v>622.8206680298</v>
      </c>
      <c r="E257" s="7">
        <v>100</v>
      </c>
      <c r="F257" s="3">
        <v>8433.58</v>
      </c>
      <c r="G257" s="7">
        <v>81.599999999999994</v>
      </c>
      <c r="H257" s="5">
        <v>0.30208333333333331</v>
      </c>
      <c r="I257" s="5">
        <v>0.78472222222222221</v>
      </c>
      <c r="J257" s="7">
        <f t="shared" si="58"/>
        <v>11.583333333333334</v>
      </c>
      <c r="M257" s="89">
        <f>0.42/18</f>
        <v>2.3333333333333331E-2</v>
      </c>
      <c r="Q257" s="84" t="s">
        <v>147</v>
      </c>
      <c r="S257" s="21">
        <f t="shared" si="50"/>
        <v>622.8206680298</v>
      </c>
      <c r="T257" s="6">
        <f t="shared" si="51"/>
        <v>5007.0614682332998</v>
      </c>
      <c r="U257" s="6" t="e">
        <f t="shared" si="52"/>
        <v>#REF!</v>
      </c>
      <c r="V257" s="13">
        <f t="shared" si="53"/>
        <v>11.583333333333334</v>
      </c>
      <c r="W257" s="13">
        <f t="shared" si="54"/>
        <v>106.41666666666666</v>
      </c>
      <c r="X257" s="13">
        <f t="shared" si="55"/>
        <v>3017.3666666666672</v>
      </c>
      <c r="Y257" s="6">
        <f t="shared" si="56"/>
        <v>100</v>
      </c>
      <c r="Z257" s="13" t="e">
        <f>IF(MONTH($A257)=MONTH($A256),AVERAGE($Y$6:Y257),Y257)</f>
        <v>#REF!</v>
      </c>
      <c r="AA257" s="13" t="e">
        <f>IF(YEAR($A257)=YEAR($A256),AVERAGE($Y$5:Y257,Y257),Y257)</f>
        <v>#REF!</v>
      </c>
      <c r="AB257" s="13">
        <f t="shared" si="57"/>
        <v>81.599999999999994</v>
      </c>
      <c r="AC257" s="13" t="e">
        <f>IF(MONTH($A257)=MONTH($A256),AVERAGE($AB$5:AB257),AB257)</f>
        <v>#REF!</v>
      </c>
      <c r="AD257" s="13" t="e">
        <f>IF(YEAR($A257)=YEAR($A256),AVERAGE($AB$5:AB256,AB257),AB257)</f>
        <v>#REF!</v>
      </c>
    </row>
    <row r="258" spans="1:30" ht="30">
      <c r="A258" s="35">
        <f t="shared" si="49"/>
        <v>45545</v>
      </c>
      <c r="C258" s="3">
        <v>602.32335601379998</v>
      </c>
      <c r="E258" s="7">
        <v>99.64</v>
      </c>
      <c r="F258" s="3">
        <v>8478.57</v>
      </c>
      <c r="G258" s="7">
        <v>78.5</v>
      </c>
      <c r="H258" s="5">
        <v>0.28819444444444448</v>
      </c>
      <c r="I258" s="5">
        <v>0.78472222222222221</v>
      </c>
      <c r="J258" s="7">
        <f t="shared" si="58"/>
        <v>11.916666666666666</v>
      </c>
      <c r="M258" s="89">
        <f>(0.58+0.42)/18</f>
        <v>5.5555555555555552E-2</v>
      </c>
      <c r="Q258" s="84" t="s">
        <v>148</v>
      </c>
      <c r="S258" s="21">
        <f t="shared" si="50"/>
        <v>602.32335601379998</v>
      </c>
      <c r="T258" s="6">
        <f t="shared" si="51"/>
        <v>5609.3848242470995</v>
      </c>
      <c r="U258" s="6" t="e">
        <f t="shared" si="52"/>
        <v>#REF!</v>
      </c>
      <c r="V258" s="13">
        <f t="shared" si="53"/>
        <v>11.916666666666666</v>
      </c>
      <c r="W258" s="13">
        <f t="shared" si="54"/>
        <v>118.33333333333333</v>
      </c>
      <c r="X258" s="13">
        <f t="shared" si="55"/>
        <v>3029.2833333333338</v>
      </c>
      <c r="Y258" s="6">
        <f t="shared" si="56"/>
        <v>99.64</v>
      </c>
      <c r="Z258" s="13" t="e">
        <f>IF(MONTH($A258)=MONTH($A257),AVERAGE($Y$6:Y258),Y258)</f>
        <v>#REF!</v>
      </c>
      <c r="AA258" s="13" t="e">
        <f>IF(YEAR($A258)=YEAR($A257),AVERAGE($Y$5:Y258,Y258),Y258)</f>
        <v>#REF!</v>
      </c>
      <c r="AB258" s="13">
        <f t="shared" si="57"/>
        <v>78.5</v>
      </c>
      <c r="AC258" s="13" t="e">
        <f>IF(MONTH($A258)=MONTH($A257),AVERAGE($AB$5:AB258),AB258)</f>
        <v>#REF!</v>
      </c>
      <c r="AD258" s="13" t="e">
        <f>IF(YEAR($A258)=YEAR($A257),AVERAGE($AB$5:AB257,AB258),AB258)</f>
        <v>#REF!</v>
      </c>
    </row>
    <row r="259" spans="1:30" ht="225">
      <c r="A259" s="35">
        <f t="shared" si="49"/>
        <v>45546</v>
      </c>
      <c r="C259" s="3">
        <v>559.95741200520001</v>
      </c>
      <c r="D259" s="6"/>
      <c r="E259" s="7">
        <v>98.11</v>
      </c>
      <c r="F259" s="3">
        <v>7700.44</v>
      </c>
      <c r="G259" s="7">
        <v>80.36</v>
      </c>
      <c r="H259" s="5">
        <v>0.28125</v>
      </c>
      <c r="I259" s="5">
        <v>0.78472222222222221</v>
      </c>
      <c r="J259" s="7">
        <f t="shared" si="58"/>
        <v>12.083333333333332</v>
      </c>
      <c r="M259" s="89">
        <f>((12.08/4)+1.33+0.92+1+0.75+1.17+0.42)/18</f>
        <v>0.47833333333333328</v>
      </c>
      <c r="Q259" s="84" t="s">
        <v>149</v>
      </c>
      <c r="S259" s="21">
        <f t="shared" si="50"/>
        <v>559.95741200520001</v>
      </c>
      <c r="T259" s="6">
        <f t="shared" si="51"/>
        <v>6169.3422362522997</v>
      </c>
      <c r="U259" s="6" t="e">
        <f t="shared" si="52"/>
        <v>#REF!</v>
      </c>
      <c r="V259" s="13">
        <f t="shared" si="53"/>
        <v>12.083333333333332</v>
      </c>
      <c r="W259" s="13">
        <f t="shared" si="54"/>
        <v>130.41666666666666</v>
      </c>
      <c r="X259" s="13">
        <f t="shared" si="55"/>
        <v>3041.3666666666672</v>
      </c>
      <c r="Y259" s="6">
        <f t="shared" si="56"/>
        <v>98.11</v>
      </c>
      <c r="Z259" s="13" t="e">
        <f>IF(MONTH($A259)=MONTH($A258),AVERAGE($Y$6:Y259),Y259)</f>
        <v>#REF!</v>
      </c>
      <c r="AA259" s="13" t="e">
        <f>IF(YEAR($A259)=YEAR($A258),AVERAGE($Y$5:Y259,Y259),Y259)</f>
        <v>#REF!</v>
      </c>
      <c r="AB259" s="13">
        <f t="shared" si="57"/>
        <v>80.36</v>
      </c>
      <c r="AC259" s="13" t="e">
        <f>IF(MONTH($A259)=MONTH($A258),AVERAGE($AB$5:AB259),AB259)</f>
        <v>#REF!</v>
      </c>
      <c r="AD259" s="13" t="e">
        <f>IF(YEAR($A259)=YEAR($A258),AVERAGE($AB$5:AB258,AB259),AB259)</f>
        <v>#REF!</v>
      </c>
    </row>
    <row r="260" spans="1:30" ht="45">
      <c r="A260" s="35">
        <f t="shared" si="49"/>
        <v>45547</v>
      </c>
      <c r="C260" s="3">
        <v>660.72528403119998</v>
      </c>
      <c r="E260" s="7">
        <v>100</v>
      </c>
      <c r="F260" s="3">
        <v>9223.7800000000007</v>
      </c>
      <c r="G260" s="7">
        <v>79.2</v>
      </c>
      <c r="H260" s="5">
        <v>0.28125</v>
      </c>
      <c r="I260" s="5">
        <v>0.77777777777777779</v>
      </c>
      <c r="J260" s="7">
        <f t="shared" si="58"/>
        <v>11.916666666666668</v>
      </c>
      <c r="Q260" s="84" t="s">
        <v>150</v>
      </c>
      <c r="S260" s="21">
        <f t="shared" si="50"/>
        <v>660.72528403119998</v>
      </c>
      <c r="T260" s="6">
        <f t="shared" si="51"/>
        <v>6830.0675202835</v>
      </c>
      <c r="U260" s="6" t="e">
        <f t="shared" si="52"/>
        <v>#REF!</v>
      </c>
      <c r="V260" s="13">
        <f t="shared" si="53"/>
        <v>11.916666666666668</v>
      </c>
      <c r="W260" s="13">
        <f t="shared" si="54"/>
        <v>142.33333333333331</v>
      </c>
      <c r="X260" s="13">
        <f t="shared" si="55"/>
        <v>3053.2833333333338</v>
      </c>
      <c r="Y260" s="6">
        <f t="shared" si="56"/>
        <v>100</v>
      </c>
      <c r="Z260" s="13" t="e">
        <f>IF(MONTH($A260)=MONTH($A259),AVERAGE($Y$6:Y260),Y260)</f>
        <v>#REF!</v>
      </c>
      <c r="AA260" s="13" t="e">
        <f>IF(YEAR($A260)=YEAR($A259),AVERAGE($Y$5:Y260,Y260),Y260)</f>
        <v>#REF!</v>
      </c>
      <c r="AB260" s="13">
        <f t="shared" si="57"/>
        <v>79.2</v>
      </c>
      <c r="AC260" s="13" t="e">
        <f>IF(MONTH($A260)=MONTH($A259),AVERAGE($AB$5:AB260),AB260)</f>
        <v>#REF!</v>
      </c>
      <c r="AD260" s="13" t="e">
        <f>IF(YEAR($A260)=YEAR($A259),AVERAGE($AB$5:AB259,AB260),AB260)</f>
        <v>#REF!</v>
      </c>
    </row>
    <row r="261" spans="1:30" ht="105">
      <c r="A261" s="35">
        <f t="shared" si="49"/>
        <v>45548</v>
      </c>
      <c r="C261" s="3">
        <v>656.63006817870007</v>
      </c>
      <c r="E261" s="7">
        <v>99.79</v>
      </c>
      <c r="F261" s="3">
        <v>9152.01</v>
      </c>
      <c r="G261" s="7">
        <v>79.349999999999994</v>
      </c>
      <c r="H261" s="5">
        <v>0.28472222222222221</v>
      </c>
      <c r="I261" s="5">
        <v>0.77430555555555547</v>
      </c>
      <c r="J261" s="7">
        <f t="shared" si="58"/>
        <v>11.749999999999998</v>
      </c>
      <c r="M261" s="89">
        <f>(0.33+0.58)/18</f>
        <v>5.0555555555555548E-2</v>
      </c>
      <c r="Q261" s="37" t="s">
        <v>151</v>
      </c>
      <c r="S261" s="21">
        <f t="shared" si="50"/>
        <v>656.63006817870007</v>
      </c>
      <c r="T261" s="6">
        <f t="shared" si="51"/>
        <v>7486.6975884621997</v>
      </c>
      <c r="U261" s="6" t="e">
        <f t="shared" si="52"/>
        <v>#REF!</v>
      </c>
      <c r="V261" s="13">
        <f t="shared" si="53"/>
        <v>11.749999999999998</v>
      </c>
      <c r="W261" s="13">
        <f t="shared" si="54"/>
        <v>154.08333333333331</v>
      </c>
      <c r="X261" s="13">
        <f t="shared" si="55"/>
        <v>3065.0333333333338</v>
      </c>
      <c r="Y261" s="6">
        <f t="shared" si="56"/>
        <v>99.79</v>
      </c>
      <c r="Z261" s="13" t="e">
        <f>IF(MONTH($A261)=MONTH($A260),AVERAGE($Y$6:Y261),Y261)</f>
        <v>#REF!</v>
      </c>
      <c r="AA261" s="13" t="e">
        <f>IF(YEAR($A261)=YEAR($A260),AVERAGE($Y$5:Y261,Y261),Y261)</f>
        <v>#REF!</v>
      </c>
      <c r="AB261" s="13">
        <f t="shared" si="57"/>
        <v>79.349999999999994</v>
      </c>
      <c r="AC261" s="13" t="e">
        <f>IF(MONTH($A261)=MONTH($A260),AVERAGE($AB$5:AB261),AB261)</f>
        <v>#REF!</v>
      </c>
      <c r="AD261" s="13" t="e">
        <f>IF(YEAR($A261)=YEAR($A260),AVERAGE($AB$5:AB260,AB261),AB261)</f>
        <v>#REF!</v>
      </c>
    </row>
    <row r="262" spans="1:30" ht="45">
      <c r="A262" s="35">
        <f t="shared" si="49"/>
        <v>45549</v>
      </c>
      <c r="C262" s="3">
        <v>473.7778093037</v>
      </c>
      <c r="E262" s="7">
        <v>99.71</v>
      </c>
      <c r="F262" s="3">
        <v>6543.76</v>
      </c>
      <c r="G262" s="7">
        <v>80.069999999999993</v>
      </c>
      <c r="H262" s="5">
        <v>0.28472222222222221</v>
      </c>
      <c r="I262" s="5">
        <v>0.77430555555555547</v>
      </c>
      <c r="J262" s="7">
        <f t="shared" si="58"/>
        <v>11.749999999999998</v>
      </c>
      <c r="M262" s="89">
        <f>0.67/18</f>
        <v>3.7222222222222226E-2</v>
      </c>
      <c r="Q262" s="84" t="s">
        <v>152</v>
      </c>
      <c r="S262" s="21">
        <f t="shared" si="50"/>
        <v>473.7778093037</v>
      </c>
      <c r="T262" s="6">
        <f t="shared" si="51"/>
        <v>7960.4753977659002</v>
      </c>
      <c r="U262" s="6" t="e">
        <f t="shared" si="52"/>
        <v>#REF!</v>
      </c>
      <c r="V262" s="13">
        <f t="shared" si="53"/>
        <v>11.749999999999998</v>
      </c>
      <c r="W262" s="13">
        <f t="shared" si="54"/>
        <v>165.83333333333331</v>
      </c>
      <c r="X262" s="13">
        <f t="shared" si="55"/>
        <v>3076.7833333333338</v>
      </c>
      <c r="Y262" s="6">
        <f t="shared" si="56"/>
        <v>99.71</v>
      </c>
      <c r="Z262" s="13" t="e">
        <f>IF(MONTH($A262)=MONTH($A261),AVERAGE($Y$6:Y262),Y262)</f>
        <v>#REF!</v>
      </c>
      <c r="AA262" s="13" t="e">
        <f>IF(YEAR($A262)=YEAR($A261),AVERAGE($Y$5:Y262,Y262),Y262)</f>
        <v>#REF!</v>
      </c>
      <c r="AB262" s="13">
        <f t="shared" si="57"/>
        <v>80.069999999999993</v>
      </c>
      <c r="AC262" s="13" t="e">
        <f>IF(MONTH($A262)=MONTH($A261),AVERAGE($AB$5:AB262),AB262)</f>
        <v>#REF!</v>
      </c>
      <c r="AD262" s="13" t="e">
        <f>IF(YEAR($A262)=YEAR($A261),AVERAGE($AB$5:AB261,AB262),AB262)</f>
        <v>#REF!</v>
      </c>
    </row>
    <row r="263" spans="1:30" ht="45">
      <c r="A263" s="35">
        <f t="shared" ref="A263:A326" si="59">A262+1</f>
        <v>45550</v>
      </c>
      <c r="C263" s="3">
        <v>484.48612369679995</v>
      </c>
      <c r="E263" s="7">
        <v>98.98</v>
      </c>
      <c r="F263" s="3">
        <v>6590.76</v>
      </c>
      <c r="G263" s="7">
        <v>81.239999999999995</v>
      </c>
      <c r="H263" s="5">
        <v>0.28819444444444448</v>
      </c>
      <c r="I263" s="5">
        <v>0.75694444444444453</v>
      </c>
      <c r="J263" s="7">
        <f t="shared" si="58"/>
        <v>11.250000000000002</v>
      </c>
      <c r="M263" s="89">
        <f>(0.5+0.67+0.83+0.83)/18</f>
        <v>0.15722222222222224</v>
      </c>
      <c r="Q263" s="84" t="s">
        <v>153</v>
      </c>
      <c r="S263" s="21">
        <f t="shared" si="50"/>
        <v>484.48612369679995</v>
      </c>
      <c r="T263" s="6">
        <f t="shared" si="51"/>
        <v>8444.9615214627011</v>
      </c>
      <c r="U263" s="6" t="e">
        <f t="shared" si="52"/>
        <v>#REF!</v>
      </c>
      <c r="V263" s="13">
        <f t="shared" si="53"/>
        <v>11.250000000000002</v>
      </c>
      <c r="W263" s="13">
        <f t="shared" si="54"/>
        <v>177.08333333333331</v>
      </c>
      <c r="X263" s="13">
        <f t="shared" si="55"/>
        <v>3088.0333333333338</v>
      </c>
      <c r="Y263" s="6">
        <f t="shared" si="56"/>
        <v>98.98</v>
      </c>
      <c r="Z263" s="13" t="e">
        <f>IF(MONTH($A263)=MONTH($A262),AVERAGE($Y$6:Y263),Y263)</f>
        <v>#REF!</v>
      </c>
      <c r="AA263" s="13" t="e">
        <f>IF(YEAR($A263)=YEAR($A262),AVERAGE($Y$5:Y263,Y263),Y263)</f>
        <v>#REF!</v>
      </c>
      <c r="AB263" s="13">
        <f t="shared" si="57"/>
        <v>81.239999999999995</v>
      </c>
      <c r="AC263" s="13" t="e">
        <f>IF(MONTH($A263)=MONTH($A262),AVERAGE($AB$5:AB263),AB263)</f>
        <v>#REF!</v>
      </c>
      <c r="AD263" s="13" t="e">
        <f>IF(YEAR($A263)=YEAR($A262),AVERAGE($AB$5:AB262,AB263),AB263)</f>
        <v>#REF!</v>
      </c>
    </row>
    <row r="264" spans="1:30" ht="30">
      <c r="A264" s="35">
        <f t="shared" si="59"/>
        <v>45551</v>
      </c>
      <c r="C264" s="3">
        <v>539.17117425000004</v>
      </c>
      <c r="E264" s="7">
        <v>94.58</v>
      </c>
      <c r="F264" s="3">
        <v>7791.54</v>
      </c>
      <c r="G264" s="7">
        <v>76.5</v>
      </c>
      <c r="H264" s="5">
        <v>0.28819444444444448</v>
      </c>
      <c r="I264" s="5">
        <v>0.77777777777777779</v>
      </c>
      <c r="J264" s="7">
        <f t="shared" si="58"/>
        <v>11.75</v>
      </c>
      <c r="M264" s="89">
        <f>10.92/18</f>
        <v>0.60666666666666669</v>
      </c>
      <c r="Q264" s="84" t="s">
        <v>154</v>
      </c>
      <c r="S264" s="21">
        <f t="shared" si="50"/>
        <v>539.17117425000004</v>
      </c>
      <c r="T264" s="6">
        <f t="shared" si="51"/>
        <v>8984.1326957127003</v>
      </c>
      <c r="U264" s="6" t="e">
        <f t="shared" si="52"/>
        <v>#REF!</v>
      </c>
      <c r="V264" s="13">
        <f t="shared" si="53"/>
        <v>11.75</v>
      </c>
      <c r="W264" s="13">
        <f t="shared" si="54"/>
        <v>188.83333333333331</v>
      </c>
      <c r="X264" s="13">
        <f t="shared" si="55"/>
        <v>3099.7833333333338</v>
      </c>
      <c r="Y264" s="6">
        <f t="shared" si="56"/>
        <v>94.58</v>
      </c>
      <c r="Z264" s="13" t="e">
        <f>IF(MONTH($A264)=MONTH($A263),AVERAGE($Y$6:Y264),Y264)</f>
        <v>#REF!</v>
      </c>
      <c r="AA264" s="13" t="e">
        <f>IF(YEAR($A264)=YEAR($A263),AVERAGE($Y$5:Y264,Y264),Y264)</f>
        <v>#REF!</v>
      </c>
      <c r="AB264" s="13">
        <f t="shared" si="57"/>
        <v>76.5</v>
      </c>
      <c r="AC264" s="13" t="e">
        <f>IF(MONTH($A264)=MONTH($A263),AVERAGE($AB$5:AB264),AB264)</f>
        <v>#REF!</v>
      </c>
      <c r="AD264" s="13" t="e">
        <f>IF(YEAR($A264)=YEAR($A263),AVERAGE($AB$5:AB263,AB264),AB264)</f>
        <v>#REF!</v>
      </c>
    </row>
    <row r="265" spans="1:30" ht="105">
      <c r="A265" s="35">
        <f t="shared" si="59"/>
        <v>45552</v>
      </c>
      <c r="C265" s="3">
        <v>584.69856836470001</v>
      </c>
      <c r="E265" s="7">
        <v>92.93</v>
      </c>
      <c r="F265" s="3">
        <v>8592.75</v>
      </c>
      <c r="G265" s="7">
        <v>75.23</v>
      </c>
      <c r="H265" s="5">
        <v>0.27083333333333331</v>
      </c>
      <c r="I265" s="5">
        <v>0.77430555555555547</v>
      </c>
      <c r="J265" s="7">
        <f t="shared" si="58"/>
        <v>12.08333333333333</v>
      </c>
      <c r="M265" s="89">
        <f>(12.08+3.58)/12</f>
        <v>1.3049999999999999</v>
      </c>
      <c r="Q265" s="84" t="s">
        <v>155</v>
      </c>
      <c r="S265" s="21">
        <f t="shared" si="50"/>
        <v>584.69856836470001</v>
      </c>
      <c r="T265" s="6">
        <f t="shared" si="51"/>
        <v>9568.8312640774002</v>
      </c>
      <c r="U265" s="6" t="e">
        <f t="shared" si="52"/>
        <v>#REF!</v>
      </c>
      <c r="V265" s="13">
        <f t="shared" si="53"/>
        <v>12.08333333333333</v>
      </c>
      <c r="W265" s="13">
        <f t="shared" si="54"/>
        <v>200.91666666666666</v>
      </c>
      <c r="X265" s="13">
        <f t="shared" si="55"/>
        <v>3111.8666666666672</v>
      </c>
      <c r="Y265" s="6">
        <f t="shared" si="56"/>
        <v>92.93</v>
      </c>
      <c r="Z265" s="13" t="e">
        <f>IF(MONTH($A265)=MONTH($A264),AVERAGE($Y$6:Y265),Y265)</f>
        <v>#REF!</v>
      </c>
      <c r="AA265" s="13" t="e">
        <f>IF(YEAR($A265)=YEAR($A264),AVERAGE($Y$5:Y265,Y265),Y265)</f>
        <v>#REF!</v>
      </c>
      <c r="AB265" s="13">
        <f t="shared" si="57"/>
        <v>75.23</v>
      </c>
      <c r="AC265" s="13" t="e">
        <f>IF(MONTH($A265)=MONTH($A264),AVERAGE($AB$5:AB265),AB265)</f>
        <v>#REF!</v>
      </c>
      <c r="AD265" s="13" t="e">
        <f>IF(YEAR($A265)=YEAR($A264),AVERAGE($AB$5:AB264,AB265),AB265)</f>
        <v>#REF!</v>
      </c>
    </row>
    <row r="266" spans="1:30" ht="75">
      <c r="A266" s="35">
        <f t="shared" si="59"/>
        <v>45553</v>
      </c>
      <c r="C266" s="3">
        <v>600.64210549120003</v>
      </c>
      <c r="E266" s="7">
        <v>94.44</v>
      </c>
      <c r="F266" s="3">
        <v>8721.8700000000008</v>
      </c>
      <c r="G266" s="7">
        <v>76.13</v>
      </c>
      <c r="H266" s="5">
        <v>0.28819444444444448</v>
      </c>
      <c r="I266" s="5">
        <v>0.77083333333333337</v>
      </c>
      <c r="J266" s="7">
        <f t="shared" si="58"/>
        <v>11.583333333333334</v>
      </c>
      <c r="M266" s="89">
        <f>11.58/18</f>
        <v>0.64333333333333331</v>
      </c>
      <c r="Q266" s="102" t="s">
        <v>156</v>
      </c>
      <c r="S266" s="21">
        <f t="shared" si="50"/>
        <v>600.64210549120003</v>
      </c>
      <c r="T266" s="6">
        <f t="shared" si="51"/>
        <v>10169.473369568601</v>
      </c>
      <c r="U266" s="6" t="e">
        <f t="shared" si="52"/>
        <v>#REF!</v>
      </c>
      <c r="V266" s="13">
        <f t="shared" si="53"/>
        <v>11.583333333333334</v>
      </c>
      <c r="W266" s="13">
        <f t="shared" si="54"/>
        <v>212.5</v>
      </c>
      <c r="X266" s="13">
        <f t="shared" si="55"/>
        <v>3123.4500000000007</v>
      </c>
      <c r="Y266" s="6">
        <f t="shared" si="56"/>
        <v>94.44</v>
      </c>
      <c r="Z266" s="13" t="e">
        <f>IF(MONTH($A266)=MONTH($A265),AVERAGE($Y$6:Y266),Y266)</f>
        <v>#REF!</v>
      </c>
      <c r="AA266" s="13" t="e">
        <f>IF(YEAR($A266)=YEAR($A265),AVERAGE($Y$5:Y266,Y266),Y266)</f>
        <v>#REF!</v>
      </c>
      <c r="AB266" s="13">
        <f t="shared" si="57"/>
        <v>76.13</v>
      </c>
      <c r="AC266" s="13" t="e">
        <f>IF(MONTH($A266)=MONTH($A265),AVERAGE($AB$5:AB266),AB266)</f>
        <v>#REF!</v>
      </c>
      <c r="AD266" s="13" t="e">
        <f>IF(YEAR($A266)=YEAR($A265),AVERAGE($AB$5:AB265,AB266),AB266)</f>
        <v>#REF!</v>
      </c>
    </row>
    <row r="267" spans="1:30" ht="75">
      <c r="A267" s="35">
        <f t="shared" si="59"/>
        <v>45554</v>
      </c>
      <c r="C267" s="3">
        <v>583.72101188620002</v>
      </c>
      <c r="E267" s="7">
        <v>94.44</v>
      </c>
      <c r="F267" s="3">
        <v>8658</v>
      </c>
      <c r="G267" s="7">
        <v>74.53</v>
      </c>
      <c r="H267" s="5">
        <v>0.28125</v>
      </c>
      <c r="I267" s="5">
        <v>0.76388888888888884</v>
      </c>
      <c r="J267" s="7">
        <f t="shared" si="58"/>
        <v>11.583333333333332</v>
      </c>
      <c r="M267" s="89">
        <f>11.58/18</f>
        <v>0.64333333333333331</v>
      </c>
      <c r="Q267" s="102" t="s">
        <v>156</v>
      </c>
      <c r="S267" s="21">
        <f t="shared" si="50"/>
        <v>583.72101188620002</v>
      </c>
      <c r="T267" s="6">
        <f t="shared" si="51"/>
        <v>10753.194381454801</v>
      </c>
      <c r="U267" s="6" t="e">
        <f t="shared" si="52"/>
        <v>#REF!</v>
      </c>
      <c r="V267" s="13">
        <f t="shared" si="53"/>
        <v>11.583333333333332</v>
      </c>
      <c r="W267" s="13">
        <f t="shared" si="54"/>
        <v>224.08333333333334</v>
      </c>
      <c r="X267" s="13">
        <f t="shared" si="55"/>
        <v>3135.0333333333342</v>
      </c>
      <c r="Y267" s="6">
        <f t="shared" si="56"/>
        <v>94.44</v>
      </c>
      <c r="Z267" s="13" t="e">
        <f>IF(MONTH($A267)=MONTH($A266),AVERAGE($Y$6:Y267),Y267)</f>
        <v>#REF!</v>
      </c>
      <c r="AA267" s="13" t="e">
        <f>IF(YEAR($A267)=YEAR($A266),AVERAGE($Y$5:Y267,Y267),Y267)</f>
        <v>#REF!</v>
      </c>
      <c r="AB267" s="13">
        <f t="shared" si="57"/>
        <v>74.53</v>
      </c>
      <c r="AC267" s="13" t="e">
        <f>IF(MONTH($A267)=MONTH($A266),AVERAGE($AB$5:AB267),AB267)</f>
        <v>#REF!</v>
      </c>
      <c r="AD267" s="13" t="e">
        <f>IF(YEAR($A267)=YEAR($A266),AVERAGE($AB$5:AB266,AB267),AB267)</f>
        <v>#REF!</v>
      </c>
    </row>
    <row r="268" spans="1:30" ht="90">
      <c r="A268" s="35">
        <f t="shared" si="59"/>
        <v>45555</v>
      </c>
      <c r="C268" s="3">
        <v>626.64966513100001</v>
      </c>
      <c r="E268" s="7">
        <v>97.01</v>
      </c>
      <c r="F268" s="3">
        <v>9097.0400000000009</v>
      </c>
      <c r="G268" s="7">
        <v>76.16</v>
      </c>
      <c r="H268" s="5">
        <v>0.28472222222222221</v>
      </c>
      <c r="I268" s="5">
        <v>0.76736111111111116</v>
      </c>
      <c r="J268" s="7">
        <f t="shared" si="58"/>
        <v>11.583333333333336</v>
      </c>
      <c r="M268" s="89">
        <f>(6+1.58)/18</f>
        <v>0.4211111111111111</v>
      </c>
      <c r="Q268" s="84" t="s">
        <v>157</v>
      </c>
      <c r="S268" s="21">
        <f t="shared" si="50"/>
        <v>626.64966513100001</v>
      </c>
      <c r="T268" s="6">
        <f t="shared" si="51"/>
        <v>11379.844046585802</v>
      </c>
      <c r="U268" s="6" t="e">
        <f t="shared" si="52"/>
        <v>#REF!</v>
      </c>
      <c r="V268" s="13">
        <f t="shared" si="53"/>
        <v>11.583333333333336</v>
      </c>
      <c r="W268" s="13">
        <f t="shared" si="54"/>
        <v>235.66666666666669</v>
      </c>
      <c r="X268" s="13">
        <f t="shared" si="55"/>
        <v>3146.6166666666677</v>
      </c>
      <c r="Y268" s="6">
        <f t="shared" si="56"/>
        <v>97.01</v>
      </c>
      <c r="Z268" s="13" t="e">
        <f>IF(MONTH($A268)=MONTH($A267),AVERAGE($Y$6:Y268),Y268)</f>
        <v>#REF!</v>
      </c>
      <c r="AA268" s="13" t="e">
        <f>IF(YEAR($A268)=YEAR($A267),AVERAGE($Y$5:Y268,Y268),Y268)</f>
        <v>#REF!</v>
      </c>
      <c r="AB268" s="13">
        <f t="shared" si="57"/>
        <v>76.16</v>
      </c>
      <c r="AC268" s="13" t="e">
        <f>IF(MONTH($A268)=MONTH($A267),AVERAGE($AB$5:AB268),AB268)</f>
        <v>#REF!</v>
      </c>
      <c r="AD268" s="13" t="e">
        <f>IF(YEAR($A268)=YEAR($A267),AVERAGE($AB$5:AB267,AB268),AB268)</f>
        <v>#REF!</v>
      </c>
    </row>
    <row r="269" spans="1:30" ht="90">
      <c r="A269" s="35">
        <f t="shared" si="59"/>
        <v>45556</v>
      </c>
      <c r="C269" s="3">
        <v>471.21246834239997</v>
      </c>
      <c r="E269" s="7">
        <v>94.44</v>
      </c>
      <c r="F269" s="3" t="s">
        <v>158</v>
      </c>
      <c r="G269" s="7" t="s">
        <v>158</v>
      </c>
      <c r="H269" s="5">
        <v>0.27083333333333331</v>
      </c>
      <c r="I269" s="5">
        <v>0.76041666666666663</v>
      </c>
      <c r="J269" s="7">
        <f t="shared" si="58"/>
        <v>11.75</v>
      </c>
      <c r="M269" s="89">
        <f>11.75/18</f>
        <v>0.65277777777777779</v>
      </c>
      <c r="Q269" s="84" t="s">
        <v>159</v>
      </c>
      <c r="S269" s="21">
        <f t="shared" si="50"/>
        <v>471.21246834239997</v>
      </c>
      <c r="T269" s="6">
        <f t="shared" si="51"/>
        <v>11851.056514928203</v>
      </c>
      <c r="U269" s="6" t="e">
        <f t="shared" si="52"/>
        <v>#REF!</v>
      </c>
      <c r="V269" s="13">
        <f t="shared" si="53"/>
        <v>11.75</v>
      </c>
      <c r="W269" s="13">
        <f t="shared" si="54"/>
        <v>247.41666666666669</v>
      </c>
      <c r="X269" s="13">
        <f t="shared" si="55"/>
        <v>3158.3666666666677</v>
      </c>
      <c r="Y269" s="6">
        <f t="shared" si="56"/>
        <v>94.44</v>
      </c>
      <c r="Z269" s="13" t="e">
        <f>IF(MONTH($A269)=MONTH($A268),AVERAGE($Y$6:Y269),Y269)</f>
        <v>#REF!</v>
      </c>
      <c r="AA269" s="13" t="e">
        <f>IF(YEAR($A269)=YEAR($A268),AVERAGE($Y$5:Y269,Y269),Y269)</f>
        <v>#REF!</v>
      </c>
      <c r="AB269" s="13" t="str">
        <f t="shared" si="57"/>
        <v>-</v>
      </c>
      <c r="AC269" s="13" t="e">
        <f>IF(MONTH($A269)=MONTH($A268),AVERAGE($AB$5:AB269),AB269)</f>
        <v>#REF!</v>
      </c>
      <c r="AD269" s="13" t="e">
        <f>IF(YEAR($A269)=YEAR($A268),AVERAGE($AB$5:AB268,AB269),AB269)</f>
        <v>#REF!</v>
      </c>
    </row>
    <row r="270" spans="1:30" ht="45">
      <c r="A270" s="35">
        <f t="shared" si="59"/>
        <v>45557</v>
      </c>
      <c r="C270" s="3">
        <v>452.90235517039997</v>
      </c>
      <c r="E270" s="7">
        <v>94.44</v>
      </c>
      <c r="F270" s="3">
        <v>6654.62</v>
      </c>
      <c r="G270" s="7">
        <v>75.209999999999994</v>
      </c>
      <c r="H270" s="5">
        <v>0.28125</v>
      </c>
      <c r="I270" s="5">
        <v>0.65625</v>
      </c>
      <c r="J270" s="7">
        <f t="shared" si="58"/>
        <v>9</v>
      </c>
      <c r="M270" s="89">
        <f>9/18</f>
        <v>0.5</v>
      </c>
      <c r="Q270" s="84" t="s">
        <v>160</v>
      </c>
      <c r="S270" s="21">
        <f t="shared" si="50"/>
        <v>452.90235517039997</v>
      </c>
      <c r="T270" s="6">
        <f t="shared" si="51"/>
        <v>12303.958870098602</v>
      </c>
      <c r="U270" s="6" t="e">
        <f t="shared" si="52"/>
        <v>#REF!</v>
      </c>
      <c r="V270" s="13">
        <f t="shared" si="53"/>
        <v>9</v>
      </c>
      <c r="W270" s="13">
        <f t="shared" si="54"/>
        <v>256.41666666666669</v>
      </c>
      <c r="X270" s="13">
        <f t="shared" si="55"/>
        <v>3167.3666666666677</v>
      </c>
      <c r="Y270" s="6">
        <f t="shared" si="56"/>
        <v>94.44</v>
      </c>
      <c r="Z270" s="13" t="e">
        <f>IF(MONTH($A270)=MONTH($A269),AVERAGE($Y$6:Y270),Y270)</f>
        <v>#REF!</v>
      </c>
      <c r="AA270" s="13" t="e">
        <f>IF(YEAR($A270)=YEAR($A269),AVERAGE($Y$5:Y270,Y270),Y270)</f>
        <v>#REF!</v>
      </c>
      <c r="AB270" s="13">
        <f t="shared" si="57"/>
        <v>75.209999999999994</v>
      </c>
      <c r="AC270" s="13" t="e">
        <f>IF(MONTH($A270)=MONTH($A269),AVERAGE($AB$5:AB270),AB270)</f>
        <v>#REF!</v>
      </c>
      <c r="AD270" s="13" t="e">
        <f>IF(YEAR($A270)=YEAR($A269),AVERAGE($AB$5:AB269,AB270),AB270)</f>
        <v>#REF!</v>
      </c>
    </row>
    <row r="271" spans="1:30" ht="30">
      <c r="A271" s="35">
        <f t="shared" si="59"/>
        <v>45558</v>
      </c>
      <c r="C271" s="3">
        <v>440.27665723940004</v>
      </c>
      <c r="E271" s="7">
        <v>94.44</v>
      </c>
      <c r="F271" s="3">
        <v>6109.49</v>
      </c>
      <c r="G271" s="7">
        <v>79.63</v>
      </c>
      <c r="H271" s="5">
        <v>0.2951388888888889</v>
      </c>
      <c r="I271" s="5">
        <v>0.76041666666666663</v>
      </c>
      <c r="J271" s="7">
        <f t="shared" si="58"/>
        <v>11.166666666666666</v>
      </c>
      <c r="M271" s="89">
        <f>11.7/18</f>
        <v>0.64999999999999991</v>
      </c>
      <c r="Q271" s="37" t="s">
        <v>161</v>
      </c>
      <c r="S271" s="21">
        <f t="shared" si="50"/>
        <v>440.27665723940004</v>
      </c>
      <c r="T271" s="6">
        <f t="shared" si="51"/>
        <v>12744.235527338002</v>
      </c>
      <c r="U271" s="6" t="e">
        <f t="shared" si="52"/>
        <v>#REF!</v>
      </c>
      <c r="V271" s="13">
        <f t="shared" si="53"/>
        <v>11.166666666666666</v>
      </c>
      <c r="W271" s="13">
        <f t="shared" si="54"/>
        <v>267.58333333333337</v>
      </c>
      <c r="X271" s="13">
        <f t="shared" si="55"/>
        <v>3178.5333333333342</v>
      </c>
      <c r="Y271" s="6">
        <f t="shared" si="56"/>
        <v>94.44</v>
      </c>
      <c r="Z271" s="13" t="e">
        <f>IF(MONTH($A271)=MONTH($A270),AVERAGE($Y$6:Y271),Y271)</f>
        <v>#REF!</v>
      </c>
      <c r="AA271" s="13" t="e">
        <f>IF(YEAR($A271)=YEAR($A270),AVERAGE($Y$5:Y271,Y271),Y271)</f>
        <v>#REF!</v>
      </c>
      <c r="AB271" s="13">
        <f t="shared" si="57"/>
        <v>79.63</v>
      </c>
      <c r="AC271" s="13" t="e">
        <f>IF(MONTH($A271)=MONTH($A270),AVERAGE($AB$5:AB271),AB271)</f>
        <v>#REF!</v>
      </c>
      <c r="AD271" s="13" t="e">
        <f>IF(YEAR($A271)=YEAR($A270),AVERAGE($AB$5:AB270,AB271),AB271)</f>
        <v>#REF!</v>
      </c>
    </row>
    <row r="272" spans="1:30" ht="30">
      <c r="A272" s="35">
        <f t="shared" si="59"/>
        <v>45559</v>
      </c>
      <c r="C272" s="3">
        <v>529.88066755900002</v>
      </c>
      <c r="E272" s="7">
        <v>94.44</v>
      </c>
      <c r="F272" s="3">
        <v>7634.45</v>
      </c>
      <c r="G272" s="7">
        <v>76.69</v>
      </c>
      <c r="H272" s="5">
        <v>0.28472222222222221</v>
      </c>
      <c r="I272" s="5">
        <v>0.76388888888888884</v>
      </c>
      <c r="J272" s="7">
        <f t="shared" si="58"/>
        <v>11.5</v>
      </c>
      <c r="M272" s="89">
        <f>11.5/18</f>
        <v>0.63888888888888884</v>
      </c>
      <c r="Q272" s="84" t="s">
        <v>161</v>
      </c>
      <c r="S272" s="21">
        <f t="shared" si="50"/>
        <v>529.88066755900002</v>
      </c>
      <c r="T272" s="6">
        <f t="shared" si="51"/>
        <v>13274.116194897002</v>
      </c>
      <c r="U272" s="6" t="e">
        <f t="shared" si="52"/>
        <v>#REF!</v>
      </c>
      <c r="V272" s="13">
        <f t="shared" si="53"/>
        <v>11.5</v>
      </c>
      <c r="W272" s="13">
        <f t="shared" si="54"/>
        <v>279.08333333333337</v>
      </c>
      <c r="X272" s="13">
        <f t="shared" si="55"/>
        <v>3190.0333333333342</v>
      </c>
      <c r="Y272" s="6">
        <f t="shared" si="56"/>
        <v>94.44</v>
      </c>
      <c r="Z272" s="13" t="e">
        <f>IF(MONTH($A272)=MONTH($A271),AVERAGE($Y$6:Y272),Y272)</f>
        <v>#REF!</v>
      </c>
      <c r="AA272" s="13" t="e">
        <f>IF(YEAR($A272)=YEAR($A271),AVERAGE($Y$5:Y272,Y272),Y272)</f>
        <v>#REF!</v>
      </c>
      <c r="AB272" s="13">
        <f t="shared" si="57"/>
        <v>76.69</v>
      </c>
      <c r="AC272" s="13" t="e">
        <f>IF(MONTH($A272)=MONTH($A271),AVERAGE($AB$5:AB272),AB272)</f>
        <v>#REF!</v>
      </c>
      <c r="AD272" s="13" t="e">
        <f>IF(YEAR($A272)=YEAR($A271),AVERAGE($AB$5:AB271,AB272),AB272)</f>
        <v>#REF!</v>
      </c>
    </row>
    <row r="273" spans="1:30" ht="30">
      <c r="A273" s="35">
        <f t="shared" si="59"/>
        <v>45560</v>
      </c>
      <c r="C273" s="3">
        <v>599.23430123940011</v>
      </c>
      <c r="E273" s="7">
        <v>94.44</v>
      </c>
      <c r="F273" s="3">
        <v>8646.6200000000008</v>
      </c>
      <c r="G273" s="7">
        <v>76.599999999999994</v>
      </c>
      <c r="H273" s="5">
        <v>0.28125</v>
      </c>
      <c r="I273" s="5">
        <v>0.75694444444444453</v>
      </c>
      <c r="J273" s="7">
        <f t="shared" si="58"/>
        <v>11.416666666666668</v>
      </c>
      <c r="M273" s="89">
        <f>11.42/18</f>
        <v>0.63444444444444448</v>
      </c>
      <c r="Q273" s="84" t="s">
        <v>161</v>
      </c>
      <c r="S273" s="21">
        <f t="shared" si="50"/>
        <v>599.23430123940011</v>
      </c>
      <c r="T273" s="6">
        <f t="shared" si="51"/>
        <v>13873.350496136401</v>
      </c>
      <c r="U273" s="6" t="e">
        <f t="shared" si="52"/>
        <v>#REF!</v>
      </c>
      <c r="V273" s="13">
        <f t="shared" si="53"/>
        <v>11.416666666666668</v>
      </c>
      <c r="W273" s="13">
        <f t="shared" si="54"/>
        <v>290.50000000000006</v>
      </c>
      <c r="X273" s="13">
        <f t="shared" si="55"/>
        <v>3201.4500000000007</v>
      </c>
      <c r="Y273" s="6">
        <f t="shared" si="56"/>
        <v>94.44</v>
      </c>
      <c r="Z273" s="13" t="e">
        <f>IF(MONTH($A273)=MONTH($A272),AVERAGE($Y$6:Y273),Y273)</f>
        <v>#REF!</v>
      </c>
      <c r="AA273" s="13" t="e">
        <f>IF(YEAR($A273)=YEAR($A272),AVERAGE($Y$5:Y273,Y273),Y273)</f>
        <v>#REF!</v>
      </c>
      <c r="AB273" s="13">
        <f t="shared" si="57"/>
        <v>76.599999999999994</v>
      </c>
      <c r="AC273" s="13" t="e">
        <f>IF(MONTH($A273)=MONTH($A272),AVERAGE($AB$5:AB273),AB273)</f>
        <v>#REF!</v>
      </c>
      <c r="AD273" s="13" t="e">
        <f>IF(YEAR($A273)=YEAR($A272),AVERAGE($AB$5:AB272,AB273),AB273)</f>
        <v>#REF!</v>
      </c>
    </row>
    <row r="274" spans="1:30">
      <c r="A274" s="35">
        <f t="shared" si="59"/>
        <v>45561</v>
      </c>
      <c r="C274" s="3">
        <v>658.80881043299996</v>
      </c>
      <c r="E274" s="7">
        <v>100</v>
      </c>
      <c r="F274" s="3">
        <v>9180.7999999999993</v>
      </c>
      <c r="G274" s="7">
        <v>79.349999999999994</v>
      </c>
      <c r="H274" s="5">
        <v>0.28472222222222221</v>
      </c>
      <c r="I274" s="5">
        <v>0.76388888888888884</v>
      </c>
      <c r="J274" s="7">
        <f t="shared" si="58"/>
        <v>11.5</v>
      </c>
      <c r="M274" s="7"/>
      <c r="Q274" s="84"/>
      <c r="S274" s="21">
        <f t="shared" ref="S274:S337" si="60">C274</f>
        <v>658.80881043299996</v>
      </c>
      <c r="T274" s="6">
        <f t="shared" ref="T274:T337" si="61">IF(MONTH($A274)=MONTH($A273),T273+S274,S274)</f>
        <v>14532.159306569401</v>
      </c>
      <c r="U274" s="6" t="e">
        <f t="shared" ref="U274:U337" si="62">IF(YEAR($A274)=YEAR($A273),U273+S274,S274)</f>
        <v>#REF!</v>
      </c>
      <c r="V274" s="13">
        <f t="shared" ref="V274:V337" si="63">J274</f>
        <v>11.5</v>
      </c>
      <c r="W274" s="13">
        <f t="shared" ref="W274:W337" si="64">IF(MONTH($A274)=MONTH($A273),W273+V274,V274)</f>
        <v>302.00000000000006</v>
      </c>
      <c r="X274" s="13">
        <f t="shared" ref="X274:X337" si="65">IF(YEAR($A274)=YEAR($A273),X273+V274,V274)</f>
        <v>3212.9500000000007</v>
      </c>
      <c r="Y274" s="6">
        <f t="shared" ref="Y274:Y337" si="66">E274</f>
        <v>100</v>
      </c>
      <c r="Z274" s="13" t="e">
        <f>IF(MONTH($A274)=MONTH($A273),AVERAGE($Y$6:Y274),Y274)</f>
        <v>#REF!</v>
      </c>
      <c r="AA274" s="13" t="e">
        <f>IF(YEAR($A274)=YEAR($A273),AVERAGE($Y$5:Y274,Y274),Y274)</f>
        <v>#REF!</v>
      </c>
      <c r="AB274" s="13">
        <f t="shared" ref="AB274:AB337" si="67">G274</f>
        <v>79.349999999999994</v>
      </c>
      <c r="AC274" s="13" t="e">
        <f>IF(MONTH($A274)=MONTH($A273),AVERAGE($AB$5:AB274),AB274)</f>
        <v>#REF!</v>
      </c>
      <c r="AD274" s="13" t="e">
        <f>IF(YEAR($A274)=YEAR($A273),AVERAGE($AB$5:AB273,AB274),AB274)</f>
        <v>#REF!</v>
      </c>
    </row>
    <row r="275" spans="1:30">
      <c r="A275" s="35">
        <f t="shared" si="59"/>
        <v>45562</v>
      </c>
      <c r="C275" s="3">
        <v>513.48881057789993</v>
      </c>
      <c r="E275" s="7">
        <v>100</v>
      </c>
      <c r="F275" s="3">
        <v>7088.3</v>
      </c>
      <c r="G275" s="7">
        <v>80.150000000000006</v>
      </c>
      <c r="H275" s="5">
        <v>0.28819444444444448</v>
      </c>
      <c r="I275" s="5">
        <v>0.76388888888888884</v>
      </c>
      <c r="J275" s="7">
        <f t="shared" si="58"/>
        <v>11.416666666666664</v>
      </c>
      <c r="L275" s="4"/>
      <c r="Q275" s="84"/>
      <c r="S275" s="21">
        <f t="shared" si="60"/>
        <v>513.48881057789993</v>
      </c>
      <c r="T275" s="6">
        <f t="shared" si="61"/>
        <v>15045.648117147301</v>
      </c>
      <c r="U275" s="6" t="e">
        <f t="shared" si="62"/>
        <v>#REF!</v>
      </c>
      <c r="V275" s="13">
        <f t="shared" si="63"/>
        <v>11.416666666666664</v>
      </c>
      <c r="W275" s="13">
        <f t="shared" si="64"/>
        <v>313.41666666666674</v>
      </c>
      <c r="X275" s="13">
        <f t="shared" si="65"/>
        <v>3224.3666666666672</v>
      </c>
      <c r="Y275" s="6">
        <f t="shared" si="66"/>
        <v>100</v>
      </c>
      <c r="Z275" s="13" t="e">
        <f>IF(MONTH($A275)=MONTH($A274),AVERAGE($Y$6:Y275),Y275)</f>
        <v>#REF!</v>
      </c>
      <c r="AA275" s="13" t="e">
        <f>IF(YEAR($A275)=YEAR($A274),AVERAGE($Y$5:Y275,Y275),Y275)</f>
        <v>#REF!</v>
      </c>
      <c r="AB275" s="13">
        <f t="shared" si="67"/>
        <v>80.150000000000006</v>
      </c>
      <c r="AC275" s="13" t="e">
        <f>IF(MONTH($A275)=MONTH($A274),AVERAGE($AB$5:AB275),AB275)</f>
        <v>#REF!</v>
      </c>
      <c r="AD275" s="13" t="e">
        <f>IF(YEAR($A275)=YEAR($A274),AVERAGE($AB$5:AB274,AB275),AB275)</f>
        <v>#REF!</v>
      </c>
    </row>
    <row r="276" spans="1:30">
      <c r="A276" s="35">
        <f t="shared" si="59"/>
        <v>45563</v>
      </c>
      <c r="C276" s="3">
        <v>503.4628985292</v>
      </c>
      <c r="E276" s="7">
        <v>100</v>
      </c>
      <c r="F276" s="3">
        <v>6961.64</v>
      </c>
      <c r="G276" s="7">
        <v>79.989999999999995</v>
      </c>
      <c r="H276" s="5">
        <v>0.28472222222222221</v>
      </c>
      <c r="I276" s="5">
        <v>0.76388888888888884</v>
      </c>
      <c r="J276" s="7">
        <f t="shared" si="58"/>
        <v>11.5</v>
      </c>
      <c r="L276" s="4"/>
      <c r="Q276" s="84"/>
      <c r="S276" s="21">
        <f t="shared" si="60"/>
        <v>503.4628985292</v>
      </c>
      <c r="T276" s="6">
        <f t="shared" si="61"/>
        <v>15549.111015676501</v>
      </c>
      <c r="U276" s="6" t="e">
        <f t="shared" si="62"/>
        <v>#REF!</v>
      </c>
      <c r="V276" s="13">
        <f t="shared" si="63"/>
        <v>11.5</v>
      </c>
      <c r="W276" s="13">
        <f t="shared" si="64"/>
        <v>324.91666666666674</v>
      </c>
      <c r="X276" s="13">
        <f t="shared" si="65"/>
        <v>3235.8666666666672</v>
      </c>
      <c r="Y276" s="6">
        <f t="shared" si="66"/>
        <v>100</v>
      </c>
      <c r="Z276" s="13" t="e">
        <f>IF(MONTH($A276)=MONTH($A275),AVERAGE($Y$6:Y276),Y276)</f>
        <v>#REF!</v>
      </c>
      <c r="AA276" s="13" t="e">
        <f>IF(YEAR($A276)=YEAR($A275),AVERAGE($Y$5:Y276,Y276),Y276)</f>
        <v>#REF!</v>
      </c>
      <c r="AB276" s="13">
        <f t="shared" si="67"/>
        <v>79.989999999999995</v>
      </c>
      <c r="AC276" s="13" t="e">
        <f>IF(MONTH($A276)=MONTH($A275),AVERAGE($AB$5:AB276),AB276)</f>
        <v>#REF!</v>
      </c>
      <c r="AD276" s="13" t="e">
        <f>IF(YEAR($A276)=YEAR($A275),AVERAGE($AB$5:AB275,AB276),AB276)</f>
        <v>#REF!</v>
      </c>
    </row>
    <row r="277" spans="1:30">
      <c r="A277" s="35">
        <f t="shared" si="59"/>
        <v>45564</v>
      </c>
      <c r="C277" s="3">
        <v>416.07052458239997</v>
      </c>
      <c r="E277" s="7">
        <v>100</v>
      </c>
      <c r="F277" s="3">
        <v>5576.76</v>
      </c>
      <c r="G277" s="7">
        <v>82.5</v>
      </c>
      <c r="H277" s="5">
        <v>0.28472222222222221</v>
      </c>
      <c r="I277" s="5">
        <v>0.73611111111111116</v>
      </c>
      <c r="J277" s="7">
        <f t="shared" si="58"/>
        <v>10.833333333333336</v>
      </c>
      <c r="S277" s="21">
        <f t="shared" si="60"/>
        <v>416.07052458239997</v>
      </c>
      <c r="T277" s="6">
        <f t="shared" si="61"/>
        <v>15965.1815402589</v>
      </c>
      <c r="U277" s="6" t="e">
        <f t="shared" si="62"/>
        <v>#REF!</v>
      </c>
      <c r="V277" s="13">
        <f t="shared" si="63"/>
        <v>10.833333333333336</v>
      </c>
      <c r="W277" s="13">
        <f t="shared" si="64"/>
        <v>335.75000000000006</v>
      </c>
      <c r="X277" s="13">
        <f t="shared" si="65"/>
        <v>3246.7000000000007</v>
      </c>
      <c r="Y277" s="6">
        <f t="shared" si="66"/>
        <v>100</v>
      </c>
      <c r="Z277" s="13" t="e">
        <f>IF(MONTH($A277)=MONTH($A276),AVERAGE($Y$6:Y277),Y277)</f>
        <v>#REF!</v>
      </c>
      <c r="AA277" s="13" t="e">
        <f>IF(YEAR($A277)=YEAR($A276),AVERAGE($Y$5:Y277,Y277),Y277)</f>
        <v>#REF!</v>
      </c>
      <c r="AB277" s="13">
        <f t="shared" si="67"/>
        <v>82.5</v>
      </c>
      <c r="AC277" s="13" t="e">
        <f>IF(MONTH($A277)=MONTH($A276),AVERAGE($AB$5:AB277),AB277)</f>
        <v>#REF!</v>
      </c>
      <c r="AD277" s="13" t="e">
        <f>IF(YEAR($A277)=YEAR($A276),AVERAGE($AB$5:AB276,AB277),AB277)</f>
        <v>#REF!</v>
      </c>
    </row>
    <row r="278" spans="1:30">
      <c r="A278" s="35">
        <f t="shared" si="59"/>
        <v>45565</v>
      </c>
      <c r="C278" s="3">
        <v>621.83716168249998</v>
      </c>
      <c r="E278" s="7">
        <v>100</v>
      </c>
      <c r="F278" s="3">
        <v>8639.07</v>
      </c>
      <c r="G278" s="7">
        <v>79.58</v>
      </c>
      <c r="H278" s="5">
        <v>0.28472222222222221</v>
      </c>
      <c r="I278" s="5">
        <v>0.76041666666666663</v>
      </c>
      <c r="J278" s="7">
        <f t="shared" si="58"/>
        <v>11.416666666666666</v>
      </c>
      <c r="L278" s="4"/>
      <c r="N278" s="2"/>
      <c r="O278" s="2"/>
      <c r="P278" s="2"/>
      <c r="Q278" s="103"/>
      <c r="S278" s="21">
        <f t="shared" si="60"/>
        <v>621.83716168249998</v>
      </c>
      <c r="T278" s="6">
        <f t="shared" si="61"/>
        <v>16587.018701941401</v>
      </c>
      <c r="U278" s="6" t="e">
        <f t="shared" si="62"/>
        <v>#REF!</v>
      </c>
      <c r="V278" s="13">
        <f t="shared" si="63"/>
        <v>11.416666666666666</v>
      </c>
      <c r="W278" s="13">
        <f t="shared" si="64"/>
        <v>347.16666666666674</v>
      </c>
      <c r="X278" s="13">
        <f t="shared" si="65"/>
        <v>3258.1166666666672</v>
      </c>
      <c r="Y278" s="6">
        <f t="shared" si="66"/>
        <v>100</v>
      </c>
      <c r="Z278" s="13" t="e">
        <f>IF(MONTH($A278)=MONTH($A277),AVERAGE($Y$6:Y278),Y278)</f>
        <v>#REF!</v>
      </c>
      <c r="AA278" s="13" t="e">
        <f>IF(YEAR($A278)=YEAR($A277),AVERAGE($Y$5:Y278,Y278),Y278)</f>
        <v>#REF!</v>
      </c>
      <c r="AB278" s="13">
        <f t="shared" si="67"/>
        <v>79.58</v>
      </c>
      <c r="AC278" s="13" t="e">
        <f>IF(MONTH($A278)=MONTH($A277),AVERAGE($AB$5:AB278),AB278)</f>
        <v>#REF!</v>
      </c>
      <c r="AD278" s="13" t="e">
        <f>IF(YEAR($A278)=YEAR($A277),AVERAGE($AB$5:AB277,AB278),AB278)</f>
        <v>#REF!</v>
      </c>
    </row>
    <row r="279" spans="1:30" ht="30">
      <c r="A279" s="35">
        <f t="shared" si="59"/>
        <v>45566</v>
      </c>
      <c r="C279" s="3">
        <v>582.24640155060001</v>
      </c>
      <c r="E279" s="7">
        <v>98.47</v>
      </c>
      <c r="F279" s="3">
        <v>8332.43</v>
      </c>
      <c r="G279" s="7">
        <v>77.27</v>
      </c>
      <c r="H279" s="5">
        <v>0.28472222222222221</v>
      </c>
      <c r="I279" s="5">
        <v>0.76041666666666663</v>
      </c>
      <c r="J279" s="7">
        <f t="shared" si="58"/>
        <v>11.416666666666666</v>
      </c>
      <c r="M279" s="89">
        <f>3.33/18</f>
        <v>0.185</v>
      </c>
      <c r="Q279" s="84" t="s">
        <v>162</v>
      </c>
      <c r="S279" s="21">
        <f t="shared" si="60"/>
        <v>582.24640155060001</v>
      </c>
      <c r="T279" s="6">
        <f t="shared" si="61"/>
        <v>582.24640155060001</v>
      </c>
      <c r="U279" s="6" t="e">
        <f t="shared" si="62"/>
        <v>#REF!</v>
      </c>
      <c r="V279" s="13">
        <f t="shared" si="63"/>
        <v>11.416666666666666</v>
      </c>
      <c r="W279" s="13">
        <f t="shared" si="64"/>
        <v>11.416666666666666</v>
      </c>
      <c r="X279" s="13">
        <f t="shared" si="65"/>
        <v>3269.5333333333338</v>
      </c>
      <c r="Y279" s="6" t="e">
        <f>#REF!</f>
        <v>#REF!</v>
      </c>
      <c r="Z279" s="13" t="e">
        <f>IF(MONTH($A279)=MONTH($A278),AVERAGE($Y$6:Y279),Y279)</f>
        <v>#REF!</v>
      </c>
      <c r="AA279" s="13" t="e">
        <f>IF(YEAR($A279)=YEAR($A278),AVERAGE($Y$5:Y279,Y279),Y279)</f>
        <v>#REF!</v>
      </c>
      <c r="AB279" s="13">
        <f t="shared" si="67"/>
        <v>77.27</v>
      </c>
      <c r="AC279" s="13">
        <f>IF(MONTH($A279)=MONTH($A278),AVERAGE($AB$5:AB279),AB279)</f>
        <v>77.27</v>
      </c>
      <c r="AD279" s="13" t="e">
        <f>IF(YEAR($A279)=YEAR($A278),AVERAGE($AB$5:AB278,AB279),AB279)</f>
        <v>#REF!</v>
      </c>
    </row>
    <row r="280" spans="1:30" ht="30">
      <c r="A280" s="35">
        <f t="shared" si="59"/>
        <v>45567</v>
      </c>
      <c r="C280" s="3">
        <v>609.92228549130004</v>
      </c>
      <c r="E280" s="7">
        <v>100</v>
      </c>
      <c r="F280" s="3">
        <v>8760.9500000000007</v>
      </c>
      <c r="G280" s="7">
        <v>76.94</v>
      </c>
      <c r="H280" s="5">
        <v>0.28472222222222221</v>
      </c>
      <c r="I280" s="5">
        <v>0.75694444444444453</v>
      </c>
      <c r="J280" s="7">
        <f t="shared" si="58"/>
        <v>11.333333333333336</v>
      </c>
      <c r="Q280" s="84" t="s">
        <v>163</v>
      </c>
      <c r="S280" s="21">
        <f t="shared" si="60"/>
        <v>609.92228549130004</v>
      </c>
      <c r="T280" s="6">
        <f t="shared" si="61"/>
        <v>1192.1686870419001</v>
      </c>
      <c r="U280" s="6" t="e">
        <f t="shared" si="62"/>
        <v>#REF!</v>
      </c>
      <c r="V280" s="13">
        <f t="shared" si="63"/>
        <v>11.333333333333336</v>
      </c>
      <c r="W280" s="13">
        <f t="shared" si="64"/>
        <v>22.75</v>
      </c>
      <c r="X280" s="13">
        <f t="shared" si="65"/>
        <v>3280.8666666666672</v>
      </c>
      <c r="Y280" s="6">
        <f>E279</f>
        <v>98.47</v>
      </c>
      <c r="Z280" s="13" t="e">
        <f>IF(MONTH($A280)=MONTH($A279),AVERAGE($Y$6:Y280),Y280)</f>
        <v>#REF!</v>
      </c>
      <c r="AA280" s="13" t="e">
        <f>IF(YEAR($A280)=YEAR($A279),AVERAGE($Y$5:Y280,Y280),Y280)</f>
        <v>#REF!</v>
      </c>
      <c r="AB280" s="13">
        <f t="shared" si="67"/>
        <v>76.94</v>
      </c>
      <c r="AC280" s="13" t="e">
        <f>IF(MONTH($A280)=MONTH($A279),AVERAGE($AB$5:AB280),AB280)</f>
        <v>#REF!</v>
      </c>
      <c r="AD280" s="13" t="e">
        <f>IF(YEAR($A280)=YEAR($A279),AVERAGE($AB$5:AB279,AB280),AB280)</f>
        <v>#REF!</v>
      </c>
    </row>
    <row r="281" spans="1:30" ht="60">
      <c r="A281" s="35">
        <f t="shared" si="59"/>
        <v>45568</v>
      </c>
      <c r="C281" s="3">
        <v>557.5989111422</v>
      </c>
      <c r="E281" s="7">
        <v>100</v>
      </c>
      <c r="F281" s="3">
        <v>7909.46</v>
      </c>
      <c r="G281" s="7">
        <v>77.91</v>
      </c>
      <c r="H281" s="5">
        <v>0.28472222222222221</v>
      </c>
      <c r="I281" s="5">
        <v>0.76736111111111116</v>
      </c>
      <c r="J281" s="7">
        <f t="shared" si="58"/>
        <v>11.583333333333336</v>
      </c>
      <c r="Q281" s="84" t="s">
        <v>164</v>
      </c>
      <c r="S281" s="21">
        <f t="shared" si="60"/>
        <v>557.5989111422</v>
      </c>
      <c r="T281" s="6">
        <f t="shared" si="61"/>
        <v>1749.7675981841001</v>
      </c>
      <c r="U281" s="6" t="e">
        <f t="shared" si="62"/>
        <v>#REF!</v>
      </c>
      <c r="V281" s="13">
        <f t="shared" si="63"/>
        <v>11.583333333333336</v>
      </c>
      <c r="W281" s="13">
        <f t="shared" si="64"/>
        <v>34.333333333333336</v>
      </c>
      <c r="X281" s="13">
        <f t="shared" si="65"/>
        <v>3292.4500000000007</v>
      </c>
      <c r="Y281" s="6">
        <f t="shared" si="66"/>
        <v>100</v>
      </c>
      <c r="Z281" s="13" t="e">
        <f>IF(MONTH($A281)=MONTH($A280),AVERAGE($Y$6:Y281),Y281)</f>
        <v>#REF!</v>
      </c>
      <c r="AA281" s="13" t="e">
        <f>IF(YEAR($A281)=YEAR($A280),AVERAGE($Y$5:Y281,Y281),Y281)</f>
        <v>#REF!</v>
      </c>
      <c r="AB281" s="13">
        <f t="shared" si="67"/>
        <v>77.91</v>
      </c>
      <c r="AC281" s="13" t="e">
        <f>IF(MONTH($A281)=MONTH($A280),AVERAGE($AB$5:AB281),AB281)</f>
        <v>#REF!</v>
      </c>
      <c r="AD281" s="13" t="e">
        <f>IF(YEAR($A281)=YEAR($A280),AVERAGE($AB$5:AB280,AB281),AB281)</f>
        <v>#REF!</v>
      </c>
    </row>
    <row r="282" spans="1:30">
      <c r="A282" s="35">
        <f t="shared" si="59"/>
        <v>45569</v>
      </c>
      <c r="C282" s="3">
        <v>508.90005648059997</v>
      </c>
      <c r="E282" s="7">
        <v>100</v>
      </c>
      <c r="F282" s="3">
        <v>7050.49</v>
      </c>
      <c r="G282" s="7">
        <v>79.83</v>
      </c>
      <c r="H282" s="5">
        <v>0.28472222222222221</v>
      </c>
      <c r="I282" s="5">
        <v>0.76388888888888884</v>
      </c>
      <c r="J282" s="7">
        <f t="shared" si="58"/>
        <v>11.5</v>
      </c>
      <c r="Q282" s="84" t="s">
        <v>165</v>
      </c>
      <c r="S282" s="21">
        <f t="shared" si="60"/>
        <v>508.90005648059997</v>
      </c>
      <c r="T282" s="6">
        <f t="shared" si="61"/>
        <v>2258.6676546647</v>
      </c>
      <c r="U282" s="6" t="e">
        <f t="shared" si="62"/>
        <v>#REF!</v>
      </c>
      <c r="V282" s="13">
        <f t="shared" si="63"/>
        <v>11.5</v>
      </c>
      <c r="W282" s="13">
        <f t="shared" si="64"/>
        <v>45.833333333333336</v>
      </c>
      <c r="X282" s="13">
        <f t="shared" si="65"/>
        <v>3303.9500000000007</v>
      </c>
      <c r="Y282" s="6">
        <f t="shared" si="66"/>
        <v>100</v>
      </c>
      <c r="Z282" s="13" t="e">
        <f>IF(MONTH($A282)=MONTH($A281),AVERAGE($Y$6:Y282),Y282)</f>
        <v>#REF!</v>
      </c>
      <c r="AA282" s="13" t="e">
        <f>IF(YEAR($A282)=YEAR($A281),AVERAGE($Y$5:Y282,Y282),Y282)</f>
        <v>#REF!</v>
      </c>
      <c r="AB282" s="13">
        <f t="shared" si="67"/>
        <v>79.83</v>
      </c>
      <c r="AC282" s="13" t="e">
        <f>IF(MONTH($A282)=MONTH($A281),AVERAGE($AB$5:AB282),AB282)</f>
        <v>#REF!</v>
      </c>
      <c r="AD282" s="13" t="e">
        <f>IF(YEAR($A282)=YEAR($A281),AVERAGE($AB$5:AB281,AB282),AB282)</f>
        <v>#REF!</v>
      </c>
    </row>
    <row r="283" spans="1:30">
      <c r="A283" s="35">
        <f t="shared" si="59"/>
        <v>45570</v>
      </c>
      <c r="C283" s="3">
        <v>485.93990259950004</v>
      </c>
      <c r="E283" s="7">
        <v>100</v>
      </c>
      <c r="F283" s="3">
        <v>6844.72</v>
      </c>
      <c r="G283" s="7">
        <v>78.489999999999995</v>
      </c>
      <c r="H283" s="5">
        <v>0.2951388888888889</v>
      </c>
      <c r="I283" s="5">
        <v>0.76041666666666663</v>
      </c>
      <c r="J283" s="7">
        <f t="shared" si="58"/>
        <v>11.166666666666666</v>
      </c>
      <c r="Q283" s="84" t="s">
        <v>165</v>
      </c>
      <c r="S283" s="21">
        <f t="shared" si="60"/>
        <v>485.93990259950004</v>
      </c>
      <c r="T283" s="6">
        <f t="shared" si="61"/>
        <v>2744.6075572641998</v>
      </c>
      <c r="U283" s="6" t="e">
        <f t="shared" si="62"/>
        <v>#REF!</v>
      </c>
      <c r="V283" s="13">
        <f t="shared" si="63"/>
        <v>11.166666666666666</v>
      </c>
      <c r="W283" s="13">
        <f t="shared" si="64"/>
        <v>57</v>
      </c>
      <c r="X283" s="13">
        <f t="shared" si="65"/>
        <v>3315.1166666666672</v>
      </c>
      <c r="Y283" s="6">
        <f t="shared" si="66"/>
        <v>100</v>
      </c>
      <c r="Z283" s="13" t="e">
        <f>IF(MONTH($A283)=MONTH($A282),AVERAGE($Y$6:Y283),Y283)</f>
        <v>#REF!</v>
      </c>
      <c r="AA283" s="13" t="e">
        <f>IF(YEAR($A283)=YEAR($A282),AVERAGE($Y$5:Y283,Y283),Y283)</f>
        <v>#REF!</v>
      </c>
      <c r="AB283" s="13">
        <f t="shared" si="67"/>
        <v>78.489999999999995</v>
      </c>
      <c r="AC283" s="13" t="e">
        <f>IF(MONTH($A283)=MONTH($A282),AVERAGE($AB$5:AB283),AB283)</f>
        <v>#REF!</v>
      </c>
      <c r="AD283" s="13" t="e">
        <f>IF(YEAR($A283)=YEAR($A282),AVERAGE($AB$5:AB282,AB283),AB283)</f>
        <v>#REF!</v>
      </c>
    </row>
    <row r="284" spans="1:30">
      <c r="A284" s="35">
        <f t="shared" si="59"/>
        <v>45571</v>
      </c>
      <c r="C284" s="3">
        <v>471.90238998410001</v>
      </c>
      <c r="E284" s="7">
        <v>100</v>
      </c>
      <c r="F284" s="3">
        <v>6558.63</v>
      </c>
      <c r="G284" s="7">
        <v>79.53</v>
      </c>
      <c r="H284" s="5">
        <v>0.28819444444444448</v>
      </c>
      <c r="I284" s="5">
        <v>0.75694444444444453</v>
      </c>
      <c r="J284" s="7">
        <f t="shared" si="58"/>
        <v>11.250000000000002</v>
      </c>
      <c r="Q284" s="84" t="s">
        <v>165</v>
      </c>
      <c r="S284" s="21">
        <f t="shared" si="60"/>
        <v>471.90238998410001</v>
      </c>
      <c r="T284" s="6">
        <f t="shared" si="61"/>
        <v>3216.5099472482998</v>
      </c>
      <c r="U284" s="6" t="e">
        <f t="shared" si="62"/>
        <v>#REF!</v>
      </c>
      <c r="V284" s="13">
        <f t="shared" si="63"/>
        <v>11.250000000000002</v>
      </c>
      <c r="W284" s="13">
        <f t="shared" si="64"/>
        <v>68.25</v>
      </c>
      <c r="X284" s="13">
        <f t="shared" si="65"/>
        <v>3326.3666666666672</v>
      </c>
      <c r="Y284" s="6">
        <f t="shared" si="66"/>
        <v>100</v>
      </c>
      <c r="Z284" s="13" t="e">
        <f>IF(MONTH($A284)=MONTH($A283),AVERAGE($Y$6:Y284),Y284)</f>
        <v>#REF!</v>
      </c>
      <c r="AA284" s="13" t="e">
        <f>IF(YEAR($A284)=YEAR($A283),AVERAGE($Y$5:Y284,Y284),Y284)</f>
        <v>#REF!</v>
      </c>
      <c r="AB284" s="13">
        <f t="shared" si="67"/>
        <v>79.53</v>
      </c>
      <c r="AC284" s="13" t="e">
        <f>IF(MONTH($A284)=MONTH($A283),AVERAGE($AB$5:AB284),AB284)</f>
        <v>#REF!</v>
      </c>
      <c r="AD284" s="13" t="e">
        <f>IF(YEAR($A284)=YEAR($A283),AVERAGE($AB$5:AB283,AB284),AB284)</f>
        <v>#REF!</v>
      </c>
    </row>
    <row r="285" spans="1:30">
      <c r="A285" s="35">
        <f t="shared" si="59"/>
        <v>45572</v>
      </c>
      <c r="C285" s="3">
        <v>528.78946119689999</v>
      </c>
      <c r="E285" s="7">
        <v>100</v>
      </c>
      <c r="F285" s="3">
        <v>7276.38</v>
      </c>
      <c r="G285" s="7">
        <v>80.34</v>
      </c>
      <c r="H285" s="5">
        <v>0.30208333333333331</v>
      </c>
      <c r="I285" s="5">
        <v>0.76736111111111116</v>
      </c>
      <c r="J285" s="7">
        <f t="shared" si="58"/>
        <v>11.166666666666668</v>
      </c>
      <c r="L285" s="18"/>
      <c r="Q285" s="84"/>
      <c r="S285" s="21">
        <f t="shared" si="60"/>
        <v>528.78946119689999</v>
      </c>
      <c r="T285" s="6">
        <f t="shared" si="61"/>
        <v>3745.2994084451998</v>
      </c>
      <c r="U285" s="6" t="e">
        <f t="shared" si="62"/>
        <v>#REF!</v>
      </c>
      <c r="V285" s="13">
        <f t="shared" si="63"/>
        <v>11.166666666666668</v>
      </c>
      <c r="W285" s="13">
        <f t="shared" si="64"/>
        <v>79.416666666666671</v>
      </c>
      <c r="X285" s="13">
        <f t="shared" si="65"/>
        <v>3337.5333333333338</v>
      </c>
      <c r="Y285" s="6">
        <f t="shared" si="66"/>
        <v>100</v>
      </c>
      <c r="Z285" s="13" t="e">
        <f>IF(MONTH($A285)=MONTH($A284),AVERAGE($Y$6:Y285),Y285)</f>
        <v>#REF!</v>
      </c>
      <c r="AA285" s="13" t="e">
        <f>IF(YEAR($A285)=YEAR($A284),AVERAGE($Y$5:Y285,Y285),Y285)</f>
        <v>#REF!</v>
      </c>
      <c r="AB285" s="13">
        <f t="shared" si="67"/>
        <v>80.34</v>
      </c>
      <c r="AC285" s="13" t="e">
        <f>IF(MONTH($A285)=MONTH($A284),AVERAGE($AB$5:AB285),AB285)</f>
        <v>#REF!</v>
      </c>
      <c r="AD285" s="13" t="e">
        <f>IF(YEAR($A285)=YEAR($A284),AVERAGE($AB$5:AB284,AB285),AB285)</f>
        <v>#REF!</v>
      </c>
    </row>
    <row r="286" spans="1:30">
      <c r="A286" s="35">
        <f t="shared" si="59"/>
        <v>45573</v>
      </c>
      <c r="C286" s="3">
        <v>342.40535411070005</v>
      </c>
      <c r="E286" s="7">
        <v>100</v>
      </c>
      <c r="F286" s="3">
        <v>4572.87</v>
      </c>
      <c r="G286" s="7">
        <v>82.75</v>
      </c>
      <c r="H286" s="5">
        <v>0.28819444444444448</v>
      </c>
      <c r="I286" s="36">
        <v>0.75694444444444453</v>
      </c>
      <c r="J286" s="7">
        <f t="shared" si="58"/>
        <v>11.250000000000002</v>
      </c>
      <c r="Q286" s="84" t="s">
        <v>166</v>
      </c>
      <c r="S286" s="21">
        <f t="shared" si="60"/>
        <v>342.40535411070005</v>
      </c>
      <c r="T286" s="6">
        <f t="shared" si="61"/>
        <v>4087.7047625558998</v>
      </c>
      <c r="U286" s="6" t="e">
        <f t="shared" si="62"/>
        <v>#REF!</v>
      </c>
      <c r="V286" s="13">
        <f t="shared" si="63"/>
        <v>11.250000000000002</v>
      </c>
      <c r="W286" s="13">
        <f t="shared" si="64"/>
        <v>90.666666666666671</v>
      </c>
      <c r="X286" s="13">
        <f t="shared" si="65"/>
        <v>3348.7833333333338</v>
      </c>
      <c r="Y286" s="6">
        <f t="shared" si="66"/>
        <v>100</v>
      </c>
      <c r="Z286" s="13" t="e">
        <f>IF(MONTH($A286)=MONTH($A285),AVERAGE($Y$6:Y286),Y286)</f>
        <v>#REF!</v>
      </c>
      <c r="AA286" s="13" t="e">
        <f>IF(YEAR($A286)=YEAR($A285),AVERAGE($Y$5:Y286,Y286),Y286)</f>
        <v>#REF!</v>
      </c>
      <c r="AB286" s="13">
        <f t="shared" si="67"/>
        <v>82.75</v>
      </c>
      <c r="AC286" s="13" t="e">
        <f>IF(MONTH($A286)=MONTH($A285),AVERAGE($AB$5:AB286),AB286)</f>
        <v>#REF!</v>
      </c>
      <c r="AD286" s="13" t="e">
        <f>IF(YEAR($A286)=YEAR($A285),AVERAGE($AB$5:AB285,AB286),AB286)</f>
        <v>#REF!</v>
      </c>
    </row>
    <row r="287" spans="1:30" ht="75">
      <c r="A287" s="35">
        <f t="shared" si="59"/>
        <v>45574</v>
      </c>
      <c r="C287" s="3">
        <v>437.80982257100004</v>
      </c>
      <c r="E287" s="7">
        <v>100</v>
      </c>
      <c r="F287" s="3">
        <v>6037.74</v>
      </c>
      <c r="G287" s="7">
        <v>80.14</v>
      </c>
      <c r="H287" s="5">
        <v>0.28472222222222221</v>
      </c>
      <c r="I287" s="5">
        <v>0.76041666666666663</v>
      </c>
      <c r="J287" s="7">
        <f t="shared" si="58"/>
        <v>11.416666666666666</v>
      </c>
      <c r="M287" s="89">
        <f>0.13/18</f>
        <v>7.2222222222222228E-3</v>
      </c>
      <c r="O287" s="4"/>
      <c r="Q287" s="84" t="s">
        <v>167</v>
      </c>
      <c r="S287" s="21">
        <f t="shared" si="60"/>
        <v>437.80982257100004</v>
      </c>
      <c r="T287" s="6">
        <f t="shared" si="61"/>
        <v>4525.5145851268999</v>
      </c>
      <c r="U287" s="6" t="e">
        <f t="shared" si="62"/>
        <v>#REF!</v>
      </c>
      <c r="V287" s="13">
        <f t="shared" si="63"/>
        <v>11.416666666666666</v>
      </c>
      <c r="W287" s="13">
        <f t="shared" si="64"/>
        <v>102.08333333333334</v>
      </c>
      <c r="X287" s="13">
        <f t="shared" si="65"/>
        <v>3360.2000000000003</v>
      </c>
      <c r="Y287" s="6">
        <f t="shared" si="66"/>
        <v>100</v>
      </c>
      <c r="Z287" s="13" t="e">
        <f>IF(MONTH($A287)=MONTH($A286),AVERAGE($Y$6:Y287),Y287)</f>
        <v>#REF!</v>
      </c>
      <c r="AA287" s="13" t="e">
        <f>IF(YEAR($A287)=YEAR($A286),AVERAGE($Y$5:Y287,Y287),Y287)</f>
        <v>#REF!</v>
      </c>
      <c r="AB287" s="13">
        <f t="shared" si="67"/>
        <v>80.14</v>
      </c>
      <c r="AC287" s="13" t="e">
        <f>IF(MONTH($A287)=MONTH($A286),AVERAGE($AB$5:AB287),AB287)</f>
        <v>#REF!</v>
      </c>
      <c r="AD287" s="13" t="e">
        <f>IF(YEAR($A287)=YEAR($A286),AVERAGE($AB$5:AB286,AB287),AB287)</f>
        <v>#REF!</v>
      </c>
    </row>
    <row r="288" spans="1:30" ht="45">
      <c r="A288" s="35">
        <f t="shared" si="59"/>
        <v>45575</v>
      </c>
      <c r="C288" s="3">
        <v>510.5109612059</v>
      </c>
      <c r="E288" s="7">
        <v>99.95</v>
      </c>
      <c r="F288" s="3">
        <v>7068.97</v>
      </c>
      <c r="G288" s="7">
        <v>79.78</v>
      </c>
      <c r="H288" s="5">
        <v>0.28819444444444448</v>
      </c>
      <c r="I288" s="5">
        <v>0.72222222222222221</v>
      </c>
      <c r="J288" s="7">
        <f t="shared" si="58"/>
        <v>10.416666666666666</v>
      </c>
      <c r="L288" s="4"/>
      <c r="M288" s="89">
        <f>0.17/18</f>
        <v>9.4444444444444445E-3</v>
      </c>
      <c r="N288" s="2"/>
      <c r="O288" s="2"/>
      <c r="P288" s="2"/>
      <c r="Q288" s="84" t="s">
        <v>168</v>
      </c>
      <c r="S288" s="21">
        <f t="shared" si="60"/>
        <v>510.5109612059</v>
      </c>
      <c r="T288" s="6">
        <f t="shared" si="61"/>
        <v>5036.0255463327994</v>
      </c>
      <c r="U288" s="6" t="e">
        <f t="shared" si="62"/>
        <v>#REF!</v>
      </c>
      <c r="V288" s="13">
        <f t="shared" si="63"/>
        <v>10.416666666666666</v>
      </c>
      <c r="W288" s="13">
        <f t="shared" si="64"/>
        <v>112.50000000000001</v>
      </c>
      <c r="X288" s="13">
        <f t="shared" si="65"/>
        <v>3370.6166666666668</v>
      </c>
      <c r="Y288" s="6">
        <f t="shared" si="66"/>
        <v>99.95</v>
      </c>
      <c r="Z288" s="13" t="e">
        <f>IF(MONTH($A288)=MONTH($A287),AVERAGE($Y$6:Y288),Y288)</f>
        <v>#REF!</v>
      </c>
      <c r="AA288" s="13" t="e">
        <f>IF(YEAR($A288)=YEAR($A287),AVERAGE($Y$5:Y288,Y288),Y288)</f>
        <v>#REF!</v>
      </c>
      <c r="AB288" s="13">
        <f t="shared" si="67"/>
        <v>79.78</v>
      </c>
      <c r="AC288" s="13" t="e">
        <f>IF(MONTH($A288)=MONTH($A287),AVERAGE($AB$5:AB288),AB288)</f>
        <v>#REF!</v>
      </c>
      <c r="AD288" s="13" t="e">
        <f>IF(YEAR($A288)=YEAR($A287),AVERAGE($AB$5:AB287,AB288),AB288)</f>
        <v>#REF!</v>
      </c>
    </row>
    <row r="289" spans="1:30" ht="120">
      <c r="A289" s="35">
        <f t="shared" si="59"/>
        <v>45576</v>
      </c>
      <c r="C289" s="3">
        <v>428.49748014880004</v>
      </c>
      <c r="E289" s="7">
        <v>99.63</v>
      </c>
      <c r="F289" s="3">
        <v>5865.33</v>
      </c>
      <c r="G289" s="7">
        <v>80.77</v>
      </c>
      <c r="H289" s="5">
        <v>0.28819444444444448</v>
      </c>
      <c r="I289" s="5">
        <v>0.75</v>
      </c>
      <c r="J289" s="7">
        <f t="shared" si="58"/>
        <v>11.083333333333332</v>
      </c>
      <c r="L289" s="4"/>
      <c r="M289" s="89">
        <f>2.36/18</f>
        <v>0.13111111111111109</v>
      </c>
      <c r="Q289" s="84" t="s">
        <v>169</v>
      </c>
      <c r="S289" s="21">
        <f t="shared" si="60"/>
        <v>428.49748014880004</v>
      </c>
      <c r="T289" s="6">
        <f t="shared" si="61"/>
        <v>5464.5230264815991</v>
      </c>
      <c r="U289" s="6" t="e">
        <f t="shared" si="62"/>
        <v>#REF!</v>
      </c>
      <c r="V289" s="13">
        <f t="shared" si="63"/>
        <v>11.083333333333332</v>
      </c>
      <c r="W289" s="13">
        <f t="shared" si="64"/>
        <v>123.58333333333334</v>
      </c>
      <c r="X289" s="13">
        <f t="shared" si="65"/>
        <v>3381.7000000000003</v>
      </c>
      <c r="Y289" s="6">
        <f t="shared" si="66"/>
        <v>99.63</v>
      </c>
      <c r="Z289" s="13" t="e">
        <f>IF(MONTH($A289)=MONTH($A288),AVERAGE($Y$6:Y289),Y289)</f>
        <v>#REF!</v>
      </c>
      <c r="AA289" s="13" t="e">
        <f>IF(YEAR($A289)=YEAR($A288),AVERAGE($Y$5:Y289,Y289),Y289)</f>
        <v>#REF!</v>
      </c>
      <c r="AB289" s="13">
        <f t="shared" si="67"/>
        <v>80.77</v>
      </c>
      <c r="AC289" s="13" t="e">
        <f>IF(MONTH($A289)=MONTH($A288),AVERAGE($AB$5:AB289),AB289)</f>
        <v>#REF!</v>
      </c>
      <c r="AD289" s="13" t="e">
        <f>IF(YEAR($A289)=YEAR($A288),AVERAGE($AB$5:AB288,AB289),AB289)</f>
        <v>#REF!</v>
      </c>
    </row>
    <row r="290" spans="1:30" ht="60">
      <c r="A290" s="35">
        <f t="shared" si="59"/>
        <v>45577</v>
      </c>
      <c r="C290" s="3">
        <v>510.05403556120001</v>
      </c>
      <c r="E290" s="7">
        <v>96.67</v>
      </c>
      <c r="F290" s="3">
        <v>7177.2</v>
      </c>
      <c r="G290" s="7">
        <v>78.59</v>
      </c>
      <c r="H290" s="5">
        <v>0.29166666666666669</v>
      </c>
      <c r="I290" s="5">
        <v>0.75</v>
      </c>
      <c r="J290" s="7">
        <f t="shared" si="58"/>
        <v>11</v>
      </c>
      <c r="L290" s="4"/>
      <c r="M290" s="89">
        <f>5.92/18</f>
        <v>0.3288888888888889</v>
      </c>
      <c r="Q290" s="84" t="s">
        <v>170</v>
      </c>
      <c r="S290" s="21">
        <f t="shared" si="60"/>
        <v>510.05403556120001</v>
      </c>
      <c r="T290" s="6">
        <f t="shared" si="61"/>
        <v>5974.5770620427993</v>
      </c>
      <c r="U290" s="6" t="e">
        <f t="shared" si="62"/>
        <v>#REF!</v>
      </c>
      <c r="V290" s="13">
        <f t="shared" si="63"/>
        <v>11</v>
      </c>
      <c r="W290" s="13">
        <f t="shared" si="64"/>
        <v>134.58333333333334</v>
      </c>
      <c r="X290" s="13">
        <f t="shared" si="65"/>
        <v>3392.7000000000003</v>
      </c>
      <c r="Y290" s="6">
        <f t="shared" si="66"/>
        <v>96.67</v>
      </c>
      <c r="Z290" s="13" t="e">
        <f>IF(MONTH($A290)=MONTH($A289),AVERAGE($Y$6:Y290),Y290)</f>
        <v>#REF!</v>
      </c>
      <c r="AA290" s="13" t="e">
        <f>IF(YEAR($A290)=YEAR($A289),AVERAGE($Y$5:Y290,Y290),Y290)</f>
        <v>#REF!</v>
      </c>
      <c r="AB290" s="13">
        <f t="shared" si="67"/>
        <v>78.59</v>
      </c>
      <c r="AC290" s="13" t="e">
        <f>IF(MONTH($A290)=MONTH($A289),AVERAGE($AB$5:AB290),AB290)</f>
        <v>#REF!</v>
      </c>
      <c r="AD290" s="13" t="e">
        <f>IF(YEAR($A290)=YEAR($A289),AVERAGE($AB$5:AB289,AB290),AB290)</f>
        <v>#REF!</v>
      </c>
    </row>
    <row r="291" spans="1:30">
      <c r="A291" s="35">
        <f t="shared" si="59"/>
        <v>45578</v>
      </c>
      <c r="C291" s="3">
        <v>615.63504571559997</v>
      </c>
      <c r="E291" s="7">
        <v>100</v>
      </c>
      <c r="F291" s="3">
        <v>8438.99</v>
      </c>
      <c r="G291" s="7">
        <v>80.680000000000007</v>
      </c>
      <c r="H291" s="5">
        <v>0.28472222222222221</v>
      </c>
      <c r="I291" s="5">
        <v>0.75694444444444453</v>
      </c>
      <c r="J291" s="7">
        <f t="shared" si="58"/>
        <v>11.333333333333336</v>
      </c>
      <c r="L291" s="4"/>
      <c r="Q291" s="84"/>
      <c r="S291" s="21">
        <f t="shared" si="60"/>
        <v>615.63504571559997</v>
      </c>
      <c r="T291" s="6">
        <f t="shared" si="61"/>
        <v>6590.2121077583997</v>
      </c>
      <c r="U291" s="6" t="e">
        <f t="shared" si="62"/>
        <v>#REF!</v>
      </c>
      <c r="V291" s="13">
        <f t="shared" si="63"/>
        <v>11.333333333333336</v>
      </c>
      <c r="W291" s="13">
        <f t="shared" si="64"/>
        <v>145.91666666666669</v>
      </c>
      <c r="X291" s="13">
        <f t="shared" si="65"/>
        <v>3404.0333333333338</v>
      </c>
      <c r="Y291" s="6">
        <f t="shared" si="66"/>
        <v>100</v>
      </c>
      <c r="Z291" s="13" t="e">
        <f>IF(MONTH($A291)=MONTH($A290),AVERAGE($Y$6:Y291),Y291)</f>
        <v>#REF!</v>
      </c>
      <c r="AA291" s="13" t="e">
        <f>IF(YEAR($A291)=YEAR($A290),AVERAGE($Y$5:Y291,Y291),Y291)</f>
        <v>#REF!</v>
      </c>
      <c r="AB291" s="13">
        <f t="shared" si="67"/>
        <v>80.680000000000007</v>
      </c>
      <c r="AC291" s="13" t="e">
        <f>IF(MONTH($A291)=MONTH($A290),AVERAGE($AB$5:AB291),AB291)</f>
        <v>#REF!</v>
      </c>
      <c r="AD291" s="13" t="e">
        <f>IF(YEAR($A291)=YEAR($A290),AVERAGE($AB$5:AB290,AB291),AB291)</f>
        <v>#REF!</v>
      </c>
    </row>
    <row r="292" spans="1:30" ht="45">
      <c r="A292" s="35">
        <f t="shared" si="59"/>
        <v>45579</v>
      </c>
      <c r="C292" s="3">
        <v>513.04091161259998</v>
      </c>
      <c r="E292" s="7">
        <v>100</v>
      </c>
      <c r="F292" s="3">
        <v>6975.59</v>
      </c>
      <c r="G292" s="7">
        <v>81.239999999999995</v>
      </c>
      <c r="H292" s="5">
        <v>0.28819444444444448</v>
      </c>
      <c r="I292" s="5">
        <v>0.75</v>
      </c>
      <c r="J292" s="7">
        <f t="shared" si="58"/>
        <v>11.083333333333332</v>
      </c>
      <c r="Q292" s="84" t="s">
        <v>171</v>
      </c>
      <c r="S292" s="21">
        <f t="shared" si="60"/>
        <v>513.04091161259998</v>
      </c>
      <c r="T292" s="6">
        <f t="shared" si="61"/>
        <v>7103.2530193709999</v>
      </c>
      <c r="U292" s="6" t="e">
        <f t="shared" si="62"/>
        <v>#REF!</v>
      </c>
      <c r="V292" s="13">
        <f t="shared" si="63"/>
        <v>11.083333333333332</v>
      </c>
      <c r="W292" s="13">
        <f t="shared" si="64"/>
        <v>157.00000000000003</v>
      </c>
      <c r="X292" s="13">
        <f t="shared" si="65"/>
        <v>3415.1166666666672</v>
      </c>
      <c r="Y292" s="6">
        <f t="shared" si="66"/>
        <v>100</v>
      </c>
      <c r="Z292" s="13" t="e">
        <f>IF(MONTH($A292)=MONTH($A291),AVERAGE($Y$6:Y292),Y292)</f>
        <v>#REF!</v>
      </c>
      <c r="AA292" s="13" t="e">
        <f>IF(YEAR($A292)=YEAR($A291),AVERAGE($Y$5:Y292,Y292),Y292)</f>
        <v>#REF!</v>
      </c>
      <c r="AB292" s="13">
        <f t="shared" si="67"/>
        <v>81.239999999999995</v>
      </c>
      <c r="AC292" s="13" t="e">
        <f>IF(MONTH($A292)=MONTH($A291),AVERAGE($AB$5:AB292),AB292)</f>
        <v>#REF!</v>
      </c>
      <c r="AD292" s="13" t="e">
        <f>IF(YEAR($A292)=YEAR($A291),AVERAGE($AB$5:AB291,AB292),AB292)</f>
        <v>#REF!</v>
      </c>
    </row>
    <row r="293" spans="1:30" ht="90">
      <c r="A293" s="35">
        <f t="shared" si="59"/>
        <v>45580</v>
      </c>
      <c r="C293" s="3">
        <v>514.80689443680001</v>
      </c>
      <c r="E293" s="7">
        <v>96.53</v>
      </c>
      <c r="F293" s="3">
        <v>6914.76</v>
      </c>
      <c r="G293" s="7">
        <v>82.27</v>
      </c>
      <c r="H293" s="5">
        <v>0.2986111111111111</v>
      </c>
      <c r="I293" s="5">
        <v>0.75</v>
      </c>
      <c r="J293" s="7">
        <f t="shared" si="58"/>
        <v>10.833333333333334</v>
      </c>
      <c r="M293" s="89">
        <f>0.83</f>
        <v>0.83</v>
      </c>
      <c r="Q293" s="84" t="s">
        <v>172</v>
      </c>
      <c r="S293" s="21">
        <f t="shared" si="60"/>
        <v>514.80689443680001</v>
      </c>
      <c r="T293" s="6">
        <f t="shared" si="61"/>
        <v>7618.0599138077996</v>
      </c>
      <c r="U293" s="6" t="e">
        <f t="shared" si="62"/>
        <v>#REF!</v>
      </c>
      <c r="V293" s="13">
        <f t="shared" si="63"/>
        <v>10.833333333333334</v>
      </c>
      <c r="W293" s="13">
        <f t="shared" si="64"/>
        <v>167.83333333333337</v>
      </c>
      <c r="X293" s="13">
        <f t="shared" si="65"/>
        <v>3425.9500000000007</v>
      </c>
      <c r="Y293" s="6">
        <f t="shared" si="66"/>
        <v>96.53</v>
      </c>
      <c r="Z293" s="13" t="e">
        <f>IF(MONTH($A293)=MONTH($A292),AVERAGE($Y$6:Y293),Y293)</f>
        <v>#REF!</v>
      </c>
      <c r="AA293" s="13" t="e">
        <f>IF(YEAR($A293)=YEAR($A292),AVERAGE($Y$5:Y293,Y293),Y293)</f>
        <v>#REF!</v>
      </c>
      <c r="AB293" s="13">
        <f t="shared" si="67"/>
        <v>82.27</v>
      </c>
      <c r="AC293" s="13" t="e">
        <f>IF(MONTH($A293)=MONTH($A292),AVERAGE($AB$5:AB293),AB293)</f>
        <v>#REF!</v>
      </c>
      <c r="AD293" s="13" t="e">
        <f>IF(YEAR($A293)=YEAR($A292),AVERAGE($AB$5:AB292,AB293),AB293)</f>
        <v>#REF!</v>
      </c>
    </row>
    <row r="294" spans="1:30" ht="45">
      <c r="A294" s="35">
        <f t="shared" si="59"/>
        <v>45581</v>
      </c>
      <c r="C294" s="3">
        <v>580.47760827479999</v>
      </c>
      <c r="E294" s="7">
        <v>100</v>
      </c>
      <c r="F294" s="3">
        <v>7862.13</v>
      </c>
      <c r="G294" s="7">
        <v>81.59</v>
      </c>
      <c r="H294" s="5">
        <v>0.28819444444444448</v>
      </c>
      <c r="I294" s="5">
        <v>0.75347222222222221</v>
      </c>
      <c r="J294" s="7">
        <f t="shared" si="58"/>
        <v>11.166666666666666</v>
      </c>
      <c r="L294" s="4"/>
      <c r="M294" s="89">
        <f>1.5/18</f>
        <v>8.3333333333333329E-2</v>
      </c>
      <c r="N294" s="4"/>
      <c r="Q294" s="84" t="s">
        <v>173</v>
      </c>
      <c r="S294" s="21">
        <f t="shared" si="60"/>
        <v>580.47760827479999</v>
      </c>
      <c r="T294" s="6">
        <f t="shared" si="61"/>
        <v>8198.537522082599</v>
      </c>
      <c r="U294" s="6" t="e">
        <f t="shared" si="62"/>
        <v>#REF!</v>
      </c>
      <c r="V294" s="13">
        <f t="shared" si="63"/>
        <v>11.166666666666666</v>
      </c>
      <c r="W294" s="13">
        <f t="shared" si="64"/>
        <v>179.00000000000003</v>
      </c>
      <c r="X294" s="13">
        <f t="shared" si="65"/>
        <v>3437.1166666666672</v>
      </c>
      <c r="Y294" s="6">
        <f t="shared" si="66"/>
        <v>100</v>
      </c>
      <c r="Z294" s="13" t="e">
        <f>IF(MONTH($A294)=MONTH($A293),AVERAGE($Y$6:Y294),Y294)</f>
        <v>#REF!</v>
      </c>
      <c r="AA294" s="13" t="e">
        <f>IF(YEAR($A294)=YEAR($A293),AVERAGE($Y$5:Y294,Y294),Y294)</f>
        <v>#REF!</v>
      </c>
      <c r="AB294" s="13">
        <f t="shared" si="67"/>
        <v>81.59</v>
      </c>
      <c r="AC294" s="13" t="e">
        <f>IF(MONTH($A294)=MONTH($A293),AVERAGE($AB$5:AB294),AB294)</f>
        <v>#REF!</v>
      </c>
      <c r="AD294" s="13" t="e">
        <f>IF(YEAR($A294)=YEAR($A293),AVERAGE($AB$5:AB293,AB294),AB294)</f>
        <v>#REF!</v>
      </c>
    </row>
    <row r="295" spans="1:30" ht="60">
      <c r="A295" s="35">
        <f t="shared" si="59"/>
        <v>45582</v>
      </c>
      <c r="C295" s="3">
        <v>615.27154760000008</v>
      </c>
      <c r="E295" s="7">
        <v>99.7</v>
      </c>
      <c r="F295" s="3">
        <v>8403.42</v>
      </c>
      <c r="G295" s="7">
        <v>80.900000000000006</v>
      </c>
      <c r="H295" s="5">
        <v>0.28819444444444448</v>
      </c>
      <c r="I295" s="5">
        <v>0.75694444444444453</v>
      </c>
      <c r="J295" s="7">
        <f t="shared" si="58"/>
        <v>11.250000000000002</v>
      </c>
      <c r="L295" s="4"/>
      <c r="M295" s="89">
        <f>(0.93+0.95)/18</f>
        <v>0.10444444444444444</v>
      </c>
      <c r="Q295" s="84" t="s">
        <v>174</v>
      </c>
      <c r="S295" s="21">
        <f t="shared" si="60"/>
        <v>615.27154760000008</v>
      </c>
      <c r="T295" s="6">
        <f t="shared" si="61"/>
        <v>8813.8090696825984</v>
      </c>
      <c r="U295" s="6" t="e">
        <f t="shared" si="62"/>
        <v>#REF!</v>
      </c>
      <c r="V295" s="13">
        <f t="shared" si="63"/>
        <v>11.250000000000002</v>
      </c>
      <c r="W295" s="13">
        <f t="shared" si="64"/>
        <v>190.25000000000003</v>
      </c>
      <c r="X295" s="13">
        <f t="shared" si="65"/>
        <v>3448.3666666666672</v>
      </c>
      <c r="Y295" s="6">
        <f t="shared" si="66"/>
        <v>99.7</v>
      </c>
      <c r="Z295" s="13" t="e">
        <f>IF(MONTH($A295)=MONTH($A294),AVERAGE($Y$6:Y295),Y295)</f>
        <v>#REF!</v>
      </c>
      <c r="AA295" s="13" t="e">
        <f>IF(YEAR($A295)=YEAR($A294),AVERAGE($Y$5:Y295,Y295),Y295)</f>
        <v>#REF!</v>
      </c>
      <c r="AB295" s="13">
        <f t="shared" si="67"/>
        <v>80.900000000000006</v>
      </c>
      <c r="AC295" s="13" t="e">
        <f>IF(MONTH($A295)=MONTH($A294),AVERAGE($AB$5:AB295),AB295)</f>
        <v>#REF!</v>
      </c>
      <c r="AD295" s="13" t="e">
        <f>IF(YEAR($A295)=YEAR($A294),AVERAGE($AB$5:AB294,AB295),AB295)</f>
        <v>#REF!</v>
      </c>
    </row>
    <row r="296" spans="1:30" ht="105">
      <c r="A296" s="35">
        <f t="shared" si="59"/>
        <v>45583</v>
      </c>
      <c r="C296" s="3">
        <v>467.60259840399999</v>
      </c>
      <c r="E296" s="7">
        <v>99.44</v>
      </c>
      <c r="F296" s="3">
        <v>6347.64</v>
      </c>
      <c r="G296" s="7">
        <v>81.39</v>
      </c>
      <c r="H296" s="5">
        <v>0.28819444444444448</v>
      </c>
      <c r="I296" s="5">
        <v>0.75694444444444453</v>
      </c>
      <c r="J296" s="7">
        <f t="shared" si="58"/>
        <v>11.250000000000002</v>
      </c>
      <c r="L296" s="4"/>
      <c r="M296" s="89">
        <f>(0.75+0.87)/18</f>
        <v>9.0000000000000011E-2</v>
      </c>
      <c r="Q296" s="102" t="s">
        <v>175</v>
      </c>
      <c r="S296" s="21">
        <f t="shared" si="60"/>
        <v>467.60259840399999</v>
      </c>
      <c r="T296" s="6">
        <f t="shared" si="61"/>
        <v>9281.4116680865991</v>
      </c>
      <c r="U296" s="6" t="e">
        <f t="shared" si="62"/>
        <v>#REF!</v>
      </c>
      <c r="V296" s="13">
        <f t="shared" si="63"/>
        <v>11.250000000000002</v>
      </c>
      <c r="W296" s="13">
        <f t="shared" si="64"/>
        <v>201.50000000000003</v>
      </c>
      <c r="X296" s="13">
        <f t="shared" si="65"/>
        <v>3459.6166666666672</v>
      </c>
      <c r="Y296" s="6">
        <f t="shared" si="66"/>
        <v>99.44</v>
      </c>
      <c r="Z296" s="13" t="e">
        <f>IF(MONTH($A296)=MONTH($A295),AVERAGE($Y$6:Y296),Y296)</f>
        <v>#REF!</v>
      </c>
      <c r="AA296" s="13" t="e">
        <f>IF(YEAR($A296)=YEAR($A295),AVERAGE($Y$5:Y296,Y296),Y296)</f>
        <v>#REF!</v>
      </c>
      <c r="AB296" s="13">
        <f t="shared" si="67"/>
        <v>81.39</v>
      </c>
      <c r="AC296" s="13" t="e">
        <f>IF(MONTH($A296)=MONTH($A295),AVERAGE($AB$5:AB296),AB296)</f>
        <v>#REF!</v>
      </c>
      <c r="AD296" s="13" t="e">
        <f>IF(YEAR($A296)=YEAR($A295),AVERAGE($AB$5:AB295,AB296),AB296)</f>
        <v>#REF!</v>
      </c>
    </row>
    <row r="297" spans="1:30" ht="45">
      <c r="A297" s="35">
        <f t="shared" si="59"/>
        <v>45584</v>
      </c>
      <c r="C297" s="3">
        <v>453.42674460440003</v>
      </c>
      <c r="E297" s="7">
        <v>100</v>
      </c>
      <c r="F297" s="3">
        <v>6121.53</v>
      </c>
      <c r="G297" s="7">
        <v>81.87</v>
      </c>
      <c r="H297" s="5">
        <v>0.28819444444444448</v>
      </c>
      <c r="I297" s="5">
        <v>0.75347222222222221</v>
      </c>
      <c r="J297" s="7">
        <f t="shared" si="58"/>
        <v>11.166666666666666</v>
      </c>
      <c r="L297" s="4"/>
      <c r="Q297" s="84" t="s">
        <v>176</v>
      </c>
      <c r="S297" s="21">
        <f t="shared" si="60"/>
        <v>453.42674460440003</v>
      </c>
      <c r="T297" s="6">
        <f t="shared" si="61"/>
        <v>9734.8384126909987</v>
      </c>
      <c r="U297" s="6" t="e">
        <f t="shared" si="62"/>
        <v>#REF!</v>
      </c>
      <c r="V297" s="13">
        <f t="shared" si="63"/>
        <v>11.166666666666666</v>
      </c>
      <c r="W297" s="13">
        <f t="shared" si="64"/>
        <v>212.66666666666669</v>
      </c>
      <c r="X297" s="13">
        <f t="shared" si="65"/>
        <v>3470.7833333333338</v>
      </c>
      <c r="Y297" s="6">
        <f t="shared" si="66"/>
        <v>100</v>
      </c>
      <c r="Z297" s="13" t="e">
        <f>IF(MONTH($A297)=MONTH($A296),AVERAGE($Y$6:Y297),Y297)</f>
        <v>#REF!</v>
      </c>
      <c r="AA297" s="13" t="e">
        <f>IF(YEAR($A297)=YEAR($A296),AVERAGE($Y$5:Y297,Y297),Y297)</f>
        <v>#REF!</v>
      </c>
      <c r="AB297" s="13">
        <f t="shared" si="67"/>
        <v>81.87</v>
      </c>
      <c r="AC297" s="13" t="e">
        <f>IF(MONTH($A297)=MONTH($A296),AVERAGE($AB$5:AB297),AB297)</f>
        <v>#REF!</v>
      </c>
      <c r="AD297" s="13" t="e">
        <f>IF(YEAR($A297)=YEAR($A296),AVERAGE($AB$5:AB296,AB297),AB297)</f>
        <v>#REF!</v>
      </c>
    </row>
    <row r="298" spans="1:30" ht="45">
      <c r="A298" s="35">
        <f t="shared" si="59"/>
        <v>45585</v>
      </c>
      <c r="C298" s="3">
        <v>468.52087761760004</v>
      </c>
      <c r="E298" s="7">
        <v>100</v>
      </c>
      <c r="F298" s="3">
        <v>6053.8</v>
      </c>
      <c r="G298" s="7">
        <v>85.47</v>
      </c>
      <c r="H298" s="5">
        <v>0.28819444444444448</v>
      </c>
      <c r="I298" s="5">
        <v>0.75347222222222221</v>
      </c>
      <c r="J298" s="7">
        <f t="shared" si="58"/>
        <v>11.166666666666666</v>
      </c>
      <c r="Q298" s="84" t="s">
        <v>176</v>
      </c>
      <c r="S298" s="21">
        <f t="shared" si="60"/>
        <v>468.52087761760004</v>
      </c>
      <c r="T298" s="6">
        <f t="shared" si="61"/>
        <v>10203.359290308599</v>
      </c>
      <c r="U298" s="6" t="e">
        <f t="shared" si="62"/>
        <v>#REF!</v>
      </c>
      <c r="V298" s="13">
        <f t="shared" si="63"/>
        <v>11.166666666666666</v>
      </c>
      <c r="W298" s="13">
        <f t="shared" si="64"/>
        <v>223.83333333333334</v>
      </c>
      <c r="X298" s="13">
        <f t="shared" si="65"/>
        <v>3481.9500000000003</v>
      </c>
      <c r="Y298" s="6">
        <f t="shared" si="66"/>
        <v>100</v>
      </c>
      <c r="Z298" s="13" t="e">
        <f>IF(MONTH($A298)=MONTH($A297),AVERAGE($Y$6:Y298),Y298)</f>
        <v>#REF!</v>
      </c>
      <c r="AA298" s="13" t="e">
        <f>IF(YEAR($A298)=YEAR($A297),AVERAGE($Y$5:Y298,Y298),Y298)</f>
        <v>#REF!</v>
      </c>
      <c r="AB298" s="13">
        <f t="shared" si="67"/>
        <v>85.47</v>
      </c>
      <c r="AC298" s="13" t="e">
        <f>IF(MONTH($A298)=MONTH($A297),AVERAGE($AB$5:AB298),AB298)</f>
        <v>#REF!</v>
      </c>
      <c r="AD298" s="13" t="e">
        <f>IF(YEAR($A298)=YEAR($A297),AVERAGE($AB$5:AB297,AB298),AB298)</f>
        <v>#REF!</v>
      </c>
    </row>
    <row r="299" spans="1:30" ht="45">
      <c r="A299" s="35">
        <f t="shared" si="59"/>
        <v>45586</v>
      </c>
      <c r="C299" s="3">
        <v>357.52170465099999</v>
      </c>
      <c r="E299" s="7">
        <v>100</v>
      </c>
      <c r="F299" s="3">
        <v>4535.09</v>
      </c>
      <c r="G299" s="7">
        <v>87.13</v>
      </c>
      <c r="H299" s="5">
        <v>0.28819444444444448</v>
      </c>
      <c r="I299" s="5">
        <v>0.74652777777777779</v>
      </c>
      <c r="J299" s="7">
        <f t="shared" si="58"/>
        <v>11</v>
      </c>
      <c r="Q299" s="84" t="s">
        <v>176</v>
      </c>
      <c r="S299" s="21">
        <f t="shared" si="60"/>
        <v>357.52170465099999</v>
      </c>
      <c r="T299" s="6">
        <f t="shared" si="61"/>
        <v>10560.8809949596</v>
      </c>
      <c r="U299" s="6" t="e">
        <f t="shared" si="62"/>
        <v>#REF!</v>
      </c>
      <c r="V299" s="13">
        <f t="shared" si="63"/>
        <v>11</v>
      </c>
      <c r="W299" s="13">
        <f t="shared" si="64"/>
        <v>234.83333333333334</v>
      </c>
      <c r="X299" s="13">
        <f t="shared" si="65"/>
        <v>3492.9500000000003</v>
      </c>
      <c r="Y299" s="6">
        <f t="shared" si="66"/>
        <v>100</v>
      </c>
      <c r="Z299" s="13" t="e">
        <f>IF(MONTH($A299)=MONTH($A298),AVERAGE($Y$6:Y299),Y299)</f>
        <v>#REF!</v>
      </c>
      <c r="AA299" s="13" t="e">
        <f>IF(YEAR($A299)=YEAR($A298),AVERAGE($Y$5:Y299,Y299),Y299)</f>
        <v>#REF!</v>
      </c>
      <c r="AB299" s="13">
        <f t="shared" si="67"/>
        <v>87.13</v>
      </c>
      <c r="AC299" s="13" t="e">
        <f>IF(MONTH($A299)=MONTH($A298),AVERAGE($AB$5:AB299),AB299)</f>
        <v>#REF!</v>
      </c>
      <c r="AD299" s="13" t="e">
        <f>IF(YEAR($A299)=YEAR($A298),AVERAGE($AB$5:AB298,AB299),AB299)</f>
        <v>#REF!</v>
      </c>
    </row>
    <row r="300" spans="1:30" ht="75">
      <c r="A300" s="35">
        <f t="shared" si="59"/>
        <v>45587</v>
      </c>
      <c r="C300" s="3">
        <v>275.42813510460002</v>
      </c>
      <c r="E300" s="7">
        <v>100</v>
      </c>
      <c r="F300" s="3">
        <v>3338.87</v>
      </c>
      <c r="G300" s="7">
        <v>91.14</v>
      </c>
      <c r="H300" s="5">
        <v>0.30555555555555552</v>
      </c>
      <c r="I300" s="5">
        <v>0.75</v>
      </c>
      <c r="J300" s="7">
        <f t="shared" si="58"/>
        <v>10.666666666666668</v>
      </c>
      <c r="Q300" s="84" t="s">
        <v>177</v>
      </c>
      <c r="S300" s="21">
        <f>C301</f>
        <v>406.76442316459998</v>
      </c>
      <c r="T300" s="6">
        <f t="shared" si="61"/>
        <v>10967.645418124201</v>
      </c>
      <c r="U300" s="6" t="e">
        <f t="shared" si="62"/>
        <v>#REF!</v>
      </c>
      <c r="V300" s="13">
        <f t="shared" si="63"/>
        <v>10.666666666666668</v>
      </c>
      <c r="W300" s="13">
        <f t="shared" si="64"/>
        <v>245.5</v>
      </c>
      <c r="X300" s="13">
        <f t="shared" si="65"/>
        <v>3503.6166666666668</v>
      </c>
      <c r="Y300" s="6">
        <f t="shared" si="66"/>
        <v>100</v>
      </c>
      <c r="Z300" s="13" t="e">
        <f>IF(MONTH($A300)=MONTH($A299),AVERAGE($Y$6:Y300),Y300)</f>
        <v>#REF!</v>
      </c>
      <c r="AA300" s="13" t="e">
        <f>IF(YEAR($A300)=YEAR($A299),AVERAGE($Y$5:Y300,Y300),Y300)</f>
        <v>#REF!</v>
      </c>
      <c r="AB300" s="13">
        <f t="shared" si="67"/>
        <v>91.14</v>
      </c>
      <c r="AC300" s="13" t="e">
        <f>IF(MONTH($A300)=MONTH($A299),AVERAGE($AB$5:AB300),AB300)</f>
        <v>#REF!</v>
      </c>
      <c r="AD300" s="13" t="e">
        <f>IF(YEAR($A300)=YEAR($A299),AVERAGE($AB$5:AB299,AB300),AB300)</f>
        <v>#REF!</v>
      </c>
    </row>
    <row r="301" spans="1:30" ht="45">
      <c r="A301" s="35">
        <f t="shared" si="59"/>
        <v>45588</v>
      </c>
      <c r="C301" s="3">
        <v>406.76442316459998</v>
      </c>
      <c r="E301" s="7">
        <v>100</v>
      </c>
      <c r="F301" s="3">
        <v>5556.43</v>
      </c>
      <c r="G301" s="7">
        <v>80.67</v>
      </c>
      <c r="H301" s="5">
        <v>0.29166666666666669</v>
      </c>
      <c r="I301" s="5">
        <v>0.67708333333333337</v>
      </c>
      <c r="J301" s="7">
        <f t="shared" si="58"/>
        <v>9.25</v>
      </c>
      <c r="L301" s="4"/>
      <c r="Q301" s="102" t="s">
        <v>178</v>
      </c>
      <c r="S301" s="21" t="e">
        <f>#REF!</f>
        <v>#REF!</v>
      </c>
      <c r="T301" s="6" t="e">
        <f t="shared" si="61"/>
        <v>#REF!</v>
      </c>
      <c r="U301" s="6" t="e">
        <f t="shared" si="62"/>
        <v>#REF!</v>
      </c>
      <c r="V301" s="13">
        <f t="shared" si="63"/>
        <v>9.25</v>
      </c>
      <c r="W301" s="13">
        <f t="shared" si="64"/>
        <v>254.75</v>
      </c>
      <c r="X301" s="13">
        <f t="shared" si="65"/>
        <v>3512.8666666666668</v>
      </c>
      <c r="Y301" s="6">
        <f t="shared" si="66"/>
        <v>100</v>
      </c>
      <c r="Z301" s="13" t="e">
        <f>IF(MONTH($A301)=MONTH($A300),AVERAGE($Y$6:Y301),Y301)</f>
        <v>#REF!</v>
      </c>
      <c r="AA301" s="13" t="e">
        <f>IF(YEAR($A301)=YEAR($A300),AVERAGE($Y$5:Y301,Y301),Y301)</f>
        <v>#REF!</v>
      </c>
      <c r="AB301" s="13">
        <f t="shared" si="67"/>
        <v>80.67</v>
      </c>
      <c r="AC301" s="13" t="e">
        <f>IF(MONTH($A301)=MONTH($A300),AVERAGE($AB$5:AB301),AB301)</f>
        <v>#REF!</v>
      </c>
      <c r="AD301" s="13" t="e">
        <f>IF(YEAR($A301)=YEAR($A300),AVERAGE($AB$5:AB300,AB301),AB301)</f>
        <v>#REF!</v>
      </c>
    </row>
    <row r="302" spans="1:30" ht="195">
      <c r="A302" s="35">
        <f t="shared" si="59"/>
        <v>45589</v>
      </c>
      <c r="C302" s="3">
        <v>381.36086128220001</v>
      </c>
      <c r="E302" s="7">
        <v>98.98</v>
      </c>
      <c r="F302" s="3">
        <v>5220.16</v>
      </c>
      <c r="G302" s="7">
        <v>80.739999999999995</v>
      </c>
      <c r="H302" s="5">
        <v>0.2951388888888889</v>
      </c>
      <c r="I302" s="5">
        <v>0.73958333333333337</v>
      </c>
      <c r="J302" s="7">
        <f t="shared" si="58"/>
        <v>10.666666666666668</v>
      </c>
      <c r="M302" s="89">
        <f>(1+1.08+0.08)/18</f>
        <v>0.12000000000000001</v>
      </c>
      <c r="Q302" s="102" t="s">
        <v>179</v>
      </c>
      <c r="S302" s="21">
        <f t="shared" si="60"/>
        <v>381.36086128220001</v>
      </c>
      <c r="T302" s="6" t="e">
        <f t="shared" si="61"/>
        <v>#REF!</v>
      </c>
      <c r="U302" s="6" t="e">
        <f t="shared" si="62"/>
        <v>#REF!</v>
      </c>
      <c r="V302" s="13">
        <f t="shared" si="63"/>
        <v>10.666666666666668</v>
      </c>
      <c r="W302" s="13">
        <f t="shared" si="64"/>
        <v>265.41666666666669</v>
      </c>
      <c r="X302" s="13">
        <f t="shared" si="65"/>
        <v>3523.5333333333333</v>
      </c>
      <c r="Y302" s="6">
        <f t="shared" si="66"/>
        <v>98.98</v>
      </c>
      <c r="Z302" s="13" t="e">
        <f>IF(MONTH($A302)=MONTH($A301),AVERAGE($Y$6:Y302),Y302)</f>
        <v>#REF!</v>
      </c>
      <c r="AA302" s="13" t="e">
        <f>IF(YEAR($A302)=YEAR($A301),AVERAGE($Y$5:Y302,Y302),Y302)</f>
        <v>#REF!</v>
      </c>
      <c r="AB302" s="13">
        <f t="shared" si="67"/>
        <v>80.739999999999995</v>
      </c>
      <c r="AC302" s="13" t="e">
        <f>IF(MONTH($A302)=MONTH($A301),AVERAGE($AB$5:AB302),AB302)</f>
        <v>#REF!</v>
      </c>
      <c r="AD302" s="13" t="e">
        <f>IF(YEAR($A302)=YEAR($A301),AVERAGE($AB$5:AB301,AB302),AB302)</f>
        <v>#REF!</v>
      </c>
    </row>
    <row r="303" spans="1:30" ht="75">
      <c r="A303" s="35">
        <f t="shared" si="59"/>
        <v>45590</v>
      </c>
      <c r="C303" s="3">
        <v>497.69581149300001</v>
      </c>
      <c r="E303" s="7">
        <v>100</v>
      </c>
      <c r="F303" s="3">
        <v>6619.45</v>
      </c>
      <c r="G303" s="7">
        <v>83.08</v>
      </c>
      <c r="H303" s="5">
        <v>0.2951388888888889</v>
      </c>
      <c r="I303" s="5">
        <v>0.75</v>
      </c>
      <c r="J303" s="7">
        <f t="shared" si="58"/>
        <v>10.916666666666666</v>
      </c>
      <c r="L303" s="4"/>
      <c r="Q303" s="102" t="s">
        <v>180</v>
      </c>
      <c r="S303" s="21">
        <f t="shared" si="60"/>
        <v>497.69581149300001</v>
      </c>
      <c r="T303" s="6" t="e">
        <f t="shared" si="61"/>
        <v>#REF!</v>
      </c>
      <c r="U303" s="6" t="e">
        <f t="shared" si="62"/>
        <v>#REF!</v>
      </c>
      <c r="V303" s="13">
        <f t="shared" si="63"/>
        <v>10.916666666666666</v>
      </c>
      <c r="W303" s="13">
        <f t="shared" si="64"/>
        <v>276.33333333333337</v>
      </c>
      <c r="X303" s="13">
        <f t="shared" si="65"/>
        <v>3534.45</v>
      </c>
      <c r="Y303" s="6">
        <f t="shared" si="66"/>
        <v>100</v>
      </c>
      <c r="Z303" s="13" t="e">
        <f>IF(MONTH($A303)=MONTH($A302),AVERAGE($Y$6:Y303),Y303)</f>
        <v>#REF!</v>
      </c>
      <c r="AA303" s="13" t="e">
        <f>IF(YEAR($A303)=YEAR($A302),AVERAGE($Y$5:Y303,Y303),Y303)</f>
        <v>#REF!</v>
      </c>
      <c r="AB303" s="13">
        <f t="shared" si="67"/>
        <v>83.08</v>
      </c>
      <c r="AC303" s="13" t="e">
        <f>IF(MONTH($A303)=MONTH($A302),AVERAGE($AB$5:AB303),AB303)</f>
        <v>#REF!</v>
      </c>
      <c r="AD303" s="13" t="e">
        <f>IF(YEAR($A303)=YEAR($A302),AVERAGE($AB$5:AB302,AB303),AB303)</f>
        <v>#REF!</v>
      </c>
    </row>
    <row r="304" spans="1:30" ht="30">
      <c r="A304" s="35">
        <f t="shared" si="59"/>
        <v>45591</v>
      </c>
      <c r="C304" s="3">
        <v>451.52051610910002</v>
      </c>
      <c r="E304" s="7">
        <v>100</v>
      </c>
      <c r="F304" s="3">
        <v>6172.09</v>
      </c>
      <c r="G304" s="7">
        <v>80.819999999999993</v>
      </c>
      <c r="H304" s="5">
        <v>0.30208333333333331</v>
      </c>
      <c r="I304" s="5">
        <v>0.74652777777777779</v>
      </c>
      <c r="J304" s="7">
        <f t="shared" si="58"/>
        <v>10.666666666666668</v>
      </c>
      <c r="Q304" s="84" t="s">
        <v>181</v>
      </c>
      <c r="S304" s="21">
        <f t="shared" si="60"/>
        <v>451.52051610910002</v>
      </c>
      <c r="T304" s="6" t="e">
        <f t="shared" si="61"/>
        <v>#REF!</v>
      </c>
      <c r="U304" s="6" t="e">
        <f t="shared" si="62"/>
        <v>#REF!</v>
      </c>
      <c r="V304" s="13">
        <f t="shared" si="63"/>
        <v>10.666666666666668</v>
      </c>
      <c r="W304" s="13">
        <f t="shared" si="64"/>
        <v>287.00000000000006</v>
      </c>
      <c r="X304" s="13">
        <f t="shared" si="65"/>
        <v>3545.1166666666663</v>
      </c>
      <c r="Y304" s="6">
        <f t="shared" si="66"/>
        <v>100</v>
      </c>
      <c r="Z304" s="13" t="e">
        <f>IF(MONTH($A304)=MONTH($A303),AVERAGE($Y$6:Y304),Y304)</f>
        <v>#REF!</v>
      </c>
      <c r="AA304" s="13" t="e">
        <f>IF(YEAR($A304)=YEAR($A303),AVERAGE($Y$5:Y304,Y304),Y304)</f>
        <v>#REF!</v>
      </c>
      <c r="AB304" s="13">
        <f t="shared" si="67"/>
        <v>80.819999999999993</v>
      </c>
      <c r="AC304" s="13" t="e">
        <f>IF(MONTH($A304)=MONTH($A303),AVERAGE($AB$5:AB304),AB304)</f>
        <v>#REF!</v>
      </c>
      <c r="AD304" s="13" t="e">
        <f>IF(YEAR($A304)=YEAR($A303),AVERAGE($AB$5:AB303,AB304),AB304)</f>
        <v>#REF!</v>
      </c>
    </row>
    <row r="305" spans="1:30" ht="135">
      <c r="A305" s="35">
        <f t="shared" si="59"/>
        <v>45592</v>
      </c>
      <c r="C305" s="3">
        <v>364.5700566159</v>
      </c>
      <c r="E305" s="7">
        <v>100</v>
      </c>
      <c r="F305" s="3">
        <v>4809.3599999999997</v>
      </c>
      <c r="G305" s="7">
        <v>83.77</v>
      </c>
      <c r="H305" s="5">
        <v>0.2986111111111111</v>
      </c>
      <c r="I305" s="5">
        <v>0.74305555555555547</v>
      </c>
      <c r="J305" s="7">
        <f t="shared" si="58"/>
        <v>10.666666666666664</v>
      </c>
      <c r="Q305" s="102" t="s">
        <v>182</v>
      </c>
      <c r="S305" s="21">
        <f t="shared" si="60"/>
        <v>364.5700566159</v>
      </c>
      <c r="T305" s="6" t="e">
        <f t="shared" si="61"/>
        <v>#REF!</v>
      </c>
      <c r="U305" s="6" t="e">
        <f t="shared" si="62"/>
        <v>#REF!</v>
      </c>
      <c r="V305" s="13">
        <f t="shared" si="63"/>
        <v>10.666666666666664</v>
      </c>
      <c r="W305" s="13">
        <f t="shared" si="64"/>
        <v>297.66666666666674</v>
      </c>
      <c r="X305" s="13">
        <f t="shared" si="65"/>
        <v>3555.7833333333328</v>
      </c>
      <c r="Y305" s="6">
        <f t="shared" si="66"/>
        <v>100</v>
      </c>
      <c r="Z305" s="13" t="e">
        <f>IF(MONTH($A305)=MONTH($A304),AVERAGE($Y$6:Y305),Y305)</f>
        <v>#REF!</v>
      </c>
      <c r="AA305" s="13" t="e">
        <f>IF(YEAR($A305)=YEAR($A304),AVERAGE($Y$5:Y305,Y305),Y305)</f>
        <v>#REF!</v>
      </c>
      <c r="AB305" s="13">
        <f t="shared" si="67"/>
        <v>83.77</v>
      </c>
      <c r="AC305" s="13" t="e">
        <f>IF(MONTH($A305)=MONTH($A304),AVERAGE($AB$5:AB305),AB305)</f>
        <v>#REF!</v>
      </c>
      <c r="AD305" s="13" t="e">
        <f>IF(YEAR($A305)=YEAR($A304),AVERAGE($AB$5:AB304,AB305),AB305)</f>
        <v>#REF!</v>
      </c>
    </row>
    <row r="306" spans="1:30">
      <c r="A306" s="35">
        <f t="shared" si="59"/>
        <v>45593</v>
      </c>
      <c r="C306" s="3">
        <v>370.17140684840001</v>
      </c>
      <c r="E306" s="7">
        <v>100</v>
      </c>
      <c r="F306" s="3">
        <v>4763.92</v>
      </c>
      <c r="G306" s="7">
        <v>85.88</v>
      </c>
      <c r="H306" s="5">
        <v>0.28125</v>
      </c>
      <c r="I306" s="5">
        <v>0.74652777777777779</v>
      </c>
      <c r="J306" s="7">
        <f t="shared" si="58"/>
        <v>11.166666666666668</v>
      </c>
      <c r="Q306" s="84"/>
      <c r="S306" s="21">
        <f t="shared" si="60"/>
        <v>370.17140684840001</v>
      </c>
      <c r="T306" s="6" t="e">
        <f t="shared" si="61"/>
        <v>#REF!</v>
      </c>
      <c r="U306" s="6" t="e">
        <f t="shared" si="62"/>
        <v>#REF!</v>
      </c>
      <c r="V306" s="13">
        <f t="shared" si="63"/>
        <v>11.166666666666668</v>
      </c>
      <c r="W306" s="13">
        <f t="shared" si="64"/>
        <v>308.83333333333343</v>
      </c>
      <c r="X306" s="13">
        <f t="shared" si="65"/>
        <v>3566.9499999999994</v>
      </c>
      <c r="Y306" s="6">
        <f t="shared" si="66"/>
        <v>100</v>
      </c>
      <c r="Z306" s="13" t="e">
        <f>IF(MONTH($A306)=MONTH($A305),AVERAGE($Y$6:Y306),Y306)</f>
        <v>#REF!</v>
      </c>
      <c r="AA306" s="13" t="e">
        <f>IF(YEAR($A306)=YEAR($A305),AVERAGE($Y$5:Y306,Y306),Y306)</f>
        <v>#REF!</v>
      </c>
      <c r="AB306" s="13">
        <f t="shared" si="67"/>
        <v>85.88</v>
      </c>
      <c r="AC306" s="13" t="e">
        <f>IF(MONTH($A306)=MONTH($A305),AVERAGE($AB$5:AB306),AB306)</f>
        <v>#REF!</v>
      </c>
      <c r="AD306" s="13" t="e">
        <f>IF(YEAR($A306)=YEAR($A305),AVERAGE($AB$5:AB305,AB306),AB306)</f>
        <v>#REF!</v>
      </c>
    </row>
    <row r="307" spans="1:30" ht="75">
      <c r="A307" s="35">
        <f t="shared" si="59"/>
        <v>45594</v>
      </c>
      <c r="C307" s="3">
        <v>348.11905486209997</v>
      </c>
      <c r="E307" s="7">
        <v>100</v>
      </c>
      <c r="F307" s="3">
        <v>4388.91</v>
      </c>
      <c r="G307" s="7">
        <v>87.6</v>
      </c>
      <c r="H307" s="5">
        <v>0.29166666666666669</v>
      </c>
      <c r="I307" s="5">
        <v>0.75</v>
      </c>
      <c r="J307" s="7">
        <f t="shared" si="58"/>
        <v>11</v>
      </c>
      <c r="M307" s="89">
        <f>0.08/18</f>
        <v>4.4444444444444444E-3</v>
      </c>
      <c r="Q307" s="84" t="s">
        <v>183</v>
      </c>
      <c r="S307" s="21">
        <f t="shared" si="60"/>
        <v>348.11905486209997</v>
      </c>
      <c r="T307" s="6" t="e">
        <f t="shared" si="61"/>
        <v>#REF!</v>
      </c>
      <c r="U307" s="6" t="e">
        <f t="shared" si="62"/>
        <v>#REF!</v>
      </c>
      <c r="V307" s="13">
        <f t="shared" si="63"/>
        <v>11</v>
      </c>
      <c r="W307" s="13">
        <f t="shared" si="64"/>
        <v>319.83333333333343</v>
      </c>
      <c r="X307" s="13">
        <f t="shared" si="65"/>
        <v>3577.9499999999994</v>
      </c>
      <c r="Y307" s="6">
        <f t="shared" si="66"/>
        <v>100</v>
      </c>
      <c r="Z307" s="13" t="e">
        <f>IF(MONTH($A307)=MONTH($A306),AVERAGE($Y$6:Y307),Y307)</f>
        <v>#REF!</v>
      </c>
      <c r="AA307" s="13" t="e">
        <f>IF(YEAR($A307)=YEAR($A306),AVERAGE($Y$5:Y307,Y307),Y307)</f>
        <v>#REF!</v>
      </c>
      <c r="AB307" s="13" t="e">
        <f>#REF!</f>
        <v>#REF!</v>
      </c>
      <c r="AC307" s="13" t="e">
        <f>IF(MONTH($A307)=MONTH($A306),AVERAGE($AB$5:AB307),AB307)</f>
        <v>#REF!</v>
      </c>
      <c r="AD307" s="13" t="e">
        <f>IF(YEAR($A307)=YEAR($A306),AVERAGE($AB$5:AB306,AB307),AB307)</f>
        <v>#REF!</v>
      </c>
    </row>
    <row r="308" spans="1:30" ht="135">
      <c r="A308" s="35">
        <f t="shared" si="59"/>
        <v>45595</v>
      </c>
      <c r="C308" s="3">
        <v>252.54</v>
      </c>
      <c r="E308" s="7">
        <v>99.65</v>
      </c>
      <c r="F308" s="3">
        <v>3272.46</v>
      </c>
      <c r="G308" s="7">
        <v>85.15</v>
      </c>
      <c r="H308" s="5">
        <v>0.29166666666666669</v>
      </c>
      <c r="I308" s="5">
        <v>0.74305555555555547</v>
      </c>
      <c r="J308" s="7">
        <f t="shared" si="58"/>
        <v>10.83333333333333</v>
      </c>
      <c r="M308" s="89">
        <f>(6.1666)/18</f>
        <v>0.34258888888888889</v>
      </c>
      <c r="Q308" s="84" t="s">
        <v>184</v>
      </c>
      <c r="S308" s="21">
        <f t="shared" si="60"/>
        <v>252.54</v>
      </c>
      <c r="T308" s="6" t="e">
        <f t="shared" si="61"/>
        <v>#REF!</v>
      </c>
      <c r="U308" s="6" t="e">
        <f t="shared" si="62"/>
        <v>#REF!</v>
      </c>
      <c r="V308" s="13">
        <f t="shared" si="63"/>
        <v>10.83333333333333</v>
      </c>
      <c r="W308" s="13">
        <f t="shared" si="64"/>
        <v>330.66666666666674</v>
      </c>
      <c r="X308" s="13">
        <f t="shared" si="65"/>
        <v>3588.7833333333328</v>
      </c>
      <c r="Y308" s="6">
        <f t="shared" si="66"/>
        <v>99.65</v>
      </c>
      <c r="Z308" s="13" t="e">
        <f>IF(MONTH($A308)=MONTH($A307),AVERAGE($Y$6:Y308),Y308)</f>
        <v>#REF!</v>
      </c>
      <c r="AA308" s="13" t="e">
        <f>IF(YEAR($A308)=YEAR($A307),AVERAGE($Y$5:Y308,Y308),Y308)</f>
        <v>#REF!</v>
      </c>
      <c r="AB308" s="13">
        <f>G307</f>
        <v>87.6</v>
      </c>
      <c r="AC308" s="13" t="e">
        <f>IF(MONTH($A308)=MONTH($A307),AVERAGE($AB$5:AB308),AB308)</f>
        <v>#REF!</v>
      </c>
      <c r="AD308" s="13" t="e">
        <f>IF(YEAR($A308)=YEAR($A307),AVERAGE($AB$5:AB307,AB308),AB308)</f>
        <v>#REF!</v>
      </c>
    </row>
    <row r="309" spans="1:30" ht="45">
      <c r="A309" s="35">
        <f>A308+1</f>
        <v>45596</v>
      </c>
      <c r="C309" s="3">
        <v>392.74</v>
      </c>
      <c r="E309" s="7">
        <v>99.8</v>
      </c>
      <c r="F309" s="3">
        <v>5068.18</v>
      </c>
      <c r="G309" s="7">
        <v>85.59</v>
      </c>
      <c r="H309" s="5">
        <v>0.2986111111111111</v>
      </c>
      <c r="I309" s="5">
        <v>0.75347222222222221</v>
      </c>
      <c r="J309" s="7">
        <f t="shared" si="58"/>
        <v>10.916666666666666</v>
      </c>
      <c r="Q309" s="97" t="s">
        <v>185</v>
      </c>
      <c r="S309" s="21">
        <f t="shared" si="60"/>
        <v>392.74</v>
      </c>
      <c r="T309" s="6" t="e">
        <f>IF(MONTH($A309)=MONTH($A308),T308+S309,S309)</f>
        <v>#REF!</v>
      </c>
      <c r="U309" s="6" t="e">
        <f>IF(YEAR($A309)=YEAR($A308),U308+S309,S309)</f>
        <v>#REF!</v>
      </c>
      <c r="V309" s="13">
        <f t="shared" si="63"/>
        <v>10.916666666666666</v>
      </c>
      <c r="W309" s="13">
        <f>IF(MONTH($A309)=MONTH($A308),W308+V309,V309)</f>
        <v>341.58333333333343</v>
      </c>
      <c r="X309" s="13">
        <f>IF(YEAR($A309)=YEAR($A308),X308+V309,V309)</f>
        <v>3599.6999999999994</v>
      </c>
      <c r="Y309" s="6">
        <f t="shared" si="66"/>
        <v>99.8</v>
      </c>
      <c r="Z309" s="13" t="e">
        <f>IF(MONTH($A309)=MONTH($A308),AVERAGE($Y$6:Y309),Y309)</f>
        <v>#REF!</v>
      </c>
      <c r="AA309" s="13" t="e">
        <f>IF(YEAR($A309)=YEAR($A308),AVERAGE($Y$5:Y309,Y309),Y309)</f>
        <v>#REF!</v>
      </c>
      <c r="AB309" s="13">
        <f t="shared" si="67"/>
        <v>85.59</v>
      </c>
      <c r="AC309" s="13" t="e">
        <f>IF(MONTH($A309)=MONTH($A308),AVERAGE($AB$5:AB309),AB309)</f>
        <v>#REF!</v>
      </c>
      <c r="AD309" s="13" t="e">
        <f>IF(YEAR($A309)=YEAR($A308),AVERAGE($AB$5:AB308,AB309),AB309)</f>
        <v>#REF!</v>
      </c>
    </row>
    <row r="310" spans="1:30" ht="120">
      <c r="A310" s="35">
        <f t="shared" si="59"/>
        <v>45597</v>
      </c>
      <c r="C310" s="3">
        <v>244.44</v>
      </c>
      <c r="E310" s="7">
        <v>100</v>
      </c>
      <c r="F310" s="3">
        <v>3225.23</v>
      </c>
      <c r="G310" s="7">
        <v>83.69</v>
      </c>
      <c r="H310" s="5">
        <v>0.30555555555555552</v>
      </c>
      <c r="I310" s="5">
        <v>0.6875</v>
      </c>
      <c r="J310" s="7">
        <f t="shared" si="58"/>
        <v>9.1666666666666679</v>
      </c>
      <c r="M310" s="89">
        <f>0.2/18</f>
        <v>1.1111111111111112E-2</v>
      </c>
      <c r="Q310" s="97" t="s">
        <v>186</v>
      </c>
      <c r="S310" s="21">
        <f t="shared" si="60"/>
        <v>244.44</v>
      </c>
      <c r="T310" s="6">
        <f t="shared" si="61"/>
        <v>244.44</v>
      </c>
      <c r="U310" s="6" t="e">
        <f>IF(YEAR($A310)=YEAR($A309),U309+S310,S310)</f>
        <v>#REF!</v>
      </c>
      <c r="V310" s="13">
        <f t="shared" si="63"/>
        <v>9.1666666666666679</v>
      </c>
      <c r="W310" s="13">
        <f t="shared" si="64"/>
        <v>9.1666666666666679</v>
      </c>
      <c r="X310" s="13">
        <f t="shared" si="65"/>
        <v>3608.8666666666659</v>
      </c>
      <c r="Y310" s="6">
        <f t="shared" si="66"/>
        <v>100</v>
      </c>
      <c r="Z310" s="13">
        <f>IF(MONTH($A310)=MONTH($A309),AVERAGE($Y$6:Y310),Y310)</f>
        <v>100</v>
      </c>
      <c r="AA310" s="13" t="e">
        <f>IF(YEAR($A310)=YEAR($A309),AVERAGE($Y$5:Y310,Y310),Y310)</f>
        <v>#REF!</v>
      </c>
      <c r="AB310" s="13">
        <f t="shared" si="67"/>
        <v>83.69</v>
      </c>
      <c r="AC310" s="13">
        <f>IF(MONTH($A310)=MONTH($A309),AVERAGE($AB$5:AB310),AB310)</f>
        <v>83.69</v>
      </c>
      <c r="AD310" s="13" t="e">
        <f>IF(YEAR($A310)=YEAR($A309),AVERAGE($AB$5:AB309,AB310),AB310)</f>
        <v>#REF!</v>
      </c>
    </row>
    <row r="311" spans="1:30">
      <c r="A311" s="35">
        <f t="shared" si="59"/>
        <v>45598</v>
      </c>
      <c r="C311" s="3">
        <v>360.62</v>
      </c>
      <c r="E311" s="7">
        <v>100</v>
      </c>
      <c r="F311" s="3">
        <v>4592.05</v>
      </c>
      <c r="G311" s="7">
        <v>86.78</v>
      </c>
      <c r="H311" s="5">
        <v>0.30902777777777779</v>
      </c>
      <c r="I311" s="5">
        <v>0.73263888888888884</v>
      </c>
      <c r="J311" s="7">
        <f t="shared" si="58"/>
        <v>10.166666666666664</v>
      </c>
      <c r="L311" s="4"/>
      <c r="Q311" s="97" t="s">
        <v>187</v>
      </c>
      <c r="S311" s="21">
        <f t="shared" si="60"/>
        <v>360.62</v>
      </c>
      <c r="T311" s="6">
        <f t="shared" si="61"/>
        <v>605.05999999999995</v>
      </c>
      <c r="U311" s="6" t="e">
        <f t="shared" si="62"/>
        <v>#REF!</v>
      </c>
      <c r="V311" s="13">
        <f t="shared" si="63"/>
        <v>10.166666666666664</v>
      </c>
      <c r="W311" s="13">
        <f t="shared" si="64"/>
        <v>19.333333333333332</v>
      </c>
      <c r="X311" s="13">
        <f t="shared" si="65"/>
        <v>3619.0333333333324</v>
      </c>
      <c r="Y311" s="6">
        <f t="shared" si="66"/>
        <v>100</v>
      </c>
      <c r="Z311" s="13" t="e">
        <f>IF(MONTH($A311)=MONTH($A310),AVERAGE($Y$6:Y311),Y311)</f>
        <v>#REF!</v>
      </c>
      <c r="AA311" s="13" t="e">
        <f>IF(YEAR($A311)=YEAR($A310),AVERAGE($Y$5:Y311,Y311),Y311)</f>
        <v>#REF!</v>
      </c>
      <c r="AB311" s="13">
        <f t="shared" si="67"/>
        <v>86.78</v>
      </c>
      <c r="AC311" s="13" t="e">
        <f>IF(MONTH($A311)=MONTH($A310),AVERAGE($AB$5:AB311),AB311)</f>
        <v>#REF!</v>
      </c>
      <c r="AD311" s="13" t="e">
        <f>IF(YEAR($A311)=YEAR($A310),AVERAGE($AB$5:AB310,AB311),AB311)</f>
        <v>#REF!</v>
      </c>
    </row>
    <row r="312" spans="1:30" ht="84.75" customHeight="1">
      <c r="A312" s="35">
        <f t="shared" si="59"/>
        <v>45599</v>
      </c>
      <c r="C312" s="3">
        <v>474.99</v>
      </c>
      <c r="E312" s="7">
        <v>99.91</v>
      </c>
      <c r="F312" s="3">
        <v>6435.79</v>
      </c>
      <c r="G312" s="7">
        <v>81.55</v>
      </c>
      <c r="H312" s="5">
        <v>0.2986111111111111</v>
      </c>
      <c r="I312" s="5">
        <v>0.74652777777777779</v>
      </c>
      <c r="J312" s="7">
        <f t="shared" si="58"/>
        <v>10.75</v>
      </c>
      <c r="M312" s="89">
        <f>1/18</f>
        <v>5.5555555555555552E-2</v>
      </c>
      <c r="Q312" s="37" t="s">
        <v>188</v>
      </c>
      <c r="S312" s="21">
        <f t="shared" si="60"/>
        <v>474.99</v>
      </c>
      <c r="T312" s="6">
        <f t="shared" si="61"/>
        <v>1080.05</v>
      </c>
      <c r="U312" s="6" t="e">
        <f t="shared" si="62"/>
        <v>#REF!</v>
      </c>
      <c r="V312" s="13">
        <f t="shared" si="63"/>
        <v>10.75</v>
      </c>
      <c r="W312" s="13">
        <f t="shared" si="64"/>
        <v>30.083333333333332</v>
      </c>
      <c r="X312" s="13">
        <f t="shared" si="65"/>
        <v>3629.7833333333324</v>
      </c>
      <c r="Y312" s="6">
        <f t="shared" si="66"/>
        <v>99.91</v>
      </c>
      <c r="Z312" s="13" t="e">
        <f>IF(MONTH($A312)=MONTH($A311),AVERAGE($Y$6:Y312),Y312)</f>
        <v>#REF!</v>
      </c>
      <c r="AA312" s="13" t="e">
        <f>IF(YEAR($A312)=YEAR($A311),AVERAGE($Y$5:Y312,Y312),Y312)</f>
        <v>#REF!</v>
      </c>
      <c r="AB312" s="13">
        <f t="shared" si="67"/>
        <v>81.55</v>
      </c>
      <c r="AC312" s="13" t="e">
        <f>IF(MONTH($A312)=MONTH($A311),AVERAGE($AB$5:AB312),AB312)</f>
        <v>#REF!</v>
      </c>
      <c r="AD312" s="13" t="e">
        <f>IF(YEAR($A312)=YEAR($A311),AVERAGE($AB$5:AB311,AB312),AB312)</f>
        <v>#REF!</v>
      </c>
    </row>
    <row r="313" spans="1:30" ht="30">
      <c r="A313" s="35">
        <f t="shared" si="59"/>
        <v>45600</v>
      </c>
      <c r="C313" s="3">
        <v>359.11</v>
      </c>
      <c r="E313" s="7">
        <v>99.63</v>
      </c>
      <c r="F313" s="3">
        <v>4735.66</v>
      </c>
      <c r="G313" s="7">
        <v>83.82</v>
      </c>
      <c r="H313" s="5">
        <v>0.29166666666666669</v>
      </c>
      <c r="I313" s="5">
        <v>0.67361111111111116</v>
      </c>
      <c r="J313" s="7">
        <f t="shared" si="58"/>
        <v>9.1666666666666679</v>
      </c>
      <c r="M313" s="89">
        <f>0.45/18</f>
        <v>2.5000000000000001E-2</v>
      </c>
      <c r="Q313" s="37" t="s">
        <v>189</v>
      </c>
      <c r="S313" s="21">
        <f t="shared" si="60"/>
        <v>359.11</v>
      </c>
      <c r="T313" s="6">
        <f t="shared" si="61"/>
        <v>1439.1599999999999</v>
      </c>
      <c r="U313" s="6" t="e">
        <f t="shared" si="62"/>
        <v>#REF!</v>
      </c>
      <c r="V313" s="13">
        <f t="shared" si="63"/>
        <v>9.1666666666666679</v>
      </c>
      <c r="W313" s="13">
        <f t="shared" si="64"/>
        <v>39.25</v>
      </c>
      <c r="X313" s="13">
        <f t="shared" si="65"/>
        <v>3638.9499999999989</v>
      </c>
      <c r="Y313" s="6">
        <f t="shared" si="66"/>
        <v>99.63</v>
      </c>
      <c r="Z313" s="13" t="e">
        <f>IF(MONTH($A313)=MONTH($A312),AVERAGE($Y$6:Y313),Y313)</f>
        <v>#REF!</v>
      </c>
      <c r="AA313" s="13" t="e">
        <f>IF(YEAR($A313)=YEAR($A312),AVERAGE($Y$5:Y313,Y313),Y313)</f>
        <v>#REF!</v>
      </c>
      <c r="AB313" s="13">
        <f t="shared" si="67"/>
        <v>83.82</v>
      </c>
      <c r="AC313" s="13" t="e">
        <f>IF(MONTH($A313)=MONTH($A312),AVERAGE($AB$5:AB313),AB313)</f>
        <v>#REF!</v>
      </c>
      <c r="AD313" s="13" t="e">
        <f>IF(YEAR($A313)=YEAR($A312),AVERAGE($AB$5:AB312,AB313),AB313)</f>
        <v>#REF!</v>
      </c>
    </row>
    <row r="314" spans="1:30" ht="45">
      <c r="A314" s="35">
        <f t="shared" si="59"/>
        <v>45601</v>
      </c>
      <c r="C314" s="3">
        <v>323.87</v>
      </c>
      <c r="E314" s="7">
        <v>100</v>
      </c>
      <c r="F314" s="3">
        <v>4009.13</v>
      </c>
      <c r="G314" s="7">
        <v>89.23</v>
      </c>
      <c r="H314" s="5">
        <v>0.29166666666666669</v>
      </c>
      <c r="I314" s="5">
        <v>0.75</v>
      </c>
      <c r="J314" s="7">
        <f t="shared" si="58"/>
        <v>11</v>
      </c>
      <c r="M314" s="89">
        <f>0.5/18</f>
        <v>2.7777777777777776E-2</v>
      </c>
      <c r="Q314" s="37" t="s">
        <v>190</v>
      </c>
      <c r="S314" s="21">
        <f t="shared" si="60"/>
        <v>323.87</v>
      </c>
      <c r="T314" s="6">
        <f t="shared" si="61"/>
        <v>1763.0299999999997</v>
      </c>
      <c r="U314" s="6" t="e">
        <f t="shared" si="62"/>
        <v>#REF!</v>
      </c>
      <c r="V314" s="13">
        <f t="shared" si="63"/>
        <v>11</v>
      </c>
      <c r="W314" s="13">
        <f t="shared" si="64"/>
        <v>50.25</v>
      </c>
      <c r="X314" s="13">
        <f t="shared" si="65"/>
        <v>3649.9499999999989</v>
      </c>
      <c r="Y314" s="6">
        <f t="shared" si="66"/>
        <v>100</v>
      </c>
      <c r="Z314" s="13" t="e">
        <f>IF(MONTH($A314)=MONTH($A313),AVERAGE($Y$6:Y314),Y314)</f>
        <v>#REF!</v>
      </c>
      <c r="AA314" s="13" t="e">
        <f>IF(YEAR($A314)=YEAR($A313),AVERAGE($Y$5:Y314,Y314),Y314)</f>
        <v>#REF!</v>
      </c>
      <c r="AB314" s="13">
        <f t="shared" si="67"/>
        <v>89.23</v>
      </c>
      <c r="AC314" s="13" t="e">
        <f>IF(MONTH($A314)=MONTH($A313),AVERAGE($AB$5:AB314),AB314)</f>
        <v>#REF!</v>
      </c>
      <c r="AD314" s="13" t="e">
        <f>IF(YEAR($A314)=YEAR($A313),AVERAGE($AB$5:AB313,AB314),AB314)</f>
        <v>#REF!</v>
      </c>
    </row>
    <row r="315" spans="1:30" ht="60">
      <c r="A315" s="35">
        <f t="shared" si="59"/>
        <v>45602</v>
      </c>
      <c r="C315" s="3">
        <v>491.51</v>
      </c>
      <c r="E315" s="7">
        <v>100</v>
      </c>
      <c r="F315" s="3">
        <v>6512.07</v>
      </c>
      <c r="G315" s="7">
        <v>83.45</v>
      </c>
      <c r="H315" s="5">
        <v>0.29166666666666669</v>
      </c>
      <c r="I315" s="5">
        <v>0.74652777777777779</v>
      </c>
      <c r="J315" s="7">
        <f t="shared" si="58"/>
        <v>10.916666666666666</v>
      </c>
      <c r="L315" s="4"/>
      <c r="M315" s="89">
        <f>0.33/18</f>
        <v>1.8333333333333333E-2</v>
      </c>
      <c r="Q315" s="37" t="s">
        <v>191</v>
      </c>
      <c r="S315" s="21">
        <f t="shared" si="60"/>
        <v>491.51</v>
      </c>
      <c r="T315" s="6">
        <f t="shared" si="61"/>
        <v>2254.54</v>
      </c>
      <c r="U315" s="6" t="e">
        <f t="shared" si="62"/>
        <v>#REF!</v>
      </c>
      <c r="V315" s="13">
        <f t="shared" si="63"/>
        <v>10.916666666666666</v>
      </c>
      <c r="W315" s="13">
        <f t="shared" si="64"/>
        <v>61.166666666666664</v>
      </c>
      <c r="X315" s="13">
        <f t="shared" si="65"/>
        <v>3660.8666666666654</v>
      </c>
      <c r="Y315" s="6">
        <f t="shared" si="66"/>
        <v>100</v>
      </c>
      <c r="Z315" s="13" t="e">
        <f>IF(MONTH($A315)=MONTH($A314),AVERAGE($Y$6:Y315),Y315)</f>
        <v>#REF!</v>
      </c>
      <c r="AA315" s="13" t="e">
        <f>IF(YEAR($A315)=YEAR($A314),AVERAGE($Y$5:Y315,Y315),Y315)</f>
        <v>#REF!</v>
      </c>
      <c r="AB315" s="13">
        <f t="shared" si="67"/>
        <v>83.45</v>
      </c>
      <c r="AC315" s="13" t="e">
        <f>IF(MONTH($A315)=MONTH($A314),AVERAGE($AB$5:AB315),AB315)</f>
        <v>#REF!</v>
      </c>
      <c r="AD315" s="13" t="e">
        <f>IF(YEAR($A315)=YEAR($A314),AVERAGE($AB$5:AB314,AB315),AB315)</f>
        <v>#REF!</v>
      </c>
    </row>
    <row r="316" spans="1:30" ht="150">
      <c r="A316" s="35">
        <f t="shared" si="59"/>
        <v>45603</v>
      </c>
      <c r="C316" s="3">
        <v>335.65</v>
      </c>
      <c r="E316" s="7">
        <v>99.11</v>
      </c>
      <c r="F316" s="3">
        <v>4402.05</v>
      </c>
      <c r="G316" s="7">
        <v>84.25</v>
      </c>
      <c r="H316" s="5">
        <v>0.2951388888888889</v>
      </c>
      <c r="I316" s="5">
        <v>0.68402777777777779</v>
      </c>
      <c r="J316" s="7">
        <f t="shared" si="58"/>
        <v>9.3333333333333339</v>
      </c>
      <c r="L316" s="4"/>
      <c r="M316" s="89">
        <f>(0.25+1.17+0.1+0.12+0.12+0.17+0.25)/18</f>
        <v>0.12111111111111111</v>
      </c>
      <c r="Q316" s="37" t="s">
        <v>192</v>
      </c>
      <c r="S316" s="3">
        <f t="shared" si="60"/>
        <v>335.65</v>
      </c>
      <c r="T316" s="4">
        <f t="shared" si="61"/>
        <v>2590.19</v>
      </c>
      <c r="U316" s="4" t="e">
        <f t="shared" si="62"/>
        <v>#REF!</v>
      </c>
      <c r="V316" s="7">
        <f t="shared" si="63"/>
        <v>9.3333333333333339</v>
      </c>
      <c r="W316" s="7">
        <f t="shared" si="64"/>
        <v>70.5</v>
      </c>
      <c r="X316" s="7">
        <f t="shared" si="65"/>
        <v>3670.1999999999989</v>
      </c>
      <c r="Y316" s="4">
        <f t="shared" si="66"/>
        <v>99.11</v>
      </c>
      <c r="Z316" s="7" t="e">
        <f>IF(MONTH($A316)=MONTH($A315),AVERAGE($Y$6:Y316),Y316)</f>
        <v>#REF!</v>
      </c>
      <c r="AA316" s="7" t="e">
        <f>IF(YEAR($A316)=YEAR($A315),AVERAGE($Y$5:Y316,Y316),Y316)</f>
        <v>#REF!</v>
      </c>
      <c r="AB316" s="7">
        <f t="shared" si="67"/>
        <v>84.25</v>
      </c>
      <c r="AC316" s="7" t="e">
        <f>IF(MONTH($A316)=MONTH($A315),AVERAGE($AB$5:AB316),AB316)</f>
        <v>#REF!</v>
      </c>
      <c r="AD316" s="7" t="e">
        <f>IF(YEAR($A316)=YEAR($A315),AVERAGE($AB$5:AB315,AB316),AB316)</f>
        <v>#REF!</v>
      </c>
    </row>
    <row r="317" spans="1:30" ht="90">
      <c r="A317" s="35">
        <f t="shared" si="59"/>
        <v>45604</v>
      </c>
      <c r="C317" s="3">
        <v>315.13</v>
      </c>
      <c r="E317" s="7">
        <v>99.94</v>
      </c>
      <c r="F317" s="3">
        <v>4186.16</v>
      </c>
      <c r="G317" s="7">
        <v>83.13</v>
      </c>
      <c r="H317" s="5">
        <v>0.33680555555555558</v>
      </c>
      <c r="I317" s="5">
        <v>0.74305555555555547</v>
      </c>
      <c r="J317" s="7">
        <f t="shared" si="58"/>
        <v>9.7499999999999964</v>
      </c>
      <c r="M317" s="89">
        <f>(0.33+1+0.08+0.08+0.17+0.33)/18</f>
        <v>0.11055555555555557</v>
      </c>
      <c r="Q317" s="37" t="s">
        <v>193</v>
      </c>
      <c r="S317" s="21">
        <f t="shared" si="60"/>
        <v>315.13</v>
      </c>
      <c r="T317" s="6">
        <f t="shared" si="61"/>
        <v>2905.32</v>
      </c>
      <c r="U317" s="6" t="e">
        <f t="shared" si="62"/>
        <v>#REF!</v>
      </c>
      <c r="V317" s="13">
        <f t="shared" si="63"/>
        <v>9.7499999999999964</v>
      </c>
      <c r="W317" s="13">
        <f t="shared" si="64"/>
        <v>80.25</v>
      </c>
      <c r="X317" s="13">
        <f t="shared" si="65"/>
        <v>3679.9499999999989</v>
      </c>
      <c r="Y317" s="6">
        <f t="shared" si="66"/>
        <v>99.94</v>
      </c>
      <c r="Z317" s="13" t="e">
        <f>IF(MONTH($A317)=MONTH($A316),AVERAGE($Y$6:Y317),Y317)</f>
        <v>#REF!</v>
      </c>
      <c r="AA317" s="13" t="e">
        <f>IF(YEAR($A317)=YEAR($A316),AVERAGE($Y$5:Y317,Y317),Y317)</f>
        <v>#REF!</v>
      </c>
      <c r="AB317" s="13">
        <f t="shared" si="67"/>
        <v>83.13</v>
      </c>
      <c r="AC317" s="13" t="e">
        <f>IF(MONTH($A317)=MONTH($A316),AVERAGE($AB$5:AB317),AB317)</f>
        <v>#REF!</v>
      </c>
      <c r="AD317" s="13" t="e">
        <f>IF(YEAR($A317)=YEAR($A316),AVERAGE($AB$5:AB316,AB317),AB317)</f>
        <v>#REF!</v>
      </c>
    </row>
    <row r="318" spans="1:30" ht="45">
      <c r="A318" s="35">
        <f t="shared" si="59"/>
        <v>45605</v>
      </c>
      <c r="C318" s="3">
        <v>331.65</v>
      </c>
      <c r="E318" s="7">
        <v>99.81</v>
      </c>
      <c r="F318" s="3">
        <v>4210.67</v>
      </c>
      <c r="G318" s="7">
        <v>86.99</v>
      </c>
      <c r="H318" s="5">
        <v>0.30555555555555552</v>
      </c>
      <c r="I318" s="5">
        <v>0.75</v>
      </c>
      <c r="J318" s="7">
        <f t="shared" si="58"/>
        <v>10.666666666666668</v>
      </c>
      <c r="M318" s="89">
        <f>(0.08+0.08+0.17+0.17)/18</f>
        <v>2.7777777777777776E-2</v>
      </c>
      <c r="Q318" s="37" t="s">
        <v>194</v>
      </c>
      <c r="S318" s="21">
        <f t="shared" si="60"/>
        <v>331.65</v>
      </c>
      <c r="T318" s="6">
        <f t="shared" si="61"/>
        <v>3236.9700000000003</v>
      </c>
      <c r="U318" s="6" t="e">
        <f t="shared" si="62"/>
        <v>#REF!</v>
      </c>
      <c r="V318" s="13">
        <f t="shared" si="63"/>
        <v>10.666666666666668</v>
      </c>
      <c r="W318" s="13">
        <f t="shared" si="64"/>
        <v>90.916666666666671</v>
      </c>
      <c r="X318" s="13">
        <f t="shared" si="65"/>
        <v>3690.6166666666654</v>
      </c>
      <c r="Y318" s="6">
        <f t="shared" si="66"/>
        <v>99.81</v>
      </c>
      <c r="Z318" s="13" t="e">
        <f>IF(MONTH($A318)=MONTH($A317),AVERAGE($Y$6:Y318),Y318)</f>
        <v>#REF!</v>
      </c>
      <c r="AA318" s="13" t="e">
        <f>IF(YEAR($A318)=YEAR($A317),AVERAGE($Y$5:Y318,Y318),Y318)</f>
        <v>#REF!</v>
      </c>
      <c r="AB318" s="13">
        <f t="shared" si="67"/>
        <v>86.99</v>
      </c>
      <c r="AC318" s="13" t="e">
        <f>IF(MONTH($A318)=MONTH($A317),AVERAGE($AB$5:AB318),AB318)</f>
        <v>#REF!</v>
      </c>
      <c r="AD318" s="13" t="e">
        <f>IF(YEAR($A318)=YEAR($A317),AVERAGE($AB$5:AB317,AB318),AB318)</f>
        <v>#REF!</v>
      </c>
    </row>
    <row r="319" spans="1:30" ht="45">
      <c r="A319" s="35">
        <f t="shared" si="59"/>
        <v>45606</v>
      </c>
      <c r="C319" s="3">
        <v>217.72</v>
      </c>
      <c r="E319" s="7">
        <v>100</v>
      </c>
      <c r="F319" s="3">
        <v>2586.88</v>
      </c>
      <c r="G319" s="7">
        <v>92.94</v>
      </c>
      <c r="H319" s="5">
        <v>0.3125</v>
      </c>
      <c r="I319" s="5">
        <v>0.73611111111111116</v>
      </c>
      <c r="J319" s="7">
        <f t="shared" ref="J319:J382" si="68">(I319-H319)*24</f>
        <v>10.166666666666668</v>
      </c>
      <c r="M319" s="89">
        <f>(0.83+0.33)/18</f>
        <v>6.4444444444444443E-2</v>
      </c>
      <c r="Q319" s="37" t="s">
        <v>195</v>
      </c>
      <c r="S319" s="21">
        <f t="shared" si="60"/>
        <v>217.72</v>
      </c>
      <c r="T319" s="6">
        <f t="shared" si="61"/>
        <v>3454.69</v>
      </c>
      <c r="U319" s="6" t="e">
        <f t="shared" si="62"/>
        <v>#REF!</v>
      </c>
      <c r="V319" s="13">
        <f t="shared" si="63"/>
        <v>10.166666666666668</v>
      </c>
      <c r="W319" s="13">
        <f t="shared" si="64"/>
        <v>101.08333333333334</v>
      </c>
      <c r="X319" s="13">
        <f t="shared" si="65"/>
        <v>3700.7833333333319</v>
      </c>
      <c r="Y319" s="6">
        <f t="shared" si="66"/>
        <v>100</v>
      </c>
      <c r="Z319" s="13" t="e">
        <f>IF(MONTH($A319)=MONTH($A318),AVERAGE($Y$6:Y319),Y319)</f>
        <v>#REF!</v>
      </c>
      <c r="AA319" s="13" t="e">
        <f>IF(YEAR($A319)=YEAR($A318),AVERAGE($Y$5:Y319,Y319),Y319)</f>
        <v>#REF!</v>
      </c>
      <c r="AB319" s="13">
        <f t="shared" si="67"/>
        <v>92.94</v>
      </c>
      <c r="AC319" s="13" t="e">
        <f>IF(MONTH($A319)=MONTH($A318),AVERAGE($AB$5:AB319),AB319)</f>
        <v>#REF!</v>
      </c>
      <c r="AD319" s="13" t="e">
        <f>IF(YEAR($A319)=YEAR($A318),AVERAGE($AB$5:AB318,AB319),AB319)</f>
        <v>#REF!</v>
      </c>
    </row>
    <row r="320" spans="1:30" ht="90">
      <c r="A320" s="35">
        <f t="shared" si="59"/>
        <v>45607</v>
      </c>
      <c r="C320" s="3">
        <v>465.63</v>
      </c>
      <c r="E320" s="7">
        <v>98.11</v>
      </c>
      <c r="F320" s="3">
        <v>6305.45</v>
      </c>
      <c r="G320" s="7">
        <v>81.58</v>
      </c>
      <c r="H320" s="5">
        <v>0.30555555555555552</v>
      </c>
      <c r="I320" s="5">
        <v>0.74305555555555547</v>
      </c>
      <c r="J320" s="7">
        <f t="shared" si="68"/>
        <v>10.499999999999998</v>
      </c>
      <c r="M320" s="89">
        <f>5/18</f>
        <v>0.27777777777777779</v>
      </c>
      <c r="Q320" s="37" t="s">
        <v>196</v>
      </c>
      <c r="S320" s="21">
        <f t="shared" si="60"/>
        <v>465.63</v>
      </c>
      <c r="T320" s="6">
        <f t="shared" si="61"/>
        <v>3920.32</v>
      </c>
      <c r="U320" s="6" t="e">
        <f t="shared" si="62"/>
        <v>#REF!</v>
      </c>
      <c r="V320" s="13">
        <f t="shared" si="63"/>
        <v>10.499999999999998</v>
      </c>
      <c r="W320" s="13">
        <f t="shared" si="64"/>
        <v>111.58333333333334</v>
      </c>
      <c r="X320" s="13">
        <f t="shared" si="65"/>
        <v>3711.2833333333319</v>
      </c>
      <c r="Y320" s="6">
        <f t="shared" si="66"/>
        <v>98.11</v>
      </c>
      <c r="Z320" s="13" t="e">
        <f>IF(MONTH($A320)=MONTH($A319),AVERAGE($Y$6:Y320),Y320)</f>
        <v>#REF!</v>
      </c>
      <c r="AA320" s="13" t="e">
        <f>IF(YEAR($A320)=YEAR($A319),AVERAGE($Y$5:Y320,Y320),Y320)</f>
        <v>#REF!</v>
      </c>
      <c r="AB320" s="13">
        <f t="shared" si="67"/>
        <v>81.58</v>
      </c>
      <c r="AC320" s="13" t="e">
        <f>IF(MONTH($A320)=MONTH($A319),AVERAGE($AB$5:AB320),AB320)</f>
        <v>#REF!</v>
      </c>
      <c r="AD320" s="13" t="e">
        <f>IF(YEAR($A320)=YEAR($A319),AVERAGE($AB$5:AB319,AB320),AB320)</f>
        <v>#REF!</v>
      </c>
    </row>
    <row r="321" spans="1:30" ht="90">
      <c r="A321" s="35">
        <f t="shared" si="59"/>
        <v>45608</v>
      </c>
      <c r="C321" s="3">
        <v>511.41</v>
      </c>
      <c r="E321" s="7">
        <v>100</v>
      </c>
      <c r="F321" s="3">
        <v>6961.84</v>
      </c>
      <c r="G321" s="7">
        <v>81.16</v>
      </c>
      <c r="H321" s="5">
        <v>0.2986111111111111</v>
      </c>
      <c r="I321" s="5">
        <v>0.73958333333333337</v>
      </c>
      <c r="J321" s="7">
        <f t="shared" si="68"/>
        <v>10.583333333333334</v>
      </c>
      <c r="M321" s="89">
        <f>0.5/18</f>
        <v>2.7777777777777776E-2</v>
      </c>
      <c r="Q321" s="37" t="s">
        <v>197</v>
      </c>
      <c r="S321" s="21">
        <f t="shared" si="60"/>
        <v>511.41</v>
      </c>
      <c r="T321" s="6">
        <f t="shared" si="61"/>
        <v>4431.7300000000005</v>
      </c>
      <c r="U321" s="6" t="e">
        <f t="shared" si="62"/>
        <v>#REF!</v>
      </c>
      <c r="V321" s="13">
        <f t="shared" si="63"/>
        <v>10.583333333333334</v>
      </c>
      <c r="W321" s="13">
        <f t="shared" si="64"/>
        <v>122.16666666666667</v>
      </c>
      <c r="X321" s="13">
        <f t="shared" si="65"/>
        <v>3721.8666666666654</v>
      </c>
      <c r="Y321" s="6">
        <f t="shared" si="66"/>
        <v>100</v>
      </c>
      <c r="Z321" s="13" t="e">
        <f>IF(MONTH($A321)=MONTH($A320),AVERAGE($Y$6:Y321),Y321)</f>
        <v>#REF!</v>
      </c>
      <c r="AA321" s="13" t="e">
        <f>IF(YEAR($A321)=YEAR($A320),AVERAGE($Y$5:Y321,Y321),Y321)</f>
        <v>#REF!</v>
      </c>
      <c r="AB321" s="13">
        <f t="shared" si="67"/>
        <v>81.16</v>
      </c>
      <c r="AC321" s="13" t="e">
        <f>IF(MONTH($A321)=MONTH($A320),AVERAGE($AB$5:AB321),AB321)</f>
        <v>#REF!</v>
      </c>
      <c r="AD321" s="13" t="e">
        <f>IF(YEAR($A321)=YEAR($A320),AVERAGE($AB$5:AB320,AB321),AB321)</f>
        <v>#REF!</v>
      </c>
    </row>
    <row r="322" spans="1:30" ht="90">
      <c r="A322" s="35">
        <f t="shared" si="59"/>
        <v>45609</v>
      </c>
      <c r="C322" s="3">
        <v>430.06</v>
      </c>
      <c r="E322" s="7">
        <v>100</v>
      </c>
      <c r="F322" s="3">
        <v>5745.74</v>
      </c>
      <c r="G322" s="7">
        <v>82.7</v>
      </c>
      <c r="H322" s="5">
        <v>0.2986111111111111</v>
      </c>
      <c r="I322" s="5">
        <v>0.74305555555555547</v>
      </c>
      <c r="J322" s="7">
        <f t="shared" si="68"/>
        <v>10.666666666666664</v>
      </c>
      <c r="M322" s="89">
        <f>0.33/18</f>
        <v>1.8333333333333333E-2</v>
      </c>
      <c r="Q322" s="37" t="s">
        <v>198</v>
      </c>
      <c r="S322" s="21">
        <f t="shared" si="60"/>
        <v>430.06</v>
      </c>
      <c r="T322" s="6">
        <f t="shared" si="61"/>
        <v>4861.7900000000009</v>
      </c>
      <c r="U322" s="6" t="e">
        <f t="shared" si="62"/>
        <v>#REF!</v>
      </c>
      <c r="V322" s="13">
        <f t="shared" si="63"/>
        <v>10.666666666666664</v>
      </c>
      <c r="W322" s="13">
        <f t="shared" si="64"/>
        <v>132.83333333333334</v>
      </c>
      <c r="X322" s="13">
        <f t="shared" si="65"/>
        <v>3732.5333333333319</v>
      </c>
      <c r="Y322" s="6">
        <f t="shared" si="66"/>
        <v>100</v>
      </c>
      <c r="Z322" s="13" t="e">
        <f>IF(MONTH($A322)=MONTH($A321),AVERAGE($Y$6:Y322),Y322)</f>
        <v>#REF!</v>
      </c>
      <c r="AA322" s="13" t="e">
        <f>IF(YEAR($A322)=YEAR($A321),AVERAGE($Y$5:Y322,Y322),Y322)</f>
        <v>#REF!</v>
      </c>
      <c r="AB322" s="13">
        <f t="shared" si="67"/>
        <v>82.7</v>
      </c>
      <c r="AC322" s="13" t="e">
        <f>IF(MONTH($A322)=MONTH($A321),AVERAGE($AB$5:AB322),AB322)</f>
        <v>#REF!</v>
      </c>
      <c r="AD322" s="13" t="e">
        <f>IF(YEAR($A322)=YEAR($A321),AVERAGE($AB$5:AB321,AB322),AB322)</f>
        <v>#REF!</v>
      </c>
    </row>
    <row r="323" spans="1:30" ht="105">
      <c r="A323" s="35">
        <f t="shared" si="59"/>
        <v>45610</v>
      </c>
      <c r="C323" s="3">
        <v>283.95</v>
      </c>
      <c r="E323" s="7">
        <v>98.83</v>
      </c>
      <c r="F323" s="3">
        <v>3580.01</v>
      </c>
      <c r="G323" s="7">
        <v>87.6</v>
      </c>
      <c r="H323" s="5">
        <v>0.30208333333333331</v>
      </c>
      <c r="I323" s="5">
        <v>0.73263888888888884</v>
      </c>
      <c r="J323" s="7">
        <f t="shared" si="68"/>
        <v>10.333333333333332</v>
      </c>
      <c r="L323" s="98"/>
      <c r="M323" s="89">
        <f>2.25/18</f>
        <v>0.125</v>
      </c>
      <c r="P323" s="4"/>
      <c r="Q323" s="37" t="s">
        <v>199</v>
      </c>
      <c r="S323" s="21">
        <f t="shared" si="60"/>
        <v>283.95</v>
      </c>
      <c r="T323" s="6">
        <f t="shared" si="61"/>
        <v>5145.7400000000007</v>
      </c>
      <c r="U323" s="6" t="e">
        <f t="shared" si="62"/>
        <v>#REF!</v>
      </c>
      <c r="V323" s="13">
        <f t="shared" si="63"/>
        <v>10.333333333333332</v>
      </c>
      <c r="W323" s="13">
        <f t="shared" si="64"/>
        <v>143.16666666666669</v>
      </c>
      <c r="X323" s="13">
        <f t="shared" si="65"/>
        <v>3742.8666666666654</v>
      </c>
      <c r="Y323" s="6">
        <f t="shared" si="66"/>
        <v>98.83</v>
      </c>
      <c r="Z323" s="13" t="e">
        <f>IF(MONTH($A323)=MONTH($A322),AVERAGE($Y$6:Y323),Y323)</f>
        <v>#REF!</v>
      </c>
      <c r="AA323" s="13" t="e">
        <f>IF(YEAR($A323)=YEAR($A322),AVERAGE($Y$5:Y323,Y323),Y323)</f>
        <v>#REF!</v>
      </c>
      <c r="AB323" s="13">
        <f t="shared" si="67"/>
        <v>87.6</v>
      </c>
      <c r="AC323" s="13" t="e">
        <f>IF(MONTH($A323)=MONTH($A322),AVERAGE($AB$5:AB323),AB323)</f>
        <v>#REF!</v>
      </c>
      <c r="AD323" s="13" t="e">
        <f>IF(YEAR($A323)=YEAR($A322),AVERAGE($AB$5:AB322,AB323),AB323)</f>
        <v>#REF!</v>
      </c>
    </row>
    <row r="324" spans="1:30" ht="60">
      <c r="A324" s="35">
        <f t="shared" si="59"/>
        <v>45611</v>
      </c>
      <c r="C324" s="3">
        <v>384.28</v>
      </c>
      <c r="E324" s="7">
        <v>100</v>
      </c>
      <c r="F324" s="3">
        <v>4969.5200000000004</v>
      </c>
      <c r="G324" s="7">
        <v>85.4</v>
      </c>
      <c r="H324" s="5">
        <v>0.2951388888888889</v>
      </c>
      <c r="I324" s="5">
        <v>0.75</v>
      </c>
      <c r="J324" s="7">
        <f t="shared" si="68"/>
        <v>10.916666666666666</v>
      </c>
      <c r="Q324" s="37" t="s">
        <v>200</v>
      </c>
      <c r="S324" s="21">
        <f t="shared" si="60"/>
        <v>384.28</v>
      </c>
      <c r="T324" s="6">
        <f t="shared" si="61"/>
        <v>5530.02</v>
      </c>
      <c r="U324" s="6" t="e">
        <f t="shared" si="62"/>
        <v>#REF!</v>
      </c>
      <c r="V324" s="13">
        <f t="shared" si="63"/>
        <v>10.916666666666666</v>
      </c>
      <c r="W324" s="13">
        <f t="shared" si="64"/>
        <v>154.08333333333334</v>
      </c>
      <c r="X324" s="13">
        <f t="shared" si="65"/>
        <v>3753.7833333333319</v>
      </c>
      <c r="Y324" s="6">
        <f t="shared" si="66"/>
        <v>100</v>
      </c>
      <c r="Z324" s="13" t="e">
        <f>IF(MONTH($A324)=MONTH($A323),AVERAGE($Y$6:Y324),Y324)</f>
        <v>#REF!</v>
      </c>
      <c r="AA324" s="13" t="e">
        <f>IF(YEAR($A324)=YEAR($A323),AVERAGE($Y$5:Y324,Y324),Y324)</f>
        <v>#REF!</v>
      </c>
      <c r="AB324" s="13">
        <f t="shared" si="67"/>
        <v>85.4</v>
      </c>
      <c r="AC324" s="13" t="e">
        <f>IF(MONTH($A324)=MONTH($A323),AVERAGE($AB$5:AB324),AB324)</f>
        <v>#REF!</v>
      </c>
      <c r="AD324" s="13" t="e">
        <f>IF(YEAR($A324)=YEAR($A323),AVERAGE($AB$5:AB323,AB324),AB324)</f>
        <v>#REF!</v>
      </c>
    </row>
    <row r="325" spans="1:30" ht="60">
      <c r="A325" s="35">
        <f t="shared" si="59"/>
        <v>45612</v>
      </c>
      <c r="C325" s="3">
        <v>344.03</v>
      </c>
      <c r="E325" s="7">
        <v>100</v>
      </c>
      <c r="F325" s="3">
        <v>4419.16</v>
      </c>
      <c r="G325" s="7">
        <v>86</v>
      </c>
      <c r="H325" s="5">
        <v>0.2986111111111111</v>
      </c>
      <c r="I325" s="5">
        <v>0.73958333333333337</v>
      </c>
      <c r="J325" s="7">
        <f t="shared" si="68"/>
        <v>10.583333333333334</v>
      </c>
      <c r="P325" s="4"/>
      <c r="Q325" s="37" t="s">
        <v>200</v>
      </c>
      <c r="S325" s="21">
        <f t="shared" si="60"/>
        <v>344.03</v>
      </c>
      <c r="T325" s="6">
        <f t="shared" si="61"/>
        <v>5874.05</v>
      </c>
      <c r="U325" s="6" t="e">
        <f t="shared" si="62"/>
        <v>#REF!</v>
      </c>
      <c r="V325" s="13">
        <f t="shared" si="63"/>
        <v>10.583333333333334</v>
      </c>
      <c r="W325" s="13">
        <f t="shared" si="64"/>
        <v>164.66666666666669</v>
      </c>
      <c r="X325" s="13">
        <f t="shared" si="65"/>
        <v>3764.3666666666654</v>
      </c>
      <c r="Y325" s="6">
        <f t="shared" si="66"/>
        <v>100</v>
      </c>
      <c r="Z325" s="13" t="e">
        <f>IF(MONTH($A325)=MONTH($A324),AVERAGE($Y$6:Y325),Y325)</f>
        <v>#REF!</v>
      </c>
      <c r="AA325" s="13" t="e">
        <f>IF(YEAR($A325)=YEAR($A324),AVERAGE($Y$5:Y325,Y325),Y325)</f>
        <v>#REF!</v>
      </c>
      <c r="AB325" s="13">
        <f t="shared" si="67"/>
        <v>86</v>
      </c>
      <c r="AC325" s="13" t="e">
        <f>IF(MONTH($A325)=MONTH($A324),AVERAGE($AB$5:AB325),AB325)</f>
        <v>#REF!</v>
      </c>
      <c r="AD325" s="13" t="e">
        <f>IF(YEAR($A325)=YEAR($A324),AVERAGE($AB$5:AB324,AB325),AB325)</f>
        <v>#REF!</v>
      </c>
    </row>
    <row r="326" spans="1:30" ht="75">
      <c r="A326" s="35">
        <f t="shared" si="59"/>
        <v>45613</v>
      </c>
      <c r="C326" s="3">
        <v>316.12</v>
      </c>
      <c r="E326" s="7">
        <v>100</v>
      </c>
      <c r="F326" s="3">
        <v>4096.38</v>
      </c>
      <c r="G326" s="7">
        <v>85.22</v>
      </c>
      <c r="H326" s="5">
        <v>0.2986111111111111</v>
      </c>
      <c r="I326" s="5">
        <v>0.74305555555555547</v>
      </c>
      <c r="J326" s="7">
        <f t="shared" si="68"/>
        <v>10.666666666666664</v>
      </c>
      <c r="P326" s="4"/>
      <c r="Q326" s="37" t="s">
        <v>201</v>
      </c>
      <c r="S326" s="21">
        <f t="shared" si="60"/>
        <v>316.12</v>
      </c>
      <c r="T326" s="6">
        <f t="shared" si="61"/>
        <v>6190.17</v>
      </c>
      <c r="U326" s="6" t="e">
        <f t="shared" si="62"/>
        <v>#REF!</v>
      </c>
      <c r="V326" s="13">
        <f t="shared" si="63"/>
        <v>10.666666666666664</v>
      </c>
      <c r="W326" s="13">
        <f t="shared" si="64"/>
        <v>175.33333333333334</v>
      </c>
      <c r="X326" s="13">
        <f t="shared" si="65"/>
        <v>3775.0333333333319</v>
      </c>
      <c r="Y326" s="6">
        <f t="shared" si="66"/>
        <v>100</v>
      </c>
      <c r="Z326" s="13" t="e">
        <f>IF(MONTH($A326)=MONTH($A325),AVERAGE($Y$6:Y326),Y326)</f>
        <v>#REF!</v>
      </c>
      <c r="AA326" s="13" t="e">
        <f>IF(YEAR($A326)=YEAR($A325),AVERAGE($Y$5:Y326,Y326),Y326)</f>
        <v>#REF!</v>
      </c>
      <c r="AB326" s="13">
        <f t="shared" si="67"/>
        <v>85.22</v>
      </c>
      <c r="AC326" s="13" t="e">
        <f>IF(MONTH($A326)=MONTH($A325),AVERAGE($AB$5:AB326),AB326)</f>
        <v>#REF!</v>
      </c>
      <c r="AD326" s="13" t="e">
        <f>IF(YEAR($A326)=YEAR($A325),AVERAGE($AB$5:AB325,AB326),AB326)</f>
        <v>#REF!</v>
      </c>
    </row>
    <row r="327" spans="1:30" ht="60">
      <c r="A327" s="35">
        <f t="shared" ref="A327:A390" si="69">A326+1</f>
        <v>45614</v>
      </c>
      <c r="C327" s="3">
        <v>389.61</v>
      </c>
      <c r="E327" s="7">
        <v>100</v>
      </c>
      <c r="F327" s="3">
        <v>5041.74</v>
      </c>
      <c r="G327" s="7">
        <v>85.36</v>
      </c>
      <c r="H327" s="5">
        <v>0.30555555555555558</v>
      </c>
      <c r="I327" s="5">
        <v>0.74305555555555558</v>
      </c>
      <c r="J327" s="7">
        <f t="shared" si="68"/>
        <v>10.5</v>
      </c>
      <c r="P327" s="4"/>
      <c r="Q327" s="37" t="s">
        <v>200</v>
      </c>
      <c r="S327" s="21">
        <f t="shared" si="60"/>
        <v>389.61</v>
      </c>
      <c r="T327" s="6">
        <f t="shared" si="61"/>
        <v>6579.78</v>
      </c>
      <c r="U327" s="6" t="e">
        <f t="shared" si="62"/>
        <v>#REF!</v>
      </c>
      <c r="V327" s="13">
        <f t="shared" si="63"/>
        <v>10.5</v>
      </c>
      <c r="W327" s="13">
        <f t="shared" si="64"/>
        <v>185.83333333333334</v>
      </c>
      <c r="X327" s="13">
        <f t="shared" si="65"/>
        <v>3785.5333333333319</v>
      </c>
      <c r="Y327" s="6">
        <f t="shared" si="66"/>
        <v>100</v>
      </c>
      <c r="Z327" s="13" t="e">
        <f>IF(MONTH($A327)=MONTH($A326),AVERAGE($Y$6:Y327),Y327)</f>
        <v>#REF!</v>
      </c>
      <c r="AA327" s="13" t="e">
        <f>IF(YEAR($A327)=YEAR($A326),AVERAGE($Y$5:Y327,Y327),Y327)</f>
        <v>#REF!</v>
      </c>
      <c r="AB327" s="13">
        <f t="shared" si="67"/>
        <v>85.36</v>
      </c>
      <c r="AC327" s="13" t="e">
        <f>IF(MONTH($A327)=MONTH($A326),AVERAGE($AB$5:AB327),AB327)</f>
        <v>#REF!</v>
      </c>
      <c r="AD327" s="13" t="e">
        <f>IF(YEAR($A327)=YEAR($A326),AVERAGE($AB$5:AB326,AB327),AB327)</f>
        <v>#REF!</v>
      </c>
    </row>
    <row r="328" spans="1:30" ht="45">
      <c r="A328" s="35">
        <f t="shared" si="69"/>
        <v>45615</v>
      </c>
      <c r="C328" s="3">
        <v>513.74</v>
      </c>
      <c r="E328" s="7">
        <v>99.86</v>
      </c>
      <c r="F328" s="3">
        <v>6765.22</v>
      </c>
      <c r="G328" s="7">
        <v>83.9</v>
      </c>
      <c r="H328" s="5">
        <v>0.30208333333333331</v>
      </c>
      <c r="I328" s="5">
        <v>0.75</v>
      </c>
      <c r="J328" s="7">
        <f t="shared" si="68"/>
        <v>10.75</v>
      </c>
      <c r="M328" s="89">
        <f>0.5/18</f>
        <v>2.7777777777777776E-2</v>
      </c>
      <c r="Q328" s="100" t="s">
        <v>202</v>
      </c>
      <c r="S328" s="21">
        <f t="shared" si="60"/>
        <v>513.74</v>
      </c>
      <c r="T328" s="6">
        <f t="shared" si="61"/>
        <v>7093.5199999999995</v>
      </c>
      <c r="U328" s="6" t="e">
        <f t="shared" si="62"/>
        <v>#REF!</v>
      </c>
      <c r="V328" s="13">
        <f t="shared" si="63"/>
        <v>10.75</v>
      </c>
      <c r="W328" s="13">
        <f t="shared" si="64"/>
        <v>196.58333333333334</v>
      </c>
      <c r="X328" s="13">
        <f t="shared" si="65"/>
        <v>3796.2833333333319</v>
      </c>
      <c r="Y328" s="6">
        <f t="shared" si="66"/>
        <v>99.86</v>
      </c>
      <c r="Z328" s="13" t="e">
        <f>IF(MONTH($A328)=MONTH($A327),AVERAGE($Y$6:Y328),Y328)</f>
        <v>#REF!</v>
      </c>
      <c r="AA328" s="13" t="e">
        <f>IF(YEAR($A328)=YEAR($A327),AVERAGE($Y$5:Y328,Y328),Y328)</f>
        <v>#REF!</v>
      </c>
      <c r="AB328" s="13">
        <f t="shared" si="67"/>
        <v>83.9</v>
      </c>
      <c r="AC328" s="13" t="e">
        <f>IF(MONTH($A328)=MONTH($A327),AVERAGE($AB$5:AB328),AB328)</f>
        <v>#REF!</v>
      </c>
      <c r="AD328" s="13" t="e">
        <f>IF(YEAR($A328)=YEAR($A327),AVERAGE($AB$5:AB327,AB328),AB328)</f>
        <v>#REF!</v>
      </c>
    </row>
    <row r="329" spans="1:30" ht="30">
      <c r="A329" s="35">
        <f t="shared" si="69"/>
        <v>45616</v>
      </c>
      <c r="C329" s="3">
        <v>507.84</v>
      </c>
      <c r="E329" s="7">
        <v>100</v>
      </c>
      <c r="F329" s="3">
        <v>6812.06</v>
      </c>
      <c r="G329" s="7">
        <v>82.38</v>
      </c>
      <c r="H329" s="5">
        <v>0.2986111111111111</v>
      </c>
      <c r="I329" s="5">
        <v>0.75</v>
      </c>
      <c r="J329" s="7">
        <f t="shared" si="68"/>
        <v>10.833333333333334</v>
      </c>
      <c r="Q329" s="37" t="s">
        <v>203</v>
      </c>
      <c r="S329" s="21">
        <f t="shared" si="60"/>
        <v>507.84</v>
      </c>
      <c r="T329" s="6">
        <f t="shared" si="61"/>
        <v>7601.36</v>
      </c>
      <c r="U329" s="6" t="e">
        <f t="shared" si="62"/>
        <v>#REF!</v>
      </c>
      <c r="V329" s="13">
        <f t="shared" si="63"/>
        <v>10.833333333333334</v>
      </c>
      <c r="W329" s="13">
        <f t="shared" si="64"/>
        <v>207.41666666666669</v>
      </c>
      <c r="X329" s="13">
        <f t="shared" si="65"/>
        <v>3807.1166666666654</v>
      </c>
      <c r="Y329" s="6">
        <f t="shared" si="66"/>
        <v>100</v>
      </c>
      <c r="Z329" s="13" t="e">
        <f>IF(MONTH($A329)=MONTH($A328),AVERAGE($Y$6:Y329),Y329)</f>
        <v>#REF!</v>
      </c>
      <c r="AA329" s="13" t="e">
        <f>IF(YEAR($A329)=YEAR($A328),AVERAGE($Y$5:Y329,Y329),Y329)</f>
        <v>#REF!</v>
      </c>
      <c r="AB329" s="13">
        <f t="shared" si="67"/>
        <v>82.38</v>
      </c>
      <c r="AC329" s="13" t="e">
        <f>IF(MONTH($A329)=MONTH($A328),AVERAGE($AB$5:AB329),AB329)</f>
        <v>#REF!</v>
      </c>
      <c r="AD329" s="13" t="e">
        <f>IF(YEAR($A329)=YEAR($A328),AVERAGE($AB$5:AB328,AB329),AB329)</f>
        <v>#REF!</v>
      </c>
    </row>
    <row r="330" spans="1:30" ht="30">
      <c r="A330" s="35">
        <f t="shared" si="69"/>
        <v>45617</v>
      </c>
      <c r="C330" s="3">
        <v>501.62</v>
      </c>
      <c r="E330" s="7">
        <v>99.9</v>
      </c>
      <c r="F330" s="3">
        <v>6731.56</v>
      </c>
      <c r="G330" s="7">
        <v>82.37</v>
      </c>
      <c r="H330" s="5">
        <v>0.2986111111111111</v>
      </c>
      <c r="I330" s="5">
        <v>0.73958333333333337</v>
      </c>
      <c r="J330" s="7">
        <f t="shared" si="68"/>
        <v>10.583333333333334</v>
      </c>
      <c r="M330" s="89">
        <f>0.43/18</f>
        <v>2.388888888888889E-2</v>
      </c>
      <c r="Q330" s="37" t="s">
        <v>204</v>
      </c>
      <c r="S330" s="21">
        <f t="shared" si="60"/>
        <v>501.62</v>
      </c>
      <c r="T330" s="6">
        <f t="shared" si="61"/>
        <v>8102.98</v>
      </c>
      <c r="U330" s="6" t="e">
        <f t="shared" si="62"/>
        <v>#REF!</v>
      </c>
      <c r="V330" s="13">
        <f t="shared" si="63"/>
        <v>10.583333333333334</v>
      </c>
      <c r="W330" s="13">
        <f t="shared" si="64"/>
        <v>218.00000000000003</v>
      </c>
      <c r="X330" s="13">
        <f t="shared" si="65"/>
        <v>3817.6999999999989</v>
      </c>
      <c r="Y330" s="6">
        <f t="shared" si="66"/>
        <v>99.9</v>
      </c>
      <c r="Z330" s="13" t="e">
        <f>IF(MONTH($A330)=MONTH($A329),AVERAGE($Y$6:Y330),Y330)</f>
        <v>#REF!</v>
      </c>
      <c r="AA330" s="13" t="e">
        <f>IF(YEAR($A330)=YEAR($A329),AVERAGE($Y$5:Y330,Y330),Y330)</f>
        <v>#REF!</v>
      </c>
      <c r="AB330" s="13">
        <f t="shared" si="67"/>
        <v>82.37</v>
      </c>
      <c r="AC330" s="13" t="e">
        <f>IF(MONTH($A330)=MONTH($A329),AVERAGE($AB$5:AB330),AB330)</f>
        <v>#REF!</v>
      </c>
      <c r="AD330" s="13" t="e">
        <f>IF(YEAR($A330)=YEAR($A329),AVERAGE($AB$5:AB329,AB330),AB330)</f>
        <v>#REF!</v>
      </c>
    </row>
    <row r="331" spans="1:30">
      <c r="A331" s="35">
        <f t="shared" si="69"/>
        <v>45618</v>
      </c>
      <c r="C331" s="3">
        <v>525.52</v>
      </c>
      <c r="E331" s="7">
        <v>100</v>
      </c>
      <c r="F331" s="3">
        <v>7168.38</v>
      </c>
      <c r="G331" s="7">
        <v>81.02</v>
      </c>
      <c r="H331" s="5">
        <v>0.2986111111111111</v>
      </c>
      <c r="I331" s="5">
        <v>0.75</v>
      </c>
      <c r="J331" s="7">
        <f t="shared" si="68"/>
        <v>10.833333333333334</v>
      </c>
      <c r="Q331" s="37" t="s">
        <v>205</v>
      </c>
      <c r="S331" s="21">
        <f>C331</f>
        <v>525.52</v>
      </c>
      <c r="T331" s="6">
        <f t="shared" si="61"/>
        <v>8628.5</v>
      </c>
      <c r="U331" s="6" t="e">
        <f t="shared" si="62"/>
        <v>#REF!</v>
      </c>
      <c r="V331" s="13">
        <f t="shared" si="63"/>
        <v>10.833333333333334</v>
      </c>
      <c r="W331" s="13">
        <f t="shared" si="64"/>
        <v>228.83333333333337</v>
      </c>
      <c r="X331" s="13">
        <f t="shared" si="65"/>
        <v>3828.5333333333324</v>
      </c>
      <c r="Y331" s="6">
        <f t="shared" si="66"/>
        <v>100</v>
      </c>
      <c r="Z331" s="13" t="e">
        <f>IF(MONTH($A331)=MONTH($A330),AVERAGE($Y$6:Y331),Y331)</f>
        <v>#REF!</v>
      </c>
      <c r="AA331" s="13" t="e">
        <f>IF(YEAR($A331)=YEAR($A330),AVERAGE($Y$5:Y331,Y331),Y331)</f>
        <v>#REF!</v>
      </c>
      <c r="AB331" s="13">
        <f t="shared" si="67"/>
        <v>81.02</v>
      </c>
      <c r="AC331" s="13" t="e">
        <f>IF(MONTH($A331)=MONTH($A330),AVERAGE($AB$5:AB331),AB331)</f>
        <v>#REF!</v>
      </c>
      <c r="AD331" s="13" t="e">
        <f>IF(YEAR($A331)=YEAR($A330),AVERAGE($AB$5:AB330,AB331),AB331)</f>
        <v>#REF!</v>
      </c>
    </row>
    <row r="332" spans="1:30">
      <c r="A332" s="35">
        <f t="shared" si="69"/>
        <v>45619</v>
      </c>
      <c r="C332" s="3">
        <v>218.74</v>
      </c>
      <c r="E332" s="7">
        <v>100</v>
      </c>
      <c r="F332" s="3">
        <v>2735.51</v>
      </c>
      <c r="G332" s="7">
        <v>88.29</v>
      </c>
      <c r="H332" s="5">
        <v>0.30555555555555558</v>
      </c>
      <c r="I332" s="5">
        <v>0.74305555555555558</v>
      </c>
      <c r="J332" s="7">
        <f t="shared" si="68"/>
        <v>10.5</v>
      </c>
      <c r="Q332" s="37" t="s">
        <v>206</v>
      </c>
      <c r="S332" s="21">
        <f t="shared" si="60"/>
        <v>218.74</v>
      </c>
      <c r="T332" s="6">
        <f t="shared" si="61"/>
        <v>8847.24</v>
      </c>
      <c r="U332" s="6" t="e">
        <f t="shared" si="62"/>
        <v>#REF!</v>
      </c>
      <c r="V332" s="13">
        <f t="shared" si="63"/>
        <v>10.5</v>
      </c>
      <c r="W332" s="13">
        <f t="shared" si="64"/>
        <v>239.33333333333337</v>
      </c>
      <c r="X332" s="13">
        <f t="shared" si="65"/>
        <v>3839.0333333333324</v>
      </c>
      <c r="Y332" s="6">
        <f t="shared" si="66"/>
        <v>100</v>
      </c>
      <c r="Z332" s="13" t="e">
        <f>IF(MONTH($A332)=MONTH($A331),AVERAGE($Y$6:Y332),Y332)</f>
        <v>#REF!</v>
      </c>
      <c r="AA332" s="13" t="e">
        <f>IF(YEAR($A332)=YEAR($A331),AVERAGE($Y$5:Y332,Y332),Y332)</f>
        <v>#REF!</v>
      </c>
      <c r="AB332" s="13">
        <f t="shared" si="67"/>
        <v>88.29</v>
      </c>
      <c r="AC332" s="13" t="e">
        <f>IF(MONTH($A332)=MONTH($A331),AVERAGE($AB$5:AB332),AB332)</f>
        <v>#REF!</v>
      </c>
      <c r="AD332" s="13" t="e">
        <f>IF(YEAR($A332)=YEAR($A331),AVERAGE($AB$5:AB331,AB332),AB332)</f>
        <v>#REF!</v>
      </c>
    </row>
    <row r="333" spans="1:30">
      <c r="A333" s="35">
        <f t="shared" si="69"/>
        <v>45620</v>
      </c>
      <c r="C333" s="3">
        <v>255.48</v>
      </c>
      <c r="E333" s="7">
        <v>100</v>
      </c>
      <c r="F333" s="3">
        <v>3177.17</v>
      </c>
      <c r="G333" s="7">
        <v>88.8</v>
      </c>
      <c r="H333" s="5">
        <v>0.30902777777777779</v>
      </c>
      <c r="I333" s="5">
        <v>0.72916666666666663</v>
      </c>
      <c r="J333" s="7">
        <f t="shared" si="68"/>
        <v>10.083333333333332</v>
      </c>
      <c r="L333" s="4"/>
      <c r="N333" s="4"/>
      <c r="O333" s="4"/>
      <c r="P333" s="4"/>
      <c r="Q333" s="37" t="s">
        <v>206</v>
      </c>
      <c r="S333" s="21">
        <f t="shared" si="60"/>
        <v>255.48</v>
      </c>
      <c r="T333" s="6">
        <f t="shared" si="61"/>
        <v>9102.7199999999993</v>
      </c>
      <c r="U333" s="6" t="e">
        <f t="shared" si="62"/>
        <v>#REF!</v>
      </c>
      <c r="V333" s="13">
        <f t="shared" si="63"/>
        <v>10.083333333333332</v>
      </c>
      <c r="W333" s="13">
        <f t="shared" si="64"/>
        <v>249.41666666666671</v>
      </c>
      <c r="X333" s="13">
        <f t="shared" si="65"/>
        <v>3849.1166666666659</v>
      </c>
      <c r="Y333" s="6">
        <f t="shared" si="66"/>
        <v>100</v>
      </c>
      <c r="Z333" s="13" t="e">
        <f>IF(MONTH($A333)=MONTH($A332),AVERAGE($Y$6:Y333),Y333)</f>
        <v>#REF!</v>
      </c>
      <c r="AA333" s="13" t="e">
        <f>IF(YEAR($A333)=YEAR($A332),AVERAGE($Y$5:Y333,Y333),Y333)</f>
        <v>#REF!</v>
      </c>
      <c r="AB333" s="13">
        <f t="shared" si="67"/>
        <v>88.8</v>
      </c>
      <c r="AC333" s="13" t="e">
        <f>IF(MONTH($A333)=MONTH($A332),AVERAGE($AB$5:AB333),AB333)</f>
        <v>#REF!</v>
      </c>
      <c r="AD333" s="13" t="e">
        <f>IF(YEAR($A333)=YEAR($A332),AVERAGE($AB$5:AB332,AB333),AB333)</f>
        <v>#REF!</v>
      </c>
    </row>
    <row r="334" spans="1:30">
      <c r="A334" s="35">
        <f t="shared" si="69"/>
        <v>45621</v>
      </c>
      <c r="C334" s="3">
        <v>304.29000000000002</v>
      </c>
      <c r="E334" s="7">
        <v>100</v>
      </c>
      <c r="F334" s="3">
        <v>3721.75</v>
      </c>
      <c r="G334" s="7">
        <v>90.29</v>
      </c>
      <c r="H334" s="5">
        <v>0.2986111111111111</v>
      </c>
      <c r="I334" s="5">
        <v>0.71180555555555547</v>
      </c>
      <c r="J334" s="7">
        <f t="shared" si="68"/>
        <v>9.9166666666666643</v>
      </c>
      <c r="Q334" s="37" t="s">
        <v>207</v>
      </c>
      <c r="S334" s="21">
        <f t="shared" si="60"/>
        <v>304.29000000000002</v>
      </c>
      <c r="T334" s="6">
        <f t="shared" si="61"/>
        <v>9407.01</v>
      </c>
      <c r="U334" s="6" t="e">
        <f t="shared" si="62"/>
        <v>#REF!</v>
      </c>
      <c r="V334" s="13">
        <f t="shared" si="63"/>
        <v>9.9166666666666643</v>
      </c>
      <c r="W334" s="13">
        <f t="shared" si="64"/>
        <v>259.33333333333337</v>
      </c>
      <c r="X334" s="13">
        <f t="shared" si="65"/>
        <v>3859.0333333333324</v>
      </c>
      <c r="Y334" s="6">
        <f t="shared" si="66"/>
        <v>100</v>
      </c>
      <c r="Z334" s="13" t="e">
        <f>IF(MONTH($A334)=MONTH($A333),AVERAGE($Y$6:Y334),Y334)</f>
        <v>#REF!</v>
      </c>
      <c r="AA334" s="13" t="e">
        <f>IF(YEAR($A334)=YEAR($A333),AVERAGE($Y$5:Y334,Y334),Y334)</f>
        <v>#REF!</v>
      </c>
      <c r="AB334" s="13">
        <f t="shared" si="67"/>
        <v>90.29</v>
      </c>
      <c r="AC334" s="13" t="e">
        <f>IF(MONTH($A334)=MONTH($A333),AVERAGE($AB$5:AB334),AB334)</f>
        <v>#REF!</v>
      </c>
      <c r="AD334" s="13" t="e">
        <f>IF(YEAR($A334)=YEAR($A333),AVERAGE($AB$5:AB333,AB334),AB334)</f>
        <v>#REF!</v>
      </c>
    </row>
    <row r="335" spans="1:30">
      <c r="A335" s="35">
        <f t="shared" si="69"/>
        <v>45622</v>
      </c>
      <c r="C335" s="3">
        <v>291.04500000000002</v>
      </c>
      <c r="E335" s="7">
        <v>100</v>
      </c>
      <c r="F335" s="3">
        <v>3573.2</v>
      </c>
      <c r="G335" s="7">
        <v>89.98</v>
      </c>
      <c r="H335" s="5">
        <v>0.30902777777777779</v>
      </c>
      <c r="I335" s="5">
        <v>0.73958333333333337</v>
      </c>
      <c r="J335" s="7">
        <f t="shared" si="68"/>
        <v>10.333333333333334</v>
      </c>
      <c r="P335" s="4"/>
      <c r="Q335" s="37" t="s">
        <v>208</v>
      </c>
      <c r="S335" s="21">
        <f t="shared" si="60"/>
        <v>291.04500000000002</v>
      </c>
      <c r="T335" s="6">
        <f t="shared" si="61"/>
        <v>9698.0550000000003</v>
      </c>
      <c r="U335" s="6" t="e">
        <f t="shared" si="62"/>
        <v>#REF!</v>
      </c>
      <c r="V335" s="13">
        <f t="shared" si="63"/>
        <v>10.333333333333334</v>
      </c>
      <c r="W335" s="13">
        <f t="shared" si="64"/>
        <v>269.66666666666669</v>
      </c>
      <c r="X335" s="13">
        <f t="shared" si="65"/>
        <v>3869.3666666666659</v>
      </c>
      <c r="Y335" s="6">
        <f t="shared" si="66"/>
        <v>100</v>
      </c>
      <c r="Z335" s="13" t="e">
        <f>IF(MONTH($A335)=MONTH($A334),AVERAGE($Y$6:Y335),Y335)</f>
        <v>#REF!</v>
      </c>
      <c r="AA335" s="13" t="e">
        <f>IF(YEAR($A335)=YEAR($A334),AVERAGE($Y$5:Y335,Y335),Y335)</f>
        <v>#REF!</v>
      </c>
      <c r="AB335" s="13">
        <f t="shared" si="67"/>
        <v>89.98</v>
      </c>
      <c r="AC335" s="13" t="e">
        <f>IF(MONTH($A335)=MONTH($A334),AVERAGE($AB$5:AB335),AB335)</f>
        <v>#REF!</v>
      </c>
      <c r="AD335" s="13" t="e">
        <f>IF(YEAR($A335)=YEAR($A334),AVERAGE($AB$5:AB334,AB335),AB335)</f>
        <v>#REF!</v>
      </c>
    </row>
    <row r="336" spans="1:30" ht="90">
      <c r="A336" s="35">
        <f t="shared" si="69"/>
        <v>45623</v>
      </c>
      <c r="C336" s="3">
        <v>243.13</v>
      </c>
      <c r="E336" s="7">
        <v>99.1</v>
      </c>
      <c r="F336" s="3">
        <v>3032.4</v>
      </c>
      <c r="G336" s="7">
        <v>88.62</v>
      </c>
      <c r="H336" s="5">
        <v>0.30208333333333331</v>
      </c>
      <c r="I336" s="5">
        <v>0.73611111111111116</v>
      </c>
      <c r="J336" s="7">
        <f t="shared" si="68"/>
        <v>10.416666666666668</v>
      </c>
      <c r="M336" s="89">
        <f>2/18</f>
        <v>0.1111111111111111</v>
      </c>
      <c r="P336" s="4"/>
      <c r="Q336" s="37" t="s">
        <v>209</v>
      </c>
      <c r="S336" s="21">
        <f t="shared" si="60"/>
        <v>243.13</v>
      </c>
      <c r="T336" s="6">
        <f t="shared" si="61"/>
        <v>9941.1849999999995</v>
      </c>
      <c r="U336" s="6" t="e">
        <f t="shared" si="62"/>
        <v>#REF!</v>
      </c>
      <c r="V336" s="13">
        <f t="shared" si="63"/>
        <v>10.416666666666668</v>
      </c>
      <c r="W336" s="13">
        <f t="shared" si="64"/>
        <v>280.08333333333337</v>
      </c>
      <c r="X336" s="13">
        <f t="shared" si="65"/>
        <v>3879.7833333333324</v>
      </c>
      <c r="Y336" s="6">
        <f t="shared" si="66"/>
        <v>99.1</v>
      </c>
      <c r="Z336" s="13" t="e">
        <f>IF(MONTH($A336)=MONTH($A335),AVERAGE($Y$6:Y336),Y336)</f>
        <v>#REF!</v>
      </c>
      <c r="AA336" s="13" t="e">
        <f>IF(YEAR($A336)=YEAR($A335),AVERAGE($Y$5:Y336,Y336),Y336)</f>
        <v>#REF!</v>
      </c>
      <c r="AB336" s="13">
        <f t="shared" si="67"/>
        <v>88.62</v>
      </c>
      <c r="AC336" s="13" t="e">
        <f>IF(MONTH($A336)=MONTH($A335),AVERAGE($AB$5:AB336),AB336)</f>
        <v>#REF!</v>
      </c>
      <c r="AD336" s="13" t="e">
        <f>IF(YEAR($A336)=YEAR($A335),AVERAGE($AB$5:AB335,AB336),AB336)</f>
        <v>#REF!</v>
      </c>
    </row>
    <row r="337" spans="1:30" ht="45">
      <c r="A337" s="35">
        <f t="shared" si="69"/>
        <v>45624</v>
      </c>
      <c r="C337" s="3">
        <v>337.58</v>
      </c>
      <c r="E337" s="7">
        <v>100</v>
      </c>
      <c r="F337" s="3">
        <v>4278.91</v>
      </c>
      <c r="G337" s="7">
        <v>87.17</v>
      </c>
      <c r="H337" s="5">
        <v>0.30208333333333331</v>
      </c>
      <c r="I337" s="5">
        <v>0.71527777777777779</v>
      </c>
      <c r="J337" s="7">
        <f t="shared" si="68"/>
        <v>9.9166666666666679</v>
      </c>
      <c r="Q337" s="37" t="s">
        <v>210</v>
      </c>
      <c r="S337" s="21">
        <f t="shared" si="60"/>
        <v>337.58</v>
      </c>
      <c r="T337" s="6">
        <f t="shared" si="61"/>
        <v>10278.764999999999</v>
      </c>
      <c r="U337" s="6" t="e">
        <f t="shared" si="62"/>
        <v>#REF!</v>
      </c>
      <c r="V337" s="13">
        <f t="shared" si="63"/>
        <v>9.9166666666666679</v>
      </c>
      <c r="W337" s="13">
        <f t="shared" si="64"/>
        <v>290.00000000000006</v>
      </c>
      <c r="X337" s="13">
        <f t="shared" si="65"/>
        <v>3889.6999999999989</v>
      </c>
      <c r="Y337" s="6">
        <f t="shared" si="66"/>
        <v>100</v>
      </c>
      <c r="Z337" s="13" t="e">
        <f>IF(MONTH($A337)=MONTH($A336),AVERAGE($Y$6:Y337),Y337)</f>
        <v>#REF!</v>
      </c>
      <c r="AA337" s="13" t="e">
        <f>IF(YEAR($A337)=YEAR($A336),AVERAGE($Y$5:Y337,Y337),Y337)</f>
        <v>#REF!</v>
      </c>
      <c r="AB337" s="13">
        <f t="shared" si="67"/>
        <v>87.17</v>
      </c>
      <c r="AC337" s="13" t="e">
        <f>IF(MONTH($A337)=MONTH($A336),AVERAGE($AB$5:AB337),AB337)</f>
        <v>#REF!</v>
      </c>
      <c r="AD337" s="13" t="e">
        <f>IF(YEAR($A337)=YEAR($A336),AVERAGE($AB$5:AB336,AB337),AB337)</f>
        <v>#REF!</v>
      </c>
    </row>
    <row r="338" spans="1:30" ht="45">
      <c r="A338" s="35">
        <f t="shared" si="69"/>
        <v>45625</v>
      </c>
      <c r="C338" s="3">
        <v>287.95</v>
      </c>
      <c r="E338" s="7">
        <v>100</v>
      </c>
      <c r="F338" s="3">
        <v>3588.61</v>
      </c>
      <c r="G338" s="7">
        <v>88.61</v>
      </c>
      <c r="H338" s="5">
        <v>0.30208333333333331</v>
      </c>
      <c r="I338" s="5">
        <v>0.73611111111111116</v>
      </c>
      <c r="J338" s="7">
        <f t="shared" si="68"/>
        <v>10.416666666666668</v>
      </c>
      <c r="L338" s="4"/>
      <c r="Q338" s="37" t="s">
        <v>211</v>
      </c>
      <c r="S338" s="21">
        <f t="shared" ref="S338:S401" si="70">C338</f>
        <v>287.95</v>
      </c>
      <c r="T338" s="6">
        <f t="shared" ref="T338:T401" si="71">IF(MONTH($A338)=MONTH($A337),T337+S338,S338)</f>
        <v>10566.715</v>
      </c>
      <c r="U338" s="6" t="e">
        <f t="shared" ref="U338:U401" si="72">IF(YEAR($A338)=YEAR($A337),U337+S338,S338)</f>
        <v>#REF!</v>
      </c>
      <c r="V338" s="13">
        <f t="shared" ref="V338:V401" si="73">J338</f>
        <v>10.416666666666668</v>
      </c>
      <c r="W338" s="13">
        <f t="shared" ref="W338:W401" si="74">IF(MONTH($A338)=MONTH($A337),W337+V338,V338)</f>
        <v>300.41666666666674</v>
      </c>
      <c r="X338" s="13">
        <f t="shared" ref="X338:X401" si="75">IF(YEAR($A338)=YEAR($A337),X337+V338,V338)</f>
        <v>3900.1166666666654</v>
      </c>
      <c r="Y338" s="6">
        <f t="shared" ref="Y338:Y401" si="76">E338</f>
        <v>100</v>
      </c>
      <c r="Z338" s="13" t="e">
        <f>IF(MONTH($A338)=MONTH($A337),AVERAGE($Y$6:Y338),Y338)</f>
        <v>#REF!</v>
      </c>
      <c r="AA338" s="13" t="e">
        <f>IF(YEAR($A338)=YEAR($A337),AVERAGE($Y$5:Y338,Y338),Y338)</f>
        <v>#REF!</v>
      </c>
      <c r="AB338" s="13">
        <f t="shared" ref="AB338:AB401" si="77">G338</f>
        <v>88.61</v>
      </c>
      <c r="AC338" s="13" t="e">
        <f>IF(MONTH($A338)=MONTH($A337),AVERAGE($AB$5:AB338),AB338)</f>
        <v>#REF!</v>
      </c>
      <c r="AD338" s="13" t="e">
        <f>IF(YEAR($A338)=YEAR($A337),AVERAGE($AB$5:AB337,AB338),AB338)</f>
        <v>#REF!</v>
      </c>
    </row>
    <row r="339" spans="1:30">
      <c r="A339" s="35">
        <f t="shared" si="69"/>
        <v>45626</v>
      </c>
      <c r="C339" s="3">
        <v>467.45</v>
      </c>
      <c r="E339" s="7">
        <v>100</v>
      </c>
      <c r="F339" s="3">
        <v>6244.55</v>
      </c>
      <c r="G339" s="7">
        <v>82.73</v>
      </c>
      <c r="H339" s="5">
        <v>0.30555555555555552</v>
      </c>
      <c r="I339" s="5">
        <v>0.72569444444444453</v>
      </c>
      <c r="J339" s="7">
        <f t="shared" si="68"/>
        <v>10.083333333333336</v>
      </c>
      <c r="L339" s="4"/>
      <c r="Q339" s="84" t="s">
        <v>212</v>
      </c>
      <c r="S339" s="21">
        <f t="shared" si="70"/>
        <v>467.45</v>
      </c>
      <c r="T339" s="6">
        <f t="shared" si="71"/>
        <v>11034.165000000001</v>
      </c>
      <c r="U339" s="6" t="e">
        <f t="shared" si="72"/>
        <v>#REF!</v>
      </c>
      <c r="V339" s="13">
        <f t="shared" si="73"/>
        <v>10.083333333333336</v>
      </c>
      <c r="W339" s="13">
        <f t="shared" si="74"/>
        <v>310.50000000000006</v>
      </c>
      <c r="X339" s="13">
        <f t="shared" si="75"/>
        <v>3910.1999999999989</v>
      </c>
      <c r="Y339" s="6">
        <f t="shared" si="76"/>
        <v>100</v>
      </c>
      <c r="Z339" s="13" t="e">
        <f>IF(MONTH($A339)=MONTH($A338),AVERAGE($Y$6:Y339),Y339)</f>
        <v>#REF!</v>
      </c>
      <c r="AA339" s="13" t="e">
        <f>IF(YEAR($A339)=YEAR($A338),AVERAGE($Y$5:Y339,Y339),Y339)</f>
        <v>#REF!</v>
      </c>
      <c r="AB339" s="13">
        <f t="shared" si="77"/>
        <v>82.73</v>
      </c>
      <c r="AC339" s="13" t="e">
        <f>IF(MONTH($A339)=MONTH($A338),AVERAGE($AB$5:AB339),AB339)</f>
        <v>#REF!</v>
      </c>
      <c r="AD339" s="13" t="e">
        <f>IF(YEAR($A339)=YEAR($A338),AVERAGE($AB$5:AB338,AB339),AB339)</f>
        <v>#REF!</v>
      </c>
    </row>
    <row r="340" spans="1:30">
      <c r="A340" s="35">
        <f t="shared" si="69"/>
        <v>45627</v>
      </c>
      <c r="C340" s="3">
        <v>495.41</v>
      </c>
      <c r="E340" s="7">
        <v>100</v>
      </c>
      <c r="F340" s="3">
        <v>6693.28</v>
      </c>
      <c r="G340" s="7">
        <v>81.760000000000005</v>
      </c>
      <c r="H340" s="5">
        <v>0.30902777777777779</v>
      </c>
      <c r="I340" s="5">
        <v>0.73958333333333337</v>
      </c>
      <c r="J340" s="7">
        <f t="shared" si="68"/>
        <v>10.333333333333334</v>
      </c>
      <c r="Q340" s="84" t="s">
        <v>212</v>
      </c>
      <c r="S340" s="21">
        <f t="shared" si="70"/>
        <v>495.41</v>
      </c>
      <c r="T340" s="6">
        <f t="shared" si="71"/>
        <v>495.41</v>
      </c>
      <c r="U340" s="6" t="e">
        <f t="shared" si="72"/>
        <v>#REF!</v>
      </c>
      <c r="V340" s="13">
        <f t="shared" si="73"/>
        <v>10.333333333333334</v>
      </c>
      <c r="W340" s="13">
        <f t="shared" si="74"/>
        <v>10.333333333333334</v>
      </c>
      <c r="X340" s="13">
        <f t="shared" si="75"/>
        <v>3920.5333333333324</v>
      </c>
      <c r="Y340" s="6">
        <f t="shared" si="76"/>
        <v>100</v>
      </c>
      <c r="Z340" s="13">
        <f>IF(MONTH($A340)=MONTH($A339),AVERAGE($Y$6:Y340),Y340)</f>
        <v>100</v>
      </c>
      <c r="AA340" s="13" t="e">
        <f>IF(YEAR($A340)=YEAR($A339),AVERAGE($Y$5:Y340,Y340),Y340)</f>
        <v>#REF!</v>
      </c>
      <c r="AB340" s="13">
        <f t="shared" si="77"/>
        <v>81.760000000000005</v>
      </c>
      <c r="AC340" s="13">
        <f>IF(MONTH($A340)=MONTH($A339),AVERAGE($AB$5:AB340),AB340)</f>
        <v>81.760000000000005</v>
      </c>
      <c r="AD340" s="13" t="e">
        <f>IF(YEAR($A340)=YEAR($A339),AVERAGE($AB$5:AB339,AB340),AB340)</f>
        <v>#REF!</v>
      </c>
    </row>
    <row r="341" spans="1:30" ht="30">
      <c r="A341" s="35">
        <f t="shared" si="69"/>
        <v>45628</v>
      </c>
      <c r="C341" s="3">
        <v>472.31</v>
      </c>
      <c r="E341" s="7">
        <v>99.64</v>
      </c>
      <c r="F341" s="3">
        <v>6400.67</v>
      </c>
      <c r="G341" s="7">
        <v>81.53</v>
      </c>
      <c r="H341" s="5">
        <v>0.30555555555555552</v>
      </c>
      <c r="I341" s="5">
        <v>0.73611111111111116</v>
      </c>
      <c r="J341" s="7">
        <f t="shared" si="68"/>
        <v>10.333333333333336</v>
      </c>
      <c r="M341" s="89">
        <f>0.75/18</f>
        <v>4.1666666666666664E-2</v>
      </c>
      <c r="Q341" s="84" t="s">
        <v>213</v>
      </c>
      <c r="S341" s="21">
        <f t="shared" si="70"/>
        <v>472.31</v>
      </c>
      <c r="T341" s="6">
        <f t="shared" si="71"/>
        <v>967.72</v>
      </c>
      <c r="U341" s="6" t="e">
        <f t="shared" si="72"/>
        <v>#REF!</v>
      </c>
      <c r="V341" s="13">
        <f t="shared" si="73"/>
        <v>10.333333333333336</v>
      </c>
      <c r="W341" s="13">
        <f t="shared" si="74"/>
        <v>20.666666666666671</v>
      </c>
      <c r="X341" s="13">
        <f t="shared" si="75"/>
        <v>3930.8666666666659</v>
      </c>
      <c r="Y341" s="6">
        <f t="shared" si="76"/>
        <v>99.64</v>
      </c>
      <c r="Z341" s="13" t="e">
        <f>IF(MONTH($A341)=MONTH($A340),AVERAGE($Y$6:Y341),Y341)</f>
        <v>#REF!</v>
      </c>
      <c r="AA341" s="13" t="e">
        <f>IF(YEAR($A341)=YEAR($A340),AVERAGE($Y$5:Y341,Y341),Y341)</f>
        <v>#REF!</v>
      </c>
      <c r="AB341" s="13">
        <f t="shared" si="77"/>
        <v>81.53</v>
      </c>
      <c r="AC341" s="13" t="e">
        <f>IF(MONTH($A341)=MONTH($A340),AVERAGE($AB$5:AB341),AB341)</f>
        <v>#REF!</v>
      </c>
      <c r="AD341" s="13" t="e">
        <f>IF(YEAR($A341)=YEAR($A340),AVERAGE($AB$5:AB340,AB341),AB341)</f>
        <v>#REF!</v>
      </c>
    </row>
    <row r="342" spans="1:30">
      <c r="A342" s="35">
        <f t="shared" si="69"/>
        <v>45629</v>
      </c>
      <c r="C342" s="3">
        <v>460.68</v>
      </c>
      <c r="E342" s="7">
        <v>100</v>
      </c>
      <c r="F342" s="3">
        <v>6203.49</v>
      </c>
      <c r="G342" s="7">
        <v>81.78</v>
      </c>
      <c r="H342" s="5">
        <v>0.30208333333333331</v>
      </c>
      <c r="I342" s="5">
        <v>0.73958333333333337</v>
      </c>
      <c r="J342" s="7">
        <f t="shared" si="68"/>
        <v>10.500000000000002</v>
      </c>
      <c r="Q342" s="98" t="s">
        <v>212</v>
      </c>
      <c r="S342" s="21">
        <f t="shared" si="70"/>
        <v>460.68</v>
      </c>
      <c r="T342" s="6">
        <f t="shared" si="71"/>
        <v>1428.4</v>
      </c>
      <c r="U342" s="6" t="e">
        <f t="shared" si="72"/>
        <v>#REF!</v>
      </c>
      <c r="V342" s="13">
        <f t="shared" si="73"/>
        <v>10.500000000000002</v>
      </c>
      <c r="W342" s="13">
        <f t="shared" si="74"/>
        <v>31.166666666666671</v>
      </c>
      <c r="X342" s="13">
        <f t="shared" si="75"/>
        <v>3941.3666666666659</v>
      </c>
      <c r="Y342" s="6">
        <f t="shared" si="76"/>
        <v>100</v>
      </c>
      <c r="Z342" s="13" t="e">
        <f>IF(MONTH($A342)=MONTH($A341),AVERAGE($Y$6:Y342),Y342)</f>
        <v>#REF!</v>
      </c>
      <c r="AA342" s="13" t="e">
        <f>IF(YEAR($A342)=YEAR($A341),AVERAGE($Y$5:Y342,Y342),Y342)</f>
        <v>#REF!</v>
      </c>
      <c r="AB342" s="13">
        <f t="shared" si="77"/>
        <v>81.78</v>
      </c>
      <c r="AC342" s="13" t="e">
        <f>IF(MONTH($A342)=MONTH($A341),AVERAGE($AB$5:AB342),AB342)</f>
        <v>#REF!</v>
      </c>
      <c r="AD342" s="13" t="e">
        <f>IF(YEAR($A342)=YEAR($A341),AVERAGE($AB$5:AB341,AB342),AB342)</f>
        <v>#REF!</v>
      </c>
    </row>
    <row r="343" spans="1:30" ht="60">
      <c r="A343" s="35">
        <f t="shared" si="69"/>
        <v>45630</v>
      </c>
      <c r="C343" s="3">
        <v>194.34</v>
      </c>
      <c r="E343" s="7">
        <v>100</v>
      </c>
      <c r="F343" s="3">
        <v>2266.65</v>
      </c>
      <c r="G343" s="7">
        <v>94.65</v>
      </c>
      <c r="H343" s="5">
        <v>0.30555555555555552</v>
      </c>
      <c r="I343" s="5">
        <v>0.72569444444444453</v>
      </c>
      <c r="J343" s="7">
        <f t="shared" si="68"/>
        <v>10.083333333333336</v>
      </c>
      <c r="Q343" s="84" t="s">
        <v>214</v>
      </c>
      <c r="S343" s="21">
        <f t="shared" si="70"/>
        <v>194.34</v>
      </c>
      <c r="T343" s="6">
        <f t="shared" si="71"/>
        <v>1622.74</v>
      </c>
      <c r="U343" s="6" t="e">
        <f t="shared" si="72"/>
        <v>#REF!</v>
      </c>
      <c r="V343" s="13">
        <f t="shared" si="73"/>
        <v>10.083333333333336</v>
      </c>
      <c r="W343" s="13">
        <f t="shared" si="74"/>
        <v>41.250000000000007</v>
      </c>
      <c r="X343" s="13">
        <f t="shared" si="75"/>
        <v>3951.4499999999994</v>
      </c>
      <c r="Y343" s="6">
        <f t="shared" si="76"/>
        <v>100</v>
      </c>
      <c r="Z343" s="13" t="e">
        <f>IF(MONTH($A343)=MONTH($A342),AVERAGE($Y$6:Y343),Y343)</f>
        <v>#REF!</v>
      </c>
      <c r="AA343" s="13" t="e">
        <f>IF(YEAR($A343)=YEAR($A342),AVERAGE($Y$5:Y343,Y343),Y343)</f>
        <v>#REF!</v>
      </c>
      <c r="AB343" s="13">
        <f t="shared" si="77"/>
        <v>94.65</v>
      </c>
      <c r="AC343" s="13" t="e">
        <f>IF(MONTH($A343)=MONTH($A342),AVERAGE($AB$5:AB343),AB343)</f>
        <v>#REF!</v>
      </c>
      <c r="AD343" s="13" t="e">
        <f>IF(YEAR($A343)=YEAR($A342),AVERAGE($AB$5:AB342,AB343),AB343)</f>
        <v>#REF!</v>
      </c>
    </row>
    <row r="344" spans="1:30" ht="30">
      <c r="A344" s="35">
        <f t="shared" si="69"/>
        <v>45631</v>
      </c>
      <c r="C344" s="3">
        <v>432.55</v>
      </c>
      <c r="E344" s="7">
        <v>99.85</v>
      </c>
      <c r="F344" s="3">
        <v>5654.35</v>
      </c>
      <c r="G344" s="7">
        <v>84.52</v>
      </c>
      <c r="H344" s="5">
        <v>0.30555555555555552</v>
      </c>
      <c r="I344" s="5">
        <v>0.75</v>
      </c>
      <c r="J344" s="7">
        <f t="shared" si="68"/>
        <v>10.666666666666668</v>
      </c>
      <c r="Q344" s="84" t="s">
        <v>215</v>
      </c>
      <c r="S344" s="21">
        <f t="shared" si="70"/>
        <v>432.55</v>
      </c>
      <c r="T344" s="6">
        <f t="shared" si="71"/>
        <v>2055.29</v>
      </c>
      <c r="U344" s="6" t="e">
        <f t="shared" si="72"/>
        <v>#REF!</v>
      </c>
      <c r="V344" s="13">
        <f t="shared" si="73"/>
        <v>10.666666666666668</v>
      </c>
      <c r="W344" s="13">
        <f t="shared" si="74"/>
        <v>51.916666666666671</v>
      </c>
      <c r="X344" s="13">
        <f t="shared" si="75"/>
        <v>3962.1166666666659</v>
      </c>
      <c r="Y344" s="6">
        <f t="shared" si="76"/>
        <v>99.85</v>
      </c>
      <c r="Z344" s="13" t="e">
        <f>IF(MONTH($A344)=MONTH($A343),AVERAGE($Y$6:Y344),Y344)</f>
        <v>#REF!</v>
      </c>
      <c r="AA344" s="13" t="e">
        <f>IF(YEAR($A344)=YEAR($A343),AVERAGE($Y$5:Y344,Y344),Y344)</f>
        <v>#REF!</v>
      </c>
      <c r="AB344" s="13">
        <f t="shared" si="77"/>
        <v>84.52</v>
      </c>
      <c r="AC344" s="13" t="e">
        <f>IF(MONTH($A344)=MONTH($A343),AVERAGE($AB$5:AB344),AB344)</f>
        <v>#REF!</v>
      </c>
      <c r="AD344" s="13" t="e">
        <f>IF(YEAR($A344)=YEAR($A343),AVERAGE($AB$5:AB343,AB344),AB344)</f>
        <v>#REF!</v>
      </c>
    </row>
    <row r="345" spans="1:30">
      <c r="A345" s="35">
        <f t="shared" si="69"/>
        <v>45632</v>
      </c>
      <c r="C345" s="3">
        <v>494.54</v>
      </c>
      <c r="E345" s="7">
        <v>100</v>
      </c>
      <c r="F345" s="3">
        <v>6702.17</v>
      </c>
      <c r="G345" s="7">
        <v>81.540000000000006</v>
      </c>
      <c r="H345" s="5">
        <v>0.30208333333333331</v>
      </c>
      <c r="I345" s="5">
        <v>0.74652777777777779</v>
      </c>
      <c r="J345" s="7">
        <f t="shared" si="68"/>
        <v>10.666666666666668</v>
      </c>
      <c r="Q345" s="84" t="s">
        <v>216</v>
      </c>
      <c r="S345" s="21">
        <f t="shared" si="70"/>
        <v>494.54</v>
      </c>
      <c r="T345" s="6">
        <f t="shared" si="71"/>
        <v>2549.83</v>
      </c>
      <c r="U345" s="6" t="e">
        <f t="shared" si="72"/>
        <v>#REF!</v>
      </c>
      <c r="V345" s="13">
        <f t="shared" si="73"/>
        <v>10.666666666666668</v>
      </c>
      <c r="W345" s="13">
        <f t="shared" si="74"/>
        <v>62.583333333333343</v>
      </c>
      <c r="X345" s="13">
        <f t="shared" si="75"/>
        <v>3972.7833333333324</v>
      </c>
      <c r="Y345" s="6">
        <f t="shared" si="76"/>
        <v>100</v>
      </c>
      <c r="Z345" s="13" t="e">
        <f>IF(MONTH($A345)=MONTH($A344),AVERAGE($Y$6:Y345),Y345)</f>
        <v>#REF!</v>
      </c>
      <c r="AA345" s="13" t="e">
        <f>IF(YEAR($A345)=YEAR($A344),AVERAGE($Y$5:Y345,Y345),Y345)</f>
        <v>#REF!</v>
      </c>
      <c r="AB345" s="13">
        <f t="shared" si="77"/>
        <v>81.540000000000006</v>
      </c>
      <c r="AC345" s="13" t="e">
        <f>IF(MONTH($A345)=MONTH($A344),AVERAGE($AB$5:AB345),AB345)</f>
        <v>#REF!</v>
      </c>
      <c r="AD345" s="13" t="e">
        <f>IF(YEAR($A345)=YEAR($A344),AVERAGE($AB$5:AB344,AB345),AB345)</f>
        <v>#REF!</v>
      </c>
    </row>
    <row r="346" spans="1:30" ht="30">
      <c r="A346" s="35">
        <f t="shared" si="69"/>
        <v>45633</v>
      </c>
      <c r="C346" s="3">
        <v>457.99</v>
      </c>
      <c r="E346" s="7">
        <v>99.77</v>
      </c>
      <c r="F346" s="3">
        <v>6277.08</v>
      </c>
      <c r="G346" s="92">
        <v>80.61</v>
      </c>
      <c r="H346" s="5">
        <v>0.30902777777777779</v>
      </c>
      <c r="I346" s="5">
        <v>0.74305555555555547</v>
      </c>
      <c r="J346" s="7">
        <f t="shared" si="68"/>
        <v>10.416666666666664</v>
      </c>
      <c r="M346" s="89">
        <f>0.5/18</f>
        <v>2.7777777777777776E-2</v>
      </c>
      <c r="Q346" s="84" t="s">
        <v>217</v>
      </c>
      <c r="S346" s="21">
        <f t="shared" si="70"/>
        <v>457.99</v>
      </c>
      <c r="T346" s="6">
        <f t="shared" si="71"/>
        <v>3007.8199999999997</v>
      </c>
      <c r="U346" s="6" t="e">
        <f t="shared" si="72"/>
        <v>#REF!</v>
      </c>
      <c r="V346" s="13">
        <f t="shared" si="73"/>
        <v>10.416666666666664</v>
      </c>
      <c r="W346" s="13">
        <f t="shared" si="74"/>
        <v>73</v>
      </c>
      <c r="X346" s="13">
        <f t="shared" si="75"/>
        <v>3983.1999999999989</v>
      </c>
      <c r="Y346" s="6">
        <f t="shared" si="76"/>
        <v>99.77</v>
      </c>
      <c r="Z346" s="13" t="e">
        <f>IF(MONTH($A346)=MONTH($A345),AVERAGE($Y$6:Y346),Y346)</f>
        <v>#REF!</v>
      </c>
      <c r="AA346" s="13" t="e">
        <f>IF(YEAR($A346)=YEAR($A345),AVERAGE($Y$5:Y346,Y346),Y346)</f>
        <v>#REF!</v>
      </c>
      <c r="AB346" s="13">
        <f t="shared" si="77"/>
        <v>80.61</v>
      </c>
      <c r="AC346" s="13" t="e">
        <f>IF(MONTH($A346)=MONTH($A345),AVERAGE($AB$5:AB346),AB346)</f>
        <v>#REF!</v>
      </c>
      <c r="AD346" s="13" t="e">
        <f>IF(YEAR($A346)=YEAR($A345),AVERAGE($AB$5:AB345,AB346),AB346)</f>
        <v>#REF!</v>
      </c>
    </row>
    <row r="347" spans="1:30" ht="30">
      <c r="A347" s="35">
        <f t="shared" si="69"/>
        <v>45634</v>
      </c>
      <c r="C347" s="3">
        <v>453.57</v>
      </c>
      <c r="E347" s="7">
        <v>99.59</v>
      </c>
      <c r="F347" s="3">
        <v>6164.18</v>
      </c>
      <c r="G347" s="7">
        <v>81.290000000000006</v>
      </c>
      <c r="H347" s="5">
        <v>0.30902777777777779</v>
      </c>
      <c r="I347" s="5">
        <v>0.74652777777777779</v>
      </c>
      <c r="J347" s="7">
        <f t="shared" si="68"/>
        <v>10.5</v>
      </c>
      <c r="M347" s="89">
        <f>0.75/18</f>
        <v>4.1666666666666664E-2</v>
      </c>
      <c r="Q347" s="84" t="s">
        <v>217</v>
      </c>
      <c r="S347" s="21">
        <f t="shared" si="70"/>
        <v>453.57</v>
      </c>
      <c r="T347" s="6">
        <f t="shared" si="71"/>
        <v>3461.39</v>
      </c>
      <c r="U347" s="6" t="e">
        <f t="shared" si="72"/>
        <v>#REF!</v>
      </c>
      <c r="V347" s="13">
        <f t="shared" si="73"/>
        <v>10.5</v>
      </c>
      <c r="W347" s="13">
        <f t="shared" si="74"/>
        <v>83.5</v>
      </c>
      <c r="X347" s="13">
        <f t="shared" si="75"/>
        <v>3993.6999999999989</v>
      </c>
      <c r="Y347" s="6">
        <f t="shared" si="76"/>
        <v>99.59</v>
      </c>
      <c r="Z347" s="13" t="e">
        <f>IF(MONTH($A347)=MONTH($A346),AVERAGE($Y$6:Y347),Y347)</f>
        <v>#REF!</v>
      </c>
      <c r="AA347" s="13" t="e">
        <f>IF(YEAR($A347)=YEAR($A346),AVERAGE($Y$5:Y347,Y347),Y347)</f>
        <v>#REF!</v>
      </c>
      <c r="AB347" s="13">
        <f>G348</f>
        <v>83.02</v>
      </c>
      <c r="AC347" s="13" t="e">
        <f>IF(MONTH($A347)=MONTH($A346),AVERAGE($AB$5:AB347),AB347)</f>
        <v>#REF!</v>
      </c>
      <c r="AD347" s="13" t="e">
        <f>IF(YEAR($A347)=YEAR($A346),AVERAGE($AB$5:AB346,AB347),AB347)</f>
        <v>#REF!</v>
      </c>
    </row>
    <row r="348" spans="1:30" ht="30">
      <c r="A348" s="35">
        <f t="shared" si="69"/>
        <v>45635</v>
      </c>
      <c r="C348" s="3">
        <v>350.03</v>
      </c>
      <c r="E348" s="7">
        <v>99.86</v>
      </c>
      <c r="F348" s="3">
        <v>4656.8900000000003</v>
      </c>
      <c r="G348" s="7">
        <v>83.02</v>
      </c>
      <c r="H348" s="5">
        <v>0.30902777777777779</v>
      </c>
      <c r="I348" s="5">
        <v>0.75</v>
      </c>
      <c r="J348" s="7">
        <f t="shared" si="68"/>
        <v>10.583333333333332</v>
      </c>
      <c r="M348" s="89">
        <f>0.22/18</f>
        <v>1.2222222222222223E-2</v>
      </c>
      <c r="Q348" s="84" t="s">
        <v>218</v>
      </c>
      <c r="S348" s="21">
        <f t="shared" si="70"/>
        <v>350.03</v>
      </c>
      <c r="T348" s="6">
        <f t="shared" si="71"/>
        <v>3811.42</v>
      </c>
      <c r="U348" s="6" t="e">
        <f t="shared" si="72"/>
        <v>#REF!</v>
      </c>
      <c r="V348" s="13">
        <f t="shared" si="73"/>
        <v>10.583333333333332</v>
      </c>
      <c r="W348" s="13">
        <f t="shared" si="74"/>
        <v>94.083333333333329</v>
      </c>
      <c r="X348" s="13">
        <f t="shared" si="75"/>
        <v>4004.2833333333324</v>
      </c>
      <c r="Y348" s="6">
        <f t="shared" si="76"/>
        <v>99.86</v>
      </c>
      <c r="Z348" s="13" t="e">
        <f>IF(MONTH($A348)=MONTH($A347),AVERAGE($Y$6:Y348),Y348)</f>
        <v>#REF!</v>
      </c>
      <c r="AA348" s="13" t="e">
        <f>IF(YEAR($A348)=YEAR($A347),AVERAGE($Y$5:Y348,Y348),Y348)</f>
        <v>#REF!</v>
      </c>
      <c r="AB348" s="13" t="e">
        <f>#REF!</f>
        <v>#REF!</v>
      </c>
      <c r="AC348" s="13" t="e">
        <f>IF(MONTH($A348)=MONTH($A347),AVERAGE($AB$5:AB348),AB348)</f>
        <v>#REF!</v>
      </c>
      <c r="AD348" s="13" t="e">
        <f>IF(YEAR($A348)=YEAR($A347),AVERAGE($AB$5:AB347,AB348),AB348)</f>
        <v>#REF!</v>
      </c>
    </row>
    <row r="349" spans="1:30">
      <c r="A349" s="35">
        <f t="shared" si="69"/>
        <v>45636</v>
      </c>
      <c r="C349" s="3">
        <v>350.72</v>
      </c>
      <c r="E349" s="7">
        <v>100</v>
      </c>
      <c r="F349" s="3">
        <v>4636.51</v>
      </c>
      <c r="G349" s="7">
        <v>83.58</v>
      </c>
      <c r="H349" s="5">
        <v>0.30902777777777779</v>
      </c>
      <c r="I349" s="5">
        <v>0.74305555555555547</v>
      </c>
      <c r="J349" s="7">
        <f t="shared" si="68"/>
        <v>10.416666666666664</v>
      </c>
      <c r="Q349" s="102" t="s">
        <v>216</v>
      </c>
      <c r="S349" s="21">
        <f t="shared" si="70"/>
        <v>350.72</v>
      </c>
      <c r="T349" s="6">
        <f t="shared" si="71"/>
        <v>4162.1400000000003</v>
      </c>
      <c r="U349" s="6" t="e">
        <f t="shared" si="72"/>
        <v>#REF!</v>
      </c>
      <c r="V349" s="13">
        <f t="shared" si="73"/>
        <v>10.416666666666664</v>
      </c>
      <c r="W349" s="13">
        <f t="shared" si="74"/>
        <v>104.5</v>
      </c>
      <c r="X349" s="13">
        <f t="shared" si="75"/>
        <v>4014.6999999999989</v>
      </c>
      <c r="Y349" s="6">
        <f t="shared" si="76"/>
        <v>100</v>
      </c>
      <c r="Z349" s="13" t="e">
        <f>IF(MONTH($A349)=MONTH($A348),AVERAGE($Y$6:Y349),Y349)</f>
        <v>#REF!</v>
      </c>
      <c r="AA349" s="13" t="e">
        <f>IF(YEAR($A349)=YEAR($A348),AVERAGE($Y$5:Y349,Y349),Y349)</f>
        <v>#REF!</v>
      </c>
      <c r="AB349" s="13">
        <f t="shared" si="77"/>
        <v>83.58</v>
      </c>
      <c r="AC349" s="13" t="e">
        <f>IF(MONTH($A349)=MONTH($A348),AVERAGE($AB$5:AB349),AB349)</f>
        <v>#REF!</v>
      </c>
      <c r="AD349" s="13" t="e">
        <f>IF(YEAR($A349)=YEAR($A348),AVERAGE($AB$5:AB348,AB349),AB349)</f>
        <v>#REF!</v>
      </c>
    </row>
    <row r="350" spans="1:30">
      <c r="A350" s="35">
        <f t="shared" si="69"/>
        <v>45637</v>
      </c>
      <c r="C350" s="3">
        <v>508.11</v>
      </c>
      <c r="E350" s="7">
        <v>100</v>
      </c>
      <c r="F350" s="3">
        <v>6878.27</v>
      </c>
      <c r="G350" s="7">
        <v>81.599999999999994</v>
      </c>
      <c r="H350" s="5">
        <v>0.3125</v>
      </c>
      <c r="I350" s="5">
        <v>0.75</v>
      </c>
      <c r="J350" s="7">
        <f t="shared" si="68"/>
        <v>10.5</v>
      </c>
      <c r="Q350" s="84" t="s">
        <v>219</v>
      </c>
      <c r="S350" s="21">
        <f t="shared" si="70"/>
        <v>508.11</v>
      </c>
      <c r="T350" s="6">
        <f t="shared" si="71"/>
        <v>4670.25</v>
      </c>
      <c r="U350" s="6" t="e">
        <f t="shared" si="72"/>
        <v>#REF!</v>
      </c>
      <c r="V350" s="13">
        <f t="shared" si="73"/>
        <v>10.5</v>
      </c>
      <c r="W350" s="13">
        <f t="shared" si="74"/>
        <v>115</v>
      </c>
      <c r="X350" s="13">
        <f t="shared" si="75"/>
        <v>4025.1999999999989</v>
      </c>
      <c r="Y350" s="6">
        <f t="shared" si="76"/>
        <v>100</v>
      </c>
      <c r="Z350" s="13" t="e">
        <f>IF(MONTH($A350)=MONTH($A349),AVERAGE($Y$6:Y350),Y350)</f>
        <v>#REF!</v>
      </c>
      <c r="AA350" s="13" t="e">
        <f>IF(YEAR($A350)=YEAR($A349),AVERAGE($Y$5:Y350,Y350),Y350)</f>
        <v>#REF!</v>
      </c>
      <c r="AB350" s="13">
        <f t="shared" si="77"/>
        <v>81.599999999999994</v>
      </c>
      <c r="AC350" s="13" t="e">
        <f>IF(MONTH($A350)=MONTH($A349),AVERAGE($AB$5:AB350),AB350)</f>
        <v>#REF!</v>
      </c>
      <c r="AD350" s="13" t="e">
        <f>IF(YEAR($A350)=YEAR($A349),AVERAGE($AB$5:AB349,AB350),AB350)</f>
        <v>#REF!</v>
      </c>
    </row>
    <row r="351" spans="1:30">
      <c r="A351" s="35">
        <f t="shared" si="69"/>
        <v>45638</v>
      </c>
      <c r="C351" s="3">
        <v>391.46</v>
      </c>
      <c r="E351" s="7">
        <v>100</v>
      </c>
      <c r="F351" s="3">
        <v>5168.01</v>
      </c>
      <c r="G351" s="7">
        <v>83.67</v>
      </c>
      <c r="H351" s="5">
        <v>0.30902777777777779</v>
      </c>
      <c r="I351" s="5">
        <v>0.75</v>
      </c>
      <c r="J351" s="7">
        <f t="shared" si="68"/>
        <v>10.583333333333332</v>
      </c>
      <c r="Q351" s="102" t="s">
        <v>216</v>
      </c>
      <c r="S351" s="21">
        <f t="shared" si="70"/>
        <v>391.46</v>
      </c>
      <c r="T351" s="6">
        <f t="shared" si="71"/>
        <v>5061.71</v>
      </c>
      <c r="U351" s="6" t="e">
        <f t="shared" si="72"/>
        <v>#REF!</v>
      </c>
      <c r="V351" s="13">
        <f t="shared" si="73"/>
        <v>10.583333333333332</v>
      </c>
      <c r="W351" s="13">
        <f t="shared" si="74"/>
        <v>125.58333333333333</v>
      </c>
      <c r="X351" s="13">
        <f t="shared" si="75"/>
        <v>4035.7833333333324</v>
      </c>
      <c r="Y351" s="6">
        <f t="shared" si="76"/>
        <v>100</v>
      </c>
      <c r="Z351" s="13" t="e">
        <f>IF(MONTH($A351)=MONTH($A350),AVERAGE($Y$6:Y351),Y351)</f>
        <v>#REF!</v>
      </c>
      <c r="AA351" s="13" t="e">
        <f>IF(YEAR($A351)=YEAR($A350),AVERAGE($Y$5:Y351,Y351),Y351)</f>
        <v>#REF!</v>
      </c>
      <c r="AB351" s="13">
        <f t="shared" si="77"/>
        <v>83.67</v>
      </c>
      <c r="AC351" s="13" t="e">
        <f>IF(MONTH($A351)=MONTH($A350),AVERAGE($AB$5:AB351),AB351)</f>
        <v>#REF!</v>
      </c>
      <c r="AD351" s="13" t="e">
        <f>IF(YEAR($A351)=YEAR($A350),AVERAGE($AB$5:AB350,AB351),AB351)</f>
        <v>#REF!</v>
      </c>
    </row>
    <row r="352" spans="1:30" ht="30">
      <c r="A352" s="35">
        <f t="shared" si="69"/>
        <v>45639</v>
      </c>
      <c r="C352" s="3">
        <v>355.01</v>
      </c>
      <c r="E352" s="7">
        <v>99.79</v>
      </c>
      <c r="F352" s="3">
        <v>4643.8</v>
      </c>
      <c r="G352" s="7">
        <v>84.46</v>
      </c>
      <c r="H352" s="5">
        <v>0.31944444444444448</v>
      </c>
      <c r="I352" s="5">
        <v>0.74652777777777779</v>
      </c>
      <c r="J352" s="7">
        <f t="shared" si="68"/>
        <v>10.25</v>
      </c>
      <c r="M352" s="89">
        <f>0.58/18</f>
        <v>3.2222222222222222E-2</v>
      </c>
      <c r="Q352" s="84" t="s">
        <v>220</v>
      </c>
      <c r="S352" s="21">
        <f t="shared" si="70"/>
        <v>355.01</v>
      </c>
      <c r="T352" s="6">
        <f t="shared" si="71"/>
        <v>5416.72</v>
      </c>
      <c r="U352" s="6" t="e">
        <f t="shared" si="72"/>
        <v>#REF!</v>
      </c>
      <c r="V352" s="13">
        <f t="shared" si="73"/>
        <v>10.25</v>
      </c>
      <c r="W352" s="13">
        <f t="shared" si="74"/>
        <v>135.83333333333331</v>
      </c>
      <c r="X352" s="13">
        <f t="shared" si="75"/>
        <v>4046.0333333333324</v>
      </c>
      <c r="Y352" s="6">
        <f t="shared" si="76"/>
        <v>99.79</v>
      </c>
      <c r="Z352" s="13" t="e">
        <f>IF(MONTH($A352)=MONTH($A351),AVERAGE($Y$6:Y352),Y352)</f>
        <v>#REF!</v>
      </c>
      <c r="AA352" s="13" t="e">
        <f>IF(YEAR($A352)=YEAR($A351),AVERAGE($Y$5:Y352,Y352),Y352)</f>
        <v>#REF!</v>
      </c>
      <c r="AB352" s="13">
        <f t="shared" si="77"/>
        <v>84.46</v>
      </c>
      <c r="AC352" s="13" t="e">
        <f>IF(MONTH($A352)=MONTH($A351),AVERAGE($AB$5:AB352),AB352)</f>
        <v>#REF!</v>
      </c>
      <c r="AD352" s="13" t="e">
        <f>IF(YEAR($A352)=YEAR($A351),AVERAGE($AB$5:AB351,AB352),AB352)</f>
        <v>#REF!</v>
      </c>
    </row>
    <row r="353" spans="1:30" ht="30">
      <c r="A353" s="35">
        <f t="shared" si="69"/>
        <v>45640</v>
      </c>
      <c r="C353" s="3">
        <v>159.97999999999999</v>
      </c>
      <c r="E353" s="7">
        <v>99.17</v>
      </c>
      <c r="F353" s="3">
        <v>1933.57</v>
      </c>
      <c r="G353" s="7">
        <v>91.34</v>
      </c>
      <c r="H353" s="5">
        <v>0.3298611111111111</v>
      </c>
      <c r="I353" s="5">
        <v>0.75347222222222221</v>
      </c>
      <c r="J353" s="7">
        <f t="shared" si="68"/>
        <v>10.166666666666666</v>
      </c>
      <c r="M353" s="89">
        <f>1.83/18</f>
        <v>0.10166666666666667</v>
      </c>
      <c r="Q353" s="84" t="s">
        <v>221</v>
      </c>
      <c r="S353" s="21">
        <f t="shared" si="70"/>
        <v>159.97999999999999</v>
      </c>
      <c r="T353" s="6">
        <f t="shared" si="71"/>
        <v>5576.7</v>
      </c>
      <c r="U353" s="6" t="e">
        <f t="shared" si="72"/>
        <v>#REF!</v>
      </c>
      <c r="V353" s="13">
        <f t="shared" si="73"/>
        <v>10.166666666666666</v>
      </c>
      <c r="W353" s="13">
        <f t="shared" si="74"/>
        <v>145.99999999999997</v>
      </c>
      <c r="X353" s="13">
        <f t="shared" si="75"/>
        <v>4056.1999999999989</v>
      </c>
      <c r="Y353" s="6">
        <f t="shared" si="76"/>
        <v>99.17</v>
      </c>
      <c r="Z353" s="13" t="e">
        <f>IF(MONTH($A353)=MONTH($A352),AVERAGE($Y$6:Y353),Y353)</f>
        <v>#REF!</v>
      </c>
      <c r="AA353" s="13" t="e">
        <f>IF(YEAR($A353)=YEAR($A352),AVERAGE($Y$5:Y353,Y353),Y353)</f>
        <v>#REF!</v>
      </c>
      <c r="AB353" s="13">
        <f t="shared" si="77"/>
        <v>91.34</v>
      </c>
      <c r="AC353" s="13" t="e">
        <f>IF(MONTH($A353)=MONTH($A352),AVERAGE($AB$5:AB353),AB353)</f>
        <v>#REF!</v>
      </c>
      <c r="AD353" s="13" t="e">
        <f>IF(YEAR($A353)=YEAR($A352),AVERAGE($AB$5:AB352,AB353),AB353)</f>
        <v>#REF!</v>
      </c>
    </row>
    <row r="354" spans="1:30" ht="30">
      <c r="A354" s="35">
        <f t="shared" si="69"/>
        <v>45641</v>
      </c>
      <c r="C354" s="3">
        <v>413.48</v>
      </c>
      <c r="E354" s="7">
        <v>99.74</v>
      </c>
      <c r="F354" s="3">
        <v>5467.21</v>
      </c>
      <c r="G354" s="7">
        <v>83.51</v>
      </c>
      <c r="H354" s="5">
        <v>0.30555555555555552</v>
      </c>
      <c r="I354" s="5">
        <v>0.72569444444444453</v>
      </c>
      <c r="J354" s="7">
        <f t="shared" si="68"/>
        <v>10.083333333333336</v>
      </c>
      <c r="M354" s="89">
        <f>0.5/18</f>
        <v>2.7777777777777776E-2</v>
      </c>
      <c r="Q354" s="84" t="s">
        <v>222</v>
      </c>
      <c r="S354" s="21">
        <f t="shared" si="70"/>
        <v>413.48</v>
      </c>
      <c r="T354" s="6">
        <f t="shared" si="71"/>
        <v>5990.18</v>
      </c>
      <c r="U354" s="6" t="e">
        <f t="shared" si="72"/>
        <v>#REF!</v>
      </c>
      <c r="V354" s="13">
        <f t="shared" si="73"/>
        <v>10.083333333333336</v>
      </c>
      <c r="W354" s="13">
        <f t="shared" si="74"/>
        <v>156.08333333333331</v>
      </c>
      <c r="X354" s="13">
        <f t="shared" si="75"/>
        <v>4066.2833333333324</v>
      </c>
      <c r="Y354" s="6">
        <f t="shared" si="76"/>
        <v>99.74</v>
      </c>
      <c r="Z354" s="13" t="e">
        <f>IF(MONTH($A354)=MONTH($A353),AVERAGE($Y$6:Y354),Y354)</f>
        <v>#REF!</v>
      </c>
      <c r="AA354" s="13" t="e">
        <f>IF(YEAR($A354)=YEAR($A353),AVERAGE($Y$5:Y354,Y354),Y354)</f>
        <v>#REF!</v>
      </c>
      <c r="AB354" s="13">
        <f t="shared" si="77"/>
        <v>83.51</v>
      </c>
      <c r="AC354" s="13" t="e">
        <f>IF(MONTH($A354)=MONTH($A353),AVERAGE($AB$5:AB354),AB354)</f>
        <v>#REF!</v>
      </c>
      <c r="AD354" s="13" t="e">
        <f>IF(YEAR($A354)=YEAR($A353),AVERAGE($AB$5:AB353,AB354),AB354)</f>
        <v>#REF!</v>
      </c>
    </row>
    <row r="355" spans="1:30" ht="30">
      <c r="A355" s="35">
        <f t="shared" si="69"/>
        <v>45642</v>
      </c>
      <c r="C355" s="3">
        <v>377.76</v>
      </c>
      <c r="E355" s="7">
        <v>99.73</v>
      </c>
      <c r="F355" s="3">
        <v>5095.3</v>
      </c>
      <c r="G355" s="7">
        <v>81.819999999999993</v>
      </c>
      <c r="H355" s="5">
        <v>0.30902777777777779</v>
      </c>
      <c r="I355" s="5">
        <v>0.73958333333333337</v>
      </c>
      <c r="J355" s="7">
        <f t="shared" si="68"/>
        <v>10.333333333333334</v>
      </c>
      <c r="M355" s="89">
        <f>0.42/18</f>
        <v>2.3333333333333331E-2</v>
      </c>
      <c r="Q355" s="84" t="s">
        <v>223</v>
      </c>
      <c r="S355" s="21">
        <f t="shared" si="70"/>
        <v>377.76</v>
      </c>
      <c r="T355" s="6">
        <f t="shared" si="71"/>
        <v>6367.9400000000005</v>
      </c>
      <c r="U355" s="6" t="e">
        <f t="shared" si="72"/>
        <v>#REF!</v>
      </c>
      <c r="V355" s="13">
        <f t="shared" si="73"/>
        <v>10.333333333333334</v>
      </c>
      <c r="W355" s="13">
        <f t="shared" si="74"/>
        <v>166.41666666666666</v>
      </c>
      <c r="X355" s="13">
        <f t="shared" si="75"/>
        <v>4076.6166666666659</v>
      </c>
      <c r="Y355" s="6">
        <f t="shared" si="76"/>
        <v>99.73</v>
      </c>
      <c r="Z355" s="13" t="e">
        <f>IF(MONTH($A355)=MONTH($A354),AVERAGE($Y$6:Y355),Y355)</f>
        <v>#REF!</v>
      </c>
      <c r="AA355" s="13" t="e">
        <f>IF(YEAR($A355)=YEAR($A354),AVERAGE($Y$5:Y355,Y355),Y355)</f>
        <v>#REF!</v>
      </c>
      <c r="AB355" s="13">
        <f t="shared" si="77"/>
        <v>81.819999999999993</v>
      </c>
      <c r="AC355" s="13" t="e">
        <f>IF(MONTH($A355)=MONTH($A354),AVERAGE($AB$5:AB355),AB355)</f>
        <v>#REF!</v>
      </c>
      <c r="AD355" s="13" t="e">
        <f>IF(YEAR($A355)=YEAR($A354),AVERAGE($AB$5:AB354,AB355),AB355)</f>
        <v>#REF!</v>
      </c>
    </row>
    <row r="356" spans="1:30">
      <c r="A356" s="35">
        <f t="shared" si="69"/>
        <v>45643</v>
      </c>
      <c r="C356" s="3">
        <v>490.82</v>
      </c>
      <c r="E356" s="7">
        <v>100</v>
      </c>
      <c r="F356" s="3">
        <v>6638.86</v>
      </c>
      <c r="G356" s="7">
        <v>81.680000000000007</v>
      </c>
      <c r="H356" s="5">
        <v>0.31597222222222221</v>
      </c>
      <c r="I356" s="5">
        <v>0.74305555555555547</v>
      </c>
      <c r="J356" s="7">
        <f t="shared" si="68"/>
        <v>10.249999999999998</v>
      </c>
      <c r="L356" s="4"/>
      <c r="P356" s="4"/>
      <c r="Q356" s="84" t="s">
        <v>70</v>
      </c>
      <c r="S356" s="21">
        <f t="shared" si="70"/>
        <v>490.82</v>
      </c>
      <c r="T356" s="6">
        <f t="shared" si="71"/>
        <v>6858.76</v>
      </c>
      <c r="U356" s="6" t="e">
        <f t="shared" si="72"/>
        <v>#REF!</v>
      </c>
      <c r="V356" s="13">
        <f t="shared" si="73"/>
        <v>10.249999999999998</v>
      </c>
      <c r="W356" s="13">
        <f t="shared" si="74"/>
        <v>176.66666666666666</v>
      </c>
      <c r="X356" s="13">
        <f t="shared" si="75"/>
        <v>4086.8666666666659</v>
      </c>
      <c r="Y356" s="6">
        <f t="shared" si="76"/>
        <v>100</v>
      </c>
      <c r="Z356" s="13" t="e">
        <f>IF(MONTH($A356)=MONTH($A355),AVERAGE($Y$6:Y356),Y356)</f>
        <v>#REF!</v>
      </c>
      <c r="AA356" s="13" t="e">
        <f>IF(YEAR($A356)=YEAR($A355),AVERAGE($Y$5:Y356,Y356),Y356)</f>
        <v>#REF!</v>
      </c>
      <c r="AB356" s="13">
        <f t="shared" si="77"/>
        <v>81.680000000000007</v>
      </c>
      <c r="AC356" s="13" t="e">
        <f>IF(MONTH($A356)=MONTH($A355),AVERAGE($AB$5:AB356),AB356)</f>
        <v>#REF!</v>
      </c>
      <c r="AD356" s="13" t="e">
        <f>IF(YEAR($A356)=YEAR($A355),AVERAGE($AB$5:AB355,AB356),AB356)</f>
        <v>#REF!</v>
      </c>
    </row>
    <row r="357" spans="1:30">
      <c r="A357" s="35">
        <f t="shared" si="69"/>
        <v>45644</v>
      </c>
      <c r="C357" s="3">
        <v>457.93</v>
      </c>
      <c r="E357" s="7">
        <v>100</v>
      </c>
      <c r="F357" s="3">
        <v>6117.53</v>
      </c>
      <c r="G357" s="7">
        <v>82.69</v>
      </c>
      <c r="H357" s="5">
        <v>0.31597222222222221</v>
      </c>
      <c r="I357" s="5">
        <v>0.74305555555555547</v>
      </c>
      <c r="J357" s="7">
        <f t="shared" si="68"/>
        <v>10.249999999999998</v>
      </c>
      <c r="P357" s="4"/>
      <c r="Q357" s="84" t="s">
        <v>216</v>
      </c>
      <c r="S357" s="21">
        <f t="shared" si="70"/>
        <v>457.93</v>
      </c>
      <c r="T357" s="6">
        <f t="shared" si="71"/>
        <v>7316.6900000000005</v>
      </c>
      <c r="U357" s="6" t="e">
        <f t="shared" si="72"/>
        <v>#REF!</v>
      </c>
      <c r="V357" s="13">
        <f t="shared" si="73"/>
        <v>10.249999999999998</v>
      </c>
      <c r="W357" s="13">
        <f t="shared" si="74"/>
        <v>186.91666666666666</v>
      </c>
      <c r="X357" s="13">
        <f t="shared" si="75"/>
        <v>4097.1166666666659</v>
      </c>
      <c r="Y357" s="6">
        <f t="shared" si="76"/>
        <v>100</v>
      </c>
      <c r="Z357" s="13" t="e">
        <f>IF(MONTH($A357)=MONTH($A356),AVERAGE($Y$6:Y357),Y357)</f>
        <v>#REF!</v>
      </c>
      <c r="AA357" s="13" t="e">
        <f>IF(YEAR($A357)=YEAR($A356),AVERAGE($Y$5:Y357,Y357),Y357)</f>
        <v>#REF!</v>
      </c>
      <c r="AB357" s="13">
        <f t="shared" si="77"/>
        <v>82.69</v>
      </c>
      <c r="AC357" s="13" t="e">
        <f>IF(MONTH($A357)=MONTH($A356),AVERAGE($AB$5:AB357),AB357)</f>
        <v>#REF!</v>
      </c>
      <c r="AD357" s="13" t="e">
        <f>IF(YEAR($A357)=YEAR($A356),AVERAGE($AB$5:AB356,AB357),AB357)</f>
        <v>#REF!</v>
      </c>
    </row>
    <row r="358" spans="1:30">
      <c r="A358" s="35">
        <f t="shared" si="69"/>
        <v>45645</v>
      </c>
      <c r="C358" s="3">
        <v>473.03</v>
      </c>
      <c r="E358" s="7">
        <v>100</v>
      </c>
      <c r="F358" s="3">
        <v>6334.51</v>
      </c>
      <c r="G358" s="7">
        <v>82.48</v>
      </c>
      <c r="H358" s="5">
        <v>0.3125</v>
      </c>
      <c r="I358" s="5">
        <v>0.74652777777777779</v>
      </c>
      <c r="J358" s="7">
        <f t="shared" si="68"/>
        <v>10.416666666666668</v>
      </c>
      <c r="P358" s="4"/>
      <c r="Q358" s="84" t="s">
        <v>216</v>
      </c>
      <c r="S358" s="21">
        <f t="shared" si="70"/>
        <v>473.03</v>
      </c>
      <c r="T358" s="6">
        <f t="shared" si="71"/>
        <v>7789.72</v>
      </c>
      <c r="U358" s="6" t="e">
        <f t="shared" si="72"/>
        <v>#REF!</v>
      </c>
      <c r="V358" s="13">
        <f t="shared" si="73"/>
        <v>10.416666666666668</v>
      </c>
      <c r="W358" s="13">
        <f t="shared" si="74"/>
        <v>197.33333333333331</v>
      </c>
      <c r="X358" s="13">
        <f t="shared" si="75"/>
        <v>4107.5333333333328</v>
      </c>
      <c r="Y358" s="6">
        <f t="shared" si="76"/>
        <v>100</v>
      </c>
      <c r="Z358" s="13" t="e">
        <f>IF(MONTH($A358)=MONTH($A357),AVERAGE($Y$6:Y358),Y358)</f>
        <v>#REF!</v>
      </c>
      <c r="AA358" s="13" t="e">
        <f>IF(YEAR($A358)=YEAR($A357),AVERAGE($Y$5:Y358,Y358),Y358)</f>
        <v>#REF!</v>
      </c>
      <c r="AB358" s="13">
        <f t="shared" si="77"/>
        <v>82.48</v>
      </c>
      <c r="AC358" s="13" t="e">
        <f>IF(MONTH($A358)=MONTH($A357),AVERAGE($AB$5:AB358),AB358)</f>
        <v>#REF!</v>
      </c>
      <c r="AD358" s="13" t="e">
        <f>IF(YEAR($A358)=YEAR($A357),AVERAGE($AB$5:AB357,AB358),AB358)</f>
        <v>#REF!</v>
      </c>
    </row>
    <row r="359" spans="1:30">
      <c r="A359" s="35">
        <f t="shared" si="69"/>
        <v>45646</v>
      </c>
      <c r="C359" s="3">
        <v>294.48</v>
      </c>
      <c r="E359" s="7">
        <v>100</v>
      </c>
      <c r="F359" s="3">
        <v>4018.14</v>
      </c>
      <c r="G359" s="7">
        <v>80.95</v>
      </c>
      <c r="H359" s="5">
        <v>0.30902777777777779</v>
      </c>
      <c r="I359" s="5">
        <v>0.73958333333333337</v>
      </c>
      <c r="J359" s="7">
        <f t="shared" si="68"/>
        <v>10.333333333333334</v>
      </c>
      <c r="P359" s="4"/>
      <c r="Q359" s="84" t="s">
        <v>224</v>
      </c>
      <c r="S359" s="21">
        <f t="shared" si="70"/>
        <v>294.48</v>
      </c>
      <c r="T359" s="6">
        <f t="shared" si="71"/>
        <v>8084.2000000000007</v>
      </c>
      <c r="U359" s="6" t="e">
        <f t="shared" si="72"/>
        <v>#REF!</v>
      </c>
      <c r="V359" s="13">
        <f t="shared" si="73"/>
        <v>10.333333333333334</v>
      </c>
      <c r="W359" s="13">
        <f t="shared" si="74"/>
        <v>207.66666666666666</v>
      </c>
      <c r="X359" s="13">
        <f t="shared" si="75"/>
        <v>4117.8666666666659</v>
      </c>
      <c r="Y359" s="6">
        <f t="shared" si="76"/>
        <v>100</v>
      </c>
      <c r="Z359" s="13" t="e">
        <f>IF(MONTH($A359)=MONTH($A358),AVERAGE($Y$6:Y359),Y359)</f>
        <v>#REF!</v>
      </c>
      <c r="AA359" s="13" t="e">
        <f>IF(YEAR($A359)=YEAR($A358),AVERAGE($Y$5:Y359,Y359),Y359)</f>
        <v>#REF!</v>
      </c>
      <c r="AB359" s="13">
        <f t="shared" si="77"/>
        <v>80.95</v>
      </c>
      <c r="AC359" s="13" t="e">
        <f>IF(MONTH($A359)=MONTH($A358),AVERAGE($AB$5:AB359),AB359)</f>
        <v>#REF!</v>
      </c>
      <c r="AD359" s="13" t="e">
        <f>IF(YEAR($A359)=YEAR($A358),AVERAGE($AB$5:AB358,AB359),AB359)</f>
        <v>#REF!</v>
      </c>
    </row>
    <row r="360" spans="1:30">
      <c r="A360" s="35">
        <f t="shared" si="69"/>
        <v>45647</v>
      </c>
      <c r="C360" s="3">
        <v>265.73</v>
      </c>
      <c r="E360" s="7">
        <v>100</v>
      </c>
      <c r="F360" s="3">
        <v>3393.51</v>
      </c>
      <c r="G360" s="7">
        <v>86.46</v>
      </c>
      <c r="H360" s="5">
        <v>0.31944444444444448</v>
      </c>
      <c r="I360" s="5">
        <v>0.74305555555555547</v>
      </c>
      <c r="J360" s="7">
        <f t="shared" si="68"/>
        <v>10.166666666666664</v>
      </c>
      <c r="Q360" s="84" t="s">
        <v>224</v>
      </c>
      <c r="S360" s="21">
        <f t="shared" si="70"/>
        <v>265.73</v>
      </c>
      <c r="T360" s="6">
        <f t="shared" si="71"/>
        <v>8349.93</v>
      </c>
      <c r="U360" s="6" t="e">
        <f t="shared" si="72"/>
        <v>#REF!</v>
      </c>
      <c r="V360" s="13">
        <f t="shared" si="73"/>
        <v>10.166666666666664</v>
      </c>
      <c r="W360" s="13">
        <f t="shared" si="74"/>
        <v>217.83333333333331</v>
      </c>
      <c r="X360" s="13">
        <f t="shared" si="75"/>
        <v>4128.0333333333328</v>
      </c>
      <c r="Y360" s="6">
        <f t="shared" si="76"/>
        <v>100</v>
      </c>
      <c r="Z360" s="13" t="e">
        <f>IF(MONTH($A360)=MONTH($A359),AVERAGE($Y$6:Y360),Y360)</f>
        <v>#REF!</v>
      </c>
      <c r="AA360" s="13" t="e">
        <f>IF(YEAR($A360)=YEAR($A359),AVERAGE($Y$5:Y360,Y360),Y360)</f>
        <v>#REF!</v>
      </c>
      <c r="AB360" s="13">
        <f t="shared" si="77"/>
        <v>86.46</v>
      </c>
      <c r="AC360" s="13" t="e">
        <f>IF(MONTH($A360)=MONTH($A359),AVERAGE($AB$5:AB360),AB360)</f>
        <v>#REF!</v>
      </c>
      <c r="AD360" s="13" t="e">
        <f>IF(YEAR($A360)=YEAR($A359),AVERAGE($AB$5:AB359,AB360),AB360)</f>
        <v>#REF!</v>
      </c>
    </row>
    <row r="361" spans="1:30">
      <c r="A361" s="35">
        <f t="shared" si="69"/>
        <v>45648</v>
      </c>
      <c r="C361" s="3">
        <v>298.37</v>
      </c>
      <c r="E361" s="7">
        <v>100</v>
      </c>
      <c r="F361" s="3">
        <v>3814.78</v>
      </c>
      <c r="G361" s="7">
        <v>82.96</v>
      </c>
      <c r="H361" s="5">
        <v>0.3125</v>
      </c>
      <c r="I361" s="5">
        <v>0.74652777777777779</v>
      </c>
      <c r="J361" s="7">
        <f t="shared" si="68"/>
        <v>10.416666666666668</v>
      </c>
      <c r="Q361" s="84" t="s">
        <v>224</v>
      </c>
      <c r="S361" s="21">
        <f t="shared" si="70"/>
        <v>298.37</v>
      </c>
      <c r="T361" s="6">
        <f t="shared" si="71"/>
        <v>8648.3000000000011</v>
      </c>
      <c r="U361" s="6" t="e">
        <f t="shared" si="72"/>
        <v>#REF!</v>
      </c>
      <c r="V361" s="13">
        <f t="shared" si="73"/>
        <v>10.416666666666668</v>
      </c>
      <c r="W361" s="13">
        <f t="shared" si="74"/>
        <v>228.24999999999997</v>
      </c>
      <c r="X361" s="13">
        <f t="shared" si="75"/>
        <v>4138.45</v>
      </c>
      <c r="Y361" s="6">
        <f t="shared" si="76"/>
        <v>100</v>
      </c>
      <c r="Z361" s="13" t="e">
        <f>IF(MONTH($A361)=MONTH($A360),AVERAGE($Y$6:Y361),Y361)</f>
        <v>#REF!</v>
      </c>
      <c r="AA361" s="13" t="e">
        <f>IF(YEAR($A361)=YEAR($A360),AVERAGE($Y$5:Y361,Y361),Y361)</f>
        <v>#REF!</v>
      </c>
      <c r="AB361" s="13">
        <f t="shared" si="77"/>
        <v>82.96</v>
      </c>
      <c r="AC361" s="13" t="e">
        <f>IF(MONTH($A361)=MONTH($A360),AVERAGE($AB$5:AB361),AB361)</f>
        <v>#REF!</v>
      </c>
      <c r="AD361" s="13" t="e">
        <f>IF(YEAR($A361)=YEAR($A360),AVERAGE($AB$5:AB360,AB361),AB361)</f>
        <v>#REF!</v>
      </c>
    </row>
    <row r="362" spans="1:30" ht="45.75">
      <c r="A362" s="35">
        <f t="shared" si="69"/>
        <v>45649</v>
      </c>
      <c r="C362" s="3">
        <v>168.23</v>
      </c>
      <c r="E362" s="7">
        <v>100</v>
      </c>
      <c r="F362" s="3">
        <v>1992.98</v>
      </c>
      <c r="G362" s="7">
        <v>93.22</v>
      </c>
      <c r="H362" s="5">
        <v>0.3125</v>
      </c>
      <c r="I362" s="5">
        <v>0.73611111111111116</v>
      </c>
      <c r="J362" s="7">
        <f t="shared" si="68"/>
        <v>10.166666666666668</v>
      </c>
      <c r="Q362" s="84" t="s">
        <v>225</v>
      </c>
      <c r="S362" s="21">
        <f t="shared" si="70"/>
        <v>168.23</v>
      </c>
      <c r="T362" s="6">
        <f t="shared" si="71"/>
        <v>8816.5300000000007</v>
      </c>
      <c r="U362" s="6" t="e">
        <f t="shared" si="72"/>
        <v>#REF!</v>
      </c>
      <c r="V362" s="13">
        <f t="shared" si="73"/>
        <v>10.166666666666668</v>
      </c>
      <c r="W362" s="13">
        <f t="shared" si="74"/>
        <v>238.41666666666663</v>
      </c>
      <c r="X362" s="13">
        <f t="shared" si="75"/>
        <v>4148.6166666666668</v>
      </c>
      <c r="Y362" s="6">
        <f t="shared" si="76"/>
        <v>100</v>
      </c>
      <c r="Z362" s="13" t="e">
        <f>IF(MONTH($A362)=MONTH($A361),AVERAGE($Y$6:Y362),Y362)</f>
        <v>#REF!</v>
      </c>
      <c r="AA362" s="13" t="e">
        <f>IF(YEAR($A362)=YEAR($A361),AVERAGE($Y$5:Y362,Y362),Y362)</f>
        <v>#REF!</v>
      </c>
      <c r="AB362" s="13">
        <f t="shared" si="77"/>
        <v>93.22</v>
      </c>
      <c r="AC362" s="13" t="e">
        <f>IF(MONTH($A362)=MONTH($A361),AVERAGE($AB$5:AB362),AB362)</f>
        <v>#REF!</v>
      </c>
      <c r="AD362" s="13" t="e">
        <f>IF(YEAR($A362)=YEAR($A361),AVERAGE($AB$5:AB361,AB362),AB362)</f>
        <v>#REF!</v>
      </c>
    </row>
    <row r="363" spans="1:30">
      <c r="A363" s="35">
        <f t="shared" si="69"/>
        <v>45650</v>
      </c>
      <c r="C363" s="3">
        <v>398.12</v>
      </c>
      <c r="E363" s="7">
        <v>100</v>
      </c>
      <c r="F363" s="3">
        <v>5249</v>
      </c>
      <c r="G363" s="7">
        <v>83.81</v>
      </c>
      <c r="H363" s="5">
        <v>0.31944444444444448</v>
      </c>
      <c r="I363" s="5">
        <v>0.75347222222222221</v>
      </c>
      <c r="J363" s="7">
        <f t="shared" si="68"/>
        <v>10.416666666666666</v>
      </c>
      <c r="Q363" s="84" t="s">
        <v>226</v>
      </c>
      <c r="S363" s="21">
        <f t="shared" si="70"/>
        <v>398.12</v>
      </c>
      <c r="T363" s="6">
        <f t="shared" si="71"/>
        <v>9214.6500000000015</v>
      </c>
      <c r="U363" s="6" t="e">
        <f t="shared" si="72"/>
        <v>#REF!</v>
      </c>
      <c r="V363" s="13">
        <f t="shared" si="73"/>
        <v>10.416666666666666</v>
      </c>
      <c r="W363" s="13">
        <f t="shared" si="74"/>
        <v>248.83333333333329</v>
      </c>
      <c r="X363" s="13">
        <f t="shared" si="75"/>
        <v>4159.0333333333338</v>
      </c>
      <c r="Y363" s="6">
        <f t="shared" si="76"/>
        <v>100</v>
      </c>
      <c r="Z363" s="13" t="e">
        <f>IF(MONTH($A363)=MONTH($A362),AVERAGE($Y$6:Y363),Y363)</f>
        <v>#REF!</v>
      </c>
      <c r="AA363" s="13" t="e">
        <f>IF(YEAR($A363)=YEAR($A362),AVERAGE($Y$5:Y363,Y363),Y363)</f>
        <v>#REF!</v>
      </c>
      <c r="AB363" s="13">
        <f t="shared" si="77"/>
        <v>83.81</v>
      </c>
      <c r="AC363" s="13" t="e">
        <f>IF(MONTH($A363)=MONTH($A362),AVERAGE($AB$5:AB363),AB363)</f>
        <v>#REF!</v>
      </c>
      <c r="AD363" s="13" t="e">
        <f>IF(YEAR($A363)=YEAR($A362),AVERAGE($AB$5:AB362,AB363),AB363)</f>
        <v>#REF!</v>
      </c>
    </row>
    <row r="364" spans="1:30" ht="91.5">
      <c r="A364" s="35">
        <f t="shared" si="69"/>
        <v>45651</v>
      </c>
      <c r="C364" s="3">
        <v>335.85</v>
      </c>
      <c r="E364" s="7">
        <v>99.92</v>
      </c>
      <c r="F364" s="3">
        <v>5279.72</v>
      </c>
      <c r="G364" s="7">
        <v>70.22</v>
      </c>
      <c r="H364" s="5">
        <v>0.31944444444444448</v>
      </c>
      <c r="I364" s="5">
        <v>0.75694444444444442</v>
      </c>
      <c r="J364" s="7">
        <f t="shared" si="68"/>
        <v>10.499999999999998</v>
      </c>
      <c r="Q364" s="84" t="s">
        <v>227</v>
      </c>
      <c r="S364" s="21">
        <f t="shared" si="70"/>
        <v>335.85</v>
      </c>
      <c r="T364" s="6">
        <f t="shared" si="71"/>
        <v>9550.5000000000018</v>
      </c>
      <c r="U364" s="6" t="e">
        <f t="shared" si="72"/>
        <v>#REF!</v>
      </c>
      <c r="V364" s="13">
        <f t="shared" si="73"/>
        <v>10.499999999999998</v>
      </c>
      <c r="W364" s="13">
        <f t="shared" si="74"/>
        <v>259.33333333333326</v>
      </c>
      <c r="X364" s="13">
        <f t="shared" si="75"/>
        <v>4169.5333333333338</v>
      </c>
      <c r="Y364" s="6">
        <f t="shared" si="76"/>
        <v>99.92</v>
      </c>
      <c r="Z364" s="13" t="e">
        <f>IF(MONTH($A364)=MONTH($A363),AVERAGE($Y$6:Y364),Y364)</f>
        <v>#REF!</v>
      </c>
      <c r="AA364" s="13" t="e">
        <f>IF(YEAR($A364)=YEAR($A363),AVERAGE($Y$5:Y364,Y364),Y364)</f>
        <v>#REF!</v>
      </c>
      <c r="AB364" s="13">
        <f t="shared" si="77"/>
        <v>70.22</v>
      </c>
      <c r="AC364" s="13" t="e">
        <f>IF(MONTH($A364)=MONTH($A363),AVERAGE($AB$5:AB364),AB364)</f>
        <v>#REF!</v>
      </c>
      <c r="AD364" s="13" t="e">
        <f>IF(YEAR($A364)=YEAR($A363),AVERAGE($AB$5:AB363,AB364),AB364)</f>
        <v>#REF!</v>
      </c>
    </row>
    <row r="365" spans="1:30">
      <c r="A365" s="35">
        <f t="shared" si="69"/>
        <v>45652</v>
      </c>
      <c r="C365" s="3">
        <v>381.99</v>
      </c>
      <c r="E365" s="7">
        <v>100</v>
      </c>
      <c r="F365" s="3">
        <v>5137.49</v>
      </c>
      <c r="G365" s="7">
        <v>82.13</v>
      </c>
      <c r="H365" s="5">
        <v>0.31597222222222221</v>
      </c>
      <c r="I365" s="5">
        <v>0.74652777777777779</v>
      </c>
      <c r="J365" s="7">
        <f t="shared" si="68"/>
        <v>10.333333333333334</v>
      </c>
      <c r="Q365" s="84" t="s">
        <v>113</v>
      </c>
      <c r="S365" s="21">
        <f t="shared" si="70"/>
        <v>381.99</v>
      </c>
      <c r="T365" s="6">
        <f t="shared" si="71"/>
        <v>9932.4900000000016</v>
      </c>
      <c r="U365" s="6" t="e">
        <f t="shared" si="72"/>
        <v>#REF!</v>
      </c>
      <c r="V365" s="13">
        <f t="shared" si="73"/>
        <v>10.333333333333334</v>
      </c>
      <c r="W365" s="13">
        <f t="shared" si="74"/>
        <v>269.66666666666657</v>
      </c>
      <c r="X365" s="13">
        <f t="shared" si="75"/>
        <v>4179.8666666666668</v>
      </c>
      <c r="Y365" s="6">
        <f t="shared" si="76"/>
        <v>100</v>
      </c>
      <c r="Z365" s="13" t="e">
        <f>IF(MONTH($A365)=MONTH($A364),AVERAGE($Y$6:Y365),Y365)</f>
        <v>#REF!</v>
      </c>
      <c r="AA365" s="13" t="e">
        <f>IF(YEAR($A365)=YEAR($A364),AVERAGE($Y$5:Y365,Y365),Y365)</f>
        <v>#REF!</v>
      </c>
      <c r="AB365" s="13">
        <f t="shared" si="77"/>
        <v>82.13</v>
      </c>
      <c r="AC365" s="13" t="e">
        <f>IF(MONTH($A365)=MONTH($A364),AVERAGE($AB$5:AB365),AB365)</f>
        <v>#REF!</v>
      </c>
      <c r="AD365" s="13" t="e">
        <f>IF(YEAR($A365)=YEAR($A364),AVERAGE($AB$5:AB364,AB365),AB365)</f>
        <v>#REF!</v>
      </c>
    </row>
    <row r="366" spans="1:30">
      <c r="A366" s="35">
        <f t="shared" si="69"/>
        <v>45653</v>
      </c>
      <c r="F366" s="3"/>
      <c r="H366" s="5"/>
      <c r="I366" s="5"/>
      <c r="J366" s="7">
        <f t="shared" si="68"/>
        <v>0</v>
      </c>
      <c r="Q366" s="84"/>
      <c r="S366" s="21">
        <f t="shared" si="70"/>
        <v>0</v>
      </c>
      <c r="T366" s="6">
        <f t="shared" si="71"/>
        <v>9932.4900000000016</v>
      </c>
      <c r="U366" s="6" t="e">
        <f t="shared" si="72"/>
        <v>#REF!</v>
      </c>
      <c r="V366" s="13">
        <f t="shared" si="73"/>
        <v>0</v>
      </c>
      <c r="W366" s="13">
        <f t="shared" si="74"/>
        <v>269.66666666666657</v>
      </c>
      <c r="X366" s="13">
        <f t="shared" si="75"/>
        <v>4179.8666666666668</v>
      </c>
      <c r="Y366" s="6">
        <f t="shared" si="76"/>
        <v>0</v>
      </c>
      <c r="Z366" s="13" t="e">
        <f>IF(MONTH($A366)=MONTH($A365),AVERAGE($Y$6:Y366),Y366)</f>
        <v>#REF!</v>
      </c>
      <c r="AA366" s="13" t="e">
        <f>IF(YEAR($A366)=YEAR($A365),AVERAGE($Y$5:Y366,Y366),Y366)</f>
        <v>#REF!</v>
      </c>
      <c r="AB366" s="13">
        <f t="shared" si="77"/>
        <v>0</v>
      </c>
      <c r="AC366" s="13" t="e">
        <f>IF(MONTH($A366)=MONTH($A365),AVERAGE($AB$5:AB366),AB366)</f>
        <v>#REF!</v>
      </c>
      <c r="AD366" s="13" t="e">
        <f>IF(YEAR($A366)=YEAR($A365),AVERAGE($AB$5:AB365,AB366),AB366)</f>
        <v>#REF!</v>
      </c>
    </row>
    <row r="367" spans="1:30">
      <c r="A367" s="35">
        <f t="shared" si="69"/>
        <v>45654</v>
      </c>
      <c r="F367" s="3"/>
      <c r="H367" s="5"/>
      <c r="I367" s="5"/>
      <c r="J367" s="7">
        <f t="shared" si="68"/>
        <v>0</v>
      </c>
      <c r="Q367" s="37"/>
      <c r="S367" s="21">
        <f t="shared" si="70"/>
        <v>0</v>
      </c>
      <c r="T367" s="6">
        <f t="shared" si="71"/>
        <v>9932.4900000000016</v>
      </c>
      <c r="U367" s="6" t="e">
        <f t="shared" si="72"/>
        <v>#REF!</v>
      </c>
      <c r="V367" s="13">
        <f t="shared" si="73"/>
        <v>0</v>
      </c>
      <c r="W367" s="13">
        <f t="shared" si="74"/>
        <v>269.66666666666657</v>
      </c>
      <c r="X367" s="13">
        <f t="shared" si="75"/>
        <v>4179.8666666666668</v>
      </c>
      <c r="Y367" s="6">
        <f t="shared" si="76"/>
        <v>0</v>
      </c>
      <c r="Z367" s="13" t="e">
        <f>IF(MONTH($A367)=MONTH($A366),AVERAGE($Y$6:Y367),Y367)</f>
        <v>#REF!</v>
      </c>
      <c r="AA367" s="13" t="e">
        <f>IF(YEAR($A367)=YEAR($A366),AVERAGE($Y$5:Y367,Y367),Y367)</f>
        <v>#REF!</v>
      </c>
      <c r="AB367" s="13">
        <f t="shared" si="77"/>
        <v>0</v>
      </c>
      <c r="AC367" s="13" t="e">
        <f>IF(MONTH($A367)=MONTH($A366),AVERAGE($AB$5:AB367),AB367)</f>
        <v>#REF!</v>
      </c>
      <c r="AD367" s="13" t="e">
        <f>IF(YEAR($A367)=YEAR($A366),AVERAGE($AB$5:AB366,AB367),AB367)</f>
        <v>#REF!</v>
      </c>
    </row>
    <row r="368" spans="1:30">
      <c r="A368" s="35">
        <f t="shared" si="69"/>
        <v>45655</v>
      </c>
      <c r="F368" s="3"/>
      <c r="H368" s="5"/>
      <c r="I368" s="5"/>
      <c r="J368" s="7">
        <f t="shared" si="68"/>
        <v>0</v>
      </c>
      <c r="Q368" s="37"/>
      <c r="S368" s="21">
        <f t="shared" si="70"/>
        <v>0</v>
      </c>
      <c r="T368" s="6">
        <f t="shared" si="71"/>
        <v>9932.4900000000016</v>
      </c>
      <c r="U368" s="6" t="e">
        <f t="shared" si="72"/>
        <v>#REF!</v>
      </c>
      <c r="V368" s="13">
        <f t="shared" si="73"/>
        <v>0</v>
      </c>
      <c r="W368" s="13">
        <f t="shared" si="74"/>
        <v>269.66666666666657</v>
      </c>
      <c r="X368" s="13">
        <f t="shared" si="75"/>
        <v>4179.8666666666668</v>
      </c>
      <c r="Y368" s="6">
        <f t="shared" si="76"/>
        <v>0</v>
      </c>
      <c r="Z368" s="13" t="e">
        <f>IF(MONTH($A368)=MONTH($A367),AVERAGE($Y$6:Y368),Y368)</f>
        <v>#REF!</v>
      </c>
      <c r="AA368" s="13" t="e">
        <f>IF(YEAR($A368)=YEAR($A367),AVERAGE($Y$5:Y368,Y368),Y368)</f>
        <v>#REF!</v>
      </c>
      <c r="AB368" s="13">
        <f t="shared" si="77"/>
        <v>0</v>
      </c>
      <c r="AC368" s="13" t="e">
        <f>IF(MONTH($A368)=MONTH($A367),AVERAGE($AB$5:AB368),AB368)</f>
        <v>#REF!</v>
      </c>
      <c r="AD368" s="13" t="e">
        <f>IF(YEAR($A368)=YEAR($A367),AVERAGE($AB$5:AB367,AB368),AB368)</f>
        <v>#REF!</v>
      </c>
    </row>
    <row r="369" spans="1:30">
      <c r="A369" s="35">
        <f t="shared" si="69"/>
        <v>45656</v>
      </c>
      <c r="F369" s="3"/>
      <c r="H369" s="5"/>
      <c r="I369" s="5"/>
      <c r="J369" s="7">
        <f t="shared" si="68"/>
        <v>0</v>
      </c>
      <c r="Q369" s="84"/>
      <c r="S369" s="21">
        <f t="shared" si="70"/>
        <v>0</v>
      </c>
      <c r="T369" s="6">
        <f t="shared" si="71"/>
        <v>9932.4900000000016</v>
      </c>
      <c r="U369" s="6" t="e">
        <f t="shared" si="72"/>
        <v>#REF!</v>
      </c>
      <c r="V369" s="13">
        <f t="shared" si="73"/>
        <v>0</v>
      </c>
      <c r="W369" s="13">
        <f t="shared" si="74"/>
        <v>269.66666666666657</v>
      </c>
      <c r="X369" s="13">
        <f t="shared" si="75"/>
        <v>4179.8666666666668</v>
      </c>
      <c r="Y369" s="6">
        <f t="shared" si="76"/>
        <v>0</v>
      </c>
      <c r="Z369" s="13" t="e">
        <f>IF(MONTH($A369)=MONTH($A368),AVERAGE($Y$6:Y369),Y369)</f>
        <v>#REF!</v>
      </c>
      <c r="AA369" s="13" t="e">
        <f>IF(YEAR($A369)=YEAR($A368),AVERAGE($Y$5:Y369,Y369),Y369)</f>
        <v>#REF!</v>
      </c>
      <c r="AB369" s="13">
        <f t="shared" si="77"/>
        <v>0</v>
      </c>
      <c r="AC369" s="13" t="e">
        <f>IF(MONTH($A369)=MONTH($A368),AVERAGE($AB$5:AB369),AB369)</f>
        <v>#REF!</v>
      </c>
      <c r="AD369" s="13" t="e">
        <f>IF(YEAR($A369)=YEAR($A368),AVERAGE($AB$5:AB368,AB369),AB369)</f>
        <v>#REF!</v>
      </c>
    </row>
    <row r="370" spans="1:30">
      <c r="A370" s="35">
        <f t="shared" si="69"/>
        <v>45657</v>
      </c>
      <c r="F370" s="3"/>
      <c r="H370" s="5"/>
      <c r="I370" s="5"/>
      <c r="J370" s="7">
        <f t="shared" si="68"/>
        <v>0</v>
      </c>
      <c r="Q370" s="37"/>
      <c r="S370" s="21">
        <f t="shared" si="70"/>
        <v>0</v>
      </c>
      <c r="T370" s="6">
        <f t="shared" si="71"/>
        <v>9932.4900000000016</v>
      </c>
      <c r="U370" s="6" t="e">
        <f t="shared" si="72"/>
        <v>#REF!</v>
      </c>
      <c r="V370" s="13">
        <f t="shared" si="73"/>
        <v>0</v>
      </c>
      <c r="W370" s="13">
        <f t="shared" si="74"/>
        <v>269.66666666666657</v>
      </c>
      <c r="X370" s="13">
        <f t="shared" si="75"/>
        <v>4179.8666666666668</v>
      </c>
      <c r="Y370" s="6">
        <f t="shared" si="76"/>
        <v>0</v>
      </c>
      <c r="Z370" s="13" t="e">
        <f>IF(MONTH($A370)=MONTH($A369),AVERAGE($Y$6:Y370),Y370)</f>
        <v>#REF!</v>
      </c>
      <c r="AA370" s="13" t="e">
        <f>IF(YEAR($A370)=YEAR($A369),AVERAGE($Y$5:Y370,Y370),Y370)</f>
        <v>#REF!</v>
      </c>
      <c r="AB370" s="13">
        <f t="shared" si="77"/>
        <v>0</v>
      </c>
      <c r="AC370" s="13" t="e">
        <f>IF(MONTH($A370)=MONTH($A369),AVERAGE($AB$5:AB370),AB370)</f>
        <v>#REF!</v>
      </c>
      <c r="AD370" s="13" t="e">
        <f>IF(YEAR($A370)=YEAR($A369),AVERAGE($AB$5:AB369,AB370),AB370)</f>
        <v>#REF!</v>
      </c>
    </row>
    <row r="371" spans="1:30">
      <c r="A371" s="35">
        <f t="shared" si="69"/>
        <v>45658</v>
      </c>
      <c r="F371" s="3"/>
      <c r="H371" s="5"/>
      <c r="I371" s="5"/>
      <c r="J371" s="7">
        <f t="shared" si="68"/>
        <v>0</v>
      </c>
      <c r="Q371" s="84"/>
      <c r="S371" s="21">
        <f t="shared" si="70"/>
        <v>0</v>
      </c>
      <c r="T371" s="6">
        <f t="shared" si="71"/>
        <v>0</v>
      </c>
      <c r="U371" s="6">
        <f t="shared" si="72"/>
        <v>0</v>
      </c>
      <c r="V371" s="13">
        <f t="shared" si="73"/>
        <v>0</v>
      </c>
      <c r="W371" s="13">
        <f t="shared" si="74"/>
        <v>0</v>
      </c>
      <c r="X371" s="13">
        <f t="shared" si="75"/>
        <v>0</v>
      </c>
      <c r="Y371" s="6">
        <f t="shared" si="76"/>
        <v>0</v>
      </c>
      <c r="Z371" s="13">
        <f>IF(MONTH($A371)=MONTH($A370),AVERAGE($Y$6:Y371),Y371)</f>
        <v>0</v>
      </c>
      <c r="AA371" s="13">
        <f>IF(YEAR($A371)=YEAR($A370),AVERAGE($Y$5:Y371,Y371),Y371)</f>
        <v>0</v>
      </c>
      <c r="AB371" s="13">
        <f t="shared" si="77"/>
        <v>0</v>
      </c>
      <c r="AC371" s="13">
        <f>IF(MONTH($A371)=MONTH($A370),AVERAGE($AB$5:AB371),AB371)</f>
        <v>0</v>
      </c>
      <c r="AD371" s="13">
        <f>IF(YEAR($A371)=YEAR($A370),AVERAGE($AB$5:AB370,AB371),AB371)</f>
        <v>0</v>
      </c>
    </row>
    <row r="372" spans="1:30">
      <c r="A372" s="35">
        <f t="shared" si="69"/>
        <v>45659</v>
      </c>
      <c r="F372" s="3"/>
      <c r="H372" s="5"/>
      <c r="I372" s="5"/>
      <c r="J372" s="7">
        <f t="shared" si="68"/>
        <v>0</v>
      </c>
      <c r="P372" s="4"/>
      <c r="Q372" s="84"/>
      <c r="S372" s="21">
        <f t="shared" si="70"/>
        <v>0</v>
      </c>
      <c r="T372" s="6">
        <f t="shared" si="71"/>
        <v>0</v>
      </c>
      <c r="U372" s="6">
        <f t="shared" si="72"/>
        <v>0</v>
      </c>
      <c r="V372" s="13">
        <f t="shared" si="73"/>
        <v>0</v>
      </c>
      <c r="W372" s="13">
        <f t="shared" si="74"/>
        <v>0</v>
      </c>
      <c r="X372" s="13">
        <f t="shared" si="75"/>
        <v>0</v>
      </c>
      <c r="Y372" s="6">
        <f t="shared" si="76"/>
        <v>0</v>
      </c>
      <c r="Z372" s="13" t="e">
        <f>IF(MONTH($A372)=MONTH($A371),AVERAGE($Y$6:Y372),Y372)</f>
        <v>#REF!</v>
      </c>
      <c r="AA372" s="13" t="e">
        <f>IF(YEAR($A372)=YEAR($A371),AVERAGE($Y$5:Y372,Y372),Y372)</f>
        <v>#REF!</v>
      </c>
      <c r="AB372" s="13">
        <f t="shared" si="77"/>
        <v>0</v>
      </c>
      <c r="AC372" s="13" t="e">
        <f>IF(MONTH($A372)=MONTH($A371),AVERAGE($AB$5:AB372),AB372)</f>
        <v>#REF!</v>
      </c>
      <c r="AD372" s="13" t="e">
        <f>IF(YEAR($A372)=YEAR($A371),AVERAGE($AB$5:AB371,AB372),AB372)</f>
        <v>#REF!</v>
      </c>
    </row>
    <row r="373" spans="1:30">
      <c r="A373" s="35">
        <f t="shared" si="69"/>
        <v>45660</v>
      </c>
      <c r="F373" s="3"/>
      <c r="J373" s="7">
        <f t="shared" si="68"/>
        <v>0</v>
      </c>
      <c r="S373" s="21">
        <f t="shared" si="70"/>
        <v>0</v>
      </c>
      <c r="T373" s="6">
        <f t="shared" si="71"/>
        <v>0</v>
      </c>
      <c r="U373" s="6">
        <f t="shared" si="72"/>
        <v>0</v>
      </c>
      <c r="V373" s="13">
        <f t="shared" si="73"/>
        <v>0</v>
      </c>
      <c r="W373" s="13">
        <f t="shared" si="74"/>
        <v>0</v>
      </c>
      <c r="X373" s="13">
        <f t="shared" si="75"/>
        <v>0</v>
      </c>
      <c r="Y373" s="6">
        <f t="shared" si="76"/>
        <v>0</v>
      </c>
      <c r="Z373" s="13" t="e">
        <f>IF(MONTH($A373)=MONTH($A372),AVERAGE($Y$6:Y373),Y373)</f>
        <v>#REF!</v>
      </c>
      <c r="AA373" s="13" t="e">
        <f>IF(YEAR($A373)=YEAR($A372),AVERAGE($Y$5:Y373,Y373),Y373)</f>
        <v>#REF!</v>
      </c>
      <c r="AB373" s="13">
        <f t="shared" si="77"/>
        <v>0</v>
      </c>
      <c r="AC373" s="13" t="e">
        <f>IF(MONTH($A373)=MONTH($A372),AVERAGE($AB$5:AB373),AB373)</f>
        <v>#REF!</v>
      </c>
      <c r="AD373" s="13" t="e">
        <f>IF(YEAR($A373)=YEAR($A372),AVERAGE($AB$5:AB372,AB373),AB373)</f>
        <v>#REF!</v>
      </c>
    </row>
    <row r="374" spans="1:30">
      <c r="A374" s="35">
        <f t="shared" si="69"/>
        <v>45661</v>
      </c>
      <c r="F374" s="3"/>
      <c r="J374" s="7">
        <f t="shared" si="68"/>
        <v>0</v>
      </c>
      <c r="S374" s="21">
        <f t="shared" si="70"/>
        <v>0</v>
      </c>
      <c r="T374" s="6">
        <f t="shared" si="71"/>
        <v>0</v>
      </c>
      <c r="U374" s="6">
        <f t="shared" si="72"/>
        <v>0</v>
      </c>
      <c r="V374" s="13">
        <f t="shared" si="73"/>
        <v>0</v>
      </c>
      <c r="W374" s="13">
        <f t="shared" si="74"/>
        <v>0</v>
      </c>
      <c r="X374" s="13">
        <f t="shared" si="75"/>
        <v>0</v>
      </c>
      <c r="Y374" s="6">
        <f t="shared" si="76"/>
        <v>0</v>
      </c>
      <c r="Z374" s="13" t="e">
        <f>IF(MONTH($A374)=MONTH($A373),AVERAGE($Y$6:Y374),Y374)</f>
        <v>#REF!</v>
      </c>
      <c r="AA374" s="13" t="e">
        <f>IF(YEAR($A374)=YEAR($A373),AVERAGE($Y$5:Y374,Y374),Y374)</f>
        <v>#REF!</v>
      </c>
      <c r="AB374" s="13">
        <f t="shared" si="77"/>
        <v>0</v>
      </c>
      <c r="AC374" s="13" t="e">
        <f>IF(MONTH($A374)=MONTH($A373),AVERAGE($AB$5:AB374),AB374)</f>
        <v>#REF!</v>
      </c>
      <c r="AD374" s="13" t="e">
        <f>IF(YEAR($A374)=YEAR($A373),AVERAGE($AB$5:AB373,AB374),AB374)</f>
        <v>#REF!</v>
      </c>
    </row>
    <row r="375" spans="1:30">
      <c r="A375" s="35">
        <f t="shared" si="69"/>
        <v>45662</v>
      </c>
      <c r="F375" s="3"/>
      <c r="J375" s="7">
        <f t="shared" si="68"/>
        <v>0</v>
      </c>
      <c r="S375" s="21">
        <f t="shared" si="70"/>
        <v>0</v>
      </c>
      <c r="T375" s="6">
        <f t="shared" si="71"/>
        <v>0</v>
      </c>
      <c r="U375" s="6">
        <f t="shared" si="72"/>
        <v>0</v>
      </c>
      <c r="V375" s="13">
        <f t="shared" si="73"/>
        <v>0</v>
      </c>
      <c r="W375" s="13">
        <f t="shared" si="74"/>
        <v>0</v>
      </c>
      <c r="X375" s="13">
        <f t="shared" si="75"/>
        <v>0</v>
      </c>
      <c r="Y375" s="6">
        <f t="shared" si="76"/>
        <v>0</v>
      </c>
      <c r="Z375" s="13" t="e">
        <f>IF(MONTH($A375)=MONTH($A374),AVERAGE($Y$6:Y375),Y375)</f>
        <v>#REF!</v>
      </c>
      <c r="AA375" s="13" t="e">
        <f>IF(YEAR($A375)=YEAR($A374),AVERAGE($Y$5:Y375,Y375),Y375)</f>
        <v>#REF!</v>
      </c>
      <c r="AB375" s="13">
        <f t="shared" si="77"/>
        <v>0</v>
      </c>
      <c r="AC375" s="13" t="e">
        <f>IF(MONTH($A375)=MONTH($A374),AVERAGE($AB$5:AB375),AB375)</f>
        <v>#REF!</v>
      </c>
      <c r="AD375" s="13" t="e">
        <f>IF(YEAR($A375)=YEAR($A374),AVERAGE($AB$5:AB374,AB375),AB375)</f>
        <v>#REF!</v>
      </c>
    </row>
    <row r="376" spans="1:30">
      <c r="A376" s="35">
        <f t="shared" si="69"/>
        <v>45663</v>
      </c>
      <c r="F376" s="3"/>
      <c r="J376" s="7">
        <f t="shared" si="68"/>
        <v>0</v>
      </c>
      <c r="S376" s="21">
        <f t="shared" si="70"/>
        <v>0</v>
      </c>
      <c r="T376" s="6">
        <f t="shared" si="71"/>
        <v>0</v>
      </c>
      <c r="U376" s="6">
        <f t="shared" si="72"/>
        <v>0</v>
      </c>
      <c r="V376" s="13">
        <f t="shared" si="73"/>
        <v>0</v>
      </c>
      <c r="W376" s="13">
        <f t="shared" si="74"/>
        <v>0</v>
      </c>
      <c r="X376" s="13">
        <f t="shared" si="75"/>
        <v>0</v>
      </c>
      <c r="Y376" s="6">
        <f t="shared" si="76"/>
        <v>0</v>
      </c>
      <c r="Z376" s="13" t="e">
        <f>IF(MONTH($A376)=MONTH($A375),AVERAGE($Y$6:Y376),Y376)</f>
        <v>#REF!</v>
      </c>
      <c r="AA376" s="13" t="e">
        <f>IF(YEAR($A376)=YEAR($A375),AVERAGE($Y$5:Y376,Y376),Y376)</f>
        <v>#REF!</v>
      </c>
      <c r="AB376" s="13">
        <f t="shared" si="77"/>
        <v>0</v>
      </c>
      <c r="AC376" s="13" t="e">
        <f>IF(MONTH($A376)=MONTH($A375),AVERAGE($AB$5:AB376),AB376)</f>
        <v>#REF!</v>
      </c>
      <c r="AD376" s="13" t="e">
        <f>IF(YEAR($A376)=YEAR($A375),AVERAGE($AB$5:AB375,AB376),AB376)</f>
        <v>#REF!</v>
      </c>
    </row>
    <row r="377" spans="1:30">
      <c r="A377" s="35">
        <f t="shared" si="69"/>
        <v>45664</v>
      </c>
      <c r="F377" s="3"/>
      <c r="J377" s="7">
        <f t="shared" si="68"/>
        <v>0</v>
      </c>
      <c r="S377" s="21">
        <f t="shared" si="70"/>
        <v>0</v>
      </c>
      <c r="T377" s="6">
        <f t="shared" si="71"/>
        <v>0</v>
      </c>
      <c r="U377" s="6">
        <f t="shared" si="72"/>
        <v>0</v>
      </c>
      <c r="V377" s="13">
        <f t="shared" si="73"/>
        <v>0</v>
      </c>
      <c r="W377" s="13">
        <f t="shared" si="74"/>
        <v>0</v>
      </c>
      <c r="X377" s="13">
        <f t="shared" si="75"/>
        <v>0</v>
      </c>
      <c r="Y377" s="6">
        <f t="shared" si="76"/>
        <v>0</v>
      </c>
      <c r="Z377" s="13" t="e">
        <f>IF(MONTH($A377)=MONTH($A376),AVERAGE($Y$6:Y377),Y377)</f>
        <v>#REF!</v>
      </c>
      <c r="AA377" s="13" t="e">
        <f>IF(YEAR($A377)=YEAR($A376),AVERAGE($Y$5:Y377,Y377),Y377)</f>
        <v>#REF!</v>
      </c>
      <c r="AB377" s="13">
        <f t="shared" si="77"/>
        <v>0</v>
      </c>
      <c r="AC377" s="13" t="e">
        <f>IF(MONTH($A377)=MONTH($A376),AVERAGE($AB$5:AB377),AB377)</f>
        <v>#REF!</v>
      </c>
      <c r="AD377" s="13" t="e">
        <f>IF(YEAR($A377)=YEAR($A376),AVERAGE($AB$5:AB376,AB377),AB377)</f>
        <v>#REF!</v>
      </c>
    </row>
    <row r="378" spans="1:30">
      <c r="A378" s="35">
        <f t="shared" si="69"/>
        <v>45665</v>
      </c>
      <c r="F378" s="3"/>
      <c r="J378" s="7">
        <f t="shared" si="68"/>
        <v>0</v>
      </c>
      <c r="S378" s="21">
        <f t="shared" si="70"/>
        <v>0</v>
      </c>
      <c r="T378" s="6">
        <f t="shared" si="71"/>
        <v>0</v>
      </c>
      <c r="U378" s="6">
        <f t="shared" si="72"/>
        <v>0</v>
      </c>
      <c r="V378" s="13">
        <f t="shared" si="73"/>
        <v>0</v>
      </c>
      <c r="W378" s="13">
        <f t="shared" si="74"/>
        <v>0</v>
      </c>
      <c r="X378" s="13">
        <f t="shared" si="75"/>
        <v>0</v>
      </c>
      <c r="Y378" s="6">
        <f t="shared" si="76"/>
        <v>0</v>
      </c>
      <c r="Z378" s="13" t="e">
        <f>IF(MONTH($A378)=MONTH($A377),AVERAGE($Y$6:Y378),Y378)</f>
        <v>#REF!</v>
      </c>
      <c r="AA378" s="13" t="e">
        <f>IF(YEAR($A378)=YEAR($A377),AVERAGE($Y$5:Y378,Y378),Y378)</f>
        <v>#REF!</v>
      </c>
      <c r="AB378" s="13">
        <f t="shared" si="77"/>
        <v>0</v>
      </c>
      <c r="AC378" s="13" t="e">
        <f>IF(MONTH($A378)=MONTH($A377),AVERAGE($AB$5:AB378),AB378)</f>
        <v>#REF!</v>
      </c>
      <c r="AD378" s="13" t="e">
        <f>IF(YEAR($A378)=YEAR($A377),AVERAGE($AB$5:AB377,AB378),AB378)</f>
        <v>#REF!</v>
      </c>
    </row>
    <row r="379" spans="1:30">
      <c r="A379" s="35">
        <f t="shared" si="69"/>
        <v>45666</v>
      </c>
      <c r="F379" s="3"/>
      <c r="J379" s="7">
        <f t="shared" si="68"/>
        <v>0</v>
      </c>
      <c r="S379" s="21">
        <f t="shared" si="70"/>
        <v>0</v>
      </c>
      <c r="T379" s="6">
        <f t="shared" si="71"/>
        <v>0</v>
      </c>
      <c r="U379" s="6">
        <f t="shared" si="72"/>
        <v>0</v>
      </c>
      <c r="V379" s="13">
        <f t="shared" si="73"/>
        <v>0</v>
      </c>
      <c r="W379" s="13">
        <f t="shared" si="74"/>
        <v>0</v>
      </c>
      <c r="X379" s="13">
        <f t="shared" si="75"/>
        <v>0</v>
      </c>
      <c r="Y379" s="6">
        <f t="shared" si="76"/>
        <v>0</v>
      </c>
      <c r="Z379" s="13" t="e">
        <f>IF(MONTH($A379)=MONTH($A378),AVERAGE($Y$6:Y379),Y379)</f>
        <v>#REF!</v>
      </c>
      <c r="AA379" s="13" t="e">
        <f>IF(YEAR($A379)=YEAR($A378),AVERAGE($Y$5:Y379,Y379),Y379)</f>
        <v>#REF!</v>
      </c>
      <c r="AB379" s="13">
        <f t="shared" si="77"/>
        <v>0</v>
      </c>
      <c r="AC379" s="13" t="e">
        <f>IF(MONTH($A379)=MONTH($A378),AVERAGE($AB$5:AB379),AB379)</f>
        <v>#REF!</v>
      </c>
      <c r="AD379" s="13" t="e">
        <f>IF(YEAR($A379)=YEAR($A378),AVERAGE($AB$5:AB378,AB379),AB379)</f>
        <v>#REF!</v>
      </c>
    </row>
    <row r="380" spans="1:30">
      <c r="A380" s="35">
        <f t="shared" si="69"/>
        <v>45667</v>
      </c>
      <c r="F380" s="3"/>
      <c r="J380" s="7">
        <f t="shared" si="68"/>
        <v>0</v>
      </c>
      <c r="S380" s="21">
        <f t="shared" si="70"/>
        <v>0</v>
      </c>
      <c r="T380" s="6">
        <f t="shared" si="71"/>
        <v>0</v>
      </c>
      <c r="U380" s="6">
        <f t="shared" si="72"/>
        <v>0</v>
      </c>
      <c r="V380" s="13">
        <f t="shared" si="73"/>
        <v>0</v>
      </c>
      <c r="W380" s="13">
        <f t="shared" si="74"/>
        <v>0</v>
      </c>
      <c r="X380" s="13">
        <f t="shared" si="75"/>
        <v>0</v>
      </c>
      <c r="Y380" s="6">
        <f t="shared" si="76"/>
        <v>0</v>
      </c>
      <c r="Z380" s="13" t="e">
        <f>IF(MONTH($A380)=MONTH($A379),AVERAGE($Y$6:Y380),Y380)</f>
        <v>#REF!</v>
      </c>
      <c r="AA380" s="13" t="e">
        <f>IF(YEAR($A380)=YEAR($A379),AVERAGE($Y$5:Y380,Y380),Y380)</f>
        <v>#REF!</v>
      </c>
      <c r="AB380" s="13">
        <f t="shared" si="77"/>
        <v>0</v>
      </c>
      <c r="AC380" s="13" t="e">
        <f>IF(MONTH($A380)=MONTH($A379),AVERAGE($AB$5:AB380),AB380)</f>
        <v>#REF!</v>
      </c>
      <c r="AD380" s="13" t="e">
        <f>IF(YEAR($A380)=YEAR($A379),AVERAGE($AB$5:AB379,AB380),AB380)</f>
        <v>#REF!</v>
      </c>
    </row>
    <row r="381" spans="1:30">
      <c r="A381" s="35">
        <f t="shared" si="69"/>
        <v>45668</v>
      </c>
      <c r="F381" s="3"/>
      <c r="J381" s="7">
        <f t="shared" si="68"/>
        <v>0</v>
      </c>
      <c r="S381" s="21">
        <f t="shared" si="70"/>
        <v>0</v>
      </c>
      <c r="T381" s="6">
        <f t="shared" si="71"/>
        <v>0</v>
      </c>
      <c r="U381" s="6">
        <f t="shared" si="72"/>
        <v>0</v>
      </c>
      <c r="V381" s="13">
        <f t="shared" si="73"/>
        <v>0</v>
      </c>
      <c r="W381" s="13">
        <f t="shared" si="74"/>
        <v>0</v>
      </c>
      <c r="X381" s="13">
        <f t="shared" si="75"/>
        <v>0</v>
      </c>
      <c r="Y381" s="6">
        <f t="shared" si="76"/>
        <v>0</v>
      </c>
      <c r="Z381" s="13" t="e">
        <f>IF(MONTH($A381)=MONTH($A380),AVERAGE($Y$6:Y381),Y381)</f>
        <v>#REF!</v>
      </c>
      <c r="AA381" s="13" t="e">
        <f>IF(YEAR($A381)=YEAR($A380),AVERAGE($Y$5:Y381,Y381),Y381)</f>
        <v>#REF!</v>
      </c>
      <c r="AB381" s="13">
        <f t="shared" si="77"/>
        <v>0</v>
      </c>
      <c r="AC381" s="13" t="e">
        <f>IF(MONTH($A381)=MONTH($A380),AVERAGE($AB$5:AB381),AB381)</f>
        <v>#REF!</v>
      </c>
      <c r="AD381" s="13" t="e">
        <f>IF(YEAR($A381)=YEAR($A380),AVERAGE($AB$5:AB380,AB381),AB381)</f>
        <v>#REF!</v>
      </c>
    </row>
    <row r="382" spans="1:30">
      <c r="A382" s="35">
        <f t="shared" si="69"/>
        <v>45669</v>
      </c>
      <c r="F382" s="3"/>
      <c r="J382" s="7">
        <f t="shared" si="68"/>
        <v>0</v>
      </c>
      <c r="S382" s="21">
        <f t="shared" si="70"/>
        <v>0</v>
      </c>
      <c r="T382" s="6">
        <f t="shared" si="71"/>
        <v>0</v>
      </c>
      <c r="U382" s="6">
        <f t="shared" si="72"/>
        <v>0</v>
      </c>
      <c r="V382" s="13">
        <f t="shared" si="73"/>
        <v>0</v>
      </c>
      <c r="W382" s="13">
        <f t="shared" si="74"/>
        <v>0</v>
      </c>
      <c r="X382" s="13">
        <f t="shared" si="75"/>
        <v>0</v>
      </c>
      <c r="Y382" s="6">
        <f t="shared" si="76"/>
        <v>0</v>
      </c>
      <c r="Z382" s="13" t="e">
        <f>IF(MONTH($A382)=MONTH($A381),AVERAGE($Y$6:Y382),Y382)</f>
        <v>#REF!</v>
      </c>
      <c r="AA382" s="13" t="e">
        <f>IF(YEAR($A382)=YEAR($A381),AVERAGE($Y$5:Y382,Y382),Y382)</f>
        <v>#REF!</v>
      </c>
      <c r="AB382" s="13">
        <f t="shared" si="77"/>
        <v>0</v>
      </c>
      <c r="AC382" s="13" t="e">
        <f>IF(MONTH($A382)=MONTH($A381),AVERAGE($AB$5:AB382),AB382)</f>
        <v>#REF!</v>
      </c>
      <c r="AD382" s="13" t="e">
        <f>IF(YEAR($A382)=YEAR($A381),AVERAGE($AB$5:AB381,AB382),AB382)</f>
        <v>#REF!</v>
      </c>
    </row>
    <row r="383" spans="1:30">
      <c r="A383" s="35">
        <f t="shared" si="69"/>
        <v>45670</v>
      </c>
      <c r="F383" s="3"/>
      <c r="J383" s="7">
        <f t="shared" ref="J383:J403" si="78">(I383-H383)*24</f>
        <v>0</v>
      </c>
      <c r="S383" s="21">
        <f t="shared" si="70"/>
        <v>0</v>
      </c>
      <c r="T383" s="6">
        <f t="shared" si="71"/>
        <v>0</v>
      </c>
      <c r="U383" s="6">
        <f t="shared" si="72"/>
        <v>0</v>
      </c>
      <c r="V383" s="13">
        <f t="shared" si="73"/>
        <v>0</v>
      </c>
      <c r="W383" s="13">
        <f t="shared" si="74"/>
        <v>0</v>
      </c>
      <c r="X383" s="13">
        <f t="shared" si="75"/>
        <v>0</v>
      </c>
      <c r="Y383" s="6">
        <f t="shared" si="76"/>
        <v>0</v>
      </c>
      <c r="Z383" s="13" t="e">
        <f>IF(MONTH($A383)=MONTH($A382),AVERAGE($Y$6:Y383),Y383)</f>
        <v>#REF!</v>
      </c>
      <c r="AA383" s="13" t="e">
        <f>IF(YEAR($A383)=YEAR($A382),AVERAGE($Y$5:Y383,Y383),Y383)</f>
        <v>#REF!</v>
      </c>
      <c r="AB383" s="13">
        <f t="shared" si="77"/>
        <v>0</v>
      </c>
      <c r="AC383" s="13" t="e">
        <f>IF(MONTH($A383)=MONTH($A382),AVERAGE($AB$5:AB383),AB383)</f>
        <v>#REF!</v>
      </c>
      <c r="AD383" s="13" t="e">
        <f>IF(YEAR($A383)=YEAR($A382),AVERAGE($AB$5:AB382,AB383),AB383)</f>
        <v>#REF!</v>
      </c>
    </row>
    <row r="384" spans="1:30">
      <c r="A384" s="35">
        <f t="shared" si="69"/>
        <v>45671</v>
      </c>
      <c r="F384" s="3"/>
      <c r="J384" s="7">
        <f t="shared" si="78"/>
        <v>0</v>
      </c>
      <c r="S384" s="21">
        <f t="shared" si="70"/>
        <v>0</v>
      </c>
      <c r="T384" s="6">
        <f t="shared" si="71"/>
        <v>0</v>
      </c>
      <c r="U384" s="6">
        <f t="shared" si="72"/>
        <v>0</v>
      </c>
      <c r="V384" s="13">
        <f t="shared" si="73"/>
        <v>0</v>
      </c>
      <c r="W384" s="13">
        <f t="shared" si="74"/>
        <v>0</v>
      </c>
      <c r="X384" s="13">
        <f t="shared" si="75"/>
        <v>0</v>
      </c>
      <c r="Y384" s="6">
        <f t="shared" si="76"/>
        <v>0</v>
      </c>
      <c r="Z384" s="13" t="e">
        <f>IF(MONTH($A384)=MONTH($A383),AVERAGE($Y$6:Y384),Y384)</f>
        <v>#REF!</v>
      </c>
      <c r="AA384" s="13" t="e">
        <f>IF(YEAR($A384)=YEAR($A383),AVERAGE($Y$5:Y384,Y384),Y384)</f>
        <v>#REF!</v>
      </c>
      <c r="AB384" s="13">
        <f t="shared" si="77"/>
        <v>0</v>
      </c>
      <c r="AC384" s="13" t="e">
        <f>IF(MONTH($A384)=MONTH($A383),AVERAGE($AB$5:AB384),AB384)</f>
        <v>#REF!</v>
      </c>
      <c r="AD384" s="13" t="e">
        <f>IF(YEAR($A384)=YEAR($A383),AVERAGE($AB$5:AB383,AB384),AB384)</f>
        <v>#REF!</v>
      </c>
    </row>
    <row r="385" spans="1:30">
      <c r="A385" s="35">
        <f t="shared" si="69"/>
        <v>45672</v>
      </c>
      <c r="F385" s="3"/>
      <c r="J385" s="7">
        <f t="shared" si="78"/>
        <v>0</v>
      </c>
      <c r="S385" s="21">
        <f t="shared" si="70"/>
        <v>0</v>
      </c>
      <c r="T385" s="6">
        <f t="shared" si="71"/>
        <v>0</v>
      </c>
      <c r="U385" s="6">
        <f t="shared" si="72"/>
        <v>0</v>
      </c>
      <c r="V385" s="13">
        <f t="shared" si="73"/>
        <v>0</v>
      </c>
      <c r="W385" s="13">
        <f t="shared" si="74"/>
        <v>0</v>
      </c>
      <c r="X385" s="13">
        <f t="shared" si="75"/>
        <v>0</v>
      </c>
      <c r="Y385" s="6">
        <f t="shared" si="76"/>
        <v>0</v>
      </c>
      <c r="Z385" s="13" t="e">
        <f>IF(MONTH($A385)=MONTH($A384),AVERAGE($Y$6:Y385),Y385)</f>
        <v>#REF!</v>
      </c>
      <c r="AA385" s="13" t="e">
        <f>IF(YEAR($A385)=YEAR($A384),AVERAGE($Y$5:Y385,Y385),Y385)</f>
        <v>#REF!</v>
      </c>
      <c r="AB385" s="13">
        <f t="shared" si="77"/>
        <v>0</v>
      </c>
      <c r="AC385" s="13" t="e">
        <f>IF(MONTH($A385)=MONTH($A384),AVERAGE($AB$5:AB385),AB385)</f>
        <v>#REF!</v>
      </c>
      <c r="AD385" s="13" t="e">
        <f>IF(YEAR($A385)=YEAR($A384),AVERAGE($AB$5:AB384,AB385),AB385)</f>
        <v>#REF!</v>
      </c>
    </row>
    <row r="386" spans="1:30">
      <c r="A386" s="35">
        <f t="shared" si="69"/>
        <v>45673</v>
      </c>
      <c r="F386" s="3"/>
      <c r="J386" s="7">
        <f t="shared" si="78"/>
        <v>0</v>
      </c>
      <c r="S386" s="21">
        <f t="shared" si="70"/>
        <v>0</v>
      </c>
      <c r="T386" s="6">
        <f t="shared" si="71"/>
        <v>0</v>
      </c>
      <c r="U386" s="6">
        <f t="shared" si="72"/>
        <v>0</v>
      </c>
      <c r="V386" s="13">
        <f t="shared" si="73"/>
        <v>0</v>
      </c>
      <c r="W386" s="13">
        <f t="shared" si="74"/>
        <v>0</v>
      </c>
      <c r="X386" s="13">
        <f t="shared" si="75"/>
        <v>0</v>
      </c>
      <c r="Y386" s="6">
        <f t="shared" si="76"/>
        <v>0</v>
      </c>
      <c r="Z386" s="13" t="e">
        <f>IF(MONTH($A386)=MONTH($A385),AVERAGE($Y$6:Y386),Y386)</f>
        <v>#REF!</v>
      </c>
      <c r="AA386" s="13" t="e">
        <f>IF(YEAR($A386)=YEAR($A385),AVERAGE($Y$5:Y386,Y386),Y386)</f>
        <v>#REF!</v>
      </c>
      <c r="AB386" s="13">
        <f t="shared" si="77"/>
        <v>0</v>
      </c>
      <c r="AC386" s="13" t="e">
        <f>IF(MONTH($A386)=MONTH($A385),AVERAGE($AB$5:AB386),AB386)</f>
        <v>#REF!</v>
      </c>
      <c r="AD386" s="13" t="e">
        <f>IF(YEAR($A386)=YEAR($A385),AVERAGE($AB$5:AB385,AB386),AB386)</f>
        <v>#REF!</v>
      </c>
    </row>
    <row r="387" spans="1:30">
      <c r="A387" s="35">
        <f t="shared" si="69"/>
        <v>45674</v>
      </c>
      <c r="F387" s="3"/>
      <c r="J387" s="7">
        <f t="shared" si="78"/>
        <v>0</v>
      </c>
      <c r="S387" s="21">
        <f t="shared" si="70"/>
        <v>0</v>
      </c>
      <c r="T387" s="6">
        <f t="shared" si="71"/>
        <v>0</v>
      </c>
      <c r="U387" s="6">
        <f t="shared" si="72"/>
        <v>0</v>
      </c>
      <c r="V387" s="13">
        <f t="shared" si="73"/>
        <v>0</v>
      </c>
      <c r="W387" s="13">
        <f t="shared" si="74"/>
        <v>0</v>
      </c>
      <c r="X387" s="13">
        <f t="shared" si="75"/>
        <v>0</v>
      </c>
      <c r="Y387" s="6">
        <f t="shared" si="76"/>
        <v>0</v>
      </c>
      <c r="Z387" s="13" t="e">
        <f>IF(MONTH($A387)=MONTH($A386),AVERAGE($Y$6:Y387),Y387)</f>
        <v>#REF!</v>
      </c>
      <c r="AA387" s="13" t="e">
        <f>IF(YEAR($A387)=YEAR($A386),AVERAGE($Y$5:Y387,Y387),Y387)</f>
        <v>#REF!</v>
      </c>
      <c r="AB387" s="13">
        <f t="shared" si="77"/>
        <v>0</v>
      </c>
      <c r="AC387" s="13" t="e">
        <f>IF(MONTH($A387)=MONTH($A386),AVERAGE($AB$5:AB387),AB387)</f>
        <v>#REF!</v>
      </c>
      <c r="AD387" s="13" t="e">
        <f>IF(YEAR($A387)=YEAR($A386),AVERAGE($AB$5:AB386,AB387),AB387)</f>
        <v>#REF!</v>
      </c>
    </row>
    <row r="388" spans="1:30">
      <c r="A388" s="35">
        <f t="shared" si="69"/>
        <v>45675</v>
      </c>
      <c r="F388" s="3"/>
      <c r="J388" s="7">
        <f t="shared" si="78"/>
        <v>0</v>
      </c>
      <c r="S388" s="21">
        <f t="shared" si="70"/>
        <v>0</v>
      </c>
      <c r="T388" s="6">
        <f t="shared" si="71"/>
        <v>0</v>
      </c>
      <c r="U388" s="6">
        <f t="shared" si="72"/>
        <v>0</v>
      </c>
      <c r="V388" s="13">
        <f t="shared" si="73"/>
        <v>0</v>
      </c>
      <c r="W388" s="13">
        <f t="shared" si="74"/>
        <v>0</v>
      </c>
      <c r="X388" s="13">
        <f t="shared" si="75"/>
        <v>0</v>
      </c>
      <c r="Y388" s="6">
        <f t="shared" si="76"/>
        <v>0</v>
      </c>
      <c r="Z388" s="13" t="e">
        <f>IF(MONTH($A388)=MONTH($A387),AVERAGE($Y$6:Y388),Y388)</f>
        <v>#REF!</v>
      </c>
      <c r="AA388" s="13" t="e">
        <f>IF(YEAR($A388)=YEAR($A387),AVERAGE($Y$5:Y388,Y388),Y388)</f>
        <v>#REF!</v>
      </c>
      <c r="AB388" s="13">
        <f t="shared" si="77"/>
        <v>0</v>
      </c>
      <c r="AC388" s="13" t="e">
        <f>IF(MONTH($A388)=MONTH($A387),AVERAGE($AB$5:AB388),AB388)</f>
        <v>#REF!</v>
      </c>
      <c r="AD388" s="13" t="e">
        <f>IF(YEAR($A388)=YEAR($A387),AVERAGE($AB$5:AB387,AB388),AB388)</f>
        <v>#REF!</v>
      </c>
    </row>
    <row r="389" spans="1:30">
      <c r="A389" s="35">
        <f t="shared" si="69"/>
        <v>45676</v>
      </c>
      <c r="F389" s="3"/>
      <c r="J389" s="7">
        <f t="shared" si="78"/>
        <v>0</v>
      </c>
      <c r="S389" s="21">
        <f t="shared" si="70"/>
        <v>0</v>
      </c>
      <c r="T389" s="6">
        <f t="shared" si="71"/>
        <v>0</v>
      </c>
      <c r="U389" s="6">
        <f t="shared" si="72"/>
        <v>0</v>
      </c>
      <c r="V389" s="13">
        <f t="shared" si="73"/>
        <v>0</v>
      </c>
      <c r="W389" s="13">
        <f t="shared" si="74"/>
        <v>0</v>
      </c>
      <c r="X389" s="13">
        <f t="shared" si="75"/>
        <v>0</v>
      </c>
      <c r="Y389" s="6">
        <f t="shared" si="76"/>
        <v>0</v>
      </c>
      <c r="Z389" s="13" t="e">
        <f>IF(MONTH($A389)=MONTH($A388),AVERAGE($Y$6:Y389),Y389)</f>
        <v>#REF!</v>
      </c>
      <c r="AA389" s="13" t="e">
        <f>IF(YEAR($A389)=YEAR($A388),AVERAGE($Y$5:Y389,Y389),Y389)</f>
        <v>#REF!</v>
      </c>
      <c r="AB389" s="13">
        <f t="shared" si="77"/>
        <v>0</v>
      </c>
      <c r="AC389" s="13" t="e">
        <f>IF(MONTH($A389)=MONTH($A388),AVERAGE($AB$5:AB389),AB389)</f>
        <v>#REF!</v>
      </c>
      <c r="AD389" s="13" t="e">
        <f>IF(YEAR($A389)=YEAR($A388),AVERAGE($AB$5:AB388,AB389),AB389)</f>
        <v>#REF!</v>
      </c>
    </row>
    <row r="390" spans="1:30">
      <c r="A390" s="35">
        <f t="shared" si="69"/>
        <v>45677</v>
      </c>
      <c r="F390" s="3"/>
      <c r="J390" s="7">
        <f t="shared" si="78"/>
        <v>0</v>
      </c>
      <c r="S390" s="21">
        <f t="shared" si="70"/>
        <v>0</v>
      </c>
      <c r="T390" s="6">
        <f t="shared" si="71"/>
        <v>0</v>
      </c>
      <c r="U390" s="6">
        <f t="shared" si="72"/>
        <v>0</v>
      </c>
      <c r="V390" s="13">
        <f t="shared" si="73"/>
        <v>0</v>
      </c>
      <c r="W390" s="13">
        <f t="shared" si="74"/>
        <v>0</v>
      </c>
      <c r="X390" s="13">
        <f t="shared" si="75"/>
        <v>0</v>
      </c>
      <c r="Y390" s="6">
        <f t="shared" si="76"/>
        <v>0</v>
      </c>
      <c r="Z390" s="13" t="e">
        <f>IF(MONTH($A390)=MONTH($A389),AVERAGE($Y$6:Y390),Y390)</f>
        <v>#REF!</v>
      </c>
      <c r="AA390" s="13" t="e">
        <f>IF(YEAR($A390)=YEAR($A389),AVERAGE($Y$5:Y390,Y390),Y390)</f>
        <v>#REF!</v>
      </c>
      <c r="AB390" s="13">
        <f t="shared" si="77"/>
        <v>0</v>
      </c>
      <c r="AC390" s="13" t="e">
        <f>IF(MONTH($A390)=MONTH($A389),AVERAGE($AB$5:AB390),AB390)</f>
        <v>#REF!</v>
      </c>
      <c r="AD390" s="13" t="e">
        <f>IF(YEAR($A390)=YEAR($A389),AVERAGE($AB$5:AB389,AB390),AB390)</f>
        <v>#REF!</v>
      </c>
    </row>
    <row r="391" spans="1:30">
      <c r="A391" s="35">
        <f t="shared" ref="A391:A402" si="79">A390+1</f>
        <v>45678</v>
      </c>
      <c r="F391" s="3"/>
      <c r="J391" s="7">
        <f t="shared" si="78"/>
        <v>0</v>
      </c>
      <c r="S391" s="21">
        <f t="shared" si="70"/>
        <v>0</v>
      </c>
      <c r="T391" s="6">
        <f t="shared" si="71"/>
        <v>0</v>
      </c>
      <c r="U391" s="6">
        <f t="shared" si="72"/>
        <v>0</v>
      </c>
      <c r="V391" s="13">
        <f t="shared" si="73"/>
        <v>0</v>
      </c>
      <c r="W391" s="13">
        <f t="shared" si="74"/>
        <v>0</v>
      </c>
      <c r="X391" s="13">
        <f t="shared" si="75"/>
        <v>0</v>
      </c>
      <c r="Y391" s="6">
        <f t="shared" si="76"/>
        <v>0</v>
      </c>
      <c r="Z391" s="13" t="e">
        <f>IF(MONTH($A391)=MONTH($A390),AVERAGE($Y$6:Y391),Y391)</f>
        <v>#REF!</v>
      </c>
      <c r="AA391" s="13" t="e">
        <f>IF(YEAR($A391)=YEAR($A390),AVERAGE($Y$5:Y391,Y391),Y391)</f>
        <v>#REF!</v>
      </c>
      <c r="AB391" s="13">
        <f t="shared" si="77"/>
        <v>0</v>
      </c>
      <c r="AC391" s="13" t="e">
        <f>IF(MONTH($A391)=MONTH($A390),AVERAGE($AB$5:AB391),AB391)</f>
        <v>#REF!</v>
      </c>
      <c r="AD391" s="13" t="e">
        <f>IF(YEAR($A391)=YEAR($A390),AVERAGE($AB$5:AB390,AB391),AB391)</f>
        <v>#REF!</v>
      </c>
    </row>
    <row r="392" spans="1:30">
      <c r="A392" s="35">
        <f t="shared" si="79"/>
        <v>45679</v>
      </c>
      <c r="F392" s="3"/>
      <c r="J392" s="7">
        <f t="shared" si="78"/>
        <v>0</v>
      </c>
      <c r="S392" s="21">
        <f t="shared" si="70"/>
        <v>0</v>
      </c>
      <c r="T392" s="6">
        <f t="shared" si="71"/>
        <v>0</v>
      </c>
      <c r="U392" s="6">
        <f t="shared" si="72"/>
        <v>0</v>
      </c>
      <c r="V392" s="13">
        <f t="shared" si="73"/>
        <v>0</v>
      </c>
      <c r="W392" s="13">
        <f t="shared" si="74"/>
        <v>0</v>
      </c>
      <c r="X392" s="13">
        <f t="shared" si="75"/>
        <v>0</v>
      </c>
      <c r="Y392" s="6">
        <f t="shared" si="76"/>
        <v>0</v>
      </c>
      <c r="Z392" s="13" t="e">
        <f>IF(MONTH($A392)=MONTH($A391),AVERAGE($Y$6:Y392),Y392)</f>
        <v>#REF!</v>
      </c>
      <c r="AA392" s="13" t="e">
        <f>IF(YEAR($A392)=YEAR($A391),AVERAGE($Y$5:Y392,Y392),Y392)</f>
        <v>#REF!</v>
      </c>
      <c r="AB392" s="13">
        <f t="shared" si="77"/>
        <v>0</v>
      </c>
      <c r="AC392" s="13" t="e">
        <f>IF(MONTH($A392)=MONTH($A391),AVERAGE($AB$5:AB392),AB392)</f>
        <v>#REF!</v>
      </c>
      <c r="AD392" s="13" t="e">
        <f>IF(YEAR($A392)=YEAR($A391),AVERAGE($AB$5:AB391,AB392),AB392)</f>
        <v>#REF!</v>
      </c>
    </row>
    <row r="393" spans="1:30">
      <c r="A393" s="35">
        <f t="shared" si="79"/>
        <v>45680</v>
      </c>
      <c r="F393" s="3"/>
      <c r="J393" s="7">
        <f t="shared" si="78"/>
        <v>0</v>
      </c>
      <c r="S393" s="21">
        <f t="shared" si="70"/>
        <v>0</v>
      </c>
      <c r="T393" s="6">
        <f t="shared" si="71"/>
        <v>0</v>
      </c>
      <c r="U393" s="6">
        <f t="shared" si="72"/>
        <v>0</v>
      </c>
      <c r="V393" s="13">
        <f t="shared" si="73"/>
        <v>0</v>
      </c>
      <c r="W393" s="13">
        <f t="shared" si="74"/>
        <v>0</v>
      </c>
      <c r="X393" s="13">
        <f t="shared" si="75"/>
        <v>0</v>
      </c>
      <c r="Y393" s="6">
        <f t="shared" si="76"/>
        <v>0</v>
      </c>
      <c r="Z393" s="13" t="e">
        <f>IF(MONTH($A393)=MONTH($A392),AVERAGE($Y$6:Y393),Y393)</f>
        <v>#REF!</v>
      </c>
      <c r="AA393" s="13" t="e">
        <f>IF(YEAR($A393)=YEAR($A392),AVERAGE($Y$5:Y393,Y393),Y393)</f>
        <v>#REF!</v>
      </c>
      <c r="AB393" s="13">
        <f t="shared" si="77"/>
        <v>0</v>
      </c>
      <c r="AC393" s="13" t="e">
        <f>IF(MONTH($A393)=MONTH($A392),AVERAGE($AB$5:AB393),AB393)</f>
        <v>#REF!</v>
      </c>
      <c r="AD393" s="13" t="e">
        <f>IF(YEAR($A393)=YEAR($A392),AVERAGE($AB$5:AB392,AB393),AB393)</f>
        <v>#REF!</v>
      </c>
    </row>
    <row r="394" spans="1:30">
      <c r="A394" s="35">
        <f t="shared" si="79"/>
        <v>45681</v>
      </c>
      <c r="F394" s="3"/>
      <c r="J394" s="7">
        <f t="shared" si="78"/>
        <v>0</v>
      </c>
      <c r="S394" s="21">
        <f t="shared" si="70"/>
        <v>0</v>
      </c>
      <c r="T394" s="6">
        <f t="shared" si="71"/>
        <v>0</v>
      </c>
      <c r="U394" s="6">
        <f t="shared" si="72"/>
        <v>0</v>
      </c>
      <c r="V394" s="13">
        <f t="shared" si="73"/>
        <v>0</v>
      </c>
      <c r="W394" s="13">
        <f t="shared" si="74"/>
        <v>0</v>
      </c>
      <c r="X394" s="13">
        <f t="shared" si="75"/>
        <v>0</v>
      </c>
      <c r="Y394" s="6">
        <f t="shared" si="76"/>
        <v>0</v>
      </c>
      <c r="Z394" s="13" t="e">
        <f>IF(MONTH($A394)=MONTH($A393),AVERAGE($Y$6:Y394),Y394)</f>
        <v>#REF!</v>
      </c>
      <c r="AA394" s="13" t="e">
        <f>IF(YEAR($A394)=YEAR($A393),AVERAGE($Y$5:Y394,Y394),Y394)</f>
        <v>#REF!</v>
      </c>
      <c r="AB394" s="13">
        <f t="shared" si="77"/>
        <v>0</v>
      </c>
      <c r="AC394" s="13" t="e">
        <f>IF(MONTH($A394)=MONTH($A393),AVERAGE($AB$5:AB394),AB394)</f>
        <v>#REF!</v>
      </c>
      <c r="AD394" s="13" t="e">
        <f>IF(YEAR($A394)=YEAR($A393),AVERAGE($AB$5:AB393,AB394),AB394)</f>
        <v>#REF!</v>
      </c>
    </row>
    <row r="395" spans="1:30">
      <c r="A395" s="35">
        <f t="shared" si="79"/>
        <v>45682</v>
      </c>
      <c r="F395" s="3"/>
      <c r="J395" s="7">
        <f t="shared" si="78"/>
        <v>0</v>
      </c>
      <c r="S395" s="21">
        <f t="shared" si="70"/>
        <v>0</v>
      </c>
      <c r="T395" s="6">
        <f t="shared" si="71"/>
        <v>0</v>
      </c>
      <c r="U395" s="6">
        <f t="shared" si="72"/>
        <v>0</v>
      </c>
      <c r="V395" s="13">
        <f t="shared" si="73"/>
        <v>0</v>
      </c>
      <c r="W395" s="13">
        <f t="shared" si="74"/>
        <v>0</v>
      </c>
      <c r="X395" s="13">
        <f t="shared" si="75"/>
        <v>0</v>
      </c>
      <c r="Y395" s="6">
        <f t="shared" si="76"/>
        <v>0</v>
      </c>
      <c r="Z395" s="13" t="e">
        <f>IF(MONTH($A395)=MONTH($A394),AVERAGE($Y$6:Y395),Y395)</f>
        <v>#REF!</v>
      </c>
      <c r="AA395" s="13" t="e">
        <f>IF(YEAR($A395)=YEAR($A394),AVERAGE($Y$5:Y395,Y395),Y395)</f>
        <v>#REF!</v>
      </c>
      <c r="AB395" s="13">
        <f t="shared" si="77"/>
        <v>0</v>
      </c>
      <c r="AC395" s="13" t="e">
        <f>IF(MONTH($A395)=MONTH($A394),AVERAGE($AB$5:AB395),AB395)</f>
        <v>#REF!</v>
      </c>
      <c r="AD395" s="13" t="e">
        <f>IF(YEAR($A395)=YEAR($A394),AVERAGE($AB$5:AB394,AB395),AB395)</f>
        <v>#REF!</v>
      </c>
    </row>
    <row r="396" spans="1:30">
      <c r="A396" s="35">
        <f t="shared" si="79"/>
        <v>45683</v>
      </c>
      <c r="F396" s="3"/>
      <c r="J396" s="7">
        <f t="shared" si="78"/>
        <v>0</v>
      </c>
      <c r="S396" s="21">
        <f t="shared" si="70"/>
        <v>0</v>
      </c>
      <c r="T396" s="6">
        <f t="shared" si="71"/>
        <v>0</v>
      </c>
      <c r="U396" s="6">
        <f t="shared" si="72"/>
        <v>0</v>
      </c>
      <c r="V396" s="13">
        <f t="shared" si="73"/>
        <v>0</v>
      </c>
      <c r="W396" s="13">
        <f t="shared" si="74"/>
        <v>0</v>
      </c>
      <c r="X396" s="13">
        <f t="shared" si="75"/>
        <v>0</v>
      </c>
      <c r="Y396" s="6">
        <f t="shared" si="76"/>
        <v>0</v>
      </c>
      <c r="Z396" s="13" t="e">
        <f>IF(MONTH($A396)=MONTH($A395),AVERAGE($Y$6:Y396),Y396)</f>
        <v>#REF!</v>
      </c>
      <c r="AA396" s="13" t="e">
        <f>IF(YEAR($A396)=YEAR($A395),AVERAGE($Y$5:Y396,Y396),Y396)</f>
        <v>#REF!</v>
      </c>
      <c r="AB396" s="13">
        <f t="shared" si="77"/>
        <v>0</v>
      </c>
      <c r="AC396" s="13" t="e">
        <f>IF(MONTH($A396)=MONTH($A395),AVERAGE($AB$5:AB396),AB396)</f>
        <v>#REF!</v>
      </c>
      <c r="AD396" s="13" t="e">
        <f>IF(YEAR($A396)=YEAR($A395),AVERAGE($AB$5:AB395,AB396),AB396)</f>
        <v>#REF!</v>
      </c>
    </row>
    <row r="397" spans="1:30">
      <c r="A397" s="35">
        <f t="shared" si="79"/>
        <v>45684</v>
      </c>
      <c r="F397" s="3"/>
      <c r="J397" s="7">
        <f t="shared" si="78"/>
        <v>0</v>
      </c>
      <c r="S397" s="21">
        <f t="shared" si="70"/>
        <v>0</v>
      </c>
      <c r="T397" s="6">
        <f t="shared" si="71"/>
        <v>0</v>
      </c>
      <c r="U397" s="6">
        <f t="shared" si="72"/>
        <v>0</v>
      </c>
      <c r="V397" s="13">
        <f t="shared" si="73"/>
        <v>0</v>
      </c>
      <c r="W397" s="13">
        <f t="shared" si="74"/>
        <v>0</v>
      </c>
      <c r="X397" s="13">
        <f t="shared" si="75"/>
        <v>0</v>
      </c>
      <c r="Y397" s="6">
        <f t="shared" si="76"/>
        <v>0</v>
      </c>
      <c r="Z397" s="13" t="e">
        <f>IF(MONTH($A397)=MONTH($A396),AVERAGE($Y$6:Y397),Y397)</f>
        <v>#REF!</v>
      </c>
      <c r="AA397" s="13" t="e">
        <f>IF(YEAR($A397)=YEAR($A396),AVERAGE($Y$5:Y397,Y397),Y397)</f>
        <v>#REF!</v>
      </c>
      <c r="AB397" s="13">
        <f t="shared" si="77"/>
        <v>0</v>
      </c>
      <c r="AC397" s="13" t="e">
        <f>IF(MONTH($A397)=MONTH($A396),AVERAGE($AB$5:AB397),AB397)</f>
        <v>#REF!</v>
      </c>
      <c r="AD397" s="13" t="e">
        <f>IF(YEAR($A397)=YEAR($A396),AVERAGE($AB$5:AB396,AB397),AB397)</f>
        <v>#REF!</v>
      </c>
    </row>
    <row r="398" spans="1:30">
      <c r="A398" s="35">
        <f t="shared" si="79"/>
        <v>45685</v>
      </c>
      <c r="F398" s="3"/>
      <c r="J398" s="7">
        <f t="shared" si="78"/>
        <v>0</v>
      </c>
      <c r="S398" s="21">
        <f t="shared" si="70"/>
        <v>0</v>
      </c>
      <c r="T398" s="6">
        <f t="shared" si="71"/>
        <v>0</v>
      </c>
      <c r="U398" s="6">
        <f t="shared" si="72"/>
        <v>0</v>
      </c>
      <c r="V398" s="13">
        <f t="shared" si="73"/>
        <v>0</v>
      </c>
      <c r="W398" s="13">
        <f t="shared" si="74"/>
        <v>0</v>
      </c>
      <c r="X398" s="13">
        <f t="shared" si="75"/>
        <v>0</v>
      </c>
      <c r="Y398" s="6">
        <f t="shared" si="76"/>
        <v>0</v>
      </c>
      <c r="Z398" s="13" t="e">
        <f>IF(MONTH($A398)=MONTH($A397),AVERAGE($Y$6:Y398),Y398)</f>
        <v>#REF!</v>
      </c>
      <c r="AA398" s="13" t="e">
        <f>IF(YEAR($A398)=YEAR($A397),AVERAGE($Y$5:Y398,Y398),Y398)</f>
        <v>#REF!</v>
      </c>
      <c r="AB398" s="13">
        <f t="shared" si="77"/>
        <v>0</v>
      </c>
      <c r="AC398" s="13" t="e">
        <f>IF(MONTH($A398)=MONTH($A397),AVERAGE($AB$5:AB398),AB398)</f>
        <v>#REF!</v>
      </c>
      <c r="AD398" s="13" t="e">
        <f>IF(YEAR($A398)=YEAR($A397),AVERAGE($AB$5:AB397,AB398),AB398)</f>
        <v>#REF!</v>
      </c>
    </row>
    <row r="399" spans="1:30">
      <c r="A399" s="35">
        <f t="shared" si="79"/>
        <v>45686</v>
      </c>
      <c r="F399" s="3"/>
      <c r="J399" s="7">
        <f t="shared" si="78"/>
        <v>0</v>
      </c>
      <c r="S399" s="21">
        <f t="shared" si="70"/>
        <v>0</v>
      </c>
      <c r="T399" s="6">
        <f t="shared" si="71"/>
        <v>0</v>
      </c>
      <c r="U399" s="6">
        <f t="shared" si="72"/>
        <v>0</v>
      </c>
      <c r="V399" s="13">
        <f t="shared" si="73"/>
        <v>0</v>
      </c>
      <c r="W399" s="13">
        <f t="shared" si="74"/>
        <v>0</v>
      </c>
      <c r="X399" s="13">
        <f t="shared" si="75"/>
        <v>0</v>
      </c>
      <c r="Y399" s="6">
        <f t="shared" si="76"/>
        <v>0</v>
      </c>
      <c r="Z399" s="13" t="e">
        <f>IF(MONTH($A399)=MONTH($A398),AVERAGE($Y$6:Y399),Y399)</f>
        <v>#REF!</v>
      </c>
      <c r="AA399" s="13" t="e">
        <f>IF(YEAR($A399)=YEAR($A398),AVERAGE($Y$5:Y399,Y399),Y399)</f>
        <v>#REF!</v>
      </c>
      <c r="AB399" s="13">
        <f t="shared" si="77"/>
        <v>0</v>
      </c>
      <c r="AC399" s="13" t="e">
        <f>IF(MONTH($A399)=MONTH($A398),AVERAGE($AB$5:AB399),AB399)</f>
        <v>#REF!</v>
      </c>
      <c r="AD399" s="13" t="e">
        <f>IF(YEAR($A399)=YEAR($A398),AVERAGE($AB$5:AB398,AB399),AB399)</f>
        <v>#REF!</v>
      </c>
    </row>
    <row r="400" spans="1:30">
      <c r="A400" s="35">
        <f t="shared" si="79"/>
        <v>45687</v>
      </c>
      <c r="F400" s="3"/>
      <c r="J400" s="7">
        <f t="shared" si="78"/>
        <v>0</v>
      </c>
      <c r="S400" s="21">
        <f t="shared" si="70"/>
        <v>0</v>
      </c>
      <c r="T400" s="6">
        <f t="shared" si="71"/>
        <v>0</v>
      </c>
      <c r="U400" s="6">
        <f t="shared" si="72"/>
        <v>0</v>
      </c>
      <c r="V400" s="13">
        <f t="shared" si="73"/>
        <v>0</v>
      </c>
      <c r="W400" s="13">
        <f t="shared" si="74"/>
        <v>0</v>
      </c>
      <c r="X400" s="13">
        <f t="shared" si="75"/>
        <v>0</v>
      </c>
      <c r="Y400" s="6">
        <f t="shared" si="76"/>
        <v>0</v>
      </c>
      <c r="Z400" s="13" t="e">
        <f>IF(MONTH($A400)=MONTH($A399),AVERAGE($Y$6:Y400),Y400)</f>
        <v>#REF!</v>
      </c>
      <c r="AA400" s="13" t="e">
        <f>IF(YEAR($A400)=YEAR($A399),AVERAGE($Y$5:Y400,Y400),Y400)</f>
        <v>#REF!</v>
      </c>
      <c r="AB400" s="13">
        <f t="shared" si="77"/>
        <v>0</v>
      </c>
      <c r="AC400" s="13" t="e">
        <f>IF(MONTH($A400)=MONTH($A399),AVERAGE($AB$5:AB400),AB400)</f>
        <v>#REF!</v>
      </c>
      <c r="AD400" s="13" t="e">
        <f>IF(YEAR($A400)=YEAR($A399),AVERAGE($AB$5:AB399,AB400),AB400)</f>
        <v>#REF!</v>
      </c>
    </row>
    <row r="401" spans="1:30">
      <c r="A401" s="35">
        <f t="shared" si="79"/>
        <v>45688</v>
      </c>
      <c r="F401" s="3"/>
      <c r="J401" s="7">
        <f t="shared" si="78"/>
        <v>0</v>
      </c>
      <c r="S401" s="21">
        <f t="shared" si="70"/>
        <v>0</v>
      </c>
      <c r="T401" s="6">
        <f t="shared" si="71"/>
        <v>0</v>
      </c>
      <c r="U401" s="6">
        <f t="shared" si="72"/>
        <v>0</v>
      </c>
      <c r="V401" s="13">
        <f t="shared" si="73"/>
        <v>0</v>
      </c>
      <c r="W401" s="13">
        <f t="shared" si="74"/>
        <v>0</v>
      </c>
      <c r="X401" s="13">
        <f t="shared" si="75"/>
        <v>0</v>
      </c>
      <c r="Y401" s="6">
        <f t="shared" si="76"/>
        <v>0</v>
      </c>
      <c r="Z401" s="13" t="e">
        <f>IF(MONTH($A401)=MONTH($A400),AVERAGE($Y$6:Y401),Y401)</f>
        <v>#REF!</v>
      </c>
      <c r="AA401" s="13" t="e">
        <f>IF(YEAR($A401)=YEAR($A400),AVERAGE($Y$5:Y401,Y401),Y401)</f>
        <v>#REF!</v>
      </c>
      <c r="AB401" s="13">
        <f t="shared" si="77"/>
        <v>0</v>
      </c>
      <c r="AC401" s="13" t="e">
        <f>IF(MONTH($A401)=MONTH($A400),AVERAGE($AB$5:AB401),AB401)</f>
        <v>#REF!</v>
      </c>
      <c r="AD401" s="13" t="e">
        <f>IF(YEAR($A401)=YEAR($A400),AVERAGE($AB$5:AB400,AB401),AB401)</f>
        <v>#REF!</v>
      </c>
    </row>
    <row r="402" spans="1:30">
      <c r="A402" s="35">
        <f t="shared" si="79"/>
        <v>45689</v>
      </c>
      <c r="F402" s="3"/>
      <c r="J402" s="7">
        <f t="shared" si="78"/>
        <v>0</v>
      </c>
      <c r="S402" s="21">
        <f t="shared" ref="S402:S410" si="80">C402</f>
        <v>0</v>
      </c>
      <c r="T402" s="6">
        <f t="shared" ref="T402:T410" si="81">IF(MONTH($A402)=MONTH($A401),T401+S402,S402)</f>
        <v>0</v>
      </c>
      <c r="U402" s="6">
        <f t="shared" ref="U402:U410" si="82">IF(YEAR($A402)=YEAR($A401),U401+S402,S402)</f>
        <v>0</v>
      </c>
      <c r="V402" s="13">
        <f t="shared" ref="V402:V410" si="83">J402</f>
        <v>0</v>
      </c>
      <c r="W402" s="13">
        <f t="shared" ref="W402:W410" si="84">IF(MONTH($A402)=MONTH($A401),W401+V402,V402)</f>
        <v>0</v>
      </c>
      <c r="X402" s="13">
        <f t="shared" ref="X402:X410" si="85">IF(YEAR($A402)=YEAR($A401),X401+V402,V402)</f>
        <v>0</v>
      </c>
      <c r="Y402" s="6">
        <f t="shared" ref="Y402:Y410" si="86">E402</f>
        <v>0</v>
      </c>
      <c r="Z402" s="13">
        <f>IF(MONTH($A402)=MONTH($A401),AVERAGE($Y$6:Y402),Y402)</f>
        <v>0</v>
      </c>
      <c r="AA402" s="13" t="e">
        <f>IF(YEAR($A402)=YEAR($A401),AVERAGE($Y$5:Y402,Y402),Y402)</f>
        <v>#REF!</v>
      </c>
      <c r="AB402" s="13">
        <f t="shared" ref="AB402:AB410" si="87">G402</f>
        <v>0</v>
      </c>
      <c r="AC402" s="13">
        <f>IF(MONTH($A402)=MONTH($A401),AVERAGE($AB$5:AB402),AB402)</f>
        <v>0</v>
      </c>
      <c r="AD402" s="13" t="e">
        <f>IF(YEAR($A402)=YEAR($A401),AVERAGE($AB$5:AB401,AB402),AB402)</f>
        <v>#REF!</v>
      </c>
    </row>
    <row r="403" spans="1:30">
      <c r="J403" s="7">
        <f t="shared" si="78"/>
        <v>0</v>
      </c>
      <c r="S403" s="21">
        <f t="shared" si="80"/>
        <v>0</v>
      </c>
      <c r="T403" s="6">
        <f t="shared" si="81"/>
        <v>0</v>
      </c>
      <c r="U403" s="6">
        <f t="shared" si="82"/>
        <v>0</v>
      </c>
      <c r="V403" s="13">
        <f t="shared" si="83"/>
        <v>0</v>
      </c>
      <c r="W403" s="13">
        <f t="shared" si="84"/>
        <v>0</v>
      </c>
      <c r="X403" s="13">
        <f t="shared" si="85"/>
        <v>0</v>
      </c>
      <c r="Y403" s="6">
        <f t="shared" si="86"/>
        <v>0</v>
      </c>
      <c r="Z403" s="13">
        <f>IF(MONTH($A403)=MONTH($A402),AVERAGE($Y$6:Y403),Y403)</f>
        <v>0</v>
      </c>
      <c r="AA403" s="13">
        <f>IF(YEAR($A403)=YEAR($A402),AVERAGE($Y$5:Y403,Y403),Y403)</f>
        <v>0</v>
      </c>
      <c r="AB403" s="13">
        <f t="shared" si="87"/>
        <v>0</v>
      </c>
      <c r="AC403" s="13">
        <f>IF(MONTH($A403)=MONTH($A402),AVERAGE($AB$5:AB403),AB403)</f>
        <v>0</v>
      </c>
      <c r="AD403" s="13">
        <f>IF(YEAR($A403)=YEAR($A402),AVERAGE($AB$5:AB402,AB403),AB403)</f>
        <v>0</v>
      </c>
    </row>
    <row r="404" spans="1:30">
      <c r="S404" s="21">
        <f t="shared" si="80"/>
        <v>0</v>
      </c>
      <c r="T404" s="6">
        <f t="shared" si="81"/>
        <v>0</v>
      </c>
      <c r="U404" s="6">
        <f t="shared" si="82"/>
        <v>0</v>
      </c>
      <c r="V404" s="13">
        <f t="shared" si="83"/>
        <v>0</v>
      </c>
      <c r="W404" s="13">
        <f t="shared" si="84"/>
        <v>0</v>
      </c>
      <c r="X404" s="13">
        <f t="shared" si="85"/>
        <v>0</v>
      </c>
      <c r="Y404" s="6">
        <f t="shared" si="86"/>
        <v>0</v>
      </c>
      <c r="Z404" s="13" t="e">
        <f>IF(MONTH($A404)=MONTH($A403),AVERAGE($Y$6:Y404),Y404)</f>
        <v>#REF!</v>
      </c>
      <c r="AA404" s="13" t="e">
        <f>IF(YEAR($A404)=YEAR($A403),AVERAGE($Y$5:Y404,Y404),Y404)</f>
        <v>#REF!</v>
      </c>
      <c r="AB404" s="13">
        <f t="shared" si="87"/>
        <v>0</v>
      </c>
      <c r="AC404" s="13" t="e">
        <f>IF(MONTH($A404)=MONTH($A403),AVERAGE($AB$5:AB404),AB404)</f>
        <v>#REF!</v>
      </c>
      <c r="AD404" s="13" t="e">
        <f>IF(YEAR($A404)=YEAR($A403),AVERAGE($AB$5:AB403,AB404),AB404)</f>
        <v>#REF!</v>
      </c>
    </row>
    <row r="405" spans="1:30">
      <c r="S405" s="21">
        <f t="shared" si="80"/>
        <v>0</v>
      </c>
      <c r="T405" s="6">
        <f t="shared" si="81"/>
        <v>0</v>
      </c>
      <c r="U405" s="6">
        <f t="shared" si="82"/>
        <v>0</v>
      </c>
      <c r="V405" s="13">
        <f t="shared" si="83"/>
        <v>0</v>
      </c>
      <c r="W405" s="13">
        <f t="shared" si="84"/>
        <v>0</v>
      </c>
      <c r="X405" s="13">
        <f t="shared" si="85"/>
        <v>0</v>
      </c>
      <c r="Y405" s="6">
        <f t="shared" si="86"/>
        <v>0</v>
      </c>
      <c r="Z405" s="13" t="e">
        <f>IF(MONTH($A405)=MONTH($A404),AVERAGE($Y$6:Y405),Y405)</f>
        <v>#REF!</v>
      </c>
      <c r="AA405" s="13" t="e">
        <f>IF(YEAR($A405)=YEAR($A404),AVERAGE($Y$5:Y405,Y405),Y405)</f>
        <v>#REF!</v>
      </c>
      <c r="AB405" s="13">
        <f t="shared" si="87"/>
        <v>0</v>
      </c>
      <c r="AC405" s="13" t="e">
        <f>IF(MONTH($A405)=MONTH($A404),AVERAGE($AB$5:AB405),AB405)</f>
        <v>#REF!</v>
      </c>
      <c r="AD405" s="13" t="e">
        <f>IF(YEAR($A405)=YEAR($A404),AVERAGE($AB$5:AB404,AB405),AB405)</f>
        <v>#REF!</v>
      </c>
    </row>
    <row r="406" spans="1:30">
      <c r="S406" s="21">
        <f t="shared" si="80"/>
        <v>0</v>
      </c>
      <c r="T406" s="6">
        <f t="shared" si="81"/>
        <v>0</v>
      </c>
      <c r="U406" s="6">
        <f t="shared" si="82"/>
        <v>0</v>
      </c>
      <c r="V406" s="13">
        <f t="shared" si="83"/>
        <v>0</v>
      </c>
      <c r="W406" s="13">
        <f t="shared" si="84"/>
        <v>0</v>
      </c>
      <c r="X406" s="13">
        <f t="shared" si="85"/>
        <v>0</v>
      </c>
      <c r="Y406" s="6">
        <f t="shared" si="86"/>
        <v>0</v>
      </c>
      <c r="Z406" s="13" t="e">
        <f>IF(MONTH($A406)=MONTH($A405),AVERAGE($Y$6:Y406),Y406)</f>
        <v>#REF!</v>
      </c>
      <c r="AA406" s="13" t="e">
        <f>IF(YEAR($A406)=YEAR($A405),AVERAGE($Y$5:Y406,Y406),Y406)</f>
        <v>#REF!</v>
      </c>
      <c r="AB406" s="13">
        <f t="shared" si="87"/>
        <v>0</v>
      </c>
      <c r="AC406" s="13" t="e">
        <f>IF(MONTH($A406)=MONTH($A405),AVERAGE($AB$5:AB406),AB406)</f>
        <v>#REF!</v>
      </c>
      <c r="AD406" s="13" t="e">
        <f>IF(YEAR($A406)=YEAR($A405),AVERAGE($AB$5:AB405,AB406),AB406)</f>
        <v>#REF!</v>
      </c>
    </row>
    <row r="407" spans="1:30">
      <c r="S407" s="21">
        <f t="shared" si="80"/>
        <v>0</v>
      </c>
      <c r="T407" s="6">
        <f t="shared" si="81"/>
        <v>0</v>
      </c>
      <c r="U407" s="6">
        <f t="shared" si="82"/>
        <v>0</v>
      </c>
      <c r="V407" s="13">
        <f t="shared" si="83"/>
        <v>0</v>
      </c>
      <c r="W407" s="13">
        <f t="shared" si="84"/>
        <v>0</v>
      </c>
      <c r="X407" s="13">
        <f t="shared" si="85"/>
        <v>0</v>
      </c>
      <c r="Y407" s="6">
        <f t="shared" si="86"/>
        <v>0</v>
      </c>
      <c r="Z407" s="13" t="e">
        <f>IF(MONTH($A407)=MONTH($A406),AVERAGE($Y$6:Y407),Y407)</f>
        <v>#REF!</v>
      </c>
      <c r="AA407" s="13" t="e">
        <f>IF(YEAR($A407)=YEAR($A406),AVERAGE($Y$5:Y407,Y407),Y407)</f>
        <v>#REF!</v>
      </c>
      <c r="AB407" s="13">
        <f t="shared" si="87"/>
        <v>0</v>
      </c>
      <c r="AC407" s="13" t="e">
        <f>IF(MONTH($A407)=MONTH($A406),AVERAGE($AB$5:AB407),AB407)</f>
        <v>#REF!</v>
      </c>
      <c r="AD407" s="13" t="e">
        <f>IF(YEAR($A407)=YEAR($A406),AVERAGE($AB$5:AB406,AB407),AB407)</f>
        <v>#REF!</v>
      </c>
    </row>
    <row r="408" spans="1:30">
      <c r="S408" s="21">
        <f t="shared" si="80"/>
        <v>0</v>
      </c>
      <c r="T408" s="6">
        <f t="shared" si="81"/>
        <v>0</v>
      </c>
      <c r="U408" s="6">
        <f t="shared" si="82"/>
        <v>0</v>
      </c>
      <c r="V408" s="13">
        <f t="shared" si="83"/>
        <v>0</v>
      </c>
      <c r="W408" s="13">
        <f t="shared" si="84"/>
        <v>0</v>
      </c>
      <c r="X408" s="13">
        <f t="shared" si="85"/>
        <v>0</v>
      </c>
      <c r="Y408" s="6">
        <f t="shared" si="86"/>
        <v>0</v>
      </c>
      <c r="Z408" s="13" t="e">
        <f>IF(MONTH($A408)=MONTH($A407),AVERAGE($Y$6:Y408),Y408)</f>
        <v>#REF!</v>
      </c>
      <c r="AA408" s="13" t="e">
        <f>IF(YEAR($A408)=YEAR($A407),AVERAGE($Y$5:Y408,Y408),Y408)</f>
        <v>#REF!</v>
      </c>
      <c r="AB408" s="13">
        <f t="shared" si="87"/>
        <v>0</v>
      </c>
      <c r="AC408" s="13" t="e">
        <f>IF(MONTH($A408)=MONTH($A407),AVERAGE($AB$5:AB408),AB408)</f>
        <v>#REF!</v>
      </c>
      <c r="AD408" s="13" t="e">
        <f>IF(YEAR($A408)=YEAR($A407),AVERAGE($AB$5:AB407,AB408),AB408)</f>
        <v>#REF!</v>
      </c>
    </row>
    <row r="409" spans="1:30">
      <c r="S409" s="21">
        <f t="shared" si="80"/>
        <v>0</v>
      </c>
      <c r="T409" s="6">
        <f t="shared" si="81"/>
        <v>0</v>
      </c>
      <c r="U409" s="6">
        <f t="shared" si="82"/>
        <v>0</v>
      </c>
      <c r="V409" s="13">
        <f t="shared" si="83"/>
        <v>0</v>
      </c>
      <c r="W409" s="13">
        <f t="shared" si="84"/>
        <v>0</v>
      </c>
      <c r="X409" s="13">
        <f t="shared" si="85"/>
        <v>0</v>
      </c>
      <c r="Y409" s="6">
        <f t="shared" si="86"/>
        <v>0</v>
      </c>
      <c r="Z409" s="13" t="e">
        <f>IF(MONTH($A409)=MONTH($A408),AVERAGE($Y$6:Y409),Y409)</f>
        <v>#REF!</v>
      </c>
      <c r="AA409" s="13" t="e">
        <f>IF(YEAR($A409)=YEAR($A408),AVERAGE($Y$5:Y409,Y409),Y409)</f>
        <v>#REF!</v>
      </c>
      <c r="AB409" s="13">
        <f t="shared" si="87"/>
        <v>0</v>
      </c>
      <c r="AC409" s="13" t="e">
        <f>IF(MONTH($A409)=MONTH($A408),AVERAGE($AB$5:AB409),AB409)</f>
        <v>#REF!</v>
      </c>
      <c r="AD409" s="13" t="e">
        <f>IF(YEAR($A409)=YEAR($A408),AVERAGE($AB$5:AB408,AB409),AB409)</f>
        <v>#REF!</v>
      </c>
    </row>
    <row r="410" spans="1:30">
      <c r="F410" s="5"/>
      <c r="S410" s="21">
        <f t="shared" si="80"/>
        <v>0</v>
      </c>
      <c r="T410" s="6">
        <f t="shared" si="81"/>
        <v>0</v>
      </c>
      <c r="U410" s="6">
        <f t="shared" si="82"/>
        <v>0</v>
      </c>
      <c r="V410" s="13">
        <f t="shared" si="83"/>
        <v>0</v>
      </c>
      <c r="W410" s="13">
        <f t="shared" si="84"/>
        <v>0</v>
      </c>
      <c r="X410" s="13">
        <f t="shared" si="85"/>
        <v>0</v>
      </c>
      <c r="Y410" s="6">
        <f t="shared" si="86"/>
        <v>0</v>
      </c>
      <c r="Z410" s="13" t="e">
        <f>IF(MONTH($A410)=MONTH($A409),AVERAGE($Y$6:Y410),Y410)</f>
        <v>#REF!</v>
      </c>
      <c r="AA410" s="13" t="e">
        <f>IF(YEAR($A410)=YEAR($A409),AVERAGE($Y$5:Y410,Y410),Y410)</f>
        <v>#REF!</v>
      </c>
      <c r="AB410" s="13">
        <f t="shared" si="87"/>
        <v>0</v>
      </c>
      <c r="AC410" s="13" t="e">
        <f>IF(MONTH($A410)=MONTH($A409),AVERAGE($AB$5:AB410),AB410)</f>
        <v>#REF!</v>
      </c>
      <c r="AD410" s="13" t="e">
        <f>IF(YEAR($A410)=YEAR($A409),AVERAGE($AB$5:AB409,AB410),AB410)</f>
        <v>#REF!</v>
      </c>
    </row>
  </sheetData>
  <mergeCells count="4">
    <mergeCell ref="S1:U1"/>
    <mergeCell ref="V1:X1"/>
    <mergeCell ref="Y1:AA1"/>
    <mergeCell ref="AB1:AD1"/>
  </mergeCells>
  <conditionalFormatting sqref="A93:XFD96">
    <cfRule type="cellIs" dxfId="8" priority="11" operator="equal">
      <formula>MAX($C$96:$C$125)</formula>
    </cfRule>
  </conditionalFormatting>
  <conditionalFormatting sqref="C65:C95">
    <cfRule type="cellIs" dxfId="7" priority="9" operator="equal">
      <formula>MAX($C$65:$C$95)</formula>
    </cfRule>
  </conditionalFormatting>
  <conditionalFormatting sqref="C96:C108 C110:C125">
    <cfRule type="cellIs" dxfId="6" priority="7" operator="equal">
      <formula>MAX($C$96:$C$125)</formula>
    </cfRule>
  </conditionalFormatting>
  <conditionalFormatting sqref="C110:C1048576 C1:C108">
    <cfRule type="cellIs" dxfId="5" priority="6" operator="equal">
      <formula>MAX($C:$C)</formula>
    </cfRule>
  </conditionalFormatting>
  <conditionalFormatting sqref="C126:C156">
    <cfRule type="cellIs" dxfId="4" priority="4" operator="equal">
      <formula>MAX($C$126:$C$156)</formula>
    </cfRule>
  </conditionalFormatting>
  <conditionalFormatting sqref="C187:C217">
    <cfRule type="cellIs" dxfId="3" priority="3" operator="equal">
      <formula>MAX($C$187:$C$217)</formula>
    </cfRule>
  </conditionalFormatting>
  <conditionalFormatting sqref="C218:C248">
    <cfRule type="cellIs" dxfId="2" priority="2" operator="equal">
      <formula>MAX($C$218:$C$248)</formula>
    </cfRule>
  </conditionalFormatting>
  <conditionalFormatting sqref="C249:C278">
    <cfRule type="cellIs" dxfId="1" priority="1" operator="equal">
      <formula>MAX($C$249:$C$278)</formula>
    </cfRule>
  </conditionalFormatting>
  <conditionalFormatting sqref="G96:G125">
    <cfRule type="cellIs" dxfId="0" priority="5" operator="equal">
      <formula>MAX($G$96:$G$125)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K44"/>
  <sheetViews>
    <sheetView topLeftCell="A7" zoomScaleNormal="100" workbookViewId="0">
      <pane xSplit="1" topLeftCell="AC27" activePane="topRight" state="frozen"/>
      <selection pane="topRight" activeCell="AJ27" sqref="AJ27"/>
    </sheetView>
  </sheetViews>
  <sheetFormatPr defaultColWidth="11.5703125" defaultRowHeight="15"/>
  <cols>
    <col min="1" max="1" width="19.140625" bestFit="1" customWidth="1"/>
    <col min="2" max="2" width="8.7109375" bestFit="1" customWidth="1"/>
    <col min="3" max="3" width="11.28515625" bestFit="1" customWidth="1"/>
    <col min="4" max="4" width="8.7109375" bestFit="1" customWidth="1"/>
    <col min="5" max="5" width="11.28515625" customWidth="1"/>
    <col min="6" max="6" width="10.85546875" customWidth="1"/>
    <col min="7" max="7" width="11.7109375" customWidth="1"/>
    <col min="8" max="8" width="12.5703125" bestFit="1" customWidth="1"/>
    <col min="10" max="10" width="12.5703125" bestFit="1" customWidth="1"/>
    <col min="12" max="12" width="12.5703125" bestFit="1" customWidth="1"/>
    <col min="14" max="14" width="11.42578125" customWidth="1"/>
    <col min="15" max="15" width="12.140625" hidden="1" customWidth="1"/>
    <col min="16" max="16" width="13.7109375" hidden="1" customWidth="1"/>
    <col min="18" max="18" width="9.5703125" bestFit="1" customWidth="1"/>
    <col min="19" max="19" width="8.7109375" hidden="1" customWidth="1"/>
    <col min="20" max="20" width="10.140625" hidden="1" customWidth="1"/>
    <col min="23" max="23" width="11.140625" hidden="1" customWidth="1"/>
    <col min="24" max="24" width="10.140625" hidden="1" customWidth="1"/>
    <col min="27" max="28" width="0" hidden="1" customWidth="1"/>
    <col min="31" max="31" width="11.140625" hidden="1" customWidth="1"/>
    <col min="32" max="32" width="10.140625" hidden="1" customWidth="1"/>
  </cols>
  <sheetData>
    <row r="1" spans="1:37" ht="15.75">
      <c r="A1" s="121" t="s">
        <v>228</v>
      </c>
      <c r="B1" s="121"/>
      <c r="C1" s="121"/>
      <c r="D1" s="121"/>
      <c r="E1" s="121"/>
      <c r="F1" s="121"/>
      <c r="G1" s="121"/>
    </row>
    <row r="2" spans="1:37" ht="16.5" thickBot="1">
      <c r="A2" s="124" t="s">
        <v>229</v>
      </c>
      <c r="B2" s="125"/>
      <c r="C2" s="125"/>
      <c r="D2" s="125"/>
      <c r="E2" s="125"/>
      <c r="F2" s="125"/>
      <c r="G2" s="125"/>
    </row>
    <row r="3" spans="1:37" ht="15.75" thickBot="1">
      <c r="A3" s="122" t="s">
        <v>230</v>
      </c>
      <c r="B3" s="107" t="s">
        <v>231</v>
      </c>
      <c r="C3" s="110"/>
      <c r="D3" s="107" t="s">
        <v>232</v>
      </c>
      <c r="E3" s="110"/>
      <c r="F3" s="107" t="s">
        <v>233</v>
      </c>
      <c r="G3" s="110"/>
      <c r="H3" s="107" t="s">
        <v>234</v>
      </c>
      <c r="I3" s="110"/>
      <c r="J3" s="107" t="s">
        <v>235</v>
      </c>
      <c r="K3" s="110"/>
      <c r="L3" s="107" t="s">
        <v>236</v>
      </c>
      <c r="M3" s="110"/>
      <c r="N3" s="107" t="s">
        <v>237</v>
      </c>
      <c r="O3" s="108"/>
      <c r="P3" s="109"/>
      <c r="Q3" s="110"/>
      <c r="R3" s="107" t="s">
        <v>238</v>
      </c>
      <c r="S3" s="108"/>
      <c r="T3" s="109"/>
      <c r="U3" s="110"/>
      <c r="V3" s="107" t="s">
        <v>239</v>
      </c>
      <c r="W3" s="108"/>
      <c r="X3" s="109"/>
      <c r="Y3" s="110"/>
      <c r="Z3" s="107" t="s">
        <v>240</v>
      </c>
      <c r="AA3" s="108"/>
      <c r="AB3" s="109"/>
      <c r="AC3" s="110"/>
      <c r="AD3" s="107" t="s">
        <v>241</v>
      </c>
      <c r="AE3" s="108"/>
      <c r="AF3" s="109"/>
      <c r="AG3" s="110"/>
      <c r="AH3" s="107" t="s">
        <v>242</v>
      </c>
      <c r="AI3" s="108"/>
      <c r="AJ3" s="109"/>
      <c r="AK3" s="110"/>
    </row>
    <row r="4" spans="1:37" ht="60.75" thickBot="1">
      <c r="A4" s="123"/>
      <c r="B4" s="44" t="s">
        <v>243</v>
      </c>
      <c r="C4" s="46" t="s">
        <v>244</v>
      </c>
      <c r="D4" s="29" t="s">
        <v>243</v>
      </c>
      <c r="E4" s="30" t="s">
        <v>244</v>
      </c>
      <c r="F4" s="29" t="s">
        <v>243</v>
      </c>
      <c r="G4" s="78" t="s">
        <v>245</v>
      </c>
      <c r="H4" s="29" t="s">
        <v>243</v>
      </c>
      <c r="I4" s="78" t="s">
        <v>245</v>
      </c>
      <c r="J4" s="29" t="s">
        <v>243</v>
      </c>
      <c r="K4" s="78" t="s">
        <v>245</v>
      </c>
      <c r="L4" s="29" t="s">
        <v>243</v>
      </c>
      <c r="M4" s="78" t="s">
        <v>245</v>
      </c>
      <c r="N4" s="29" t="s">
        <v>243</v>
      </c>
      <c r="O4" s="53" t="s">
        <v>246</v>
      </c>
      <c r="P4" s="77" t="s">
        <v>247</v>
      </c>
      <c r="Q4" s="78" t="s">
        <v>245</v>
      </c>
      <c r="R4" s="29" t="s">
        <v>243</v>
      </c>
      <c r="S4" s="53" t="s">
        <v>246</v>
      </c>
      <c r="T4" s="77" t="s">
        <v>247</v>
      </c>
      <c r="U4" s="78" t="s">
        <v>245</v>
      </c>
      <c r="V4" s="29" t="s">
        <v>243</v>
      </c>
      <c r="W4" s="53" t="s">
        <v>246</v>
      </c>
      <c r="X4" s="77" t="s">
        <v>247</v>
      </c>
      <c r="Y4" s="78" t="s">
        <v>245</v>
      </c>
      <c r="Z4" s="29" t="s">
        <v>243</v>
      </c>
      <c r="AA4" s="53" t="s">
        <v>246</v>
      </c>
      <c r="AB4" s="77" t="s">
        <v>247</v>
      </c>
      <c r="AC4" s="78" t="s">
        <v>245</v>
      </c>
      <c r="AD4" s="29" t="s">
        <v>243</v>
      </c>
      <c r="AE4" s="53" t="s">
        <v>246</v>
      </c>
      <c r="AF4" s="77" t="s">
        <v>247</v>
      </c>
      <c r="AG4" s="78" t="s">
        <v>245</v>
      </c>
      <c r="AH4" s="29" t="s">
        <v>243</v>
      </c>
      <c r="AI4" s="53" t="s">
        <v>246</v>
      </c>
      <c r="AJ4" s="77" t="s">
        <v>247</v>
      </c>
      <c r="AK4" s="78" t="s">
        <v>245</v>
      </c>
    </row>
    <row r="5" spans="1:37">
      <c r="A5" s="41">
        <v>1</v>
      </c>
      <c r="B5" s="47">
        <f>'Reporte Diario 2024'!C5</f>
        <v>239.8467326354</v>
      </c>
      <c r="C5" s="48">
        <v>294.48</v>
      </c>
      <c r="D5" s="27">
        <f>'Reporte Diario 2024'!C36</f>
        <v>321.68411797010003</v>
      </c>
      <c r="E5" s="28">
        <f>'Reporte Diario 2024'!F36/'Reporte Diario 2024'!J36</f>
        <v>378.83534883720927</v>
      </c>
      <c r="F5" s="27">
        <f>+'Reporte Diario 2024'!C65</f>
        <v>634.87030863810003</v>
      </c>
      <c r="G5" s="28">
        <f>+'Reporte Diario 2024'!F65/'Reporte Diario 2024'!J65</f>
        <v>750.46367583212736</v>
      </c>
      <c r="H5" s="27">
        <f>'Reporte Diario 2024'!C96</f>
        <v>711.92919487120002</v>
      </c>
      <c r="I5" s="28">
        <f>'Reporte Diario 2024'!F96/'Reporte Diario 2024'!J96</f>
        <v>816.68606896551717</v>
      </c>
      <c r="J5" s="27">
        <f>'Reporte Diario 2024'!C126</f>
        <v>430.12770670909998</v>
      </c>
      <c r="K5" s="28">
        <f>'Reporte Diario 2024'!F126/'Reporte Diario 2024'!J126</f>
        <v>484.76680851063833</v>
      </c>
      <c r="L5" s="27">
        <f>'Reporte Diario 2024'!C157</f>
        <v>222.3589771844</v>
      </c>
      <c r="M5" s="28">
        <f>'Reporte Diario 2024'!F157/'Reporte Diario 2024'!J157</f>
        <v>625.74967741935495</v>
      </c>
      <c r="N5" s="27" cm="1">
        <f t="array" ref="N5:N35">Julio</f>
        <v>641.62882144130003</v>
      </c>
      <c r="O5" s="54">
        <v>514.29999999999995</v>
      </c>
      <c r="P5" s="79">
        <f>IF(N5&gt;0,N5-O5,0)</f>
        <v>127.32882144130008</v>
      </c>
      <c r="Q5" s="28">
        <f>IF(N5&gt;0,'Reporte Diario 2024'!F187/'Reporte Diario 2024'!J187,0)</f>
        <v>650.22835443037968</v>
      </c>
      <c r="R5" s="27">
        <f t="array" ref="R5:R35">Agosto</f>
        <v>320.938749304</v>
      </c>
      <c r="S5" s="54">
        <v>511.93</v>
      </c>
      <c r="T5" s="79">
        <f>IF(R5&gt;0,R5-S5,0)</f>
        <v>-190.99125069600001</v>
      </c>
      <c r="U5" s="28">
        <f>IF(R5&gt;0,'Reporte Diario 2024'!F218/'Reporte Diario 2024'!J218,0)</f>
        <v>316.68816326530606</v>
      </c>
      <c r="V5" s="27">
        <f t="array" ref="V5:V35">SEPTIEMBRE</f>
        <v>701.26532245630005</v>
      </c>
      <c r="W5" s="54">
        <v>526.72</v>
      </c>
      <c r="X5" s="79">
        <f>IF(V5&gt;0,V5-W5,0)</f>
        <v>174.54532245630003</v>
      </c>
      <c r="Y5" s="28">
        <f>IF(V5&gt;0,'Reporte Diario 2024'!F249/'Reporte Diario 2024'!J249,0)</f>
        <v>794.2520547945204</v>
      </c>
      <c r="Z5" s="27">
        <f t="array" ref="Z5:Z35">Octubre</f>
        <v>582.24640155060001</v>
      </c>
      <c r="AA5" s="54">
        <v>507.81</v>
      </c>
      <c r="AB5" s="79">
        <f>IF(Z5&gt;0,Z5-AA5,0)</f>
        <v>74.43640155060001</v>
      </c>
      <c r="AC5" s="28">
        <f>IF(Z5&gt;0,'Reporte Diario 2024'!F279/'Reporte Diario 2024'!J279,0)</f>
        <v>729.84788321167889</v>
      </c>
      <c r="AD5" s="27">
        <f t="array" ref="AD5:AD34">NOVIEMBRE</f>
        <v>244.44</v>
      </c>
      <c r="AE5" s="54">
        <v>523.15</v>
      </c>
      <c r="AF5" s="79">
        <f>IF(AD5&gt;0,AD5-AE5,0)</f>
        <v>-278.70999999999998</v>
      </c>
      <c r="AG5" s="28">
        <f>IF(AD5&gt;0,'Reporte Diario 2024'!F310/'Reporte Diario 2024'!J310,0)</f>
        <v>351.84327272727268</v>
      </c>
      <c r="AH5" s="27">
        <f t="array" ref="AH5:AH35">DICIEMBRE</f>
        <v>495.41</v>
      </c>
      <c r="AI5" s="54">
        <v>505.27</v>
      </c>
      <c r="AJ5" s="79">
        <f>IF(AH5&gt;0,AH5-AI5,0)</f>
        <v>-9.8599999999999568</v>
      </c>
      <c r="AK5" s="28">
        <f>IF(AH5&gt;0,'Reporte Diario 2024'!F340/'Reporte Diario 2024'!J340,0)</f>
        <v>647.73677419354829</v>
      </c>
    </row>
    <row r="6" spans="1:37">
      <c r="A6" s="42">
        <v>2</v>
      </c>
      <c r="B6" s="49">
        <f>'Reporte Diario 2024'!C6</f>
        <v>472.4709134066</v>
      </c>
      <c r="C6" s="50">
        <v>509.07</v>
      </c>
      <c r="D6" s="27">
        <f>'Reporte Diario 2024'!C37</f>
        <v>116.8619389956</v>
      </c>
      <c r="E6" s="28">
        <f>'Reporte Diario 2024'!F37/'Reporte Diario 2024'!J37</f>
        <v>126.9851030110935</v>
      </c>
      <c r="F6" s="27">
        <f>+'Reporte Diario 2024'!C66</f>
        <v>619.69376562520006</v>
      </c>
      <c r="G6" s="28">
        <f>+'Reporte Diario 2024'!F66/'Reporte Diario 2024'!J66</f>
        <v>737.38510948905093</v>
      </c>
      <c r="H6" s="27">
        <f>'Reporte Diario 2024'!C97</f>
        <v>725.48774157960008</v>
      </c>
      <c r="I6" s="28">
        <f>'Reporte Diario 2024'!F97/'Reporte Diario 2024'!J97</f>
        <v>829.14786206896542</v>
      </c>
      <c r="J6" s="27">
        <f>'Reporte Diario 2024'!C127</f>
        <v>332.44387644750003</v>
      </c>
      <c r="K6" s="28">
        <f>'Reporte Diario 2024'!F127/'Reporte Diario 2024'!J127</f>
        <v>347.68531468531478</v>
      </c>
      <c r="L6" s="27">
        <f>'Reporte Diario 2024'!C158</f>
        <v>298.88339366230002</v>
      </c>
      <c r="M6" s="28">
        <f>'Reporte Diario 2024'!F158/'Reporte Diario 2024'!J158</f>
        <v>284.19974025974022</v>
      </c>
      <c r="N6" s="27">
        <v>389.87709933410002</v>
      </c>
      <c r="O6" s="54">
        <f>O5</f>
        <v>514.29999999999995</v>
      </c>
      <c r="P6" s="79">
        <f t="shared" ref="P6:P35" si="0">IF(N6&gt;0,N6-O6,0)</f>
        <v>-124.42290066589993</v>
      </c>
      <c r="Q6" s="28">
        <f>IF(N6&gt;0,'Reporte Diario 2024'!F188/'Reporte Diario 2024'!J188,0)</f>
        <v>375.81692307692316</v>
      </c>
      <c r="R6" s="27">
        <v>543.70542506449999</v>
      </c>
      <c r="S6" s="54">
        <f>S5</f>
        <v>511.93</v>
      </c>
      <c r="T6" s="79">
        <f t="shared" ref="T6:T35" si="1">IF(R6&gt;0,R6-S6,0)</f>
        <v>31.775425064499984</v>
      </c>
      <c r="U6" s="28">
        <f>IF(R6&gt;0,'Reporte Diario 2024'!F219/'Reporte Diario 2024'!J219,0)</f>
        <v>585.4054054054053</v>
      </c>
      <c r="V6" s="27">
        <v>494.53154537970005</v>
      </c>
      <c r="W6" s="54">
        <v>526.72</v>
      </c>
      <c r="X6" s="79">
        <f t="shared" ref="X6:X34" si="2">IF(V6&gt;0,V6-W6,0)</f>
        <v>-32.188454620299979</v>
      </c>
      <c r="Y6" s="28">
        <f>IF(V6&gt;0,'Reporte Diario 2024'!F250/'Reporte Diario 2024'!J250,0)</f>
        <v>558.50265734265724</v>
      </c>
      <c r="Z6" s="27">
        <v>609.92228549130004</v>
      </c>
      <c r="AA6" s="54">
        <v>507.81</v>
      </c>
      <c r="AB6" s="79">
        <f t="shared" ref="AB6:AB34" si="3">IF(Z6&gt;0,Z6-AA6,0)</f>
        <v>102.11228549130004</v>
      </c>
      <c r="AC6" s="28">
        <f>IF(Z6&gt;0,'Reporte Diario 2024'!F280/'Reporte Diario 2024'!J280,0)</f>
        <v>773.02499999999986</v>
      </c>
      <c r="AD6" s="27">
        <v>360.62</v>
      </c>
      <c r="AE6" s="54">
        <v>523.15</v>
      </c>
      <c r="AF6" s="79">
        <f t="shared" ref="AF6:AF34" si="4">IF(AD6&gt;0,AD6-AE6,0)</f>
        <v>-162.52999999999997</v>
      </c>
      <c r="AG6" s="28">
        <f>IF(AD6&gt;0,'Reporte Diario 2024'!F311/'Reporte Diario 2024'!J311,0)</f>
        <v>451.67704918032797</v>
      </c>
      <c r="AH6" s="27">
        <v>472.31</v>
      </c>
      <c r="AI6" s="54">
        <v>505.27</v>
      </c>
      <c r="AJ6" s="79">
        <f t="shared" ref="AJ6:AJ35" si="5">IF(AH6&gt;0,AH6-AI6,0)</f>
        <v>-32.95999999999998</v>
      </c>
      <c r="AK6" s="28">
        <f>IF(AH6&gt;0,'Reporte Diario 2024'!F341/'Reporte Diario 2024'!J341,0)</f>
        <v>619.41967741935468</v>
      </c>
    </row>
    <row r="7" spans="1:37">
      <c r="A7" s="42">
        <v>3</v>
      </c>
      <c r="B7" s="49">
        <f>'Reporte Diario 2024'!C7</f>
        <v>188.5350001985</v>
      </c>
      <c r="C7" s="50">
        <v>192.1</v>
      </c>
      <c r="D7" s="27">
        <f>'Reporte Diario 2024'!C38</f>
        <v>314.97116590109999</v>
      </c>
      <c r="E7" s="28">
        <f>'Reporte Diario 2024'!F38/'Reporte Diario 2024'!J38</f>
        <v>376.31428571428569</v>
      </c>
      <c r="F7" s="27">
        <f>+'Reporte Diario 2024'!C67</f>
        <v>650.4032794707</v>
      </c>
      <c r="G7" s="28">
        <f>+'Reporte Diario 2024'!F67/'Reporte Diario 2024'!J67</f>
        <v>761.17609329446066</v>
      </c>
      <c r="H7" s="27">
        <f>'Reporte Diario 2024'!C98</f>
        <v>702.14053176200002</v>
      </c>
      <c r="I7" s="28">
        <f>'Reporte Diario 2024'!F98/'Reporte Diario 2024'!J98</f>
        <v>796.73753424657536</v>
      </c>
      <c r="J7" s="27">
        <f>'Reporte Diario 2024'!C128</f>
        <v>444.89301121020003</v>
      </c>
      <c r="K7" s="28">
        <f>'Reporte Diario 2024'!F128/'Reporte Diario 2024'!J128</f>
        <v>465.61279999999999</v>
      </c>
      <c r="L7" s="27">
        <f>'Reporte Diario 2024'!C159</f>
        <v>383.19984090000003</v>
      </c>
      <c r="M7" s="28">
        <f>'Reporte Diario 2024'!F159/'Reporte Diario 2024'!J159</f>
        <v>400.77116883116872</v>
      </c>
      <c r="N7" s="27">
        <v>351.75771674250001</v>
      </c>
      <c r="O7" s="54">
        <v>514.29999999999995</v>
      </c>
      <c r="P7" s="79">
        <f t="shared" si="0"/>
        <v>-162.54228325749995</v>
      </c>
      <c r="Q7" s="28">
        <f>IF(N7&gt;0,'Reporte Diario 2024'!F189/'Reporte Diario 2024'!J189,0)</f>
        <v>320.44657894736844</v>
      </c>
      <c r="R7" s="27">
        <v>703.94887763320003</v>
      </c>
      <c r="S7" s="54">
        <f t="shared" ref="S7:S35" si="6">S6</f>
        <v>511.93</v>
      </c>
      <c r="T7" s="79">
        <f t="shared" si="1"/>
        <v>192.01887763320002</v>
      </c>
      <c r="U7" s="28">
        <f>IF(R7&gt;0,'Reporte Diario 2024'!F220/'Reporte Diario 2024'!J220,0)</f>
        <v>780.8</v>
      </c>
      <c r="V7" s="27">
        <v>253.04180731209999</v>
      </c>
      <c r="W7" s="54">
        <v>526.72</v>
      </c>
      <c r="X7" s="79">
        <f t="shared" si="2"/>
        <v>-273.67819268790004</v>
      </c>
      <c r="Y7" s="28">
        <f>IF(V7&gt;0,'Reporte Diario 2024'!F251/'Reporte Diario 2024'!J251,0)</f>
        <v>266.00272727272727</v>
      </c>
      <c r="Z7" s="27">
        <v>557.5989111422</v>
      </c>
      <c r="AA7" s="54">
        <v>507.81</v>
      </c>
      <c r="AB7" s="79">
        <f t="shared" si="3"/>
        <v>49.788911142199993</v>
      </c>
      <c r="AC7" s="28">
        <f>IF(Z7&gt;0,'Reporte Diario 2024'!F281/'Reporte Diario 2024'!J281,0)</f>
        <v>682.83107913669051</v>
      </c>
      <c r="AD7" s="27">
        <v>474.99</v>
      </c>
      <c r="AE7" s="54">
        <v>523.15</v>
      </c>
      <c r="AF7" s="79">
        <f t="shared" si="4"/>
        <v>-48.159999999999968</v>
      </c>
      <c r="AG7" s="28">
        <f>IF(AD7&gt;0,'Reporte Diario 2024'!F312/'Reporte Diario 2024'!J312,0)</f>
        <v>598.67813953488371</v>
      </c>
      <c r="AH7" s="27">
        <v>460.68</v>
      </c>
      <c r="AI7" s="54">
        <v>505.27</v>
      </c>
      <c r="AJ7" s="79">
        <f t="shared" si="5"/>
        <v>-44.589999999999975</v>
      </c>
      <c r="AK7" s="28">
        <f>IF(AH7&gt;0,'Reporte Diario 2024'!F342/'Reporte Diario 2024'!J342,0)</f>
        <v>590.80857142857133</v>
      </c>
    </row>
    <row r="8" spans="1:37">
      <c r="A8" s="42">
        <v>4</v>
      </c>
      <c r="B8" s="49">
        <f>'Reporte Diario 2024'!C8</f>
        <v>509.50959111819998</v>
      </c>
      <c r="C8" s="50">
        <v>571.39</v>
      </c>
      <c r="D8" s="27">
        <f>'Reporte Diario 2024'!C39</f>
        <v>444.71950055970001</v>
      </c>
      <c r="E8" s="28">
        <f>'Reporte Diario 2024'!F39/'Reporte Diario 2024'!J39</f>
        <v>537.69689440993784</v>
      </c>
      <c r="F8" s="27">
        <f>+'Reporte Diario 2024'!C68</f>
        <v>505.75006319639999</v>
      </c>
      <c r="G8" s="28">
        <f>+'Reporte Diario 2024'!F68/'Reporte Diario 2024'!J68</f>
        <v>584.37554585152839</v>
      </c>
      <c r="H8" s="27">
        <f>'Reporte Diario 2024'!C99</f>
        <v>561.64168003869997</v>
      </c>
      <c r="I8" s="28">
        <f>'Reporte Diario 2024'!F99/'Reporte Diario 2024'!J99</f>
        <v>641.69377593360991</v>
      </c>
      <c r="J8" s="27">
        <f>'Reporte Diario 2024'!C129</f>
        <v>492.55704914949996</v>
      </c>
      <c r="K8" s="28">
        <f>'Reporte Diario 2024'!F129/'Reporte Diario 2024'!J129</f>
        <v>553.31594594594594</v>
      </c>
      <c r="L8" s="27">
        <f>'Reporte Diario 2024'!C160</f>
        <v>455.03580769109999</v>
      </c>
      <c r="M8" s="28">
        <f>'Reporte Diario 2024'!F160/'Reporte Diario 2024'!J160</f>
        <v>520.80156862745105</v>
      </c>
      <c r="N8" s="27">
        <v>624.14880402439996</v>
      </c>
      <c r="O8" s="54">
        <v>514.29999999999995</v>
      </c>
      <c r="P8" s="79">
        <f t="shared" si="0"/>
        <v>109.84880402440001</v>
      </c>
      <c r="Q8" s="28">
        <f>IF(N8&gt;0,'Reporte Diario 2024'!F190/'Reporte Diario 2024'!J190,0)</f>
        <v>626.91286624203826</v>
      </c>
      <c r="R8" s="27">
        <v>709.9933598225</v>
      </c>
      <c r="S8" s="54">
        <f t="shared" si="6"/>
        <v>511.93</v>
      </c>
      <c r="T8" s="79">
        <f t="shared" si="1"/>
        <v>198.06335982249999</v>
      </c>
      <c r="U8" s="28">
        <f>IF(R8&gt;0,'Reporte Diario 2024'!F221/'Reporte Diario 2024'!J221,0)</f>
        <v>778.03921568627447</v>
      </c>
      <c r="V8" s="27">
        <v>573.69817700599992</v>
      </c>
      <c r="W8" s="54">
        <v>526.72</v>
      </c>
      <c r="X8" s="79">
        <f t="shared" si="2"/>
        <v>46.978177005999896</v>
      </c>
      <c r="Y8" s="28">
        <f>IF(V8&gt;0,'Reporte Diario 2024'!F252/'Reporte Diario 2024'!J252,0)</f>
        <v>650.74262068965504</v>
      </c>
      <c r="Z8" s="27">
        <v>508.90005648059997</v>
      </c>
      <c r="AA8" s="54">
        <v>507.81</v>
      </c>
      <c r="AB8" s="79">
        <f t="shared" si="3"/>
        <v>1.0900564805999693</v>
      </c>
      <c r="AC8" s="28">
        <f>IF(Z8&gt;0,'Reporte Diario 2024'!F282/'Reporte Diario 2024'!J282,0)</f>
        <v>613.08608695652174</v>
      </c>
      <c r="AD8" s="27">
        <v>359.11</v>
      </c>
      <c r="AE8" s="54">
        <v>523.15</v>
      </c>
      <c r="AF8" s="79">
        <f t="shared" si="4"/>
        <v>-164.03999999999996</v>
      </c>
      <c r="AG8" s="28">
        <f>IF(AD8&gt;0,'Reporte Diario 2024'!F313/'Reporte Diario 2024'!J313,0)</f>
        <v>516.61745454545451</v>
      </c>
      <c r="AH8" s="27">
        <v>194.34</v>
      </c>
      <c r="AI8" s="54">
        <v>505.27</v>
      </c>
      <c r="AJ8" s="79">
        <f t="shared" si="5"/>
        <v>-310.92999999999995</v>
      </c>
      <c r="AK8" s="28">
        <f>IF(AH8&gt;0,'Reporte Diario 2024'!F343/'Reporte Diario 2024'!J343,0)</f>
        <v>224.79173553719005</v>
      </c>
    </row>
    <row r="9" spans="1:37">
      <c r="A9" s="42">
        <v>5</v>
      </c>
      <c r="B9" s="49">
        <f>'Reporte Diario 2024'!C9</f>
        <v>335.83397505400001</v>
      </c>
      <c r="C9" s="50">
        <v>293.64</v>
      </c>
      <c r="D9" s="27">
        <f>'Reporte Diario 2024'!C40</f>
        <v>445.76227996810002</v>
      </c>
      <c r="E9" s="28">
        <f>'Reporte Diario 2024'!F40/'Reporte Diario 2024'!J40</f>
        <v>557.9805255023183</v>
      </c>
      <c r="F9" s="27">
        <f>+'Reporte Diario 2024'!C69</f>
        <v>606.83041183509999</v>
      </c>
      <c r="G9" s="28">
        <f>+'Reporte Diario 2024'!F69/'Reporte Diario 2024'!J69</f>
        <v>695.97662337662348</v>
      </c>
      <c r="H9" s="27">
        <f>'Reporte Diario 2024'!C100</f>
        <v>518.68243384699997</v>
      </c>
      <c r="I9" s="28">
        <f>'Reporte Diario 2024'!F100/'Reporte Diario 2024'!J100</f>
        <v>588.01401098901101</v>
      </c>
      <c r="J9" s="27">
        <f>'Reporte Diario 2024'!C130</f>
        <v>592.89873163279992</v>
      </c>
      <c r="K9" s="28">
        <f>'Reporte Diario 2024'!F130/'Reporte Diario 2024'!J130</f>
        <v>654.33503355704693</v>
      </c>
      <c r="L9" s="27">
        <f>'Reporte Diario 2024'!C161</f>
        <v>430.17029975449998</v>
      </c>
      <c r="M9" s="28">
        <f>'Reporte Diario 2024'!F161/'Reporte Diario 2024'!J161</f>
        <v>644.89599999999996</v>
      </c>
      <c r="N9" s="27">
        <v>431.24415078340002</v>
      </c>
      <c r="O9" s="54">
        <v>514.29999999999995</v>
      </c>
      <c r="P9" s="79">
        <f t="shared" si="0"/>
        <v>-83.055849216599938</v>
      </c>
      <c r="Q9" s="28">
        <f>IF(N9&gt;0,'Reporte Diario 2024'!F191/'Reporte Diario 2024'!J191,0)</f>
        <v>446.1913725490196</v>
      </c>
      <c r="R9" s="27">
        <v>670.18602393169999</v>
      </c>
      <c r="S9" s="54">
        <f t="shared" si="6"/>
        <v>511.93</v>
      </c>
      <c r="T9" s="79">
        <f t="shared" si="1"/>
        <v>158.25602393169999</v>
      </c>
      <c r="U9" s="28">
        <f>IF(R9&gt;0,'Reporte Diario 2024'!F222/'Reporte Diario 2024'!J222,0)</f>
        <v>739.09350993377484</v>
      </c>
      <c r="V9" s="27">
        <v>583.31005141129992</v>
      </c>
      <c r="W9" s="54">
        <v>526.72</v>
      </c>
      <c r="X9" s="79">
        <f t="shared" si="2"/>
        <v>56.590051411299896</v>
      </c>
      <c r="Y9" s="28">
        <f>IF(V9&gt;0,'Reporte Diario 2024'!F253/'Reporte Diario 2024'!J253,0)</f>
        <v>654.9219310344829</v>
      </c>
      <c r="Z9" s="27">
        <v>485.93990259950004</v>
      </c>
      <c r="AA9" s="54">
        <v>507.81</v>
      </c>
      <c r="AB9" s="79">
        <f t="shared" si="3"/>
        <v>-21.870097400499958</v>
      </c>
      <c r="AC9" s="28">
        <f>IF(Z9&gt;0,'Reporte Diario 2024'!F283/'Reporte Diario 2024'!J283,0)</f>
        <v>612.96</v>
      </c>
      <c r="AD9" s="27">
        <v>323.87</v>
      </c>
      <c r="AE9" s="54">
        <v>523.15</v>
      </c>
      <c r="AF9" s="79">
        <f t="shared" si="4"/>
        <v>-199.27999999999997</v>
      </c>
      <c r="AG9" s="28">
        <f>IF(AD9&gt;0,'Reporte Diario 2024'!F314/'Reporte Diario 2024'!J314,0)</f>
        <v>364.46636363636367</v>
      </c>
      <c r="AH9" s="27">
        <v>432.55</v>
      </c>
      <c r="AI9" s="54">
        <v>505.27</v>
      </c>
      <c r="AJ9" s="79">
        <f t="shared" si="5"/>
        <v>-72.71999999999997</v>
      </c>
      <c r="AK9" s="28">
        <f>IF(AH9&gt;0,'Reporte Diario 2024'!F344/'Reporte Diario 2024'!J344,0)</f>
        <v>530.09531249999998</v>
      </c>
    </row>
    <row r="10" spans="1:37">
      <c r="A10" s="42">
        <v>6</v>
      </c>
      <c r="B10" s="49">
        <f>'Reporte Diario 2024'!C10</f>
        <v>532.53440937080006</v>
      </c>
      <c r="C10" s="50">
        <v>428.93</v>
      </c>
      <c r="D10" s="27">
        <f>'Reporte Diario 2024'!C41</f>
        <v>247.458954758</v>
      </c>
      <c r="E10" s="28">
        <f>'Reporte Diario 2024'!F41/'Reporte Diario 2024'!J41</f>
        <v>312.14685990338171</v>
      </c>
      <c r="F10" s="27">
        <f>+'Reporte Diario 2024'!C70</f>
        <v>651.82459416229995</v>
      </c>
      <c r="G10" s="28">
        <f>+'Reporte Diario 2024'!F70/'Reporte Diario 2024'!J70</f>
        <v>763.21991341991361</v>
      </c>
      <c r="H10" s="27">
        <f>'Reporte Diario 2024'!C101</f>
        <v>501.093997151</v>
      </c>
      <c r="I10" s="28">
        <f>'Reporte Diario 2024'!F101/'Reporte Diario 2024'!J101</f>
        <v>570.09711934156371</v>
      </c>
      <c r="J10" s="27">
        <f>'Reporte Diario 2024'!C131</f>
        <v>530.61355818129994</v>
      </c>
      <c r="K10" s="28">
        <f>'Reporte Diario 2024'!F131/'Reporte Diario 2024'!J131</f>
        <v>676.38656249999997</v>
      </c>
      <c r="L10" s="27">
        <f>'Reporte Diario 2024'!C162</f>
        <v>514.74330927640005</v>
      </c>
      <c r="M10" s="28">
        <f>'Reporte Diario 2024'!F162/'Reporte Diario 2024'!J162</f>
        <v>566.9928000000001</v>
      </c>
      <c r="N10" s="27">
        <v>625.01234526259998</v>
      </c>
      <c r="O10" s="54">
        <v>514.29999999999995</v>
      </c>
      <c r="P10" s="79">
        <f t="shared" si="0"/>
        <v>110.71234526260002</v>
      </c>
      <c r="Q10" s="28">
        <f>IF(N10&gt;0,'Reporte Diario 2024'!F192/'Reporte Diario 2024'!J192,0)</f>
        <v>645.95450980392161</v>
      </c>
      <c r="R10" s="27">
        <v>671.11902544060001</v>
      </c>
      <c r="S10" s="54">
        <f t="shared" si="6"/>
        <v>511.93</v>
      </c>
      <c r="T10" s="79">
        <f t="shared" si="1"/>
        <v>159.18902544060001</v>
      </c>
      <c r="U10" s="28">
        <f>IF(R10&gt;0,'Reporte Diario 2024'!F223/'Reporte Diario 2024'!J223,0)</f>
        <v>730.98000000000013</v>
      </c>
      <c r="V10" s="27">
        <v>588.72004674180005</v>
      </c>
      <c r="W10" s="54">
        <v>526.72</v>
      </c>
      <c r="X10" s="79">
        <f t="shared" si="2"/>
        <v>62.00004674180002</v>
      </c>
      <c r="Y10" s="28">
        <f>IF(V10&gt;0,'Reporte Diario 2024'!F254/'Reporte Diario 2024'!J254,0)</f>
        <v>684.19282758620693</v>
      </c>
      <c r="Z10" s="27">
        <v>471.90238998410001</v>
      </c>
      <c r="AA10" s="54">
        <v>507.81</v>
      </c>
      <c r="AB10" s="79">
        <f t="shared" si="3"/>
        <v>-35.907610015899991</v>
      </c>
      <c r="AC10" s="28">
        <f>IF(Z10&gt;0,'Reporte Diario 2024'!F284/'Reporte Diario 2024'!J284,0)</f>
        <v>582.98933333333321</v>
      </c>
      <c r="AD10" s="27">
        <v>491.51</v>
      </c>
      <c r="AE10" s="54">
        <v>523.15</v>
      </c>
      <c r="AF10" s="79">
        <f t="shared" si="4"/>
        <v>-31.639999999999986</v>
      </c>
      <c r="AG10" s="28">
        <f>IF(AD10&gt;0,'Reporte Diario 2024'!F315/'Reporte Diario 2024'!J315,0)</f>
        <v>596.52549618320609</v>
      </c>
      <c r="AH10" s="27">
        <v>494.54</v>
      </c>
      <c r="AI10" s="54">
        <v>505.27</v>
      </c>
      <c r="AJ10" s="79">
        <f t="shared" si="5"/>
        <v>-10.729999999999961</v>
      </c>
      <c r="AK10" s="28">
        <f>IF(AH10&gt;0,'Reporte Diario 2024'!F345/'Reporte Diario 2024'!J345,0)</f>
        <v>628.32843749999995</v>
      </c>
    </row>
    <row r="11" spans="1:37">
      <c r="A11" s="42">
        <v>7</v>
      </c>
      <c r="B11" s="49">
        <f>'Reporte Diario 2024'!C11</f>
        <v>529.56836674149997</v>
      </c>
      <c r="C11" s="50">
        <v>529.71</v>
      </c>
      <c r="D11" s="27">
        <f>'Reporte Diario 2024'!C42</f>
        <v>479.94789057949998</v>
      </c>
      <c r="E11" s="28">
        <f>'Reporte Diario 2024'!F42/'Reporte Diario 2024'!J42</f>
        <v>566.91842900302106</v>
      </c>
      <c r="F11" s="27">
        <f>+'Reporte Diario 2024'!C71</f>
        <v>501.87605662959999</v>
      </c>
      <c r="G11" s="28">
        <f>+'Reporte Diario 2024'!F71/'Reporte Diario 2024'!J71</f>
        <v>591.30436046511625</v>
      </c>
      <c r="H11" s="27">
        <f>'Reporte Diario 2024'!C102</f>
        <v>525.79304282359999</v>
      </c>
      <c r="I11" s="28">
        <f>'Reporte Diario 2024'!F102/'Reporte Diario 2024'!J102</f>
        <v>597.27889655172396</v>
      </c>
      <c r="J11" s="27">
        <f>'Reporte Diario 2024'!C132</f>
        <v>650.97415843509998</v>
      </c>
      <c r="K11" s="28">
        <f>'Reporte Diario 2024'!F132/'Reporte Diario 2024'!J132</f>
        <v>703.43763157894716</v>
      </c>
      <c r="L11" s="27">
        <f>'Reporte Diario 2024'!C163</f>
        <v>344.3090191142</v>
      </c>
      <c r="M11" s="28">
        <f>'Reporte Diario 2024'!F163/'Reporte Diario 2024'!J163</f>
        <v>357.00238410596023</v>
      </c>
      <c r="N11" s="27">
        <v>633.10729608200006</v>
      </c>
      <c r="O11" s="54">
        <v>514.29999999999995</v>
      </c>
      <c r="P11" s="79">
        <f t="shared" si="0"/>
        <v>118.80729608200011</v>
      </c>
      <c r="Q11" s="28">
        <f>IF(N11&gt;0,'Reporte Diario 2024'!F193/'Reporte Diario 2024'!J193,0)</f>
        <v>647.77714285714296</v>
      </c>
      <c r="R11" s="27">
        <v>574.18669723010009</v>
      </c>
      <c r="S11" s="54">
        <f t="shared" si="6"/>
        <v>511.93</v>
      </c>
      <c r="T11" s="79">
        <f t="shared" si="1"/>
        <v>62.256697230100087</v>
      </c>
      <c r="U11" s="28">
        <f>IF(R11&gt;0,'Reporte Diario 2024'!F224/'Reporte Diario 2024'!J224,0)</f>
        <v>617.07019867549673</v>
      </c>
      <c r="V11" s="27">
        <v>585.42555386790002</v>
      </c>
      <c r="W11" s="54">
        <v>526.72</v>
      </c>
      <c r="X11" s="79">
        <f t="shared" si="2"/>
        <v>58.705553867899994</v>
      </c>
      <c r="Y11" s="28">
        <f>IF(V11&gt;0,'Reporte Diario 2024'!F255/'Reporte Diario 2024'!J255,0)</f>
        <v>683.41114285714286</v>
      </c>
      <c r="Z11" s="27">
        <v>528.78946119689999</v>
      </c>
      <c r="AA11" s="54">
        <v>507.81</v>
      </c>
      <c r="AB11" s="79">
        <f t="shared" si="3"/>
        <v>20.97946119689999</v>
      </c>
      <c r="AC11" s="28">
        <f>IF(Z11&gt;0,'Reporte Diario 2024'!F285/'Reporte Diario 2024'!J285,0)</f>
        <v>651.61611940298496</v>
      </c>
      <c r="AD11" s="27">
        <v>335.65</v>
      </c>
      <c r="AE11" s="54">
        <v>523.15</v>
      </c>
      <c r="AF11" s="79">
        <f t="shared" si="4"/>
        <v>-187.5</v>
      </c>
      <c r="AG11" s="28">
        <f>IF(AD11&gt;0,'Reporte Diario 2024'!F316/'Reporte Diario 2024'!J316,0)</f>
        <v>471.64821428571429</v>
      </c>
      <c r="AH11" s="27">
        <v>457.99</v>
      </c>
      <c r="AI11" s="54">
        <v>505.27</v>
      </c>
      <c r="AJ11" s="79">
        <f t="shared" si="5"/>
        <v>-47.279999999999973</v>
      </c>
      <c r="AK11" s="28">
        <f>IF(AH11&gt;0,'Reporte Diario 2024'!F346/'Reporte Diario 2024'!J346,0)</f>
        <v>602.59968000000015</v>
      </c>
    </row>
    <row r="12" spans="1:37">
      <c r="A12" s="42">
        <v>8</v>
      </c>
      <c r="B12" s="49">
        <f>'Reporte Diario 2024'!C12</f>
        <v>529.05831283589998</v>
      </c>
      <c r="C12" s="50">
        <v>570.42999999999995</v>
      </c>
      <c r="D12" s="27">
        <f>'Reporte Diario 2024'!C43</f>
        <v>403.2715475956</v>
      </c>
      <c r="E12" s="28">
        <f>'Reporte Diario 2024'!F43/'Reporte Diario 2024'!J43</f>
        <v>472.83545454545452</v>
      </c>
      <c r="F12" s="27">
        <f>+'Reporte Diario 2024'!C72</f>
        <v>589.25622425469999</v>
      </c>
      <c r="G12" s="28">
        <f>+'Reporte Diario 2024'!F72/'Reporte Diario 2024'!J72</f>
        <v>697.37441860465117</v>
      </c>
      <c r="H12" s="27">
        <f>'Reporte Diario 2024'!C103</f>
        <v>499.94669981020002</v>
      </c>
      <c r="I12" s="28">
        <f>'Reporte Diario 2024'!F103/'Reporte Diario 2024'!J103</f>
        <v>555.82499999999993</v>
      </c>
      <c r="J12" s="27">
        <f>'Reporte Diario 2024'!C133</f>
        <v>652.57390877930004</v>
      </c>
      <c r="K12" s="28">
        <f>'Reporte Diario 2024'!F133/'Reporte Diario 2024'!J133</f>
        <v>711.37679999999989</v>
      </c>
      <c r="L12" s="27">
        <f>'Reporte Diario 2024'!C164</f>
        <v>579.4299711914</v>
      </c>
      <c r="M12" s="28">
        <f>'Reporte Diario 2024'!F164/'Reporte Diario 2024'!J164</f>
        <v>662.83788079470185</v>
      </c>
      <c r="N12" s="27">
        <v>648.77863719959998</v>
      </c>
      <c r="O12" s="54">
        <v>514.29999999999995</v>
      </c>
      <c r="P12" s="79">
        <f t="shared" si="0"/>
        <v>134.47863719960003</v>
      </c>
      <c r="Q12" s="28">
        <f>IF(N12&gt;0,'Reporte Diario 2024'!F194/'Reporte Diario 2024'!J194,0)</f>
        <v>696</v>
      </c>
      <c r="R12" s="27">
        <v>652.40518994199999</v>
      </c>
      <c r="S12" s="54">
        <f t="shared" si="6"/>
        <v>511.93</v>
      </c>
      <c r="T12" s="79">
        <f t="shared" si="1"/>
        <v>140.47518994199999</v>
      </c>
      <c r="U12" s="28">
        <f>IF(R12&gt;0,'Reporte Diario 2024'!F225/'Reporte Diario 2024'!J225,0)</f>
        <v>728.27364238410598</v>
      </c>
      <c r="V12" s="27">
        <v>604.24829602839998</v>
      </c>
      <c r="W12" s="54">
        <v>526.72</v>
      </c>
      <c r="X12" s="79">
        <f t="shared" si="2"/>
        <v>77.52829602839995</v>
      </c>
      <c r="Y12" s="28">
        <f>IF(V12&gt;0,'Reporte Diario 2024'!F256/'Reporte Diario 2024'!J256,0)</f>
        <v>704.11098591549296</v>
      </c>
      <c r="Z12" s="27">
        <v>342.40535411070005</v>
      </c>
      <c r="AA12" s="54">
        <v>507.81</v>
      </c>
      <c r="AB12" s="79">
        <f t="shared" si="3"/>
        <v>-165.40464588929996</v>
      </c>
      <c r="AC12" s="28">
        <f>IF(Z12&gt;0,'Reporte Diario 2024'!F286/'Reporte Diario 2024'!J286,0)</f>
        <v>406.47733333333326</v>
      </c>
      <c r="AD12" s="27">
        <v>315.13</v>
      </c>
      <c r="AE12" s="54">
        <v>523.15</v>
      </c>
      <c r="AF12" s="79">
        <f t="shared" si="4"/>
        <v>-208.01999999999998</v>
      </c>
      <c r="AG12" s="28">
        <f>IF(AD12&gt;0,'Reporte Diario 2024'!F317/'Reporte Diario 2024'!J317,0)</f>
        <v>429.34974358974375</v>
      </c>
      <c r="AH12" s="27">
        <v>453.57</v>
      </c>
      <c r="AI12" s="54">
        <v>505.27</v>
      </c>
      <c r="AJ12" s="79">
        <f t="shared" si="5"/>
        <v>-51.699999999999989</v>
      </c>
      <c r="AK12" s="28">
        <f>IF(AH12&gt;0,'Reporte Diario 2024'!F347/'Reporte Diario 2024'!J347,0)</f>
        <v>587.06476190476189</v>
      </c>
    </row>
    <row r="13" spans="1:37">
      <c r="A13" s="42">
        <v>9</v>
      </c>
      <c r="B13" s="49">
        <f>'Reporte Diario 2024'!C13</f>
        <v>514.81752405399993</v>
      </c>
      <c r="C13" s="50">
        <v>490.69</v>
      </c>
      <c r="D13" s="27">
        <f>'Reporte Diario 2024'!C44</f>
        <v>571.17043444370006</v>
      </c>
      <c r="E13" s="28">
        <f>'Reporte Diario 2024'!F44/'Reporte Diario 2024'!J44</f>
        <v>704.38571428571436</v>
      </c>
      <c r="F13" s="27">
        <f>+'Reporte Diario 2024'!C73</f>
        <v>646.36253654500001</v>
      </c>
      <c r="G13" s="28">
        <f>+'Reporte Diario 2024'!F73/'Reporte Diario 2024'!J73</f>
        <v>775.8366812227074</v>
      </c>
      <c r="H13" s="27">
        <f>'Reporte Diario 2024'!C104</f>
        <v>162.66470944229999</v>
      </c>
      <c r="I13" s="28">
        <f>'Reporte Diario 2024'!F104/'Reporte Diario 2024'!J104</f>
        <v>263.82916666666671</v>
      </c>
      <c r="J13" s="27">
        <f>'Reporte Diario 2024'!C134</f>
        <v>678.50174409919998</v>
      </c>
      <c r="K13" s="28">
        <f>'Reporte Diario 2024'!F134/'Reporte Diario 2024'!J134</f>
        <v>743.99921568627451</v>
      </c>
      <c r="L13" s="27">
        <f>'Reporte Diario 2024'!C165</f>
        <v>650.71247416740005</v>
      </c>
      <c r="M13" s="28">
        <f>'Reporte Diario 2024'!F165/'Reporte Diario 2024'!J165</f>
        <v>716.22623376623358</v>
      </c>
      <c r="N13" s="27">
        <v>475.70158174930003</v>
      </c>
      <c r="O13" s="54">
        <v>514.29999999999995</v>
      </c>
      <c r="P13" s="79">
        <f t="shared" si="0"/>
        <v>-38.598418250699922</v>
      </c>
      <c r="Q13" s="28">
        <f>IF(N13&gt;0,'Reporte Diario 2024'!F195/'Reporte Diario 2024'!J195,0)</f>
        <v>544.05405405405395</v>
      </c>
      <c r="R13" s="27">
        <v>687.69716732070003</v>
      </c>
      <c r="S13" s="54">
        <f t="shared" si="6"/>
        <v>511.93</v>
      </c>
      <c r="T13" s="79">
        <f t="shared" si="1"/>
        <v>175.76716732070003</v>
      </c>
      <c r="U13" s="28">
        <f>IF(R13&gt;0,'Reporte Diario 2024'!F226/'Reporte Diario 2024'!J226,0)</f>
        <v>752.99440000000004</v>
      </c>
      <c r="V13" s="27">
        <v>622.8206680298</v>
      </c>
      <c r="W13" s="54">
        <v>526.72</v>
      </c>
      <c r="X13" s="79">
        <f t="shared" si="2"/>
        <v>96.100668029799976</v>
      </c>
      <c r="Y13" s="28">
        <f>IF(V13&gt;0,'Reporte Diario 2024'!F257/'Reporte Diario 2024'!J257,0)</f>
        <v>728.07884892086327</v>
      </c>
      <c r="Z13" s="27">
        <v>437.80982257100004</v>
      </c>
      <c r="AA13" s="54">
        <v>507.81</v>
      </c>
      <c r="AB13" s="79">
        <f t="shared" si="3"/>
        <v>-70.000177428999962</v>
      </c>
      <c r="AC13" s="28">
        <f>IF(Z13&gt;0,'Reporte Diario 2024'!F287/'Reporte Diario 2024'!J287,0)</f>
        <v>528.85313868613139</v>
      </c>
      <c r="AD13" s="27">
        <v>331.65</v>
      </c>
      <c r="AE13" s="54">
        <v>523.15</v>
      </c>
      <c r="AF13" s="79">
        <f t="shared" si="4"/>
        <v>-191.5</v>
      </c>
      <c r="AG13" s="28">
        <f>IF(AD13&gt;0,'Reporte Diario 2024'!F318/'Reporte Diario 2024'!J318,0)</f>
        <v>394.75031249999995</v>
      </c>
      <c r="AH13" s="27">
        <v>350.03</v>
      </c>
      <c r="AI13" s="54">
        <v>505.27</v>
      </c>
      <c r="AJ13" s="79">
        <f t="shared" si="5"/>
        <v>-155.24</v>
      </c>
      <c r="AK13" s="28">
        <f>IF(AH13&gt;0,'Reporte Diario 2024'!F348/'Reporte Diario 2024'!J348,0)</f>
        <v>440.02110236220483</v>
      </c>
    </row>
    <row r="14" spans="1:37">
      <c r="A14" s="42">
        <v>10</v>
      </c>
      <c r="B14" s="49">
        <f>'Reporte Diario 2024'!C14</f>
        <v>525.2257117559999</v>
      </c>
      <c r="C14" s="50">
        <v>406.47</v>
      </c>
      <c r="D14" s="27">
        <f>'Reporte Diario 2024'!C45</f>
        <v>537.05913980520006</v>
      </c>
      <c r="E14" s="28">
        <f>'Reporte Diario 2024'!F45/'Reporte Diario 2024'!J45</f>
        <v>474.27264437689956</v>
      </c>
      <c r="F14" s="27">
        <f>+'Reporte Diario 2024'!C74</f>
        <v>631.18664054919998</v>
      </c>
      <c r="G14" s="28">
        <f>+'Reporte Diario 2024'!F74/'Reporte Diario 2024'!J74</f>
        <v>753.14199134199134</v>
      </c>
      <c r="H14" s="27">
        <f>'Reporte Diario 2024'!C105</f>
        <v>687.91392682679998</v>
      </c>
      <c r="I14" s="28">
        <f>'Reporte Diario 2024'!F105/'Reporte Diario 2024'!J105</f>
        <v>773.3886332882272</v>
      </c>
      <c r="J14" s="27">
        <f>'Reporte Diario 2024'!C135</f>
        <v>651.49856887869998</v>
      </c>
      <c r="K14" s="28">
        <f>'Reporte Diario 2024'!F135/'Reporte Diario 2024'!J135</f>
        <v>668.56230769230751</v>
      </c>
      <c r="L14" s="27">
        <f>'Reporte Diario 2024'!C166</f>
        <v>630.03277593090002</v>
      </c>
      <c r="M14" s="28">
        <f>'Reporte Diario 2024'!F166/'Reporte Diario 2024'!J166</f>
        <v>669.39133757961793</v>
      </c>
      <c r="N14" s="27">
        <v>382.63576450760002</v>
      </c>
      <c r="O14" s="54">
        <v>514.29999999999995</v>
      </c>
      <c r="P14" s="79">
        <f t="shared" si="0"/>
        <v>-131.66423549239994</v>
      </c>
      <c r="Q14" s="28">
        <f>IF(N14&gt;0,'Reporte Diario 2024'!F196/'Reporte Diario 2024'!J196,0)</f>
        <v>415.51020408163259</v>
      </c>
      <c r="R14" s="27">
        <v>654.76839035839998</v>
      </c>
      <c r="S14" s="54">
        <f t="shared" si="6"/>
        <v>511.93</v>
      </c>
      <c r="T14" s="79">
        <f t="shared" si="1"/>
        <v>142.83839035839998</v>
      </c>
      <c r="U14" s="28">
        <f>IF(R14&gt;0,'Reporte Diario 2024'!F227/'Reporte Diario 2024'!J227,0)</f>
        <v>715.59839999999997</v>
      </c>
      <c r="V14" s="27">
        <v>602.32335601379998</v>
      </c>
      <c r="W14" s="54">
        <v>526.72</v>
      </c>
      <c r="X14" s="79">
        <f t="shared" si="2"/>
        <v>75.603356013799953</v>
      </c>
      <c r="Y14" s="28">
        <f>IF(V14&gt;0,'Reporte Diario 2024'!F258/'Reporte Diario 2024'!J258,0)</f>
        <v>711.48839160839157</v>
      </c>
      <c r="Z14" s="27">
        <v>510.5109612059</v>
      </c>
      <c r="AA14" s="54">
        <v>507.81</v>
      </c>
      <c r="AB14" s="79">
        <f t="shared" si="3"/>
        <v>2.7009612059000006</v>
      </c>
      <c r="AC14" s="28">
        <f>IF(Z14&gt;0,'Reporte Diario 2024'!F288/'Reporte Diario 2024'!J288,0)</f>
        <v>678.62112000000002</v>
      </c>
      <c r="AD14" s="27">
        <v>217.72</v>
      </c>
      <c r="AE14" s="54">
        <v>523.15</v>
      </c>
      <c r="AF14" s="79">
        <f t="shared" si="4"/>
        <v>-305.42999999999995</v>
      </c>
      <c r="AG14" s="28">
        <f>IF(AD14&gt;0,'Reporte Diario 2024'!F319/'Reporte Diario 2024'!J319,0)</f>
        <v>254.44721311475408</v>
      </c>
      <c r="AH14" s="27">
        <v>350.72</v>
      </c>
      <c r="AI14" s="54">
        <v>505.27</v>
      </c>
      <c r="AJ14" s="79">
        <f t="shared" si="5"/>
        <v>-154.54999999999995</v>
      </c>
      <c r="AK14" s="28">
        <f>IF(AH14&gt;0,'Reporte Diario 2024'!F349/'Reporte Diario 2024'!J349,0)</f>
        <v>445.10496000000012</v>
      </c>
    </row>
    <row r="15" spans="1:37">
      <c r="A15" s="42">
        <v>11</v>
      </c>
      <c r="B15" s="49">
        <f>'Reporte Diario 2024'!C15</f>
        <v>526.99414837680001</v>
      </c>
      <c r="C15" s="50">
        <v>450.48</v>
      </c>
      <c r="D15" s="27">
        <f>'Reporte Diario 2024'!C46</f>
        <v>592.63151112040009</v>
      </c>
      <c r="E15" s="28">
        <f>'Reporte Diario 2024'!F46/'Reporte Diario 2024'!J46</f>
        <v>740.78712574850317</v>
      </c>
      <c r="F15" s="27">
        <f>+'Reporte Diario 2024'!C75</f>
        <v>581.9536396643</v>
      </c>
      <c r="G15" s="28">
        <f>+'Reporte Diario 2024'!F75/'Reporte Diario 2024'!J75</f>
        <v>672.33474576271169</v>
      </c>
      <c r="H15" s="27">
        <f>'Reporte Diario 2024'!C106</f>
        <v>728.10096669799998</v>
      </c>
      <c r="I15" s="28">
        <f>'Reporte Diario 2024'!F106/'Reporte Diario 2024'!J106</f>
        <v>804.47027027027025</v>
      </c>
      <c r="J15" s="27">
        <f>'Reporte Diario 2024'!C136</f>
        <v>672.56598603489999</v>
      </c>
      <c r="K15" s="28">
        <f>'Reporte Diario 2024'!F136/'Reporte Diario 2024'!J136</f>
        <v>733.43684210526305</v>
      </c>
      <c r="L15" s="27">
        <f>'Reporte Diario 2024'!C167</f>
        <v>705.67151577959999</v>
      </c>
      <c r="M15" s="28">
        <f>'Reporte Diario 2024'!F167/'Reporte Diario 2024'!J167</f>
        <v>740.43406451612907</v>
      </c>
      <c r="N15" s="27">
        <v>682.24406336899995</v>
      </c>
      <c r="O15" s="54">
        <v>514.29999999999995</v>
      </c>
      <c r="P15" s="79">
        <f t="shared" si="0"/>
        <v>167.94406336899999</v>
      </c>
      <c r="Q15" s="28">
        <f>IF(N15&gt;0,'Reporte Diario 2024'!F197/'Reporte Diario 2024'!J197,0)</f>
        <v>721.7074509803922</v>
      </c>
      <c r="R15" s="27">
        <v>662.00362765540001</v>
      </c>
      <c r="S15" s="54">
        <f t="shared" si="6"/>
        <v>511.93</v>
      </c>
      <c r="T15" s="79">
        <f t="shared" si="1"/>
        <v>150.0736276554</v>
      </c>
      <c r="U15" s="28">
        <f>IF(R15&gt;0,'Reporte Diario 2024'!F228/'Reporte Diario 2024'!J228,0)</f>
        <v>735.25369127516774</v>
      </c>
      <c r="V15" s="27">
        <v>559.95741200520001</v>
      </c>
      <c r="W15" s="54">
        <v>526.72</v>
      </c>
      <c r="X15" s="79">
        <f t="shared" si="2"/>
        <v>33.237412005199985</v>
      </c>
      <c r="Y15" s="28">
        <f>IF(V15&gt;0,'Reporte Diario 2024'!F259/'Reporte Diario 2024'!J259,0)</f>
        <v>637.27779310344829</v>
      </c>
      <c r="Z15" s="27">
        <v>428.49748014880004</v>
      </c>
      <c r="AA15" s="54">
        <v>507.81</v>
      </c>
      <c r="AB15" s="79">
        <f t="shared" si="3"/>
        <v>-79.312519851199966</v>
      </c>
      <c r="AC15" s="28">
        <f>IF(Z15&gt;0,'Reporte Diario 2024'!F289/'Reporte Diario 2024'!J289,0)</f>
        <v>529.20270676691734</v>
      </c>
      <c r="AD15" s="27">
        <v>465.63</v>
      </c>
      <c r="AE15" s="54">
        <v>523.15</v>
      </c>
      <c r="AF15" s="79">
        <f t="shared" si="4"/>
        <v>-57.519999999999982</v>
      </c>
      <c r="AG15" s="28">
        <f>IF(AD15&gt;0,'Reporte Diario 2024'!F320/'Reporte Diario 2024'!J320,0)</f>
        <v>600.51904761904768</v>
      </c>
      <c r="AH15" s="27">
        <v>508.11</v>
      </c>
      <c r="AI15" s="54">
        <v>505.27</v>
      </c>
      <c r="AJ15" s="79">
        <f t="shared" si="5"/>
        <v>2.8400000000000318</v>
      </c>
      <c r="AK15" s="28">
        <f>IF(AH15&gt;0,'Reporte Diario 2024'!F350/'Reporte Diario 2024'!J350,0)</f>
        <v>655.07333333333338</v>
      </c>
    </row>
    <row r="16" spans="1:37">
      <c r="A16" s="42">
        <v>12</v>
      </c>
      <c r="B16" s="49">
        <f>'Reporte Diario 2024'!C16</f>
        <v>492.31882019080001</v>
      </c>
      <c r="C16" s="50">
        <v>533.46</v>
      </c>
      <c r="D16" s="27">
        <f>'Reporte Diario 2024'!C47</f>
        <v>566.26185504939997</v>
      </c>
      <c r="E16" s="28">
        <f>'Reporte Diario 2024'!F47/'Reporte Diario 2024'!J47</f>
        <v>726.20535714285734</v>
      </c>
      <c r="F16" s="27">
        <f>+'Reporte Diario 2024'!C76</f>
        <v>610.68377435319996</v>
      </c>
      <c r="G16" s="28">
        <f>+'Reporte Diario 2024'!F76/'Reporte Diario 2024'!J76</f>
        <v>746.54807417974325</v>
      </c>
      <c r="H16" s="27">
        <f>'Reporte Diario 2024'!C107</f>
        <v>676.18197307880007</v>
      </c>
      <c r="I16" s="28">
        <f>'Reporte Diario 2024'!F107/'Reporte Diario 2024'!J107</f>
        <v>752.04571428571421</v>
      </c>
      <c r="J16" s="27">
        <f>'Reporte Diario 2024'!C137</f>
        <v>714.91258639549994</v>
      </c>
      <c r="K16" s="28">
        <f>'Reporte Diario 2024'!F137/'Reporte Diario 2024'!J137</f>
        <v>764.44258064516123</v>
      </c>
      <c r="L16" s="27">
        <f>'Reporte Diario 2024'!C168</f>
        <v>720.07450689760003</v>
      </c>
      <c r="M16" s="28">
        <f>'Reporte Diario 2024'!F168/'Reporte Diario 2024'!J168</f>
        <v>744.63230769230779</v>
      </c>
      <c r="N16" s="27">
        <v>733.17190663550002</v>
      </c>
      <c r="O16" s="54">
        <v>514.29999999999995</v>
      </c>
      <c r="P16" s="79">
        <f t="shared" si="0"/>
        <v>218.87190663550007</v>
      </c>
      <c r="Q16" s="28">
        <f>IF(N16&gt;0,'Reporte Diario 2024'!F198/'Reporte Diario 2024'!J198,0)</f>
        <v>763.8461538461537</v>
      </c>
      <c r="R16" s="27">
        <v>616.77536173279998</v>
      </c>
      <c r="S16" s="54">
        <f t="shared" si="6"/>
        <v>511.93</v>
      </c>
      <c r="T16" s="79">
        <f t="shared" si="1"/>
        <v>104.84536173279997</v>
      </c>
      <c r="U16" s="28">
        <f>IF(R16&gt;0,'Reporte Diario 2024'!F229/'Reporte Diario 2024'!J229,0)</f>
        <v>689.37387755102031</v>
      </c>
      <c r="V16" s="27">
        <v>660.72528403119998</v>
      </c>
      <c r="W16" s="54">
        <v>526.72</v>
      </c>
      <c r="X16" s="79">
        <f t="shared" si="2"/>
        <v>134.00528403119995</v>
      </c>
      <c r="Y16" s="28">
        <f>IF(V16&gt;0,'Reporte Diario 2024'!F260/'Reporte Diario 2024'!J260,0)</f>
        <v>774.02349650349652</v>
      </c>
      <c r="Z16" s="27">
        <v>510.05403556120001</v>
      </c>
      <c r="AA16" s="54">
        <v>507.81</v>
      </c>
      <c r="AB16" s="79">
        <f t="shared" si="3"/>
        <v>2.2440355612000076</v>
      </c>
      <c r="AC16" s="28">
        <f>IF(Z16&gt;0,'Reporte Diario 2024'!F290/'Reporte Diario 2024'!J290,0)</f>
        <v>652.4727272727273</v>
      </c>
      <c r="AD16" s="27">
        <v>511.41</v>
      </c>
      <c r="AE16" s="54">
        <v>523.15</v>
      </c>
      <c r="AF16" s="79">
        <f t="shared" si="4"/>
        <v>-11.739999999999952</v>
      </c>
      <c r="AG16" s="28">
        <f>IF(AD16&gt;0,'Reporte Diario 2024'!F321/'Reporte Diario 2024'!J321,0)</f>
        <v>657.8116535433071</v>
      </c>
      <c r="AH16" s="27">
        <v>391.46</v>
      </c>
      <c r="AI16" s="54">
        <v>505.27</v>
      </c>
      <c r="AJ16" s="79">
        <f t="shared" si="5"/>
        <v>-113.81</v>
      </c>
      <c r="AK16" s="28">
        <f>IF(AH16&gt;0,'Reporte Diario 2024'!F351/'Reporte Diario 2024'!J351,0)</f>
        <v>488.31590551181108</v>
      </c>
    </row>
    <row r="17" spans="1:37">
      <c r="A17" s="42">
        <v>13</v>
      </c>
      <c r="B17" s="49">
        <f>'Reporte Diario 2024'!C17</f>
        <v>433.5739136775</v>
      </c>
      <c r="C17" s="50">
        <v>449.19</v>
      </c>
      <c r="D17" s="27">
        <f>'Reporte Diario 2024'!C48</f>
        <v>472.77117224329999</v>
      </c>
      <c r="E17" s="28">
        <f>'Reporte Diario 2024'!F48/'Reporte Diario 2024'!J48</f>
        <v>622.15488721804513</v>
      </c>
      <c r="F17" s="27">
        <f>+'Reporte Diario 2024'!C77</f>
        <v>677.10406417870001</v>
      </c>
      <c r="G17" s="28">
        <f>+'Reporte Diario 2024'!F77/'Reporte Diario 2024'!J77</f>
        <v>800.64291845493563</v>
      </c>
      <c r="H17" s="27">
        <f>'Reporte Diario 2024'!C108</f>
        <v>597.58471508740001</v>
      </c>
      <c r="I17" s="28">
        <f>'Reporte Diario 2024'!F108/'Reporte Diario 2024'!J108</f>
        <v>666.79232876712319</v>
      </c>
      <c r="J17" s="27">
        <f>'Reporte Diario 2024'!C138</f>
        <v>714.10737082540004</v>
      </c>
      <c r="K17" s="28">
        <f>'Reporte Diario 2024'!F138/'Reporte Diario 2024'!J138</f>
        <v>746.80051948051937</v>
      </c>
      <c r="L17" s="27">
        <f>'Reporte Diario 2024'!C169</f>
        <v>696.32039605720001</v>
      </c>
      <c r="M17" s="28">
        <f>'Reporte Diario 2024'!F169/'Reporte Diario 2024'!J169</f>
        <v>735.11692307692329</v>
      </c>
      <c r="N17" s="27">
        <v>424.33773780839999</v>
      </c>
      <c r="O17" s="54">
        <v>514.29999999999995</v>
      </c>
      <c r="P17" s="79">
        <f t="shared" si="0"/>
        <v>-89.962262191599962</v>
      </c>
      <c r="Q17" s="28">
        <f>IF(N17&gt;0,'Reporte Diario 2024'!F199/'Reporte Diario 2024'!J199,0)</f>
        <v>455.34246575342468</v>
      </c>
      <c r="R17" s="27">
        <v>618.21770798529997</v>
      </c>
      <c r="S17" s="54">
        <f t="shared" si="6"/>
        <v>511.93</v>
      </c>
      <c r="T17" s="79">
        <f t="shared" si="1"/>
        <v>106.28770798529996</v>
      </c>
      <c r="U17" s="28">
        <f>IF(R17&gt;0,'Reporte Diario 2024'!F230/'Reporte Diario 2024'!J230,0)</f>
        <v>671.84640000000002</v>
      </c>
      <c r="V17" s="27">
        <v>656.63006817870007</v>
      </c>
      <c r="W17" s="54">
        <v>526.72</v>
      </c>
      <c r="X17" s="79">
        <f t="shared" si="2"/>
        <v>129.91006817870004</v>
      </c>
      <c r="Y17" s="28">
        <f>IF(V17&gt;0,'Reporte Diario 2024'!F261/'Reporte Diario 2024'!J261,0)</f>
        <v>778.8944680851065</v>
      </c>
      <c r="Z17" s="27">
        <v>615.63504571559997</v>
      </c>
      <c r="AA17" s="54">
        <v>507.81</v>
      </c>
      <c r="AB17" s="79">
        <f t="shared" si="3"/>
        <v>107.82504571559997</v>
      </c>
      <c r="AC17" s="28">
        <f>IF(Z17&gt;0,'Reporte Diario 2024'!F291/'Reporte Diario 2024'!J291,0)</f>
        <v>744.61676470588213</v>
      </c>
      <c r="AD17" s="27">
        <v>430.06</v>
      </c>
      <c r="AE17" s="54">
        <v>523.15</v>
      </c>
      <c r="AF17" s="79">
        <f t="shared" si="4"/>
        <v>-93.089999999999975</v>
      </c>
      <c r="AG17" s="28">
        <f>IF(AD17&gt;0,'Reporte Diario 2024'!F322/'Reporte Diario 2024'!J322,0)</f>
        <v>538.66312500000015</v>
      </c>
      <c r="AH17" s="27">
        <v>355.01</v>
      </c>
      <c r="AI17" s="54">
        <v>505.27</v>
      </c>
      <c r="AJ17" s="79">
        <f t="shared" si="5"/>
        <v>-150.26</v>
      </c>
      <c r="AK17" s="28">
        <f>IF(AH17&gt;0,'Reporte Diario 2024'!F352/'Reporte Diario 2024'!J352,0)</f>
        <v>453.05365853658537</v>
      </c>
    </row>
    <row r="18" spans="1:37">
      <c r="A18" s="42">
        <v>14</v>
      </c>
      <c r="B18" s="49">
        <f>'Reporte Diario 2024'!C18</f>
        <v>509.63897680669999</v>
      </c>
      <c r="C18" s="50">
        <v>540.73</v>
      </c>
      <c r="D18" s="27">
        <f>'Reporte Diario 2024'!C49</f>
        <v>495.4555448154</v>
      </c>
      <c r="E18" s="28">
        <f>'Reporte Diario 2024'!F49/'Reporte Diario 2024'!J49</f>
        <v>625.50670640834596</v>
      </c>
      <c r="F18" s="27">
        <f>+'Reporte Diario 2024'!C78</f>
        <v>679.55872477399998</v>
      </c>
      <c r="G18" s="28">
        <f>+'Reporte Diario 2024'!F78/'Reporte Diario 2024'!J78</f>
        <v>795.82105263157905</v>
      </c>
      <c r="H18" s="27">
        <f>'Reporte Diario 2024'!C109</f>
        <v>495.00324090610002</v>
      </c>
      <c r="I18" s="28">
        <f>'Reporte Diario 2024'!F109/'Reporte Diario 2024'!J109</f>
        <v>562.46317241379302</v>
      </c>
      <c r="J18" s="27">
        <f>'Reporte Diario 2024'!C139</f>
        <v>703.10876786849997</v>
      </c>
      <c r="K18" s="28">
        <f>'Reporte Diario 2024'!F139/'Reporte Diario 2024'!J139</f>
        <v>734.83714285714268</v>
      </c>
      <c r="L18" s="27">
        <f>'Reporte Diario 2024'!C170</f>
        <v>736.58396233799999</v>
      </c>
      <c r="M18" s="28">
        <f>'Reporte Diario 2024'!F170/'Reporte Diario 2024'!J170</f>
        <v>767.39461538461524</v>
      </c>
      <c r="N18" s="27">
        <v>525.42781939439999</v>
      </c>
      <c r="O18" s="54">
        <v>514.29999999999995</v>
      </c>
      <c r="P18" s="79">
        <f t="shared" si="0"/>
        <v>11.127819394400035</v>
      </c>
      <c r="Q18" s="28">
        <f>IF(N18&gt;0,'Reporte Diario 2024'!F200/'Reporte Diario 2024'!J200,0)</f>
        <v>560.27586206896535</v>
      </c>
      <c r="R18" s="27">
        <v>519.52998191839993</v>
      </c>
      <c r="S18" s="54">
        <f t="shared" si="6"/>
        <v>511.93</v>
      </c>
      <c r="T18" s="79">
        <f t="shared" si="1"/>
        <v>7.5999819183999193</v>
      </c>
      <c r="U18" s="28">
        <f>IF(R18&gt;0,'Reporte Diario 2024'!F231/'Reporte Diario 2024'!J231,0)</f>
        <v>561.47597315436235</v>
      </c>
      <c r="V18" s="27">
        <v>473.7778093037</v>
      </c>
      <c r="W18" s="54">
        <v>526.72</v>
      </c>
      <c r="X18" s="79">
        <f t="shared" si="2"/>
        <v>-52.942190696300031</v>
      </c>
      <c r="Y18" s="28">
        <f>IF(V18&gt;0,'Reporte Diario 2024'!F262/'Reporte Diario 2024'!J262,0)</f>
        <v>556.91574468085116</v>
      </c>
      <c r="Z18" s="27">
        <v>513.04091161259998</v>
      </c>
      <c r="AA18" s="54">
        <v>507.81</v>
      </c>
      <c r="AB18" s="79">
        <f t="shared" si="3"/>
        <v>5.2309116125999822</v>
      </c>
      <c r="AC18" s="28">
        <f>IF(Z18&gt;0,'Reporte Diario 2024'!F292/'Reporte Diario 2024'!J292,0)</f>
        <v>629.37654135338357</v>
      </c>
      <c r="AD18" s="27">
        <v>283.95</v>
      </c>
      <c r="AE18" s="54">
        <v>523.15</v>
      </c>
      <c r="AF18" s="79">
        <f t="shared" si="4"/>
        <v>-239.2</v>
      </c>
      <c r="AG18" s="28">
        <f>IF(AD18&gt;0,'Reporte Diario 2024'!F323/'Reporte Diario 2024'!J323,0)</f>
        <v>346.45258064516133</v>
      </c>
      <c r="AH18" s="27">
        <v>159.97999999999999</v>
      </c>
      <c r="AI18" s="54">
        <v>505.27</v>
      </c>
      <c r="AJ18" s="79">
        <f t="shared" si="5"/>
        <v>-345.28999999999996</v>
      </c>
      <c r="AK18" s="28">
        <f>IF(AH18&gt;0,'Reporte Diario 2024'!F353/'Reporte Diario 2024'!J353,0)</f>
        <v>190.18721311475412</v>
      </c>
    </row>
    <row r="19" spans="1:37">
      <c r="A19" s="42">
        <v>15</v>
      </c>
      <c r="B19" s="49">
        <f>'Reporte Diario 2024'!C19</f>
        <v>536.09732394409991</v>
      </c>
      <c r="C19" s="50">
        <v>534.25</v>
      </c>
      <c r="D19" s="27">
        <f>'Reporte Diario 2024'!C50</f>
        <v>428.49763594080002</v>
      </c>
      <c r="E19" s="28">
        <f>'Reporte Diario 2024'!F50/'Reporte Diario 2024'!J50</f>
        <v>557.81559220389795</v>
      </c>
      <c r="F19" s="27">
        <f>+'Reporte Diario 2024'!C79</f>
        <v>571.12254928589994</v>
      </c>
      <c r="G19" s="28">
        <f>+'Reporte Diario 2024'!F79/'Reporte Diario 2024'!J79</f>
        <v>665.06666666666672</v>
      </c>
      <c r="H19" s="27">
        <f>'Reporte Diario 2024'!C110</f>
        <v>516.11674803829999</v>
      </c>
      <c r="I19" s="28">
        <f>'Reporte Diario 2024'!F110/'Reporte Diario 2024'!J110</f>
        <v>571.36290322580646</v>
      </c>
      <c r="J19" s="27">
        <f>'Reporte Diario 2024'!C140</f>
        <v>695.26145284309996</v>
      </c>
      <c r="K19" s="28">
        <f>'Reporte Diario 2024'!F140/'Reporte Diario 2024'!J140</f>
        <v>735.00157894736833</v>
      </c>
      <c r="L19" s="27">
        <f>'Reporte Diario 2024'!C171</f>
        <v>693.903735278</v>
      </c>
      <c r="M19" s="28">
        <f>'Reporte Diario 2024'!F171/'Reporte Diario 2024'!J171</f>
        <v>720.463949044586</v>
      </c>
      <c r="N19" s="27">
        <v>685.27285857419997</v>
      </c>
      <c r="O19" s="54">
        <v>514.29999999999995</v>
      </c>
      <c r="P19" s="79">
        <f t="shared" si="0"/>
        <v>170.97285857420002</v>
      </c>
      <c r="Q19" s="28">
        <f>IF(N19&gt;0,'Reporte Diario 2024'!F201/'Reporte Diario 2024'!J201,0)</f>
        <v>737.29421052631562</v>
      </c>
      <c r="R19" s="27">
        <v>489.94234284250001</v>
      </c>
      <c r="S19" s="54">
        <f t="shared" si="6"/>
        <v>511.93</v>
      </c>
      <c r="T19" s="79">
        <f t="shared" si="1"/>
        <v>-21.987657157499996</v>
      </c>
      <c r="U19" s="28">
        <f>IF(R19&gt;0,'Reporte Diario 2024'!F232/'Reporte Diario 2024'!J232,0)</f>
        <v>565.53666666666663</v>
      </c>
      <c r="V19" s="27">
        <v>484.48612369679995</v>
      </c>
      <c r="W19" s="54">
        <v>526.72</v>
      </c>
      <c r="X19" s="79">
        <f t="shared" si="2"/>
        <v>-42.233876303200077</v>
      </c>
      <c r="Y19" s="28">
        <f>IF(V19&gt;0,'Reporte Diario 2024'!F263/'Reporte Diario 2024'!J263,0)</f>
        <v>585.84533333333331</v>
      </c>
      <c r="Z19" s="27">
        <v>514.80689443680001</v>
      </c>
      <c r="AA19" s="54">
        <v>507.81</v>
      </c>
      <c r="AB19" s="79">
        <f t="shared" si="3"/>
        <v>6.9968944368000052</v>
      </c>
      <c r="AC19" s="28">
        <f>IF(Z19&gt;0,'Reporte Diario 2024'!F293/'Reporte Diario 2024'!J293,0)</f>
        <v>638.28553846153841</v>
      </c>
      <c r="AD19" s="27">
        <v>384.28</v>
      </c>
      <c r="AE19" s="54">
        <v>523.15</v>
      </c>
      <c r="AF19" s="79">
        <f t="shared" si="4"/>
        <v>-138.87</v>
      </c>
      <c r="AG19" s="28">
        <f>IF(AD19&gt;0,'Reporte Diario 2024'!F324/'Reporte Diario 2024'!J324,0)</f>
        <v>455.22320610687029</v>
      </c>
      <c r="AH19" s="27">
        <v>413.48</v>
      </c>
      <c r="AI19" s="54">
        <v>505.27</v>
      </c>
      <c r="AJ19" s="79">
        <f t="shared" si="5"/>
        <v>-91.789999999999964</v>
      </c>
      <c r="AK19" s="28">
        <f>IF(AH19&gt;0,'Reporte Diario 2024'!F354/'Reporte Diario 2024'!J354,0)</f>
        <v>542.20264462809905</v>
      </c>
    </row>
    <row r="20" spans="1:37">
      <c r="A20" s="42">
        <v>16</v>
      </c>
      <c r="B20" s="49">
        <f>'Reporte Diario 2024'!C20</f>
        <v>532.57461059980005</v>
      </c>
      <c r="C20" s="50">
        <v>501.76</v>
      </c>
      <c r="D20" s="27">
        <f>'Reporte Diario 2024'!C51</f>
        <v>523.07036035980002</v>
      </c>
      <c r="E20" s="28">
        <f>'Reporte Diario 2024'!F51/'Reporte Diario 2024'!J51</f>
        <v>645.65772594752184</v>
      </c>
      <c r="F20" s="27">
        <f>+'Reporte Diario 2024'!C80</f>
        <v>581.66532110629998</v>
      </c>
      <c r="G20" s="28">
        <f>+'Reporte Diario 2024'!F80/'Reporte Diario 2024'!J80</f>
        <v>679.11514285714304</v>
      </c>
      <c r="H20" s="27">
        <f>'Reporte Diario 2024'!C111</f>
        <v>255.69699337599999</v>
      </c>
      <c r="I20" s="28">
        <f>'Reporte Diario 2024'!F111/'Reporte Diario 2024'!J111</f>
        <v>259.13446808510639</v>
      </c>
      <c r="J20" s="27">
        <f>'Reporte Diario 2024'!C141</f>
        <v>686.82908091759998</v>
      </c>
      <c r="K20" s="28">
        <f>'Reporte Diario 2024'!F141/'Reporte Diario 2024'!J141</f>
        <v>726.37480519480505</v>
      </c>
      <c r="L20" s="27">
        <f>'Reporte Diario 2024'!C172</f>
        <v>544.10967427909998</v>
      </c>
      <c r="M20" s="28">
        <f>'Reporte Diario 2024'!F172/'Reporte Diario 2024'!J172</f>
        <v>553.36519480519473</v>
      </c>
      <c r="N20" s="27">
        <v>724.09447279970004</v>
      </c>
      <c r="O20" s="54">
        <v>514.29999999999995</v>
      </c>
      <c r="P20" s="79">
        <f t="shared" si="0"/>
        <v>209.79447279970009</v>
      </c>
      <c r="Q20" s="28">
        <f>IF(N20&gt;0,'Reporte Diario 2024'!F202/'Reporte Diario 2024'!J202,0)</f>
        <v>761.59076923076918</v>
      </c>
      <c r="R20" s="27">
        <v>539.77285438200011</v>
      </c>
      <c r="S20" s="54">
        <f t="shared" si="6"/>
        <v>511.93</v>
      </c>
      <c r="T20" s="79">
        <f t="shared" si="1"/>
        <v>27.842854382000098</v>
      </c>
      <c r="U20" s="28">
        <f>IF(R20&gt;0,'Reporte Diario 2024'!F233/'Reporte Diario 2024'!J233,0)</f>
        <v>596.55020408163261</v>
      </c>
      <c r="V20" s="27">
        <v>539.17117425000004</v>
      </c>
      <c r="W20" s="54">
        <v>526.72</v>
      </c>
      <c r="X20" s="79">
        <f t="shared" si="2"/>
        <v>12.451174250000008</v>
      </c>
      <c r="Y20" s="28">
        <f>IF(V20&gt;0,'Reporte Diario 2024'!F264/'Reporte Diario 2024'!J264,0)</f>
        <v>663.10978723404253</v>
      </c>
      <c r="Z20" s="27">
        <v>580.47760827479999</v>
      </c>
      <c r="AA20" s="54">
        <v>507.81</v>
      </c>
      <c r="AB20" s="79">
        <f t="shared" si="3"/>
        <v>72.667608274799989</v>
      </c>
      <c r="AC20" s="28">
        <f>IF(Z20&gt;0,'Reporte Diario 2024'!F294/'Reporte Diario 2024'!J294,0)</f>
        <v>704.07134328358211</v>
      </c>
      <c r="AD20" s="27">
        <v>344.03</v>
      </c>
      <c r="AE20" s="54">
        <v>523.15</v>
      </c>
      <c r="AF20" s="79">
        <f t="shared" si="4"/>
        <v>-179.12</v>
      </c>
      <c r="AG20" s="28">
        <f>IF(AD20&gt;0,'Reporte Diario 2024'!F325/'Reporte Diario 2024'!J325,0)</f>
        <v>417.55842519685035</v>
      </c>
      <c r="AH20" s="27">
        <v>377.76</v>
      </c>
      <c r="AI20" s="54">
        <v>505.27</v>
      </c>
      <c r="AJ20" s="79">
        <f t="shared" si="5"/>
        <v>-127.50999999999999</v>
      </c>
      <c r="AK20" s="28">
        <f>IF(AH20&gt;0,'Reporte Diario 2024'!F355/'Reporte Diario 2024'!J355,0)</f>
        <v>493.09354838709675</v>
      </c>
    </row>
    <row r="21" spans="1:37">
      <c r="A21" s="42">
        <v>17</v>
      </c>
      <c r="B21" s="49">
        <f>'Reporte Diario 2024'!C21</f>
        <v>533.32390374760007</v>
      </c>
      <c r="C21" s="50">
        <v>517.07000000000005</v>
      </c>
      <c r="D21" s="27">
        <f>'Reporte Diario 2024'!C52</f>
        <v>455.72814125089997</v>
      </c>
      <c r="E21" s="28">
        <f>'Reporte Diario 2024'!F52/'Reporte Diario 2024'!J52</f>
        <v>578.97268588770885</v>
      </c>
      <c r="F21" s="27">
        <f>+'Reporte Diario 2024'!C81</f>
        <v>605.95877310239996</v>
      </c>
      <c r="G21" s="28">
        <f>+'Reporte Diario 2024'!F81/'Reporte Diario 2024'!J81</f>
        <v>698.35811965811968</v>
      </c>
      <c r="H21" s="27">
        <f>'Reporte Diario 2024'!C112</f>
        <v>616.24635858639999</v>
      </c>
      <c r="I21" s="28">
        <f>'Reporte Diario 2024'!F112/'Reporte Diario 2024'!J112</f>
        <v>685.00408163265297</v>
      </c>
      <c r="J21" s="27">
        <f>'Reporte Diario 2024'!C142</f>
        <v>688.8874274451</v>
      </c>
      <c r="K21" s="28">
        <f>'Reporte Diario 2024'!F142/'Reporte Diario 2024'!J142</f>
        <v>742.67761589403972</v>
      </c>
      <c r="L21" s="27">
        <f>'Reporte Diario 2024'!C173</f>
        <v>523.86289844470002</v>
      </c>
      <c r="M21" s="28">
        <f>'Reporte Diario 2024'!F173/'Reporte Diario 2024'!J173</f>
        <v>539.22615384615369</v>
      </c>
      <c r="N21" s="27">
        <v>597.90716709999992</v>
      </c>
      <c r="O21" s="54">
        <v>514.29999999999995</v>
      </c>
      <c r="P21" s="79">
        <f t="shared" si="0"/>
        <v>83.60716709999997</v>
      </c>
      <c r="Q21" s="28">
        <f>IF(N21&gt;0,'Reporte Diario 2024'!F203/'Reporte Diario 2024'!J203,0)</f>
        <v>624.91200000000003</v>
      </c>
      <c r="R21" s="27">
        <v>641.97527887779995</v>
      </c>
      <c r="S21" s="54">
        <f t="shared" si="6"/>
        <v>511.93</v>
      </c>
      <c r="T21" s="79">
        <f t="shared" si="1"/>
        <v>130.04527887779994</v>
      </c>
      <c r="U21" s="28">
        <f>IF(R21&gt;0,'Reporte Diario 2024'!F234/'Reporte Diario 2024'!J234,0)</f>
        <v>709.23221476510059</v>
      </c>
      <c r="V21" s="27">
        <v>584.69856836470001</v>
      </c>
      <c r="W21" s="54">
        <v>526.72</v>
      </c>
      <c r="X21" s="79">
        <f t="shared" si="2"/>
        <v>57.978568364699981</v>
      </c>
      <c r="Y21" s="28">
        <f>IF(V21&gt;0,'Reporte Diario 2024'!F265/'Reporte Diario 2024'!J265,0)</f>
        <v>711.12413793103462</v>
      </c>
      <c r="Z21" s="27">
        <v>615.27154760000008</v>
      </c>
      <c r="AA21" s="54">
        <v>507.81</v>
      </c>
      <c r="AB21" s="79">
        <f t="shared" si="3"/>
        <v>107.46154760000007</v>
      </c>
      <c r="AC21" s="28">
        <f>IF(Z21&gt;0,'Reporte Diario 2024'!F295/'Reporte Diario 2024'!J295,0)</f>
        <v>746.9706666666666</v>
      </c>
      <c r="AD21" s="27">
        <v>316.12</v>
      </c>
      <c r="AE21" s="54">
        <v>523.15</v>
      </c>
      <c r="AF21" s="79">
        <f t="shared" si="4"/>
        <v>-207.02999999999997</v>
      </c>
      <c r="AG21" s="28">
        <f>IF(AD21&gt;0,'Reporte Diario 2024'!F326/'Reporte Diario 2024'!J326,0)</f>
        <v>384.0356250000001</v>
      </c>
      <c r="AH21" s="27">
        <v>490.82</v>
      </c>
      <c r="AI21" s="54">
        <v>505.27</v>
      </c>
      <c r="AJ21" s="79">
        <f t="shared" si="5"/>
        <v>-14.449999999999989</v>
      </c>
      <c r="AK21" s="28">
        <f>IF(AH21&gt;0,'Reporte Diario 2024'!F356/'Reporte Diario 2024'!J356,0)</f>
        <v>647.69365853658542</v>
      </c>
    </row>
    <row r="22" spans="1:37">
      <c r="A22" s="42">
        <v>18</v>
      </c>
      <c r="B22" s="49">
        <f>'Reporte Diario 2024'!C22</f>
        <v>499.55089035429995</v>
      </c>
      <c r="C22" s="50">
        <v>547.04</v>
      </c>
      <c r="D22" s="27">
        <f>'Reporte Diario 2024'!C53</f>
        <v>495.78206341220005</v>
      </c>
      <c r="E22" s="28">
        <f>'Reporte Diario 2024'!F53/'Reporte Diario 2024'!J53</f>
        <v>636.83097744360907</v>
      </c>
      <c r="F22" s="27">
        <f>+'Reporte Diario 2024'!C82</f>
        <v>569.28102311739997</v>
      </c>
      <c r="G22" s="28">
        <f>+'Reporte Diario 2024'!F82/'Reporte Diario 2024'!J82</f>
        <v>664.68288543140034</v>
      </c>
      <c r="H22" s="27">
        <f>'Reporte Diario 2024'!C113</f>
        <v>501.3151096496</v>
      </c>
      <c r="I22" s="28">
        <f>'Reporte Diario 2024'!F113/'Reporte Diario 2024'!J113</f>
        <v>557.50849315068501</v>
      </c>
      <c r="J22" s="27">
        <f>'Reporte Diario 2024'!C143</f>
        <v>670.5397519073</v>
      </c>
      <c r="K22" s="28">
        <f>'Reporte Diario 2024'!F143/'Reporte Diario 2024'!J143</f>
        <v>724.86039215686264</v>
      </c>
      <c r="L22" s="27">
        <f>'Reporte Diario 2024'!C174</f>
        <v>362.83847056550002</v>
      </c>
      <c r="M22" s="28">
        <f>'Reporte Diario 2024'!F174/'Reporte Diario 2024'!J174</f>
        <v>342.07538461538451</v>
      </c>
      <c r="N22" s="27">
        <v>561.2195530555</v>
      </c>
      <c r="O22" s="54">
        <v>514.29999999999995</v>
      </c>
      <c r="P22" s="79">
        <f t="shared" si="0"/>
        <v>46.919553055500046</v>
      </c>
      <c r="Q22" s="28">
        <f>IF(N22&gt;0,'Reporte Diario 2024'!F204/'Reporte Diario 2024'!J204,0)</f>
        <v>631.98164383561641</v>
      </c>
      <c r="R22" s="27">
        <v>537.23730901609997</v>
      </c>
      <c r="S22" s="54">
        <f t="shared" si="6"/>
        <v>511.93</v>
      </c>
      <c r="T22" s="79">
        <f t="shared" si="1"/>
        <v>25.307309016099964</v>
      </c>
      <c r="U22" s="28">
        <f>IF(R22&gt;0,'Reporte Diario 2024'!F235/'Reporte Diario 2024'!J235,0)</f>
        <v>715.14146341463413</v>
      </c>
      <c r="V22" s="27">
        <v>600.64210549120003</v>
      </c>
      <c r="W22" s="54">
        <v>526.72</v>
      </c>
      <c r="X22" s="79">
        <f t="shared" si="2"/>
        <v>73.9221054912</v>
      </c>
      <c r="Y22" s="28">
        <f>IF(V22&gt;0,'Reporte Diario 2024'!F266/'Reporte Diario 2024'!J266,0)</f>
        <v>752.96719424460434</v>
      </c>
      <c r="Z22" s="27">
        <v>467.60259840399999</v>
      </c>
      <c r="AA22" s="54">
        <v>507.81</v>
      </c>
      <c r="AB22" s="79">
        <f t="shared" si="3"/>
        <v>-40.207401596000011</v>
      </c>
      <c r="AC22" s="28">
        <f>IF(Z22&gt;0,'Reporte Diario 2024'!F296/'Reporte Diario 2024'!J296,0)</f>
        <v>564.23466666666661</v>
      </c>
      <c r="AD22" s="27">
        <v>389.61</v>
      </c>
      <c r="AE22" s="54">
        <v>523.15</v>
      </c>
      <c r="AF22" s="79">
        <f t="shared" si="4"/>
        <v>-133.53999999999996</v>
      </c>
      <c r="AG22" s="28">
        <f>IF(AD22&gt;0,'Reporte Diario 2024'!F327/'Reporte Diario 2024'!J327,0)</f>
        <v>480.16571428571427</v>
      </c>
      <c r="AH22" s="27">
        <v>457.93</v>
      </c>
      <c r="AI22" s="54">
        <v>505.27</v>
      </c>
      <c r="AJ22" s="79">
        <f t="shared" si="5"/>
        <v>-47.339999999999975</v>
      </c>
      <c r="AK22" s="28">
        <f>IF(AH22&gt;0,'Reporte Diario 2024'!F357/'Reporte Diario 2024'!J357,0)</f>
        <v>596.83219512195126</v>
      </c>
    </row>
    <row r="23" spans="1:37">
      <c r="A23" s="42">
        <v>19</v>
      </c>
      <c r="B23" s="49">
        <f>'Reporte Diario 2024'!C23</f>
        <v>528.73832901029994</v>
      </c>
      <c r="C23" s="50">
        <v>536.54999999999995</v>
      </c>
      <c r="D23" s="27">
        <f>'Reporte Diario 2024'!C54</f>
        <v>486.1419910358</v>
      </c>
      <c r="E23" s="28">
        <f>'Reporte Diario 2024'!F54/'Reporte Diario 2024'!J54</f>
        <v>623.95784753363239</v>
      </c>
      <c r="F23" s="27">
        <f>+'Reporte Diario 2024'!C83</f>
        <v>539.49596877409999</v>
      </c>
      <c r="G23" s="28">
        <f>+'Reporte Diario 2024'!F83/'Reporte Diario 2024'!J83</f>
        <v>632.53702127659574</v>
      </c>
      <c r="H23" s="27">
        <f>'Reporte Diario 2024'!C114</f>
        <v>504.02564380379999</v>
      </c>
      <c r="I23" s="28">
        <f>'Reporte Diario 2024'!F114/'Reporte Diario 2024'!J114</f>
        <v>553.2169127516778</v>
      </c>
      <c r="J23" s="27">
        <f>'Reporte Diario 2024'!C144</f>
        <v>702.76399498029991</v>
      </c>
      <c r="K23" s="28">
        <f>'Reporte Diario 2024'!F144/'Reporte Diario 2024'!J144</f>
        <v>744.6631168831168</v>
      </c>
      <c r="L23" s="27">
        <f>'Reporte Diario 2024'!C175</f>
        <v>578.01323886110004</v>
      </c>
      <c r="M23" s="28">
        <f>'Reporte Diario 2024'!F175/'Reporte Diario 2024'!J175</f>
        <v>622.77972972972975</v>
      </c>
      <c r="N23" s="27">
        <v>604.38451986710004</v>
      </c>
      <c r="O23" s="54">
        <v>514.29999999999995</v>
      </c>
      <c r="P23" s="79">
        <f t="shared" si="0"/>
        <v>90.084519867100084</v>
      </c>
      <c r="Q23" s="28">
        <f>IF(N23&gt;0,'Reporte Diario 2024'!F205/'Reporte Diario 2024'!J205,0)</f>
        <v>638.46357615894033</v>
      </c>
      <c r="R23" s="27">
        <v>660.13409111670001</v>
      </c>
      <c r="S23" s="54">
        <f t="shared" si="6"/>
        <v>511.93</v>
      </c>
      <c r="T23" s="79">
        <f t="shared" si="1"/>
        <v>148.2040911167</v>
      </c>
      <c r="U23" s="28">
        <f>IF(R23&gt;0,'Reporte Diario 2024'!F236/'Reporte Diario 2024'!J236,0)</f>
        <v>719.93154362416101</v>
      </c>
      <c r="V23" s="27">
        <v>583.72101188620002</v>
      </c>
      <c r="W23" s="54">
        <v>526.72</v>
      </c>
      <c r="X23" s="79">
        <f t="shared" si="2"/>
        <v>57.00101188619999</v>
      </c>
      <c r="Y23" s="28">
        <f>IF(V23&gt;0,'Reporte Diario 2024'!F267/'Reporte Diario 2024'!J267,0)</f>
        <v>747.45323741007201</v>
      </c>
      <c r="Z23" s="27">
        <v>453.42674460440003</v>
      </c>
      <c r="AA23" s="54">
        <v>507.81</v>
      </c>
      <c r="AB23" s="79">
        <f t="shared" si="3"/>
        <v>-54.383255395599974</v>
      </c>
      <c r="AC23" s="28">
        <f>IF(Z23&gt;0,'Reporte Diario 2024'!F297/'Reporte Diario 2024'!J297,0)</f>
        <v>548.19671641791047</v>
      </c>
      <c r="AD23" s="27">
        <v>513.74</v>
      </c>
      <c r="AE23" s="54">
        <v>523.15</v>
      </c>
      <c r="AF23" s="79">
        <f t="shared" si="4"/>
        <v>-9.4099999999999682</v>
      </c>
      <c r="AG23" s="28">
        <f>IF(AD23&gt;0,'Reporte Diario 2024'!F328/'Reporte Diario 2024'!J328,0)</f>
        <v>629.32279069767446</v>
      </c>
      <c r="AH23" s="27">
        <v>473.03</v>
      </c>
      <c r="AI23" s="54">
        <v>505.27</v>
      </c>
      <c r="AJ23" s="79">
        <f t="shared" si="5"/>
        <v>-32.240000000000009</v>
      </c>
      <c r="AK23" s="28">
        <f>IF(AH23&gt;0,'Reporte Diario 2024'!F358/'Reporte Diario 2024'!J358,0)</f>
        <v>608.11295999999993</v>
      </c>
    </row>
    <row r="24" spans="1:37">
      <c r="A24" s="42">
        <v>20</v>
      </c>
      <c r="B24" s="49">
        <f>'Reporte Diario 2024'!C24</f>
        <v>490.70109649670002</v>
      </c>
      <c r="C24" s="50">
        <v>475.58</v>
      </c>
      <c r="D24" s="27">
        <f>'Reporte Diario 2024'!C55</f>
        <v>466.6537163072</v>
      </c>
      <c r="E24" s="28">
        <f>'Reporte Diario 2024'!F55/'Reporte Diario 2024'!J55</f>
        <v>600.36474164133733</v>
      </c>
      <c r="F24" s="27">
        <f>+'Reporte Diario 2024'!C84</f>
        <v>554.29824141559993</v>
      </c>
      <c r="G24" s="28">
        <f>+'Reporte Diario 2024'!F84/'Reporte Diario 2024'!J84</f>
        <v>674.26429587482244</v>
      </c>
      <c r="H24" s="27">
        <f>'Reporte Diario 2024'!C115</f>
        <v>705.14025521279996</v>
      </c>
      <c r="I24" s="28">
        <f>'Reporte Diario 2024'!F115/'Reporte Diario 2024'!J115</f>
        <v>785.85714285714289</v>
      </c>
      <c r="J24" s="27">
        <f>'Reporte Diario 2024'!C145</f>
        <v>570.36418500169998</v>
      </c>
      <c r="K24" s="28">
        <f>'Reporte Diario 2024'!F145/'Reporte Diario 2024'!J145</f>
        <v>585.80210526315796</v>
      </c>
      <c r="L24" s="27">
        <f>'Reporte Diario 2024'!C176</f>
        <v>474.08352281400005</v>
      </c>
      <c r="M24" s="28">
        <f>'Reporte Diario 2024'!F176/'Reporte Diario 2024'!J176</f>
        <v>455.4615584415584</v>
      </c>
      <c r="N24" s="27">
        <v>295.31457342109996</v>
      </c>
      <c r="O24" s="54">
        <v>514.29999999999995</v>
      </c>
      <c r="P24" s="79">
        <f t="shared" si="0"/>
        <v>-218.98542657889999</v>
      </c>
      <c r="Q24" s="28">
        <f>IF(N24&gt;0,'Reporte Diario 2024'!F206/'Reporte Diario 2024'!J206,0)</f>
        <v>310.77243243243248</v>
      </c>
      <c r="R24" s="27">
        <v>686.09165607499995</v>
      </c>
      <c r="S24" s="54">
        <f t="shared" si="6"/>
        <v>511.93</v>
      </c>
      <c r="T24" s="79">
        <f t="shared" si="1"/>
        <v>174.16165607499994</v>
      </c>
      <c r="U24" s="28">
        <f>IF(R24&gt;0,'Reporte Diario 2024'!F237/'Reporte Diario 2024'!J237,0)</f>
        <v>757.23405405405413</v>
      </c>
      <c r="V24" s="27">
        <v>626.64966513100001</v>
      </c>
      <c r="W24" s="54">
        <v>526.72</v>
      </c>
      <c r="X24" s="79">
        <f t="shared" si="2"/>
        <v>99.929665130999979</v>
      </c>
      <c r="Y24" s="28">
        <f>IF(V24&gt;0,'Reporte Diario 2024'!F268/'Reporte Diario 2024'!J268,0)</f>
        <v>785.35597122302147</v>
      </c>
      <c r="Z24" s="27">
        <v>468.52087761760004</v>
      </c>
      <c r="AA24" s="54">
        <v>507.81</v>
      </c>
      <c r="AB24" s="79">
        <f t="shared" si="3"/>
        <v>-39.289122382399967</v>
      </c>
      <c r="AC24" s="28">
        <f>IF(Z24&gt;0,'Reporte Diario 2024'!F298/'Reporte Diario 2024'!J298,0)</f>
        <v>542.13134328358217</v>
      </c>
      <c r="AD24" s="27">
        <v>507.84</v>
      </c>
      <c r="AE24" s="54">
        <v>523.15</v>
      </c>
      <c r="AF24" s="79">
        <f t="shared" si="4"/>
        <v>-15.310000000000002</v>
      </c>
      <c r="AG24" s="28">
        <f>IF(AD24&gt;0,'Reporte Diario 2024'!F329/'Reporte Diario 2024'!J329,0)</f>
        <v>628.8055384615385</v>
      </c>
      <c r="AH24" s="27">
        <v>294.48</v>
      </c>
      <c r="AI24" s="54">
        <v>505.27</v>
      </c>
      <c r="AJ24" s="79">
        <f t="shared" si="5"/>
        <v>-210.78999999999996</v>
      </c>
      <c r="AK24" s="28">
        <f>IF(AH24&gt;0,'Reporte Diario 2024'!F359/'Reporte Diario 2024'!J359,0)</f>
        <v>388.85225806451609</v>
      </c>
    </row>
    <row r="25" spans="1:37">
      <c r="A25" s="42">
        <v>21</v>
      </c>
      <c r="B25" s="49">
        <f>'Reporte Diario 2024'!C25</f>
        <v>323.33087632759998</v>
      </c>
      <c r="C25" s="50">
        <v>293.61</v>
      </c>
      <c r="D25" s="27">
        <f>'Reporte Diario 2024'!C56</f>
        <v>186.49234371930001</v>
      </c>
      <c r="E25" s="28">
        <f>'Reporte Diario 2024'!F56/'Reporte Diario 2024'!J56</f>
        <v>218.94272300469481</v>
      </c>
      <c r="F25" s="27">
        <f>+'Reporte Diario 2024'!C85</f>
        <v>532.35708395799998</v>
      </c>
      <c r="G25" s="28">
        <f>+'Reporte Diario 2024'!F85/'Reporte Diario 2024'!J85</f>
        <v>627.76973125884012</v>
      </c>
      <c r="H25" s="27">
        <f>'Reporte Diario 2024'!C116</f>
        <v>657.32277545229999</v>
      </c>
      <c r="I25" s="28">
        <f>'Reporte Diario 2024'!F116/'Reporte Diario 2024'!J116</f>
        <v>740.42301369863014</v>
      </c>
      <c r="J25" s="27">
        <f>'Reporte Diario 2024'!C146</f>
        <v>417.62065503709999</v>
      </c>
      <c r="K25" s="28">
        <f>'Reporte Diario 2024'!F146/'Reporte Diario 2024'!J146</f>
        <v>443.4244897959183</v>
      </c>
      <c r="L25" s="27">
        <f>'Reporte Diario 2024'!C177</f>
        <v>518.78233810609993</v>
      </c>
      <c r="M25" s="28">
        <f>'Reporte Diario 2024'!F177/'Reporte Diario 2024'!J177</f>
        <v>520.66683870967745</v>
      </c>
      <c r="N25" s="27">
        <v>642.5861391894</v>
      </c>
      <c r="O25" s="54">
        <v>514.29999999999995</v>
      </c>
      <c r="P25" s="79">
        <f t="shared" si="0"/>
        <v>128.28613918940005</v>
      </c>
      <c r="Q25" s="28">
        <f>IF(N25&gt;0,'Reporte Diario 2024'!F207/'Reporte Diario 2024'!J207,0)</f>
        <v>695.69803921568621</v>
      </c>
      <c r="R25" s="27">
        <v>659.71091746160005</v>
      </c>
      <c r="S25" s="54">
        <f t="shared" si="6"/>
        <v>511.93</v>
      </c>
      <c r="T25" s="79">
        <f t="shared" si="1"/>
        <v>147.78091746160004</v>
      </c>
      <c r="U25" s="28">
        <f>IF(R25&gt;0,'Reporte Diario 2024'!F238/'Reporte Diario 2024'!J238,0)</f>
        <v>746.68297297297306</v>
      </c>
      <c r="V25" s="27">
        <v>471.21246834239997</v>
      </c>
      <c r="W25" s="54">
        <v>526.72</v>
      </c>
      <c r="X25" s="79">
        <f t="shared" si="2"/>
        <v>-55.507531657600055</v>
      </c>
      <c r="Y25" s="28" t="e">
        <f>IF(V25&gt;0,'Reporte Diario 2024'!F269/'Reporte Diario 2024'!J269,0)</f>
        <v>#VALUE!</v>
      </c>
      <c r="Z25" s="27">
        <v>357.52170465099999</v>
      </c>
      <c r="AA25" s="54">
        <v>507.81</v>
      </c>
      <c r="AB25" s="79">
        <f t="shared" si="3"/>
        <v>-150.28829534900001</v>
      </c>
      <c r="AC25" s="28">
        <f>IF(Z25&gt;0,'Reporte Diario 2024'!F299/'Reporte Diario 2024'!J299,0)</f>
        <v>412.28090909090912</v>
      </c>
      <c r="AD25" s="27">
        <v>501.62</v>
      </c>
      <c r="AE25" s="54">
        <v>523.15</v>
      </c>
      <c r="AF25" s="79">
        <f t="shared" si="4"/>
        <v>-21.529999999999973</v>
      </c>
      <c r="AG25" s="28">
        <f>IF(AD25&gt;0,'Reporte Diario 2024'!F330/'Reporte Diario 2024'!J330,0)</f>
        <v>636.05291338582674</v>
      </c>
      <c r="AH25" s="27">
        <v>265.73</v>
      </c>
      <c r="AI25" s="54">
        <v>505.27</v>
      </c>
      <c r="AJ25" s="79">
        <f t="shared" si="5"/>
        <v>-239.53999999999996</v>
      </c>
      <c r="AK25" s="28">
        <f>IF(AH25&gt;0,'Reporte Diario 2024'!F360/'Reporte Diario 2024'!J360,0)</f>
        <v>333.7878688524591</v>
      </c>
    </row>
    <row r="26" spans="1:37">
      <c r="A26" s="42">
        <v>22</v>
      </c>
      <c r="B26" s="49">
        <f>'Reporte Diario 2024'!C26</f>
        <v>206.4912152885</v>
      </c>
      <c r="C26" s="50">
        <v>181.31</v>
      </c>
      <c r="D26" s="27">
        <f>'Reporte Diario 2024'!C57</f>
        <v>549.91546262749989</v>
      </c>
      <c r="E26" s="28">
        <f>'Reporte Diario 2024'!F57/'Reporte Diario 2024'!J57</f>
        <v>705.98295964125555</v>
      </c>
      <c r="F26" s="27">
        <f>+'Reporte Diario 2024'!C86</f>
        <v>557.93184245899999</v>
      </c>
      <c r="G26" s="28">
        <f>+'Reporte Diario 2024'!F86/'Reporte Diario 2024'!J86</f>
        <v>656.78753541076492</v>
      </c>
      <c r="H26" s="27">
        <f>'Reporte Diario 2024'!C117</f>
        <v>570.10274418659992</v>
      </c>
      <c r="I26" s="28">
        <f>'Reporte Diario 2024'!F117/'Reporte Diario 2024'!J117</f>
        <v>630.27543624161069</v>
      </c>
      <c r="J26" s="27">
        <f>'Reporte Diario 2024'!C147</f>
        <v>113.9581846776</v>
      </c>
      <c r="K26" s="28">
        <f>'Reporte Diario 2024'!F147/'Reporte Diario 2024'!J147</f>
        <v>106.90758620689657</v>
      </c>
      <c r="L26" s="27">
        <f>'Reporte Diario 2024'!C178</f>
        <v>640.66242153970006</v>
      </c>
      <c r="M26" s="28">
        <f>'Reporte Diario 2024'!F178/'Reporte Diario 2024'!J178</f>
        <v>666.62012903225809</v>
      </c>
      <c r="N26" s="27">
        <v>570.35188769530009</v>
      </c>
      <c r="O26" s="54">
        <v>514.29999999999995</v>
      </c>
      <c r="P26" s="79">
        <f t="shared" si="0"/>
        <v>56.051887695300138</v>
      </c>
      <c r="Q26" s="28">
        <f>IF(N26&gt;0,'Reporte Diario 2024'!F208/'Reporte Diario 2024'!J208,0)</f>
        <v>644.48493506493503</v>
      </c>
      <c r="R26" s="27">
        <v>579.27693250849995</v>
      </c>
      <c r="S26" s="54">
        <f t="shared" si="6"/>
        <v>511.93</v>
      </c>
      <c r="T26" s="79">
        <f t="shared" si="1"/>
        <v>67.346932508499947</v>
      </c>
      <c r="U26" s="28">
        <f>IF(R26&gt;0,'Reporte Diario 2024'!F239/'Reporte Diario 2024'!J239,0)</f>
        <v>651.53048275862079</v>
      </c>
      <c r="V26" s="27">
        <v>452.90235517039997</v>
      </c>
      <c r="W26" s="54">
        <v>526.72</v>
      </c>
      <c r="X26" s="79">
        <f t="shared" si="2"/>
        <v>-73.817644829600056</v>
      </c>
      <c r="Y26" s="28">
        <f>IF(V26&gt;0,'Reporte Diario 2024'!F270/'Reporte Diario 2024'!J270,0)</f>
        <v>739.40222222222224</v>
      </c>
      <c r="Z26" s="27">
        <v>275.42813510460002</v>
      </c>
      <c r="AA26" s="54">
        <v>507.81</v>
      </c>
      <c r="AB26" s="79">
        <f t="shared" si="3"/>
        <v>-232.38186489539999</v>
      </c>
      <c r="AC26" s="28">
        <f>IF(Z26&gt;0,'Reporte Diario 2024'!F300/'Reporte Diario 2024'!J300,0)</f>
        <v>313.01906249999996</v>
      </c>
      <c r="AD26" s="27">
        <v>525.52</v>
      </c>
      <c r="AE26" s="54">
        <v>523.15</v>
      </c>
      <c r="AF26" s="79">
        <f t="shared" si="4"/>
        <v>2.3700000000000045</v>
      </c>
      <c r="AG26" s="28">
        <f>IF(AD26&gt;0,'Reporte Diario 2024'!F331/'Reporte Diario 2024'!J331,0)</f>
        <v>661.69661538461537</v>
      </c>
      <c r="AH26" s="27">
        <v>298.37</v>
      </c>
      <c r="AI26" s="54">
        <v>505.27</v>
      </c>
      <c r="AJ26" s="79">
        <f t="shared" si="5"/>
        <v>-206.89999999999998</v>
      </c>
      <c r="AK26" s="28">
        <f>IF(AH26&gt;0,'Reporte Diario 2024'!F361/'Reporte Diario 2024'!J361,0)</f>
        <v>366.21887999999996</v>
      </c>
    </row>
    <row r="27" spans="1:37">
      <c r="A27" s="42">
        <v>23</v>
      </c>
      <c r="B27" s="49">
        <f>'Reporte Diario 2024'!C27</f>
        <v>511.23107271650002</v>
      </c>
      <c r="C27" s="50">
        <v>537.96</v>
      </c>
      <c r="D27" s="27">
        <f>'Reporte Diario 2024'!C58</f>
        <v>613.31221092470003</v>
      </c>
      <c r="E27" s="28">
        <f>'Reporte Diario 2024'!F58/'Reporte Diario 2024'!J58</f>
        <v>772.7407952871871</v>
      </c>
      <c r="F27" s="27">
        <f>+'Reporte Diario 2024'!C87</f>
        <v>632.63132838540002</v>
      </c>
      <c r="G27" s="28">
        <f>+'Reporte Diario 2024'!F87/'Reporte Diario 2024'!J87</f>
        <v>743.50593220338999</v>
      </c>
      <c r="H27" s="27">
        <f>'Reporte Diario 2024'!C118</f>
        <v>710.29585919810006</v>
      </c>
      <c r="I27" s="28">
        <f>'Reporte Diario 2024'!F118/'Reporte Diario 2024'!J118</f>
        <v>781.47120000000007</v>
      </c>
      <c r="J27" s="27">
        <f>'Reporte Diario 2024'!C148</f>
        <v>329.3875837594</v>
      </c>
      <c r="K27" s="28">
        <f>'Reporte Diario 2024'!F148/'Reporte Diario 2024'!J148</f>
        <v>348.36627450980393</v>
      </c>
      <c r="L27" s="27">
        <f>'Reporte Diario 2024'!C179</f>
        <v>534.56401567559999</v>
      </c>
      <c r="M27" s="28">
        <f>'Reporte Diario 2024'!F179/'Reporte Diario 2024'!J179</f>
        <v>566.65246753246765</v>
      </c>
      <c r="N27" s="27">
        <v>698.42537936470001</v>
      </c>
      <c r="O27" s="54">
        <v>514.29999999999995</v>
      </c>
      <c r="P27" s="79">
        <f t="shared" si="0"/>
        <v>184.12537936470005</v>
      </c>
      <c r="Q27" s="28">
        <f>IF(N27&gt;0,'Reporte Diario 2024'!F209/'Reporte Diario 2024'!J209,0)</f>
        <v>782.93725490196084</v>
      </c>
      <c r="R27" s="27">
        <v>627.24295433930001</v>
      </c>
      <c r="S27" s="54">
        <f t="shared" si="6"/>
        <v>511.93</v>
      </c>
      <c r="T27" s="79">
        <f t="shared" si="1"/>
        <v>115.31295433930001</v>
      </c>
      <c r="U27" s="28">
        <f>IF(R27&gt;0,'Reporte Diario 2024'!F240/'Reporte Diario 2024'!J240,0)</f>
        <v>739.3352112676057</v>
      </c>
      <c r="V27" s="27">
        <v>440.27665723940004</v>
      </c>
      <c r="W27" s="54">
        <v>526.72</v>
      </c>
      <c r="X27" s="79">
        <f t="shared" si="2"/>
        <v>-86.44334276059999</v>
      </c>
      <c r="Y27" s="28">
        <f>IF(V27&gt;0,'Reporte Diario 2024'!F271/'Reporte Diario 2024'!J271,0)</f>
        <v>547.11850746268658</v>
      </c>
      <c r="Z27" s="27">
        <v>406.76442316459998</v>
      </c>
      <c r="AA27" s="54">
        <v>507.81</v>
      </c>
      <c r="AB27" s="79">
        <f t="shared" si="3"/>
        <v>-101.04557683540003</v>
      </c>
      <c r="AC27" s="28">
        <f>IF(Z27&gt;0,'Reporte Diario 2024'!F301/'Reporte Diario 2024'!J301,0)</f>
        <v>600.69513513513516</v>
      </c>
      <c r="AD27" s="27">
        <v>218.74</v>
      </c>
      <c r="AE27" s="54">
        <v>523.15</v>
      </c>
      <c r="AF27" s="79">
        <f t="shared" si="4"/>
        <v>-304.40999999999997</v>
      </c>
      <c r="AG27" s="28">
        <f>IF(AD27&gt;0,'Reporte Diario 2024'!F332/'Reporte Diario 2024'!J332,0)</f>
        <v>260.52476190476193</v>
      </c>
      <c r="AH27" s="27">
        <v>168.23</v>
      </c>
      <c r="AI27" s="54">
        <v>505.27</v>
      </c>
      <c r="AJ27" s="79">
        <f t="shared" si="5"/>
        <v>-337.03999999999996</v>
      </c>
      <c r="AK27" s="28">
        <f>IF(AH27&gt;0,'Reporte Diario 2024'!F362/'Reporte Diario 2024'!J362,0)</f>
        <v>196.03081967213112</v>
      </c>
    </row>
    <row r="28" spans="1:37">
      <c r="A28" s="42">
        <v>24</v>
      </c>
      <c r="B28" s="49">
        <f>'Reporte Diario 2024'!C28</f>
        <v>325.33881357130002</v>
      </c>
      <c r="C28" s="50">
        <v>327.88</v>
      </c>
      <c r="D28" s="27">
        <f>'Reporte Diario 2024'!C59</f>
        <v>524.47771230560011</v>
      </c>
      <c r="E28" s="28">
        <f>'Reporte Diario 2024'!F59/'Reporte Diario 2024'!J59</f>
        <v>617.90572687224653</v>
      </c>
      <c r="F28" s="27">
        <f>+'Reporte Diario 2024'!C88</f>
        <v>566.45422657799998</v>
      </c>
      <c r="G28" s="28">
        <f>+'Reporte Diario 2024'!F88/'Reporte Diario 2024'!J88</f>
        <v>675.00862068965534</v>
      </c>
      <c r="H28" s="27">
        <f>'Reporte Diario 2024'!C119</f>
        <v>436.1542010942</v>
      </c>
      <c r="I28" s="28">
        <f>'Reporte Diario 2024'!F119/'Reporte Diario 2024'!J119</f>
        <v>461.9132432432433</v>
      </c>
      <c r="J28" s="27">
        <f>'Reporte Diario 2024'!C149</f>
        <v>415.10671090200003</v>
      </c>
      <c r="K28" s="28">
        <f>'Reporte Diario 2024'!F149/'Reporte Diario 2024'!J149</f>
        <v>447.58296774193548</v>
      </c>
      <c r="L28" s="27">
        <f>'Reporte Diario 2024'!C180</f>
        <v>572.36457611879996</v>
      </c>
      <c r="M28" s="28">
        <f>'Reporte Diario 2024'!F180/'Reporte Diario 2024'!J180</f>
        <v>623.87424657534257</v>
      </c>
      <c r="N28" s="27">
        <v>671.29540515959991</v>
      </c>
      <c r="O28" s="54">
        <v>514.29999999999995</v>
      </c>
      <c r="P28" s="79">
        <f t="shared" si="0"/>
        <v>156.99540515959995</v>
      </c>
      <c r="Q28" s="28">
        <f>IF(N28&gt;0,'Reporte Diario 2024'!F210/'Reporte Diario 2024'!J210,0)</f>
        <v>715.60753246753245</v>
      </c>
      <c r="R28" s="27">
        <v>681.34482697750002</v>
      </c>
      <c r="S28" s="54">
        <f t="shared" si="6"/>
        <v>511.93</v>
      </c>
      <c r="T28" s="79">
        <f t="shared" si="1"/>
        <v>169.41482697750001</v>
      </c>
      <c r="U28" s="28">
        <f>IF(R28&gt;0,'Reporte Diario 2024'!F241/'Reporte Diario 2024'!J241,0)</f>
        <v>769.37551020408171</v>
      </c>
      <c r="V28" s="27">
        <v>529.88066755900002</v>
      </c>
      <c r="W28" s="54">
        <v>526.72</v>
      </c>
      <c r="X28" s="79">
        <f t="shared" si="2"/>
        <v>3.1606675589999895</v>
      </c>
      <c r="Y28" s="28">
        <f>IF(V28&gt;0,'Reporte Diario 2024'!F272/'Reporte Diario 2024'!J272,0)</f>
        <v>663.86521739130433</v>
      </c>
      <c r="Z28" s="27">
        <v>381.36086128220001</v>
      </c>
      <c r="AA28" s="54">
        <v>507.81</v>
      </c>
      <c r="AB28" s="79">
        <f t="shared" si="3"/>
        <v>-126.4491387178</v>
      </c>
      <c r="AC28" s="28">
        <f>IF(Z28&gt;0,'Reporte Diario 2024'!F302/'Reporte Diario 2024'!J302,0)</f>
        <v>489.38999999999993</v>
      </c>
      <c r="AD28" s="27">
        <v>255.48</v>
      </c>
      <c r="AE28" s="54">
        <v>523.15</v>
      </c>
      <c r="AF28" s="79">
        <f t="shared" si="4"/>
        <v>-267.66999999999996</v>
      </c>
      <c r="AG28" s="28">
        <f>IF(AD28&gt;0,'Reporte Diario 2024'!F333/'Reporte Diario 2024'!J333,0)</f>
        <v>315.09123966942155</v>
      </c>
      <c r="AH28" s="27">
        <v>398.12</v>
      </c>
      <c r="AI28" s="54">
        <v>505.27</v>
      </c>
      <c r="AJ28" s="79">
        <f t="shared" si="5"/>
        <v>-107.14999999999998</v>
      </c>
      <c r="AK28" s="28">
        <f>IF(AH28&gt;0,'Reporte Diario 2024'!F363/'Reporte Diario 2024'!J363,0)</f>
        <v>503.90400000000005</v>
      </c>
    </row>
    <row r="29" spans="1:37">
      <c r="A29" s="42">
        <v>25</v>
      </c>
      <c r="B29" s="49">
        <f>'Reporte Diario 2024'!C29</f>
        <v>450.15635536169998</v>
      </c>
      <c r="C29" s="50">
        <v>475.17</v>
      </c>
      <c r="D29" s="27">
        <f>'Reporte Diario 2024'!C60</f>
        <v>492.79666217089999</v>
      </c>
      <c r="E29" s="28">
        <f>'Reporte Diario 2024'!F60/'Reporte Diario 2024'!J60</f>
        <v>600.58736842105259</v>
      </c>
      <c r="F29" s="27">
        <f>+'Reporte Diario 2024'!C89</f>
        <v>376.93190192290001</v>
      </c>
      <c r="G29" s="28">
        <f>+'Reporte Diario 2024'!F89/'Reporte Diario 2024'!J89</f>
        <v>461.48596750369285</v>
      </c>
      <c r="H29" s="27">
        <f>'Reporte Diario 2024'!C120</f>
        <v>422.28377004999999</v>
      </c>
      <c r="I29" s="28">
        <f>'Reporte Diario 2024'!F120/'Reporte Diario 2024'!J120</f>
        <v>464.69226594301233</v>
      </c>
      <c r="J29" s="27">
        <f>'Reporte Diario 2024'!C150</f>
        <v>422.05407815760003</v>
      </c>
      <c r="K29" s="28">
        <f>'Reporte Diario 2024'!F150/'Reporte Diario 2024'!J150</f>
        <v>497.50909090909079</v>
      </c>
      <c r="L29" s="27">
        <f>'Reporte Diario 2024'!C181</f>
        <v>620.46045861089999</v>
      </c>
      <c r="M29" s="28">
        <f>'Reporte Diario 2024'!F181/'Reporte Diario 2024'!J181</f>
        <v>638.55818181818199</v>
      </c>
      <c r="N29" s="27">
        <v>460.20827034000001</v>
      </c>
      <c r="O29" s="54">
        <v>514.29999999999995</v>
      </c>
      <c r="P29" s="79">
        <f t="shared" si="0"/>
        <v>-54.091729659999942</v>
      </c>
      <c r="Q29" s="28">
        <f>IF(N29&gt;0,'Reporte Diario 2024'!F211/'Reporte Diario 2024'!J211,0)</f>
        <v>505.93551020408165</v>
      </c>
      <c r="R29" s="27">
        <v>708.96554411080001</v>
      </c>
      <c r="S29" s="54">
        <f t="shared" si="6"/>
        <v>511.93</v>
      </c>
      <c r="T29" s="79">
        <f t="shared" si="1"/>
        <v>197.0355441108</v>
      </c>
      <c r="U29" s="28">
        <f>IF(R29&gt;0,'Reporte Diario 2024'!F242/'Reporte Diario 2024'!J242,0)</f>
        <v>801.81162162162173</v>
      </c>
      <c r="V29" s="27">
        <v>599.23430123940011</v>
      </c>
      <c r="W29" s="54">
        <v>526.72</v>
      </c>
      <c r="X29" s="79">
        <f t="shared" si="2"/>
        <v>72.514301239400083</v>
      </c>
      <c r="Y29" s="28">
        <f>IF(V29&gt;0,'Reporte Diario 2024'!F273/'Reporte Diario 2024'!J273,0)</f>
        <v>757.36817518248176</v>
      </c>
      <c r="Z29" s="27">
        <v>497.69581149300001</v>
      </c>
      <c r="AA29" s="54">
        <v>507.81</v>
      </c>
      <c r="AB29" s="79">
        <f t="shared" si="3"/>
        <v>-10.114188506999994</v>
      </c>
      <c r="AC29" s="28">
        <f>IF(Z29&gt;0,'Reporte Diario 2024'!F303/'Reporte Diario 2024'!J303,0)</f>
        <v>606.36183206106875</v>
      </c>
      <c r="AD29" s="27">
        <v>304.29000000000002</v>
      </c>
      <c r="AE29" s="54">
        <v>523.15</v>
      </c>
      <c r="AF29" s="79">
        <f t="shared" si="4"/>
        <v>-218.85999999999996</v>
      </c>
      <c r="AG29" s="28">
        <f>IF(AD29&gt;0,'Reporte Diario 2024'!F334/'Reporte Diario 2024'!J334,0)</f>
        <v>375.30252100840346</v>
      </c>
      <c r="AH29" s="27">
        <v>335.85</v>
      </c>
      <c r="AI29" s="54">
        <v>505.27</v>
      </c>
      <c r="AJ29" s="79">
        <f t="shared" si="5"/>
        <v>-169.41999999999996</v>
      </c>
      <c r="AK29" s="28">
        <f>IF(AH29&gt;0,'Reporte Diario 2024'!F364/'Reporte Diario 2024'!J364,0)</f>
        <v>502.8304761904763</v>
      </c>
    </row>
    <row r="30" spans="1:37">
      <c r="A30" s="42">
        <v>26</v>
      </c>
      <c r="B30" s="49">
        <f>'Reporte Diario 2024'!C30</f>
        <v>556.89752297990003</v>
      </c>
      <c r="C30" s="50">
        <v>573.41999999999996</v>
      </c>
      <c r="D30" s="27">
        <f>'Reporte Diario 2024'!C61</f>
        <v>347.36793931599999</v>
      </c>
      <c r="E30" s="28">
        <f>'Reporte Diario 2024'!F61/'Reporte Diario 2024'!J61</f>
        <v>410.13944954128436</v>
      </c>
      <c r="F30" s="27">
        <f>+'Reporte Diario 2024'!C90</f>
        <v>505.3247229502</v>
      </c>
      <c r="G30" s="28">
        <f>+'Reporte Diario 2024'!F90/'Reporte Diario 2024'!J90</f>
        <v>616.20930888575458</v>
      </c>
      <c r="H30" s="27">
        <f>'Reporte Diario 2024'!C121</f>
        <v>334.50573062170002</v>
      </c>
      <c r="I30" s="28">
        <f>'Reporte Diario 2024'!F121/'Reporte Diario 2024'!J121</f>
        <v>362.2697142857142</v>
      </c>
      <c r="J30" s="27">
        <f>'Reporte Diario 2024'!C151</f>
        <v>462.29772734560004</v>
      </c>
      <c r="K30" s="28">
        <f>'Reporte Diario 2024'!F151/'Reporte Diario 2024'!J151</f>
        <v>490.87058823529412</v>
      </c>
      <c r="L30" s="27">
        <f>'Reporte Diario 2024'!C182</f>
        <v>595.63575668379997</v>
      </c>
      <c r="M30" s="28">
        <f>'Reporte Diario 2024'!F182/'Reporte Diario 2024'!J182</f>
        <v>608.0976623376622</v>
      </c>
      <c r="N30" s="27">
        <v>400.34331582269999</v>
      </c>
      <c r="O30" s="54">
        <v>514.29999999999995</v>
      </c>
      <c r="P30" s="79">
        <f t="shared" si="0"/>
        <v>-113.95668417729996</v>
      </c>
      <c r="Q30" s="28">
        <f>IF(N30&gt;0,'Reporte Diario 2024'!F212/'Reporte Diario 2024'!J212,0)</f>
        <v>384.99473684210528</v>
      </c>
      <c r="R30" s="27">
        <v>671.92837736939998</v>
      </c>
      <c r="S30" s="54">
        <f t="shared" si="6"/>
        <v>511.93</v>
      </c>
      <c r="T30" s="79">
        <f t="shared" si="1"/>
        <v>159.99837736939998</v>
      </c>
      <c r="U30" s="28">
        <f>IF(R30&gt;0,'Reporte Diario 2024'!F243/'Reporte Diario 2024'!J243,0)</f>
        <v>752.6538775510204</v>
      </c>
      <c r="V30" s="27">
        <v>658.80881043299996</v>
      </c>
      <c r="W30" s="54">
        <v>526.72</v>
      </c>
      <c r="X30" s="79">
        <f t="shared" si="2"/>
        <v>132.08881043299994</v>
      </c>
      <c r="Y30" s="28">
        <f>IF(V30&gt;0,'Reporte Diario 2024'!F274/'Reporte Diario 2024'!J274,0)</f>
        <v>798.33043478260868</v>
      </c>
      <c r="Z30" s="27">
        <v>451.52051610910002</v>
      </c>
      <c r="AA30" s="54">
        <v>507.81</v>
      </c>
      <c r="AB30" s="79">
        <f t="shared" si="3"/>
        <v>-56.289483890899987</v>
      </c>
      <c r="AC30" s="28">
        <f>IF(Z30&gt;0,'Reporte Diario 2024'!F304/'Reporte Diario 2024'!J304,0)</f>
        <v>578.6334374999999</v>
      </c>
      <c r="AD30" s="27">
        <v>291.04500000000002</v>
      </c>
      <c r="AE30" s="54">
        <v>523.15</v>
      </c>
      <c r="AF30" s="79">
        <f t="shared" si="4"/>
        <v>-232.10499999999996</v>
      </c>
      <c r="AG30" s="28">
        <f>IF(AD30&gt;0,'Reporte Diario 2024'!F335/'Reporte Diario 2024'!J335,0)</f>
        <v>345.79354838709673</v>
      </c>
      <c r="AH30" s="27">
        <v>381.99</v>
      </c>
      <c r="AI30" s="54">
        <v>505.27</v>
      </c>
      <c r="AJ30" s="79">
        <f t="shared" si="5"/>
        <v>-123.27999999999997</v>
      </c>
      <c r="AK30" s="28">
        <f>IF(AH30&gt;0,'Reporte Diario 2024'!F365/'Reporte Diario 2024'!J365,0)</f>
        <v>497.17645161290318</v>
      </c>
    </row>
    <row r="31" spans="1:37">
      <c r="A31" s="42">
        <v>27</v>
      </c>
      <c r="B31" s="49">
        <f>'Reporte Diario 2024'!C31</f>
        <v>544.6683316351</v>
      </c>
      <c r="C31" s="50">
        <v>626.74</v>
      </c>
      <c r="D31" s="27">
        <f>'Reporte Diario 2024'!C62</f>
        <v>222.8631717717</v>
      </c>
      <c r="E31" s="28">
        <f>'Reporte Diario 2024'!F62/'Reporte Diario 2024'!J62</f>
        <v>235.54654377880186</v>
      </c>
      <c r="F31" s="27">
        <f>+'Reporte Diario 2024'!C91</f>
        <v>679.23486867939994</v>
      </c>
      <c r="G31" s="28">
        <f>+'Reporte Diario 2024'!F91/'Reporte Diario 2024'!J91</f>
        <v>812.50125523012548</v>
      </c>
      <c r="H31" s="27">
        <f>'Reporte Diario 2024'!C122</f>
        <v>436.46992641080004</v>
      </c>
      <c r="I31" s="28">
        <f>'Reporte Diario 2024'!F122/'Reporte Diario 2024'!J122</f>
        <v>472.01833333333343</v>
      </c>
      <c r="J31" s="27">
        <f>'Reporte Diario 2024'!C152</f>
        <v>451.26050926050004</v>
      </c>
      <c r="K31" s="28">
        <f>'Reporte Diario 2024'!F152/'Reporte Diario 2024'!J152</f>
        <v>493.65986577181201</v>
      </c>
      <c r="L31" s="27">
        <f>'Reporte Diario 2024'!C183</f>
        <v>657.60326673320003</v>
      </c>
      <c r="M31" s="28">
        <f>'Reporte Diario 2024'!F183/'Reporte Diario 2024'!J183</f>
        <v>679.01098039215685</v>
      </c>
      <c r="N31" s="27">
        <v>420.94459037029998</v>
      </c>
      <c r="O31" s="54">
        <v>514.29999999999995</v>
      </c>
      <c r="P31" s="79">
        <f t="shared" si="0"/>
        <v>-93.355409629699977</v>
      </c>
      <c r="Q31" s="28">
        <f>IF(N31&gt;0,'Reporte Diario 2024'!F213/'Reporte Diario 2024'!J213,0)</f>
        <v>430.4</v>
      </c>
      <c r="R31" s="27">
        <v>680.37642123240005</v>
      </c>
      <c r="S31" s="54">
        <f t="shared" si="6"/>
        <v>511.93</v>
      </c>
      <c r="T31" s="79">
        <f t="shared" si="1"/>
        <v>168.44642123240004</v>
      </c>
      <c r="U31" s="28">
        <f>IF(R31&gt;0,'Reporte Diario 2024'!F244/'Reporte Diario 2024'!J244,0)</f>
        <v>778.50410958904092</v>
      </c>
      <c r="V31" s="27">
        <v>513.48881057789993</v>
      </c>
      <c r="W31" s="54">
        <v>526.72</v>
      </c>
      <c r="X31" s="79">
        <f t="shared" si="2"/>
        <v>-13.231189422100101</v>
      </c>
      <c r="Y31" s="28">
        <f>IF(V31&gt;0,'Reporte Diario 2024'!F275/'Reporte Diario 2024'!J275,0)</f>
        <v>620.87299270073004</v>
      </c>
      <c r="Z31" s="27">
        <v>364.5700566159</v>
      </c>
      <c r="AA31" s="54">
        <v>507.81</v>
      </c>
      <c r="AB31" s="79">
        <f t="shared" si="3"/>
        <v>-143.2399433841</v>
      </c>
      <c r="AC31" s="28">
        <f>IF(Z31&gt;0,'Reporte Diario 2024'!F305/'Reporte Diario 2024'!J305,0)</f>
        <v>450.87750000000005</v>
      </c>
      <c r="AD31" s="27">
        <v>243.13</v>
      </c>
      <c r="AE31" s="54">
        <v>523.15</v>
      </c>
      <c r="AF31" s="79">
        <f t="shared" si="4"/>
        <v>-280.02</v>
      </c>
      <c r="AG31" s="28">
        <f>IF(AD31&gt;0,'Reporte Diario 2024'!F336/'Reporte Diario 2024'!J336,0)</f>
        <v>291.11039999999997</v>
      </c>
      <c r="AH31" s="27">
        <v>0</v>
      </c>
      <c r="AI31" s="54">
        <v>505.27</v>
      </c>
      <c r="AJ31" s="79">
        <f t="shared" si="5"/>
        <v>0</v>
      </c>
      <c r="AK31" s="28">
        <f>IF(AH31&gt;0,'Reporte Diario 2024'!F366/'Reporte Diario 2024'!J366,0)</f>
        <v>0</v>
      </c>
    </row>
    <row r="32" spans="1:37">
      <c r="A32" s="42">
        <v>28</v>
      </c>
      <c r="B32" s="49">
        <f>'Reporte Diario 2024'!C32</f>
        <v>578.2722618104001</v>
      </c>
      <c r="C32" s="50">
        <v>646.99</v>
      </c>
      <c r="D32" s="27">
        <f>'Reporte Diario 2024'!C63</f>
        <v>570.91164254789999</v>
      </c>
      <c r="E32" s="28">
        <f>'Reporte Diario 2024'!F63/'Reporte Diario 2024'!J63</f>
        <v>675.23505154639167</v>
      </c>
      <c r="F32" s="27">
        <f>+'Reporte Diario 2024'!C92</f>
        <v>719.39138929029991</v>
      </c>
      <c r="G32" s="28">
        <f>+'Reporte Diario 2024'!F92/'Reporte Diario 2024'!J92</f>
        <v>833.94164383561656</v>
      </c>
      <c r="H32" s="27">
        <f>'Reporte Diario 2024'!C123</f>
        <v>254.06673232099999</v>
      </c>
      <c r="I32" s="28">
        <f>'Reporte Diario 2024'!F123/'Reporte Diario 2024'!J123</f>
        <v>244.87779310344831</v>
      </c>
      <c r="J32" s="27">
        <f>'Reporte Diario 2024'!C153</f>
        <v>334.1848762477</v>
      </c>
      <c r="K32" s="28">
        <f>'Reporte Diario 2024'!F153/'Reporte Diario 2024'!J153</f>
        <v>337.04999999999995</v>
      </c>
      <c r="L32" s="27">
        <f>'Reporte Diario 2024'!C184</f>
        <v>622.87955844139992</v>
      </c>
      <c r="M32" s="28">
        <f>'Reporte Diario 2024'!F184/'Reporte Diario 2024'!J184</f>
        <v>644.63766233766228</v>
      </c>
      <c r="N32" s="27">
        <v>411.67418472269998</v>
      </c>
      <c r="O32" s="54">
        <v>514.29999999999995</v>
      </c>
      <c r="P32" s="79">
        <f t="shared" si="0"/>
        <v>-102.62581527729998</v>
      </c>
      <c r="Q32" s="28">
        <f>IF(N32&gt;0,'Reporte Diario 2024'!F214/'Reporte Diario 2024'!J214,0)</f>
        <v>384.4736842105263</v>
      </c>
      <c r="R32" s="27">
        <v>675.42529123049997</v>
      </c>
      <c r="S32" s="54">
        <f t="shared" si="6"/>
        <v>511.93</v>
      </c>
      <c r="T32" s="79">
        <f t="shared" si="1"/>
        <v>163.49529123049996</v>
      </c>
      <c r="U32" s="28">
        <f>IF(R32&gt;0,'Reporte Diario 2024'!F245/'Reporte Diario 2024'!J245,0)</f>
        <v>778.99020408163256</v>
      </c>
      <c r="V32" s="27">
        <v>503.4628985292</v>
      </c>
      <c r="W32" s="54">
        <v>526.72</v>
      </c>
      <c r="X32" s="79">
        <f t="shared" si="2"/>
        <v>-23.257101470800023</v>
      </c>
      <c r="Y32" s="28">
        <f>IF(V32&gt;0,'Reporte Diario 2024'!F276/'Reporte Diario 2024'!J276,0)</f>
        <v>605.36</v>
      </c>
      <c r="Z32" s="27">
        <v>370.17140684840001</v>
      </c>
      <c r="AA32" s="54">
        <v>507.81</v>
      </c>
      <c r="AB32" s="79">
        <f t="shared" si="3"/>
        <v>-137.63859315159999</v>
      </c>
      <c r="AC32" s="28">
        <f>IF(Z32&gt;0,'Reporte Diario 2024'!F306/'Reporte Diario 2024'!J306,0)</f>
        <v>426.61970149253727</v>
      </c>
      <c r="AD32" s="27">
        <v>337.58</v>
      </c>
      <c r="AE32" s="54">
        <v>523.15</v>
      </c>
      <c r="AF32" s="79">
        <f t="shared" si="4"/>
        <v>-185.57</v>
      </c>
      <c r="AG32" s="28">
        <f>IF(AD32&gt;0,'Reporte Diario 2024'!F337/'Reporte Diario 2024'!J337,0)</f>
        <v>431.48672268907558</v>
      </c>
      <c r="AH32" s="27">
        <v>0</v>
      </c>
      <c r="AI32" s="54">
        <v>505.27</v>
      </c>
      <c r="AJ32" s="79">
        <f t="shared" si="5"/>
        <v>0</v>
      </c>
      <c r="AK32" s="28">
        <f>IF(AH32&gt;0,'Reporte Diario 2024'!F367/'Reporte Diario 2024'!J367,0)</f>
        <v>0</v>
      </c>
    </row>
    <row r="33" spans="1:37">
      <c r="A33" s="42">
        <v>29</v>
      </c>
      <c r="B33" s="49">
        <f>'Reporte Diario 2024'!C33</f>
        <v>419.40142006069999</v>
      </c>
      <c r="C33" s="50">
        <v>399.63</v>
      </c>
      <c r="D33" s="27">
        <f>'Reporte Diario 2024'!C64</f>
        <v>621.63446225760003</v>
      </c>
      <c r="E33" s="28">
        <f>'Reporte Diario 2024'!F64/'Reporte Diario 2024'!J64</f>
        <v>735.69883381924194</v>
      </c>
      <c r="F33" s="27">
        <f>+'Reporte Diario 2024'!C93</f>
        <v>672.00425353269998</v>
      </c>
      <c r="G33" s="28">
        <f>+'Reporte Diario 2024'!F93/'Reporte Diario 2024'!J93</f>
        <v>791.2604456824514</v>
      </c>
      <c r="H33" s="27">
        <f>'Reporte Diario 2024'!C124</f>
        <v>486.21838096620002</v>
      </c>
      <c r="I33" s="28">
        <f>'Reporte Diario 2024'!F124/'Reporte Diario 2024'!J124</f>
        <v>517.93852348993278</v>
      </c>
      <c r="J33" s="27">
        <f>'Reporte Diario 2024'!C154</f>
        <v>413.81877881460002</v>
      </c>
      <c r="K33" s="28">
        <f>'Reporte Diario 2024'!F154/'Reporte Diario 2024'!J154</f>
        <v>447.27921568627454</v>
      </c>
      <c r="L33" s="27">
        <f>'Reporte Diario 2024'!C185</f>
        <v>651.53269786119995</v>
      </c>
      <c r="M33" s="28">
        <f>'Reporte Diario 2024'!F185/'Reporte Diario 2024'!J185</f>
        <v>668.89605095541401</v>
      </c>
      <c r="N33" s="27">
        <v>605.0827351872</v>
      </c>
      <c r="O33" s="54">
        <v>514.29999999999995</v>
      </c>
      <c r="P33" s="79">
        <f t="shared" si="0"/>
        <v>90.782735187200046</v>
      </c>
      <c r="Q33" s="28">
        <f>IF(N33&gt;0,'Reporte Diario 2024'!F215/'Reporte Diario 2024'!J215,0)</f>
        <v>636.02763157894731</v>
      </c>
      <c r="R33" s="27">
        <v>595.79935934989999</v>
      </c>
      <c r="S33" s="54">
        <f t="shared" si="6"/>
        <v>511.93</v>
      </c>
      <c r="T33" s="79">
        <f t="shared" si="1"/>
        <v>83.86935934989998</v>
      </c>
      <c r="U33" s="28">
        <f>IF(R33&gt;0,'Reporte Diario 2024'!F246/'Reporte Diario 2024'!J246,0)</f>
        <v>673.97260273972609</v>
      </c>
      <c r="V33" s="27">
        <v>416.07052458239997</v>
      </c>
      <c r="W33" s="54">
        <v>526.72</v>
      </c>
      <c r="X33" s="79">
        <f t="shared" si="2"/>
        <v>-110.64947541760006</v>
      </c>
      <c r="Y33" s="28">
        <f>IF(V33&gt;0,'Reporte Diario 2024'!F277/'Reporte Diario 2024'!J277,0)</f>
        <v>514.7778461538461</v>
      </c>
      <c r="Z33" s="27">
        <v>348.11905486209997</v>
      </c>
      <c r="AA33" s="54">
        <v>507.81</v>
      </c>
      <c r="AB33" s="79">
        <f t="shared" si="3"/>
        <v>-159.69094513790003</v>
      </c>
      <c r="AC33" s="28">
        <f>IF(Z33&gt;0,'Reporte Diario 2024'!F307/'Reporte Diario 2024'!J307,0)</f>
        <v>398.99181818181819</v>
      </c>
      <c r="AD33" s="27">
        <v>287.95</v>
      </c>
      <c r="AE33" s="54">
        <v>523.15</v>
      </c>
      <c r="AF33" s="79">
        <f t="shared" si="4"/>
        <v>-235.2</v>
      </c>
      <c r="AG33" s="28">
        <f>IF(AD33&gt;0,'Reporte Diario 2024'!F338/'Reporte Diario 2024'!J338,0)</f>
        <v>344.50655999999998</v>
      </c>
      <c r="AH33" s="27">
        <v>0</v>
      </c>
      <c r="AI33" s="54">
        <v>505.27</v>
      </c>
      <c r="AJ33" s="79">
        <f t="shared" si="5"/>
        <v>0</v>
      </c>
      <c r="AK33" s="28">
        <f>IF(AH33&gt;0,'Reporte Diario 2024'!F368/'Reporte Diario 2024'!J368,0)</f>
        <v>0</v>
      </c>
    </row>
    <row r="34" spans="1:37">
      <c r="A34" s="42">
        <v>30</v>
      </c>
      <c r="B34" s="49">
        <f>'Reporte Diario 2024'!C34</f>
        <v>184.0157353486</v>
      </c>
      <c r="C34" s="50">
        <v>135.9</v>
      </c>
      <c r="D34" s="23"/>
      <c r="E34" s="25"/>
      <c r="F34" s="27">
        <f>+'Reporte Diario 2024'!C94</f>
        <v>142.2360418735</v>
      </c>
      <c r="G34" s="28">
        <f>+'Reporte Diario 2024'!F94/'Reporte Diario 2024'!J94</f>
        <v>137.98103448275862</v>
      </c>
      <c r="H34" s="27">
        <f>'Reporte Diario 2024'!C125</f>
        <v>652.42533391339998</v>
      </c>
      <c r="I34" s="28">
        <f>'Reporte Diario 2024'!F125/'Reporte Diario 2024'!J125</f>
        <v>706.36984126984112</v>
      </c>
      <c r="J34" s="27">
        <f>'Reporte Diario 2024'!C155</f>
        <v>557.06122008199998</v>
      </c>
      <c r="K34" s="28">
        <f>'Reporte Diario 2024'!F155/'Reporte Diario 2024'!J155</f>
        <v>656.14250000000015</v>
      </c>
      <c r="L34" s="27">
        <f>'Reporte Diario 2024'!C186</f>
        <v>558.48732424550008</v>
      </c>
      <c r="M34" s="28">
        <f>'Reporte Diario 2024'!F186/'Reporte Diario 2024'!J186</f>
        <v>581.11230769230758</v>
      </c>
      <c r="N34" s="27">
        <v>654.15038867440001</v>
      </c>
      <c r="O34" s="54">
        <v>514.29999999999995</v>
      </c>
      <c r="P34" s="79">
        <f t="shared" si="0"/>
        <v>139.85038867440005</v>
      </c>
      <c r="Q34" s="28">
        <f>IF(N34&gt;0,'Reporte Diario 2024'!F216/'Reporte Diario 2024'!J216,0)</f>
        <v>713.02711409395965</v>
      </c>
      <c r="R34" s="27">
        <v>654.73901876699995</v>
      </c>
      <c r="S34" s="54">
        <f t="shared" si="6"/>
        <v>511.93</v>
      </c>
      <c r="T34" s="79">
        <f t="shared" si="1"/>
        <v>142.80901876699994</v>
      </c>
      <c r="U34" s="28">
        <f>IF(R34&gt;0,'Reporte Diario 2024'!F247/'Reporte Diario 2024'!J247,0)</f>
        <v>739.59863013698634</v>
      </c>
      <c r="V34" s="27">
        <v>621.83716168249998</v>
      </c>
      <c r="W34" s="54">
        <v>526.72</v>
      </c>
      <c r="X34" s="79">
        <f t="shared" si="2"/>
        <v>95.117161682499955</v>
      </c>
      <c r="Y34" s="28">
        <f>IF(V34&gt;0,'Reporte Diario 2024'!F278/'Reporte Diario 2024'!J278,0)</f>
        <v>756.70686131386867</v>
      </c>
      <c r="Z34" s="27">
        <v>252.54</v>
      </c>
      <c r="AA34" s="54">
        <v>507.81</v>
      </c>
      <c r="AB34" s="79">
        <f t="shared" si="3"/>
        <v>-255.27</v>
      </c>
      <c r="AC34" s="28">
        <f>IF(Z34&gt;0,'Reporte Diario 2024'!F308/'Reporte Diario 2024'!J308,0)</f>
        <v>302.07323076923086</v>
      </c>
      <c r="AD34" s="27">
        <v>467.45</v>
      </c>
      <c r="AE34" s="54">
        <v>523.15</v>
      </c>
      <c r="AF34" s="79">
        <f t="shared" si="4"/>
        <v>-55.699999999999989</v>
      </c>
      <c r="AG34" s="28">
        <f>IF(AD34&gt;0,'Reporte Diario 2024'!F339/'Reporte Diario 2024'!J339,0)</f>
        <v>619.29421487603292</v>
      </c>
      <c r="AH34" s="27">
        <v>0</v>
      </c>
      <c r="AI34" s="54">
        <v>505.27</v>
      </c>
      <c r="AJ34" s="79">
        <f t="shared" si="5"/>
        <v>0</v>
      </c>
      <c r="AK34" s="28">
        <f>IF(AH34&gt;0,'Reporte Diario 2024'!F369/'Reporte Diario 2024'!J369,0)</f>
        <v>0</v>
      </c>
    </row>
    <row r="35" spans="1:37" ht="15.75" thickBot="1">
      <c r="A35" s="43">
        <v>31</v>
      </c>
      <c r="B35" s="51">
        <f>'Reporte Diario 2024'!C35</f>
        <v>362.87184001179997</v>
      </c>
      <c r="C35" s="52">
        <v>406.38</v>
      </c>
      <c r="D35" s="24"/>
      <c r="E35" s="26"/>
      <c r="F35" s="27">
        <f>+'Reporte Diario 2024'!C95</f>
        <v>519.73009021070004</v>
      </c>
      <c r="G35" s="28">
        <f>+'Reporte Diario 2024'!F95/'Reporte Diario 2024'!J95</f>
        <v>582.44500000000005</v>
      </c>
      <c r="H35" s="27"/>
      <c r="I35" s="28"/>
      <c r="J35" s="27">
        <f>'Reporte Diario 2024'!C156</f>
        <v>373.65848905190001</v>
      </c>
      <c r="K35" s="28">
        <f>'Reporte Diario 2024'!F156/'Reporte Diario 2024'!J156</f>
        <v>410.78860927152317</v>
      </c>
      <c r="L35" s="27"/>
      <c r="M35" s="28"/>
      <c r="N35" s="27">
        <v>698.68184483990001</v>
      </c>
      <c r="O35" s="54">
        <v>514.29999999999995</v>
      </c>
      <c r="P35" s="79">
        <f t="shared" si="0"/>
        <v>184.38184483990005</v>
      </c>
      <c r="Q35" s="28">
        <f>IF(N35&gt;0,'Reporte Diario 2024'!F217/'Reporte Diario 2024'!J217,0)</f>
        <v>754.02901960784322</v>
      </c>
      <c r="R35" s="27">
        <v>596.95734997559998</v>
      </c>
      <c r="S35" s="54">
        <f t="shared" si="6"/>
        <v>511.93</v>
      </c>
      <c r="T35" s="79">
        <f t="shared" si="1"/>
        <v>85.027349975599975</v>
      </c>
      <c r="U35" s="28">
        <f>IF(R35&gt;0,'Reporte Diario 2024'!F248/'Reporte Diario 2024'!J248,0)</f>
        <v>689.92333333333329</v>
      </c>
      <c r="V35" s="27" t="e">
        <v>#N/A</v>
      </c>
      <c r="W35" s="54">
        <v>526.72</v>
      </c>
      <c r="X35" s="79">
        <f>IF(V34&gt;0,V34-W34,0)</f>
        <v>95.117161682499955</v>
      </c>
      <c r="Y35" s="28" t="e">
        <f>IF(V35&gt;0,'Reporte Diario 2024'!J248/'Reporte Diario 2024'!N248,0)</f>
        <v>#N/A</v>
      </c>
      <c r="Z35" s="27">
        <v>392.74</v>
      </c>
      <c r="AA35" s="54">
        <v>507.81</v>
      </c>
      <c r="AB35" s="79">
        <f>IF(Z35&gt;0,Z35-AA35,0)</f>
        <v>-115.07</v>
      </c>
      <c r="AC35" s="28">
        <f>IF(Z35&gt;0,'Reporte Diario 2024'!F309/'Reporte Diario 2024'!J309,0)</f>
        <v>464.26076335877866</v>
      </c>
      <c r="AD35" s="27"/>
      <c r="AE35" s="54"/>
      <c r="AF35" s="79"/>
      <c r="AG35" s="28"/>
      <c r="AH35" s="27">
        <v>0</v>
      </c>
      <c r="AI35" s="54">
        <v>505.27</v>
      </c>
      <c r="AJ35" s="79">
        <f t="shared" si="5"/>
        <v>0</v>
      </c>
      <c r="AK35" s="28">
        <f>IF(AH35&gt;0,'Reporte Diario 2024'!F370/'Reporte Diario 2024'!J370,0)</f>
        <v>0</v>
      </c>
    </row>
    <row r="36" spans="1:37" ht="15.75" thickBot="1">
      <c r="A36" s="22" t="s">
        <v>248</v>
      </c>
      <c r="B36" s="45">
        <f>+SUM(B5:B35)/1000</f>
        <v>13.923587995487598</v>
      </c>
      <c r="C36" s="45">
        <f>+SUM(C5:C35)/31</f>
        <v>450.90354838709658</v>
      </c>
      <c r="D36" s="39">
        <f>+SUM(D5:D35)/1000</f>
        <v>12.995672569753001</v>
      </c>
      <c r="E36" s="40">
        <f>+SUM(E5:E35)/29</f>
        <v>546.18635719575627</v>
      </c>
      <c r="F36" s="62">
        <f>+SUM(F5:F35)/1000</f>
        <v>17.913403710518303</v>
      </c>
      <c r="G36" s="63">
        <f>+SUM(G5:G35)/31</f>
        <v>679.95231647983701</v>
      </c>
      <c r="H36" s="62">
        <f>+SUM(H5:H35)/1000</f>
        <v>16.152551416803899</v>
      </c>
      <c r="I36" s="63">
        <f>+SUM(I5:I35)/30</f>
        <v>600.42676400335324</v>
      </c>
      <c r="J36" s="62">
        <f>+SUM(J5:J35)/1000</f>
        <v>16.566831731078103</v>
      </c>
      <c r="K36" s="63">
        <f>+SUM(K5:K35)/31</f>
        <v>578.32117121653107</v>
      </c>
      <c r="L36" s="96">
        <f>+SUM(L5:L35)/1000</f>
        <v>16.5173102042036</v>
      </c>
      <c r="M36" s="63">
        <f>+SUM(M5:M35)/30</f>
        <v>595.59817333066474</v>
      </c>
      <c r="N36" s="62">
        <f>+SUM(N5:N35)/1000</f>
        <v>17.271011030517901</v>
      </c>
      <c r="O36" s="55">
        <f>SUMIF(N5:N35,"&gt;0",O5:O35)/1000</f>
        <v>15.94329999999999</v>
      </c>
      <c r="P36" s="55">
        <f>+SUM(P5:P35)/1000</f>
        <v>1.3277110305179012</v>
      </c>
      <c r="Q36" s="63">
        <f>+SUM(Q5:Q35)/31</f>
        <v>587.82883964719565</v>
      </c>
      <c r="R36" s="62">
        <f>+SUM(R5:R35)/1000</f>
        <v>19.292396110972195</v>
      </c>
      <c r="S36" s="55">
        <f>SUMIF(R5:R35,"&gt;0",S5:S35)/1000</f>
        <v>15.869830000000006</v>
      </c>
      <c r="T36" s="55">
        <f>+SUM(T5:T35)/1000</f>
        <v>3.4225661109721996</v>
      </c>
      <c r="U36" s="63">
        <f>+SUM(U5:U35)/31</f>
        <v>696.41605097399361</v>
      </c>
      <c r="V36" s="62">
        <f>+SUM(V5:V34)/1000</f>
        <v>16.5870187019414</v>
      </c>
      <c r="W36" s="55">
        <f>SUMIF(V5:V35,"&gt;0",W5:W35)/1000</f>
        <v>15.801599999999993</v>
      </c>
      <c r="X36" s="55">
        <f>+SUM(X5:X35)/1000</f>
        <v>0.88053586362389891</v>
      </c>
      <c r="Y36" s="63" t="e">
        <f>+SUM(Y5:Y34)/30</f>
        <v>#VALUE!</v>
      </c>
      <c r="Z36" s="62">
        <f>+SUM(Z5:Z35)/1000</f>
        <v>14.301791260439499</v>
      </c>
      <c r="AA36" s="55">
        <f>SUMIF(Z5:Z35,"&gt;0",AA5:AA35)/1000</f>
        <v>15.742109999999995</v>
      </c>
      <c r="AB36" s="55">
        <f>+SUM(AB5:AB35)/1000</f>
        <v>-1.4403187395604997</v>
      </c>
      <c r="AC36" s="63">
        <f>+SUM(AC5:AC34)/30</f>
        <v>571.29362452234091</v>
      </c>
      <c r="AD36" s="96">
        <f>+SUM(AD5:AD35)/1000</f>
        <v>11.034165000000002</v>
      </c>
      <c r="AE36" s="55">
        <f>SUMIF(AD5:AD35,"&gt;0",AE5:AE35)/1000</f>
        <v>15.694499999999993</v>
      </c>
      <c r="AF36" s="55">
        <f>+SUM(AF5:AF35)/1000</f>
        <v>-4.660334999999999</v>
      </c>
      <c r="AG36" s="63">
        <f>+SUM(AG5:AG34)/30</f>
        <v>461.64734877197066</v>
      </c>
      <c r="AH36" s="62">
        <f>+SUM(AH5:AH35)/1000</f>
        <v>9.9324900000000014</v>
      </c>
      <c r="AI36" s="55">
        <f>SUMIF(AH5:AH35,"&gt;0",AI5:AI35)/1000</f>
        <v>13.137020000000009</v>
      </c>
      <c r="AJ36" s="55">
        <f>+SUM(AJ5:AJ35)/1000</f>
        <v>-3.2045299999999997</v>
      </c>
      <c r="AK36" s="63">
        <f>+SUM(AK5:AK34)/31</f>
        <v>412.23667369059149</v>
      </c>
    </row>
    <row r="37" spans="1:37" ht="15.75" thickBot="1">
      <c r="A37" s="22" t="s">
        <v>249</v>
      </c>
      <c r="B37" s="111">
        <f>15.2702</f>
        <v>15.270200000000001</v>
      </c>
      <c r="C37" s="113"/>
      <c r="D37" s="111">
        <v>15.210800000000001</v>
      </c>
      <c r="E37" s="113"/>
      <c r="F37" s="111">
        <v>16.134</v>
      </c>
      <c r="G37" s="113"/>
      <c r="H37" s="111">
        <v>16.1206</v>
      </c>
      <c r="I37" s="113"/>
      <c r="J37" s="111">
        <v>16.074999999999999</v>
      </c>
      <c r="K37" s="113"/>
      <c r="L37" s="111">
        <v>16.010000000000002</v>
      </c>
      <c r="M37" s="113"/>
      <c r="N37" s="111">
        <v>15.94</v>
      </c>
      <c r="O37" s="112"/>
      <c r="P37" s="112"/>
      <c r="Q37" s="113"/>
      <c r="R37" s="111">
        <v>15.97</v>
      </c>
      <c r="S37" s="112"/>
      <c r="T37" s="112"/>
      <c r="U37" s="113"/>
      <c r="V37" s="111">
        <v>15.8</v>
      </c>
      <c r="W37" s="112"/>
      <c r="X37" s="112"/>
      <c r="Y37" s="113"/>
      <c r="Z37" s="111">
        <v>15.74</v>
      </c>
      <c r="AA37" s="112"/>
      <c r="AB37" s="112"/>
      <c r="AC37" s="113"/>
      <c r="AD37" s="111">
        <v>15.74</v>
      </c>
      <c r="AE37" s="112"/>
      <c r="AF37" s="112"/>
      <c r="AG37" s="113"/>
      <c r="AH37" s="111">
        <v>15.66</v>
      </c>
      <c r="AI37" s="112"/>
      <c r="AJ37" s="112"/>
      <c r="AK37" s="113"/>
    </row>
    <row r="38" spans="1:37" ht="30.75" customHeight="1" thickBot="1">
      <c r="A38" s="117" t="s">
        <v>250</v>
      </c>
      <c r="B38" s="120"/>
      <c r="C38" s="120"/>
      <c r="D38" s="114">
        <f>+D36+F36+B36+H36+J36+L36+N36+R36+V36+Z36+AD36</f>
        <v>172.55573973171551</v>
      </c>
      <c r="E38" s="115"/>
      <c r="F38" s="115"/>
      <c r="G38" s="115"/>
      <c r="H38" s="115"/>
      <c r="I38" s="116"/>
      <c r="N38" s="4"/>
    </row>
    <row r="39" spans="1:37" ht="29.25" customHeight="1" thickBot="1">
      <c r="A39" s="117" t="s">
        <v>251</v>
      </c>
      <c r="B39" s="118"/>
      <c r="C39" s="118"/>
      <c r="D39" s="118"/>
      <c r="E39" s="119"/>
      <c r="F39" s="114">
        <f>106.35+D38</f>
        <v>278.90573973171547</v>
      </c>
      <c r="G39" s="115"/>
      <c r="H39" s="115"/>
      <c r="I39" s="116"/>
      <c r="AD39" s="83"/>
    </row>
    <row r="44" spans="1:37">
      <c r="G44" t="s">
        <v>252</v>
      </c>
    </row>
  </sheetData>
  <mergeCells count="31">
    <mergeCell ref="AH3:AK3"/>
    <mergeCell ref="AH37:AK37"/>
    <mergeCell ref="A1:G1"/>
    <mergeCell ref="A3:A4"/>
    <mergeCell ref="D3:E3"/>
    <mergeCell ref="F3:G3"/>
    <mergeCell ref="F37:G37"/>
    <mergeCell ref="A2:G2"/>
    <mergeCell ref="R3:U3"/>
    <mergeCell ref="R37:U37"/>
    <mergeCell ref="N3:Q3"/>
    <mergeCell ref="N37:Q37"/>
    <mergeCell ref="L3:M3"/>
    <mergeCell ref="L37:M37"/>
    <mergeCell ref="AD3:AG3"/>
    <mergeCell ref="AD37:AG37"/>
    <mergeCell ref="Z3:AC3"/>
    <mergeCell ref="Z37:AC37"/>
    <mergeCell ref="V3:Y3"/>
    <mergeCell ref="V37:Y37"/>
    <mergeCell ref="F39:I39"/>
    <mergeCell ref="D38:I38"/>
    <mergeCell ref="J3:K3"/>
    <mergeCell ref="J37:K37"/>
    <mergeCell ref="H3:I3"/>
    <mergeCell ref="H37:I37"/>
    <mergeCell ref="A39:E39"/>
    <mergeCell ref="B3:C3"/>
    <mergeCell ref="A38:C38"/>
    <mergeCell ref="B37:C37"/>
    <mergeCell ref="D37:E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43"/>
  <sheetViews>
    <sheetView topLeftCell="A7" zoomScaleNormal="100" workbookViewId="0">
      <pane xSplit="1" topLeftCell="W12" activePane="topRight" state="frozen"/>
      <selection pane="topRight" activeCell="AI29" sqref="AI29"/>
    </sheetView>
  </sheetViews>
  <sheetFormatPr defaultColWidth="11.5703125" defaultRowHeight="15"/>
  <cols>
    <col min="1" max="1" width="19.140625" bestFit="1" customWidth="1"/>
    <col min="2" max="2" width="8.7109375" bestFit="1" customWidth="1"/>
    <col min="3" max="3" width="11.140625" customWidth="1"/>
    <col min="4" max="4" width="11.28515625" bestFit="1" customWidth="1"/>
    <col min="5" max="5" width="8.7109375" bestFit="1" customWidth="1"/>
    <col min="6" max="7" width="11.28515625" customWidth="1"/>
    <col min="8" max="9" width="10.85546875" customWidth="1"/>
    <col min="10" max="10" width="13.28515625" customWidth="1"/>
    <col min="11" max="11" width="12.5703125" bestFit="1" customWidth="1"/>
    <col min="13" max="13" width="13.7109375" bestFit="1" customWidth="1"/>
    <col min="14" max="14" width="12.5703125" bestFit="1" customWidth="1"/>
    <col min="16" max="16" width="13.7109375" bestFit="1" customWidth="1"/>
    <col min="17" max="17" width="12.5703125" bestFit="1" customWidth="1"/>
    <col min="19" max="19" width="13.7109375" bestFit="1" customWidth="1"/>
    <col min="20" max="20" width="12.5703125" bestFit="1" customWidth="1"/>
    <col min="22" max="22" width="13.7109375" bestFit="1" customWidth="1"/>
    <col min="23" max="23" width="12.5703125" bestFit="1" customWidth="1"/>
    <col min="25" max="25" width="13.7109375" bestFit="1" customWidth="1"/>
  </cols>
  <sheetData>
    <row r="1" spans="1:37" ht="15.75">
      <c r="A1" s="121" t="s">
        <v>228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37" ht="16.5" thickBot="1">
      <c r="A2" s="124" t="s">
        <v>229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37" ht="15.75" thickBot="1">
      <c r="A3" s="122" t="s">
        <v>230</v>
      </c>
      <c r="B3" s="132" t="s">
        <v>231</v>
      </c>
      <c r="C3" s="109"/>
      <c r="D3" s="133"/>
      <c r="E3" s="127" t="s">
        <v>232</v>
      </c>
      <c r="F3" s="128"/>
      <c r="G3" s="129"/>
      <c r="H3" s="127" t="s">
        <v>233</v>
      </c>
      <c r="I3" s="128"/>
      <c r="J3" s="129"/>
      <c r="K3" s="127" t="s">
        <v>234</v>
      </c>
      <c r="L3" s="128"/>
      <c r="M3" s="129"/>
      <c r="N3" s="127" t="s">
        <v>235</v>
      </c>
      <c r="O3" s="128"/>
      <c r="P3" s="129"/>
      <c r="Q3" s="127" t="s">
        <v>236</v>
      </c>
      <c r="R3" s="128"/>
      <c r="S3" s="129"/>
      <c r="T3" s="127" t="s">
        <v>237</v>
      </c>
      <c r="U3" s="128"/>
      <c r="V3" s="129"/>
      <c r="W3" s="127" t="s">
        <v>253</v>
      </c>
      <c r="X3" s="128"/>
      <c r="Y3" s="129"/>
      <c r="Z3" s="127" t="s">
        <v>239</v>
      </c>
      <c r="AA3" s="128"/>
      <c r="AB3" s="129"/>
      <c r="AC3" s="127" t="s">
        <v>254</v>
      </c>
      <c r="AD3" s="128"/>
      <c r="AE3" s="129"/>
      <c r="AF3" s="127" t="s">
        <v>241</v>
      </c>
      <c r="AG3" s="128"/>
      <c r="AH3" s="129"/>
      <c r="AI3" s="127" t="s">
        <v>242</v>
      </c>
      <c r="AJ3" s="128"/>
      <c r="AK3" s="129"/>
    </row>
    <row r="4" spans="1:37" ht="45.75" thickBot="1">
      <c r="A4" s="123"/>
      <c r="B4" s="56" t="s">
        <v>255</v>
      </c>
      <c r="C4" s="56" t="s">
        <v>256</v>
      </c>
      <c r="D4" s="77" t="s">
        <v>257</v>
      </c>
      <c r="E4" s="56" t="s">
        <v>255</v>
      </c>
      <c r="F4" s="56" t="s">
        <v>258</v>
      </c>
      <c r="G4" s="77" t="s">
        <v>257</v>
      </c>
      <c r="H4" s="56" t="s">
        <v>255</v>
      </c>
      <c r="I4" s="56" t="s">
        <v>259</v>
      </c>
      <c r="J4" s="77" t="s">
        <v>257</v>
      </c>
      <c r="K4" s="56" t="s">
        <v>255</v>
      </c>
      <c r="L4" s="56" t="s">
        <v>260</v>
      </c>
      <c r="M4" s="77" t="s">
        <v>257</v>
      </c>
      <c r="N4" s="56" t="s">
        <v>255</v>
      </c>
      <c r="O4" s="56" t="s">
        <v>261</v>
      </c>
      <c r="P4" s="77" t="s">
        <v>257</v>
      </c>
      <c r="Q4" s="56" t="s">
        <v>255</v>
      </c>
      <c r="R4" s="56" t="s">
        <v>262</v>
      </c>
      <c r="S4" s="77" t="s">
        <v>257</v>
      </c>
      <c r="T4" s="56" t="s">
        <v>255</v>
      </c>
      <c r="U4" s="56" t="s">
        <v>263</v>
      </c>
      <c r="V4" s="77" t="s">
        <v>257</v>
      </c>
      <c r="W4" s="56" t="s">
        <v>255</v>
      </c>
      <c r="X4" s="56" t="s">
        <v>264</v>
      </c>
      <c r="Y4" s="77" t="s">
        <v>257</v>
      </c>
      <c r="Z4" s="56" t="s">
        <v>255</v>
      </c>
      <c r="AA4" s="56" t="s">
        <v>265</v>
      </c>
      <c r="AB4" s="77" t="s">
        <v>257</v>
      </c>
      <c r="AC4" s="56" t="s">
        <v>255</v>
      </c>
      <c r="AD4" s="56" t="s">
        <v>266</v>
      </c>
      <c r="AE4" s="77" t="s">
        <v>257</v>
      </c>
      <c r="AF4" s="56" t="s">
        <v>255</v>
      </c>
      <c r="AG4" s="56" t="s">
        <v>267</v>
      </c>
      <c r="AH4" s="77" t="s">
        <v>257</v>
      </c>
      <c r="AI4" s="56" t="s">
        <v>255</v>
      </c>
      <c r="AJ4" s="56" t="s">
        <v>268</v>
      </c>
      <c r="AK4" s="77" t="s">
        <v>257</v>
      </c>
    </row>
    <row r="5" spans="1:37" ht="15.75" thickBot="1">
      <c r="A5" s="41">
        <v>1</v>
      </c>
      <c r="B5" s="58">
        <f>Diaria!B5/1000</f>
        <v>0.23984673263539999</v>
      </c>
      <c r="C5" s="59">
        <f>0.49258064516129</f>
        <v>0.49258064516129002</v>
      </c>
      <c r="D5" s="66">
        <f>+B5-C5</f>
        <v>-0.25273391252589006</v>
      </c>
      <c r="E5" s="27">
        <f>+Diaria!D5/1000</f>
        <v>0.32168411797010005</v>
      </c>
      <c r="F5" s="54">
        <f>0.524482758620689</f>
        <v>0.52448275862068905</v>
      </c>
      <c r="G5" s="66">
        <f>+E5-F5</f>
        <v>-0.202798640650589</v>
      </c>
      <c r="H5" s="27">
        <f>(Diaria!F5/1000)</f>
        <v>0.63487030863810001</v>
      </c>
      <c r="I5" s="54">
        <f>0.520322581</f>
        <v>0.52032258099999995</v>
      </c>
      <c r="J5" s="66">
        <f>+H5-I5</f>
        <v>0.11454772763810006</v>
      </c>
      <c r="K5" s="27">
        <f>(Diaria!H5/1000)</f>
        <v>0.71192919487119999</v>
      </c>
      <c r="L5" s="54">
        <v>0.53734999999999999</v>
      </c>
      <c r="M5" s="66">
        <f>+K5-L5</f>
        <v>0.17457919487119999</v>
      </c>
      <c r="N5" s="27">
        <f>Diaria!J5/1000</f>
        <v>0.4301277067091</v>
      </c>
      <c r="O5" s="54">
        <v>0.51854999999999996</v>
      </c>
      <c r="P5" s="66">
        <f>+N5-O5</f>
        <v>-8.8422293290899956E-2</v>
      </c>
      <c r="Q5" s="27">
        <f>Diaria!L5/1000</f>
        <v>0.22235897718440001</v>
      </c>
      <c r="R5" s="54">
        <f>0.533379</f>
        <v>0.53337900000000005</v>
      </c>
      <c r="S5" s="66">
        <f>+Q5-R5</f>
        <v>-0.31102002281560004</v>
      </c>
      <c r="T5" s="27">
        <f>Diaria!N5/1000</f>
        <v>0.64162882144130007</v>
      </c>
      <c r="U5" s="54">
        <f>0.51429677</f>
        <v>0.51429676999999996</v>
      </c>
      <c r="V5" s="66">
        <f>IF(T5&gt;0,T5-U5,0)</f>
        <v>0.12733205144130011</v>
      </c>
      <c r="W5" s="27">
        <f>Diaria!R5/1000</f>
        <v>0.32093874930400001</v>
      </c>
      <c r="X5" s="54">
        <f>0.51193</f>
        <v>0.51193</v>
      </c>
      <c r="Y5" s="66">
        <f>IF(W5&gt;0,W5-X5,0)</f>
        <v>-0.19099125069599998</v>
      </c>
      <c r="Z5" s="27">
        <f>Diaria!V5/1000</f>
        <v>0.70126532245630002</v>
      </c>
      <c r="AA5" s="27">
        <f>Diaria!W5/1000</f>
        <v>0.52672000000000008</v>
      </c>
      <c r="AB5" s="66">
        <f>IF(Z5&gt;0,Z5-AA5,0)</f>
        <v>0.17454532245629995</v>
      </c>
      <c r="AC5" s="27">
        <f>Diaria!Z5/1000</f>
        <v>0.58224640155060003</v>
      </c>
      <c r="AD5" s="27">
        <f>Diaria!AA5/1000</f>
        <v>0.50780999999999998</v>
      </c>
      <c r="AE5" s="66">
        <f>IF(AC5&gt;0,AC5-AD5,0)</f>
        <v>7.4436401550600051E-2</v>
      </c>
      <c r="AF5" s="27">
        <f>Diaria!AD5/1000</f>
        <v>0.24443999999999999</v>
      </c>
      <c r="AG5" s="27">
        <f>Diaria!AE5/1000</f>
        <v>0.52315</v>
      </c>
      <c r="AH5" s="66">
        <f>IF(AF5&gt;0,AF5-AG5,0)</f>
        <v>-0.27871000000000001</v>
      </c>
      <c r="AI5" s="27">
        <f>Diaria!AH5/1000</f>
        <v>0.49541000000000002</v>
      </c>
      <c r="AJ5" s="27">
        <f>Diaria!AI5/1000</f>
        <v>0.50527</v>
      </c>
      <c r="AK5" s="66">
        <f>IF(AI5&gt;0,AI5-AJ5,0)</f>
        <v>-9.8599999999999799E-3</v>
      </c>
    </row>
    <row r="6" spans="1:37" ht="15.75" thickBot="1">
      <c r="A6" s="42">
        <v>2</v>
      </c>
      <c r="B6" s="27">
        <f>+(Diaria!B6/1000)+Mensual!B5</f>
        <v>0.71231764604199999</v>
      </c>
      <c r="C6" s="60">
        <f>0.49258064516129+C5</f>
        <v>0.98516129032258004</v>
      </c>
      <c r="D6" s="67">
        <f t="shared" ref="D6:D33" si="0">+B6-C6</f>
        <v>-0.27284364428058006</v>
      </c>
      <c r="E6" s="27">
        <f>+E5+(Diaria!D6/1000)</f>
        <v>0.43854605696570004</v>
      </c>
      <c r="F6" s="54">
        <f>0.524482758620689+F5</f>
        <v>1.0489655172413781</v>
      </c>
      <c r="G6" s="67">
        <f>+E6-F6</f>
        <v>-0.61041946027567806</v>
      </c>
      <c r="H6" s="27">
        <f>H5+(Diaria!F6/1000)</f>
        <v>1.2545640742633002</v>
      </c>
      <c r="I6" s="54">
        <f>0.520451612903225+I5</f>
        <v>1.0407741939032249</v>
      </c>
      <c r="J6" s="67">
        <f t="shared" ref="J6:J17" si="1">+H6-I6</f>
        <v>0.21378988036007529</v>
      </c>
      <c r="K6" s="27">
        <f>K5+Diaria!H6/1000</f>
        <v>1.4374169364508</v>
      </c>
      <c r="L6" s="54">
        <f>L5+0.53735</f>
        <v>1.0747</v>
      </c>
      <c r="M6" s="66">
        <f>+K6-L6</f>
        <v>0.36271693645080005</v>
      </c>
      <c r="N6" s="27">
        <f>N5+Diaria!J6/1000</f>
        <v>0.76257158315660001</v>
      </c>
      <c r="O6" s="54">
        <f>O5+0.51855</f>
        <v>1.0370999999999999</v>
      </c>
      <c r="P6" s="66">
        <f>+N6-O6</f>
        <v>-0.2745284168433999</v>
      </c>
      <c r="Q6" s="27">
        <f>Q5+Diaria!L6/1000</f>
        <v>0.5212423708467</v>
      </c>
      <c r="R6" s="54">
        <f>R5+0.53379</f>
        <v>1.067169</v>
      </c>
      <c r="S6" s="66">
        <f>+Q6-R6</f>
        <v>-0.54592662915330004</v>
      </c>
      <c r="T6" s="27">
        <f>IF(Diaria!N6&gt;0, Mensual!T5+Diaria!N6/1000,0)</f>
        <v>1.0315059207754</v>
      </c>
      <c r="U6" s="54">
        <f>U5+0.51429677</f>
        <v>1.0285935399999999</v>
      </c>
      <c r="V6" s="66">
        <f t="shared" ref="V6:V35" si="2">IF(T6&gt;0,T6-U6,0)</f>
        <v>2.9123807754001252E-3</v>
      </c>
      <c r="W6" s="27">
        <f>IF(Diaria!R6&gt;0, Mensual!W5+Diaria!R6/1000,0)</f>
        <v>0.86464417436850005</v>
      </c>
      <c r="X6" s="54">
        <f>X5+0.51193</f>
        <v>1.02386</v>
      </c>
      <c r="Y6" s="66">
        <f t="shared" ref="Y6:Y23" si="3">IF(W6&gt;0,W6-X6,0)</f>
        <v>-0.15921582563149994</v>
      </c>
      <c r="Z6" s="27">
        <f>IF(Diaria!V6&gt;0, Mensual!Z5+Diaria!V6/1000,0)</f>
        <v>1.195796867836</v>
      </c>
      <c r="AA6" s="27">
        <f>IF(Diaria!V6&gt;0, Mensual!AA5+Diaria!W6/1000,0)</f>
        <v>1.0534400000000002</v>
      </c>
      <c r="AB6" s="66">
        <f t="shared" ref="AB6:AB23" si="4">IF(Z6&gt;0,Z6-AA6,0)</f>
        <v>0.14235686783599988</v>
      </c>
      <c r="AC6" s="27">
        <f>IF(Diaria!Z6&gt;0, Mensual!AC5+Diaria!Z6/1000,0)</f>
        <v>1.1921686870418999</v>
      </c>
      <c r="AD6" s="27">
        <f>IF(Diaria!Z6&gt;0, Mensual!AD5+Diaria!AA6/1000,0)</f>
        <v>1.01562</v>
      </c>
      <c r="AE6" s="66">
        <f t="shared" ref="AE6:AE23" si="5">IF(AC6&gt;0,AC6-AD6,0)</f>
        <v>0.17654868704189997</v>
      </c>
      <c r="AF6" s="27">
        <f>IF(Diaria!AD6&gt;0, Mensual!AF5+Diaria!AD6/1000,0)</f>
        <v>0.60505999999999993</v>
      </c>
      <c r="AG6" s="27">
        <f>IF(Diaria!AD6&gt;0, Mensual!AG5+Diaria!AE6/1000,0)</f>
        <v>1.0463</v>
      </c>
      <c r="AH6" s="66">
        <f t="shared" ref="AH6:AH23" si="6">IF(AF6&gt;0,AF6-AG6,0)</f>
        <v>-0.44124000000000008</v>
      </c>
      <c r="AI6" s="27">
        <f>IF(Diaria!AH6&gt;0, Mensual!AI5+Diaria!AH6/1000,0)</f>
        <v>0.96772000000000002</v>
      </c>
      <c r="AJ6" s="27">
        <f>IF(Diaria!AH6&gt;0, Mensual!AJ5+Diaria!AI6/1000,0)</f>
        <v>1.01054</v>
      </c>
      <c r="AK6" s="66">
        <f t="shared" ref="AK6:AK23" si="7">IF(AI6&gt;0,AI6-AJ6,0)</f>
        <v>-4.2819999999999969E-2</v>
      </c>
    </row>
    <row r="7" spans="1:37" ht="15.75" thickBot="1">
      <c r="A7" s="42">
        <v>3</v>
      </c>
      <c r="B7" s="27">
        <f>+(Diaria!B7/1000)+Mensual!B6</f>
        <v>0.90085264624049999</v>
      </c>
      <c r="C7" s="60">
        <f t="shared" ref="C7:C36" si="8">0.49258064516129+C6</f>
        <v>1.4777419354838701</v>
      </c>
      <c r="D7" s="67">
        <f t="shared" si="0"/>
        <v>-0.57688928924337013</v>
      </c>
      <c r="E7" s="27">
        <f>+E6+(Diaria!D7/1000)</f>
        <v>0.75351722286680001</v>
      </c>
      <c r="F7" s="54">
        <f t="shared" ref="F7:F33" si="9">0.524482758620689+F6</f>
        <v>1.5734482758620671</v>
      </c>
      <c r="G7" s="67">
        <f>+E7-F7</f>
        <v>-0.81993105299526714</v>
      </c>
      <c r="H7" s="27">
        <f>H6+(Diaria!F7/1000)</f>
        <v>1.9049673537340002</v>
      </c>
      <c r="I7" s="54">
        <f t="shared" ref="I7:I35" si="10">0.520451612903225+I6</f>
        <v>1.56122580680645</v>
      </c>
      <c r="J7" s="67">
        <f t="shared" si="1"/>
        <v>0.34374154692755021</v>
      </c>
      <c r="K7" s="27">
        <f>K6+Diaria!H7/1000</f>
        <v>2.1395574682128</v>
      </c>
      <c r="L7" s="54">
        <f t="shared" ref="L7:L34" si="11">L6+0.53735</f>
        <v>1.61205</v>
      </c>
      <c r="M7" s="66">
        <f>+K7-L7</f>
        <v>0.52750746821280003</v>
      </c>
      <c r="N7" s="27">
        <f>N6+Diaria!J7/1000</f>
        <v>1.2074645943668001</v>
      </c>
      <c r="O7" s="54">
        <f t="shared" ref="O7:O35" si="12">O6+0.51855</f>
        <v>1.55565</v>
      </c>
      <c r="P7" s="66">
        <f t="shared" ref="P7:P35" si="13">+N7-O7</f>
        <v>-0.34818540563319988</v>
      </c>
      <c r="Q7" s="27">
        <f>Q6+Diaria!L7/1000</f>
        <v>0.90444221174670003</v>
      </c>
      <c r="R7" s="54">
        <f t="shared" ref="R7:R34" si="14">R6+0.53379</f>
        <v>1.600959</v>
      </c>
      <c r="S7" s="66">
        <f t="shared" ref="S7:S35" si="15">+Q7-R7</f>
        <v>-0.69651678825329999</v>
      </c>
      <c r="T7" s="27">
        <f>IF(Diaria!N7&gt;0, Mensual!T6+Diaria!N7/1000,0)</f>
        <v>1.3832636375179002</v>
      </c>
      <c r="U7" s="54">
        <f t="shared" ref="U7:U35" si="16">U6+0.51429677</f>
        <v>1.5428903099999998</v>
      </c>
      <c r="V7" s="66">
        <f t="shared" si="2"/>
        <v>-0.15962667248209961</v>
      </c>
      <c r="W7" s="27">
        <f>IF(Diaria!R7&gt;0, Mensual!W6+Diaria!R7/1000,0)</f>
        <v>1.5685930520017002</v>
      </c>
      <c r="X7" s="54">
        <f t="shared" ref="X7:X35" si="17">X6+0.51193</f>
        <v>1.53579</v>
      </c>
      <c r="Y7" s="66">
        <f t="shared" si="3"/>
        <v>3.2803052001700195E-2</v>
      </c>
      <c r="Z7" s="27">
        <f>IF(Diaria!V7&gt;0, Mensual!Z6+Diaria!V7/1000,0)</f>
        <v>1.4488386751480999</v>
      </c>
      <c r="AA7" s="27">
        <f>IF(Diaria!V7&gt;0, Mensual!AA6+Diaria!W7/1000,0)</f>
        <v>1.5801600000000002</v>
      </c>
      <c r="AB7" s="66">
        <f t="shared" si="4"/>
        <v>-0.13132132485190029</v>
      </c>
      <c r="AC7" s="27">
        <f>IF(Diaria!Z7&gt;0, Mensual!AC6+Diaria!Z7/1000,0)</f>
        <v>1.7497675981840999</v>
      </c>
      <c r="AD7" s="27">
        <f>IF(Diaria!Z7&gt;0, Mensual!AD6+Diaria!AA7/1000,0)</f>
        <v>1.5234299999999998</v>
      </c>
      <c r="AE7" s="66">
        <f t="shared" si="5"/>
        <v>0.22633759818410004</v>
      </c>
      <c r="AF7" s="27">
        <f>IF(Diaria!AD7&gt;0, Mensual!AF6+Diaria!AD7/1000,0)</f>
        <v>1.08005</v>
      </c>
      <c r="AG7" s="27">
        <f>IF(Diaria!AD7&gt;0, Mensual!AG6+Diaria!AE7/1000,0)</f>
        <v>1.56945</v>
      </c>
      <c r="AH7" s="66">
        <f t="shared" si="6"/>
        <v>-0.48940000000000006</v>
      </c>
      <c r="AI7" s="27">
        <f>IF(Diaria!AH7&gt;0, Mensual!AI6+Diaria!AH7/1000,0)</f>
        <v>1.4284000000000001</v>
      </c>
      <c r="AJ7" s="27">
        <f>IF(Diaria!AH7&gt;0, Mensual!AJ6+Diaria!AI7/1000,0)</f>
        <v>1.5158100000000001</v>
      </c>
      <c r="AK7" s="66">
        <f t="shared" si="7"/>
        <v>-8.7409999999999988E-2</v>
      </c>
    </row>
    <row r="8" spans="1:37" ht="15.75" thickBot="1">
      <c r="A8" s="42">
        <v>4</v>
      </c>
      <c r="B8" s="27">
        <f>+(Diaria!B8/1000)+Mensual!B7</f>
        <v>1.4103622373586999</v>
      </c>
      <c r="C8" s="60">
        <f t="shared" si="8"/>
        <v>1.9703225806451601</v>
      </c>
      <c r="D8" s="67">
        <f t="shared" si="0"/>
        <v>-0.55996034328646016</v>
      </c>
      <c r="E8" s="27">
        <f>+E7+(Diaria!D8/1000)</f>
        <v>1.1982367234265001</v>
      </c>
      <c r="F8" s="54">
        <f t="shared" si="9"/>
        <v>2.0979310344827562</v>
      </c>
      <c r="G8" s="67">
        <f t="shared" ref="G8:G33" si="18">+E8-F8</f>
        <v>-0.89969431105625608</v>
      </c>
      <c r="H8" s="27">
        <f>H7+(Diaria!F8/1000)</f>
        <v>2.4107174169304004</v>
      </c>
      <c r="I8" s="54">
        <f t="shared" si="10"/>
        <v>2.081677419709675</v>
      </c>
      <c r="J8" s="67">
        <f t="shared" si="1"/>
        <v>0.32903999722072541</v>
      </c>
      <c r="K8" s="27">
        <f>K7+Diaria!H8/1000</f>
        <v>2.7011991482514999</v>
      </c>
      <c r="L8" s="54">
        <f t="shared" si="11"/>
        <v>2.1494</v>
      </c>
      <c r="M8" s="66">
        <f>+K8-L8</f>
        <v>0.55179914825149989</v>
      </c>
      <c r="N8" s="27">
        <f>N7+Diaria!J8/1000</f>
        <v>1.7000216435163</v>
      </c>
      <c r="O8" s="54">
        <f t="shared" si="12"/>
        <v>2.0741999999999998</v>
      </c>
      <c r="P8" s="66">
        <f t="shared" si="13"/>
        <v>-0.37417835648369979</v>
      </c>
      <c r="Q8" s="27">
        <f>Q7+Diaria!L8/1000</f>
        <v>1.3594780194378</v>
      </c>
      <c r="R8" s="54">
        <f t="shared" si="14"/>
        <v>2.1347490000000002</v>
      </c>
      <c r="S8" s="66">
        <f t="shared" si="15"/>
        <v>-0.77527098056220023</v>
      </c>
      <c r="T8" s="27">
        <f>IF(Diaria!N8&gt;0, Mensual!T7+Diaria!N8/1000,0)</f>
        <v>2.0074124415423</v>
      </c>
      <c r="U8" s="54">
        <f t="shared" si="16"/>
        <v>2.0571870799999998</v>
      </c>
      <c r="V8" s="66">
        <f t="shared" si="2"/>
        <v>-4.9774638457699805E-2</v>
      </c>
      <c r="W8" s="27">
        <f>IF(Diaria!R8&gt;0, Mensual!W7+Diaria!R8/1000,0)</f>
        <v>2.2785864118242003</v>
      </c>
      <c r="X8" s="54">
        <f t="shared" si="17"/>
        <v>2.04772</v>
      </c>
      <c r="Y8" s="66">
        <f t="shared" si="3"/>
        <v>0.23086641182420031</v>
      </c>
      <c r="Z8" s="27">
        <f>IF(Diaria!V8&gt;0, Mensual!Z7+Diaria!V8/1000,0)</f>
        <v>2.0225368521540998</v>
      </c>
      <c r="AA8" s="27">
        <f>IF(Diaria!V8&gt;0, Mensual!AA7+Diaria!W8/1000,0)</f>
        <v>2.1068800000000003</v>
      </c>
      <c r="AB8" s="66">
        <f t="shared" si="4"/>
        <v>-8.4343147845900468E-2</v>
      </c>
      <c r="AC8" s="27">
        <f>IF(Diaria!Z8&gt;0, Mensual!AC7+Diaria!Z8/1000,0)</f>
        <v>2.2586676546646998</v>
      </c>
      <c r="AD8" s="27">
        <f>IF(Diaria!Z8&gt;0, Mensual!AD7+Diaria!AA8/1000,0)</f>
        <v>2.0312399999999999</v>
      </c>
      <c r="AE8" s="66">
        <f t="shared" si="5"/>
        <v>0.22742765466469983</v>
      </c>
      <c r="AF8" s="27">
        <f>IF(Diaria!AD8&gt;0, Mensual!AF7+Diaria!AD8/1000,0)</f>
        <v>1.43916</v>
      </c>
      <c r="AG8" s="27">
        <f>IF(Diaria!AD8&gt;0, Mensual!AG7+Diaria!AE8/1000,0)</f>
        <v>2.0926</v>
      </c>
      <c r="AH8" s="66">
        <f t="shared" si="6"/>
        <v>-0.65344000000000002</v>
      </c>
      <c r="AI8" s="27">
        <f>IF(Diaria!AH8&gt;0, Mensual!AI7+Diaria!AH8/1000,0)</f>
        <v>1.6227400000000001</v>
      </c>
      <c r="AJ8" s="27">
        <f>IF(Diaria!AH8&gt;0, Mensual!AJ7+Diaria!AI8/1000,0)</f>
        <v>2.02108</v>
      </c>
      <c r="AK8" s="66">
        <f t="shared" si="7"/>
        <v>-0.39833999999999992</v>
      </c>
    </row>
    <row r="9" spans="1:37" ht="15.75" thickBot="1">
      <c r="A9" s="42">
        <v>5</v>
      </c>
      <c r="B9" s="27">
        <f>+(Diaria!B9/1000)+Mensual!B8</f>
        <v>1.7461962124127</v>
      </c>
      <c r="C9" s="60">
        <f t="shared" si="8"/>
        <v>2.4629032258064503</v>
      </c>
      <c r="D9" s="67">
        <f t="shared" si="0"/>
        <v>-0.71670701339375031</v>
      </c>
      <c r="E9" s="27">
        <f>+E8+(Diaria!D9/1000)</f>
        <v>1.6439990033946001</v>
      </c>
      <c r="F9" s="54">
        <f t="shared" si="9"/>
        <v>2.622413793103445</v>
      </c>
      <c r="G9" s="67">
        <f t="shared" si="18"/>
        <v>-0.97841478970884488</v>
      </c>
      <c r="H9" s="27">
        <f>H8+(Diaria!F9/1000)</f>
        <v>3.0175478287655002</v>
      </c>
      <c r="I9" s="54">
        <f t="shared" si="10"/>
        <v>2.6021290326129001</v>
      </c>
      <c r="J9" s="67">
        <f t="shared" si="1"/>
        <v>0.41541879615260013</v>
      </c>
      <c r="K9" s="27">
        <f>K8+Diaria!H9/1000</f>
        <v>3.2198815820985001</v>
      </c>
      <c r="L9" s="54">
        <f t="shared" si="11"/>
        <v>2.68675</v>
      </c>
      <c r="M9" s="66">
        <f t="shared" ref="M9:M10" si="19">+K9-L9</f>
        <v>0.53313158209850009</v>
      </c>
      <c r="N9" s="27">
        <f>N8+Diaria!J9/1000</f>
        <v>2.2929203751490999</v>
      </c>
      <c r="O9" s="54">
        <f t="shared" si="12"/>
        <v>2.5927499999999997</v>
      </c>
      <c r="P9" s="66">
        <f t="shared" si="13"/>
        <v>-0.29982962485089981</v>
      </c>
      <c r="Q9" s="27">
        <f>Q8+Diaria!L9/1000</f>
        <v>1.7896483191923001</v>
      </c>
      <c r="R9" s="54">
        <f t="shared" si="14"/>
        <v>2.668539</v>
      </c>
      <c r="S9" s="66">
        <f t="shared" si="15"/>
        <v>-0.87889068080769994</v>
      </c>
      <c r="T9" s="27">
        <f>IF(Diaria!N9&gt;0, Mensual!T8+Diaria!N9/1000,0)</f>
        <v>2.4386565923257</v>
      </c>
      <c r="U9" s="54">
        <f t="shared" si="16"/>
        <v>2.5714838499999999</v>
      </c>
      <c r="V9" s="66">
        <f t="shared" si="2"/>
        <v>-0.13282725767429993</v>
      </c>
      <c r="W9" s="27">
        <f>IF(Diaria!R9&gt;0, Mensual!W8+Diaria!R9/1000,0)</f>
        <v>2.9487724357559002</v>
      </c>
      <c r="X9" s="54">
        <f t="shared" si="17"/>
        <v>2.55965</v>
      </c>
      <c r="Y9" s="66">
        <f t="shared" si="3"/>
        <v>0.38912243575590022</v>
      </c>
      <c r="Z9" s="27">
        <f>IF(Diaria!V9&gt;0, Mensual!Z8+Diaria!V9/1000,0)</f>
        <v>2.6058469035653999</v>
      </c>
      <c r="AA9" s="27">
        <f>IF(Diaria!V9&gt;0, Mensual!AA8+Diaria!W9/1000,0)</f>
        <v>2.6336000000000004</v>
      </c>
      <c r="AB9" s="66">
        <f t="shared" si="4"/>
        <v>-2.7753096434600444E-2</v>
      </c>
      <c r="AC9" s="27">
        <f>IF(Diaria!Z9&gt;0, Mensual!AC8+Diaria!Z9/1000,0)</f>
        <v>2.7446075572641999</v>
      </c>
      <c r="AD9" s="27">
        <f>IF(Diaria!Z9&gt;0, Mensual!AD8+Diaria!AA9/1000,0)</f>
        <v>2.53905</v>
      </c>
      <c r="AE9" s="66">
        <f t="shared" si="5"/>
        <v>0.20555755726419989</v>
      </c>
      <c r="AF9" s="27">
        <f>IF(Diaria!AD9&gt;0, Mensual!AF8+Diaria!AD9/1000,0)</f>
        <v>1.7630300000000001</v>
      </c>
      <c r="AG9" s="27">
        <f>IF(Diaria!AD9&gt;0, Mensual!AG8+Diaria!AE9/1000,0)</f>
        <v>2.6157500000000002</v>
      </c>
      <c r="AH9" s="66">
        <f t="shared" si="6"/>
        <v>-0.85272000000000014</v>
      </c>
      <c r="AI9" s="27">
        <f>IF(Diaria!AH9&gt;0, Mensual!AI8+Diaria!AH9/1000,0)</f>
        <v>2.0552900000000003</v>
      </c>
      <c r="AJ9" s="27">
        <f>IF(Diaria!AH9&gt;0, Mensual!AJ8+Diaria!AI9/1000,0)</f>
        <v>2.5263499999999999</v>
      </c>
      <c r="AK9" s="66">
        <f t="shared" si="7"/>
        <v>-0.47105999999999959</v>
      </c>
    </row>
    <row r="10" spans="1:37" ht="15.75" thickBot="1">
      <c r="A10" s="42">
        <v>6</v>
      </c>
      <c r="B10" s="27">
        <f>+(Diaria!B10/1000)+Mensual!B9</f>
        <v>2.2787306217835002</v>
      </c>
      <c r="C10" s="60">
        <f t="shared" si="8"/>
        <v>2.9554838709677402</v>
      </c>
      <c r="D10" s="67">
        <f t="shared" si="0"/>
        <v>-0.67675324918424007</v>
      </c>
      <c r="E10" s="27">
        <f>+E9+(Diaria!D10/1000)</f>
        <v>1.8914579581526001</v>
      </c>
      <c r="F10" s="54">
        <f t="shared" si="9"/>
        <v>3.1468965517241339</v>
      </c>
      <c r="G10" s="67">
        <f t="shared" si="18"/>
        <v>-1.2554385935715338</v>
      </c>
      <c r="H10" s="27">
        <f>H9+(Diaria!F10/1000)</f>
        <v>3.6693724229278004</v>
      </c>
      <c r="I10" s="54">
        <f t="shared" si="10"/>
        <v>3.1225806455161251</v>
      </c>
      <c r="J10" s="67">
        <f t="shared" si="1"/>
        <v>0.54679177741167528</v>
      </c>
      <c r="K10" s="27">
        <f>K9+Diaria!H10/1000</f>
        <v>3.7209755792495001</v>
      </c>
      <c r="L10" s="54">
        <f t="shared" si="11"/>
        <v>3.2241</v>
      </c>
      <c r="M10" s="66">
        <f t="shared" si="19"/>
        <v>0.4968755792495001</v>
      </c>
      <c r="N10" s="27">
        <f>N9+Diaria!J10/1000</f>
        <v>2.8235339333303999</v>
      </c>
      <c r="O10" s="54">
        <f t="shared" si="12"/>
        <v>3.1112999999999995</v>
      </c>
      <c r="P10" s="66">
        <f t="shared" si="13"/>
        <v>-0.28776606666959959</v>
      </c>
      <c r="Q10" s="27">
        <f>Q9+Diaria!L10/1000</f>
        <v>2.3043916284687</v>
      </c>
      <c r="R10" s="54">
        <f t="shared" si="14"/>
        <v>3.2023289999999998</v>
      </c>
      <c r="S10" s="66">
        <f t="shared" si="15"/>
        <v>-0.89793737153129971</v>
      </c>
      <c r="T10" s="27">
        <f>IF(Diaria!N10&gt;0, Mensual!T9+Diaria!N10/1000,0)</f>
        <v>3.0636689375883002</v>
      </c>
      <c r="U10" s="54">
        <f t="shared" si="16"/>
        <v>3.08578062</v>
      </c>
      <c r="V10" s="66">
        <f t="shared" si="2"/>
        <v>-2.2111682411699807E-2</v>
      </c>
      <c r="W10" s="27">
        <f>IF(Diaria!R10&gt;0, Mensual!W9+Diaria!R10/1000,0)</f>
        <v>3.6198914611965001</v>
      </c>
      <c r="X10" s="54">
        <f t="shared" si="17"/>
        <v>3.07158</v>
      </c>
      <c r="Y10" s="66">
        <f t="shared" si="3"/>
        <v>0.54831146119650009</v>
      </c>
      <c r="Z10" s="27">
        <f>IF(Diaria!V10&gt;0, Mensual!Z9+Diaria!V10/1000,0)</f>
        <v>3.1945669503072001</v>
      </c>
      <c r="AA10" s="27">
        <f>IF(Diaria!V10&gt;0, Mensual!AA9+Diaria!W10/1000,0)</f>
        <v>3.1603200000000005</v>
      </c>
      <c r="AB10" s="66">
        <f t="shared" si="4"/>
        <v>3.4246950307199597E-2</v>
      </c>
      <c r="AC10" s="27">
        <f>IF(Diaria!Z10&gt;0, Mensual!AC9+Diaria!Z10/1000,0)</f>
        <v>3.2165099472483001</v>
      </c>
      <c r="AD10" s="27">
        <f>IF(Diaria!Z10&gt;0, Mensual!AD9+Diaria!AA10/1000,0)</f>
        <v>3.0468600000000001</v>
      </c>
      <c r="AE10" s="66">
        <f t="shared" si="5"/>
        <v>0.16964994724829996</v>
      </c>
      <c r="AF10" s="27">
        <f>IF(Diaria!AD10&gt;0, Mensual!AF9+Diaria!AD10/1000,0)</f>
        <v>2.25454</v>
      </c>
      <c r="AG10" s="27">
        <f>IF(Diaria!AD10&gt;0, Mensual!AG9+Diaria!AE10/1000,0)</f>
        <v>3.1389000000000005</v>
      </c>
      <c r="AH10" s="66">
        <f t="shared" si="6"/>
        <v>-0.88436000000000048</v>
      </c>
      <c r="AI10" s="27">
        <f>IF(Diaria!AH10&gt;0, Mensual!AI9+Diaria!AH10/1000,0)</f>
        <v>2.5498300000000005</v>
      </c>
      <c r="AJ10" s="27">
        <f>IF(Diaria!AH10&gt;0, Mensual!AJ9+Diaria!AI10/1000,0)</f>
        <v>3.0316199999999998</v>
      </c>
      <c r="AK10" s="66">
        <f t="shared" si="7"/>
        <v>-0.48178999999999927</v>
      </c>
    </row>
    <row r="11" spans="1:37" ht="15.75" thickBot="1">
      <c r="A11" s="42">
        <v>7</v>
      </c>
      <c r="B11" s="27">
        <f>+(Diaria!B11/1000)+Mensual!B10</f>
        <v>2.8082989885250003</v>
      </c>
      <c r="C11" s="60">
        <f t="shared" si="8"/>
        <v>3.4480645161290302</v>
      </c>
      <c r="D11" s="67">
        <f t="shared" si="0"/>
        <v>-0.63976552760402994</v>
      </c>
      <c r="E11" s="27">
        <f>+E10+(Diaria!D11/1000)</f>
        <v>2.3714058487320999</v>
      </c>
      <c r="F11" s="54">
        <f t="shared" si="9"/>
        <v>3.6713793103448227</v>
      </c>
      <c r="G11" s="67">
        <f t="shared" si="18"/>
        <v>-1.2999734616127228</v>
      </c>
      <c r="H11" s="27">
        <f>H10+(Diaria!F11/1000)</f>
        <v>4.1712484795574003</v>
      </c>
      <c r="I11" s="54">
        <f t="shared" si="10"/>
        <v>3.6430322584193502</v>
      </c>
      <c r="J11" s="67">
        <f t="shared" si="1"/>
        <v>0.52821622113805011</v>
      </c>
      <c r="K11" s="27">
        <f>K10+Diaria!H11/1000</f>
        <v>4.2467686220731</v>
      </c>
      <c r="L11" s="54">
        <f t="shared" si="11"/>
        <v>3.76145</v>
      </c>
      <c r="M11" s="66">
        <f t="shared" ref="M11:M34" si="20">+K11-L11</f>
        <v>0.48531862207310006</v>
      </c>
      <c r="N11" s="27">
        <f>N10+Diaria!J11/1000</f>
        <v>3.4745080917654998</v>
      </c>
      <c r="O11" s="54">
        <f t="shared" si="12"/>
        <v>3.6298499999999994</v>
      </c>
      <c r="P11" s="66">
        <f t="shared" si="13"/>
        <v>-0.15534190823449956</v>
      </c>
      <c r="Q11" s="27">
        <f>Q10+Diaria!L11/1000</f>
        <v>2.6487006475829</v>
      </c>
      <c r="R11" s="54">
        <f t="shared" si="14"/>
        <v>3.7361189999999995</v>
      </c>
      <c r="S11" s="66">
        <f t="shared" si="15"/>
        <v>-1.0874183524170995</v>
      </c>
      <c r="T11" s="27">
        <f>IF(Diaria!N11&gt;0, Mensual!T10+Diaria!N11/1000,0)</f>
        <v>3.6967762336703003</v>
      </c>
      <c r="U11" s="54">
        <f t="shared" si="16"/>
        <v>3.60007739</v>
      </c>
      <c r="V11" s="66">
        <f t="shared" si="2"/>
        <v>9.6698843670300239E-2</v>
      </c>
      <c r="W11" s="27">
        <f>IF(Diaria!R11&gt;0, Mensual!W10+Diaria!R11/1000,0)</f>
        <v>4.1940781584266</v>
      </c>
      <c r="X11" s="54">
        <f t="shared" si="17"/>
        <v>3.58351</v>
      </c>
      <c r="Y11" s="66">
        <f t="shared" si="3"/>
        <v>0.61056815842660006</v>
      </c>
      <c r="Z11" s="27">
        <f>IF(Diaria!V11&gt;0, Mensual!Z10+Diaria!V11/1000,0)</f>
        <v>3.7799925041750999</v>
      </c>
      <c r="AA11" s="27">
        <f>IF(Diaria!V11&gt;0, Mensual!AA10+Diaria!W11/1000,0)</f>
        <v>3.6870400000000005</v>
      </c>
      <c r="AB11" s="66">
        <f t="shared" si="4"/>
        <v>9.2952504175099371E-2</v>
      </c>
      <c r="AC11" s="27">
        <f>IF(Diaria!Z11&gt;0, Mensual!AC10+Diaria!Z11/1000,0)</f>
        <v>3.7452994084452</v>
      </c>
      <c r="AD11" s="27">
        <f>IF(Diaria!Z11&gt;0, Mensual!AD10+Diaria!AA11/1000,0)</f>
        <v>3.5546700000000002</v>
      </c>
      <c r="AE11" s="66">
        <f t="shared" si="5"/>
        <v>0.19062940844519982</v>
      </c>
      <c r="AF11" s="27">
        <f>IF(Diaria!AD11&gt;0, Mensual!AF10+Diaria!AD11/1000,0)</f>
        <v>2.5901899999999998</v>
      </c>
      <c r="AG11" s="27">
        <f>IF(Diaria!AD11&gt;0, Mensual!AG10+Diaria!AE11/1000,0)</f>
        <v>3.6620500000000007</v>
      </c>
      <c r="AH11" s="66">
        <f t="shared" si="6"/>
        <v>-1.0718600000000009</v>
      </c>
      <c r="AI11" s="27">
        <f>IF(Diaria!AH11&gt;0, Mensual!AI10+Diaria!AH11/1000,0)</f>
        <v>3.0078200000000006</v>
      </c>
      <c r="AJ11" s="27">
        <f>IF(Diaria!AH11&gt;0, Mensual!AJ10+Diaria!AI11/1000,0)</f>
        <v>3.5368899999999996</v>
      </c>
      <c r="AK11" s="66">
        <f t="shared" si="7"/>
        <v>-0.52906999999999904</v>
      </c>
    </row>
    <row r="12" spans="1:37" ht="15.75" thickBot="1">
      <c r="A12" s="42">
        <v>8</v>
      </c>
      <c r="B12" s="27">
        <f>+(Diaria!B12/1000)+Mensual!B11</f>
        <v>3.3373573013609001</v>
      </c>
      <c r="C12" s="60">
        <f t="shared" si="8"/>
        <v>3.9406451612903202</v>
      </c>
      <c r="D12" s="67">
        <f t="shared" si="0"/>
        <v>-0.60328785992942002</v>
      </c>
      <c r="E12" s="27">
        <f>+E11+(Diaria!D12/1000)</f>
        <v>2.7746773963277001</v>
      </c>
      <c r="F12" s="54">
        <f t="shared" si="9"/>
        <v>4.1958620689655115</v>
      </c>
      <c r="G12" s="67">
        <f t="shared" si="18"/>
        <v>-1.4211846726378115</v>
      </c>
      <c r="H12" s="27">
        <f>H11+(Diaria!F12/1000)</f>
        <v>4.7605047038121002</v>
      </c>
      <c r="I12" s="54">
        <f t="shared" si="10"/>
        <v>4.1634838713225752</v>
      </c>
      <c r="J12" s="67">
        <f t="shared" si="1"/>
        <v>0.59702083248952498</v>
      </c>
      <c r="K12" s="27">
        <f>K11+Diaria!H12/1000</f>
        <v>4.7467153218833005</v>
      </c>
      <c r="L12" s="54">
        <f t="shared" si="11"/>
        <v>4.2988</v>
      </c>
      <c r="M12" s="66">
        <f t="shared" si="20"/>
        <v>0.44791532188330052</v>
      </c>
      <c r="N12" s="27">
        <f>N11+Diaria!J12/1000</f>
        <v>4.1270820005447995</v>
      </c>
      <c r="O12" s="54">
        <f t="shared" si="12"/>
        <v>4.1483999999999996</v>
      </c>
      <c r="P12" s="66">
        <f t="shared" si="13"/>
        <v>-2.1317999455200187E-2</v>
      </c>
      <c r="Q12" s="27">
        <f>Q11+Diaria!L12/1000</f>
        <v>3.2281306187743</v>
      </c>
      <c r="R12" s="54">
        <f t="shared" si="14"/>
        <v>4.2699089999999993</v>
      </c>
      <c r="S12" s="66">
        <f t="shared" si="15"/>
        <v>-1.0417783812256993</v>
      </c>
      <c r="T12" s="27">
        <f>IF(Diaria!N12&gt;0, Mensual!T11+Diaria!N12/1000,0)</f>
        <v>4.3455548708699006</v>
      </c>
      <c r="U12" s="54">
        <f t="shared" si="16"/>
        <v>4.1143741599999997</v>
      </c>
      <c r="V12" s="66">
        <f t="shared" si="2"/>
        <v>0.23118071086990089</v>
      </c>
      <c r="W12" s="27">
        <f>IF(Diaria!R12&gt;0, Mensual!W11+Diaria!R12/1000,0)</f>
        <v>4.8464833483685998</v>
      </c>
      <c r="X12" s="54">
        <f t="shared" si="17"/>
        <v>4.09544</v>
      </c>
      <c r="Y12" s="66">
        <f t="shared" si="3"/>
        <v>0.75104334836859987</v>
      </c>
      <c r="Z12" s="27">
        <f>IF(Diaria!V12&gt;0, Mensual!Z11+Diaria!V12/1000,0)</f>
        <v>4.3842408002035</v>
      </c>
      <c r="AA12" s="27">
        <f>IF(Diaria!V12&gt;0, Mensual!AA11+Diaria!W12/1000,0)</f>
        <v>4.2137600000000006</v>
      </c>
      <c r="AB12" s="66">
        <f t="shared" si="4"/>
        <v>0.17048080020349943</v>
      </c>
      <c r="AC12" s="27">
        <f>IF(Diaria!Z12&gt;0, Mensual!AC11+Diaria!Z12/1000,0)</f>
        <v>4.0877047625558998</v>
      </c>
      <c r="AD12" s="27">
        <f>IF(Diaria!Z12&gt;0, Mensual!AD11+Diaria!AA12/1000,0)</f>
        <v>4.0624799999999999</v>
      </c>
      <c r="AE12" s="66">
        <f t="shared" si="5"/>
        <v>2.5224762555899893E-2</v>
      </c>
      <c r="AF12" s="27">
        <f>IF(Diaria!AD12&gt;0, Mensual!AF11+Diaria!AD12/1000,0)</f>
        <v>2.9053199999999997</v>
      </c>
      <c r="AG12" s="27">
        <f>IF(Diaria!AD12&gt;0, Mensual!AG11+Diaria!AE12/1000,0)</f>
        <v>4.1852000000000009</v>
      </c>
      <c r="AH12" s="66">
        <f t="shared" si="6"/>
        <v>-1.2798800000000012</v>
      </c>
      <c r="AI12" s="27">
        <f>IF(Diaria!AH12&gt;0, Mensual!AI11+Diaria!AH12/1000,0)</f>
        <v>3.4613900000000006</v>
      </c>
      <c r="AJ12" s="27">
        <f>IF(Diaria!AH12&gt;0, Mensual!AJ11+Diaria!AI12/1000,0)</f>
        <v>4.04216</v>
      </c>
      <c r="AK12" s="66">
        <f t="shared" si="7"/>
        <v>-0.58076999999999934</v>
      </c>
    </row>
    <row r="13" spans="1:37" ht="15.75" thickBot="1">
      <c r="A13" s="42">
        <v>9</v>
      </c>
      <c r="B13" s="27">
        <f>+(Diaria!B13/1000)+Mensual!B12</f>
        <v>3.8521748254149002</v>
      </c>
      <c r="C13" s="60">
        <f t="shared" si="8"/>
        <v>4.4332258064516106</v>
      </c>
      <c r="D13" s="67">
        <f t="shared" si="0"/>
        <v>-0.58105098103671038</v>
      </c>
      <c r="E13" s="27">
        <f>+E12+(Diaria!D13/1000)</f>
        <v>3.3458478307714001</v>
      </c>
      <c r="F13" s="54">
        <f t="shared" si="9"/>
        <v>4.7203448275862003</v>
      </c>
      <c r="G13" s="67">
        <f t="shared" si="18"/>
        <v>-1.3744969968148002</v>
      </c>
      <c r="H13" s="27">
        <f>H12+(Diaria!F13/1000)</f>
        <v>5.4068672403571005</v>
      </c>
      <c r="I13" s="54">
        <f t="shared" si="10"/>
        <v>4.6839354842257999</v>
      </c>
      <c r="J13" s="67">
        <f t="shared" si="1"/>
        <v>0.72293175613130067</v>
      </c>
      <c r="K13" s="27">
        <f>K12+Diaria!H13/1000</f>
        <v>4.9093800313256004</v>
      </c>
      <c r="L13" s="54">
        <f t="shared" si="11"/>
        <v>4.8361499999999999</v>
      </c>
      <c r="M13" s="66">
        <f t="shared" si="20"/>
        <v>7.3230031325600464E-2</v>
      </c>
      <c r="N13" s="27">
        <f>N12+Diaria!J13/1000</f>
        <v>4.8055837446439993</v>
      </c>
      <c r="O13" s="54">
        <f t="shared" si="12"/>
        <v>4.6669499999999999</v>
      </c>
      <c r="P13" s="66">
        <f t="shared" si="13"/>
        <v>0.13863374464399936</v>
      </c>
      <c r="Q13" s="27">
        <f>Q12+Diaria!L13/1000</f>
        <v>3.8788430929416999</v>
      </c>
      <c r="R13" s="54">
        <f t="shared" si="14"/>
        <v>4.8036989999999991</v>
      </c>
      <c r="S13" s="66">
        <f t="shared" si="15"/>
        <v>-0.92485590705829912</v>
      </c>
      <c r="T13" s="27">
        <f>IF(Diaria!N13&gt;0, Mensual!T12+Diaria!N13/1000,0)</f>
        <v>4.8212564526192008</v>
      </c>
      <c r="U13" s="54">
        <f t="shared" si="16"/>
        <v>4.6286709299999993</v>
      </c>
      <c r="V13" s="66">
        <f t="shared" si="2"/>
        <v>0.19258552261920148</v>
      </c>
      <c r="W13" s="27">
        <f>IF(Diaria!R13&gt;0, Mensual!W12+Diaria!R13/1000,0)</f>
        <v>5.5341805156893003</v>
      </c>
      <c r="X13" s="54">
        <f t="shared" si="17"/>
        <v>4.6073699999999995</v>
      </c>
      <c r="Y13" s="66">
        <f t="shared" si="3"/>
        <v>0.92681051568930073</v>
      </c>
      <c r="Z13" s="27">
        <f>IF(Diaria!V13&gt;0, Mensual!Z12+Diaria!V13/1000,0)</f>
        <v>5.0070614682333003</v>
      </c>
      <c r="AA13" s="27">
        <f>IF(Diaria!V13&gt;0, Mensual!AA12+Diaria!W13/1000,0)</f>
        <v>4.7404800000000007</v>
      </c>
      <c r="AB13" s="66">
        <f t="shared" si="4"/>
        <v>0.26658146823329965</v>
      </c>
      <c r="AC13" s="27">
        <f>IF(Diaria!Z13&gt;0, Mensual!AC12+Diaria!Z13/1000,0)</f>
        <v>4.5255145851269001</v>
      </c>
      <c r="AD13" s="27">
        <f>IF(Diaria!Z13&gt;0, Mensual!AD12+Diaria!AA13/1000,0)</f>
        <v>4.57029</v>
      </c>
      <c r="AE13" s="66">
        <f t="shared" si="5"/>
        <v>-4.4775414873099884E-2</v>
      </c>
      <c r="AF13" s="27">
        <f>IF(Diaria!AD13&gt;0, Mensual!AF12+Diaria!AD13/1000,0)</f>
        <v>3.2369699999999995</v>
      </c>
      <c r="AG13" s="27">
        <f>IF(Diaria!AD13&gt;0, Mensual!AG12+Diaria!AE13/1000,0)</f>
        <v>4.7083500000000011</v>
      </c>
      <c r="AH13" s="66">
        <f t="shared" si="6"/>
        <v>-1.4713800000000017</v>
      </c>
      <c r="AI13" s="27">
        <f>IF(Diaria!AH13&gt;0, Mensual!AI12+Diaria!AH13/1000,0)</f>
        <v>3.8114200000000005</v>
      </c>
      <c r="AJ13" s="27">
        <f>IF(Diaria!AH13&gt;0, Mensual!AJ12+Diaria!AI13/1000,0)</f>
        <v>4.5474300000000003</v>
      </c>
      <c r="AK13" s="66">
        <f t="shared" si="7"/>
        <v>-0.73600999999999983</v>
      </c>
    </row>
    <row r="14" spans="1:37" ht="15.75" thickBot="1">
      <c r="A14" s="42">
        <v>10</v>
      </c>
      <c r="B14" s="27">
        <f>+(Diaria!B14/1000)+Mensual!B13</f>
        <v>4.3774005371709004</v>
      </c>
      <c r="C14" s="60">
        <f t="shared" si="8"/>
        <v>4.9258064516129005</v>
      </c>
      <c r="D14" s="67">
        <f t="shared" si="0"/>
        <v>-0.54840591444200015</v>
      </c>
      <c r="E14" s="27">
        <f>+E13+(Diaria!D14/1000)</f>
        <v>3.8829069705766002</v>
      </c>
      <c r="F14" s="54">
        <f t="shared" si="9"/>
        <v>5.2448275862068892</v>
      </c>
      <c r="G14" s="67">
        <f t="shared" si="18"/>
        <v>-1.361920615630289</v>
      </c>
      <c r="H14" s="27">
        <f>H13+(Diaria!F14/1000)</f>
        <v>6.0380538809063005</v>
      </c>
      <c r="I14" s="54">
        <f t="shared" si="10"/>
        <v>5.2043870971290245</v>
      </c>
      <c r="J14" s="67">
        <f t="shared" si="1"/>
        <v>0.83366678377727599</v>
      </c>
      <c r="K14" s="27">
        <f>K13+Diaria!H14/1000</f>
        <v>5.5972939581524006</v>
      </c>
      <c r="L14" s="54">
        <f t="shared" si="11"/>
        <v>5.3734999999999999</v>
      </c>
      <c r="M14" s="66">
        <f t="shared" si="20"/>
        <v>0.22379395815240066</v>
      </c>
      <c r="N14" s="27">
        <f>N13+Diaria!J14/1000</f>
        <v>5.4570823135226991</v>
      </c>
      <c r="O14" s="54">
        <f t="shared" si="12"/>
        <v>5.1855000000000002</v>
      </c>
      <c r="P14" s="66">
        <f t="shared" si="13"/>
        <v>0.2715823135226989</v>
      </c>
      <c r="Q14" s="27">
        <f>Q13+Diaria!L14/1000</f>
        <v>4.5088758688726003</v>
      </c>
      <c r="R14" s="54">
        <f t="shared" si="14"/>
        <v>5.3374889999999988</v>
      </c>
      <c r="S14" s="66">
        <f t="shared" si="15"/>
        <v>-0.82861313112739854</v>
      </c>
      <c r="T14" s="27">
        <f>IF(Diaria!N14&gt;0, Mensual!T13+Diaria!N14/1000,0)</f>
        <v>5.2038922171268007</v>
      </c>
      <c r="U14" s="54">
        <f t="shared" si="16"/>
        <v>5.1429676999999989</v>
      </c>
      <c r="V14" s="66">
        <f t="shared" si="2"/>
        <v>6.0924517126801803E-2</v>
      </c>
      <c r="W14" s="27">
        <f>IF(Diaria!R14&gt;0, Mensual!W13+Diaria!R14/1000,0)</f>
        <v>6.1889489060476999</v>
      </c>
      <c r="X14" s="54">
        <f t="shared" si="17"/>
        <v>5.1192999999999991</v>
      </c>
      <c r="Y14" s="66">
        <f t="shared" si="3"/>
        <v>1.0696489060477008</v>
      </c>
      <c r="Z14" s="27">
        <f>IF(Diaria!V14&gt;0, Mensual!Z13+Diaria!V14/1000,0)</f>
        <v>5.6093848242471003</v>
      </c>
      <c r="AA14" s="27">
        <f>IF(Diaria!V14&gt;0, Mensual!AA13+Diaria!W14/1000,0)</f>
        <v>5.2672000000000008</v>
      </c>
      <c r="AB14" s="66">
        <f t="shared" si="4"/>
        <v>0.34218482424709951</v>
      </c>
      <c r="AC14" s="27">
        <f>IF(Diaria!Z14&gt;0, Mensual!AC13+Diaria!Z14/1000,0)</f>
        <v>5.0360255463327999</v>
      </c>
      <c r="AD14" s="27">
        <f>IF(Diaria!Z14&gt;0, Mensual!AD13+Diaria!AA14/1000,0)</f>
        <v>5.0781000000000001</v>
      </c>
      <c r="AE14" s="66">
        <f t="shared" si="5"/>
        <v>-4.2074453667200196E-2</v>
      </c>
      <c r="AF14" s="27">
        <f>IF(Diaria!AD14&gt;0, Mensual!AF13+Diaria!AD14/1000,0)</f>
        <v>3.4546899999999994</v>
      </c>
      <c r="AG14" s="27">
        <f>IF(Diaria!AD14&gt;0, Mensual!AG13+Diaria!AE14/1000,0)</f>
        <v>5.2315000000000014</v>
      </c>
      <c r="AH14" s="66">
        <f t="shared" si="6"/>
        <v>-1.776810000000002</v>
      </c>
      <c r="AI14" s="27">
        <f>IF(Diaria!AH14&gt;0, Mensual!AI13+Diaria!AH14/1000,0)</f>
        <v>4.1621400000000008</v>
      </c>
      <c r="AJ14" s="27">
        <f>IF(Diaria!AH14&gt;0, Mensual!AJ13+Diaria!AI14/1000,0)</f>
        <v>5.0527000000000006</v>
      </c>
      <c r="AK14" s="66">
        <f t="shared" si="7"/>
        <v>-0.8905599999999998</v>
      </c>
    </row>
    <row r="15" spans="1:37" ht="15.75" thickBot="1">
      <c r="A15" s="42">
        <v>11</v>
      </c>
      <c r="B15" s="27">
        <f>+(Diaria!B15/1000)+Mensual!B14</f>
        <v>4.9043946855477003</v>
      </c>
      <c r="C15" s="60">
        <f t="shared" si="8"/>
        <v>5.4183870967741905</v>
      </c>
      <c r="D15" s="67">
        <f t="shared" si="0"/>
        <v>-0.5139924112264902</v>
      </c>
      <c r="E15" s="27">
        <f>+E14+(Diaria!D15/1000)</f>
        <v>4.4755384816970007</v>
      </c>
      <c r="F15" s="54">
        <f t="shared" si="9"/>
        <v>5.769310344827578</v>
      </c>
      <c r="G15" s="67">
        <f t="shared" si="18"/>
        <v>-1.2937718631305772</v>
      </c>
      <c r="H15" s="27">
        <f>H14+(Diaria!F15/1000)</f>
        <v>6.6200075205706002</v>
      </c>
      <c r="I15" s="54">
        <f t="shared" si="10"/>
        <v>5.7248387100322491</v>
      </c>
      <c r="J15" s="67">
        <f t="shared" si="1"/>
        <v>0.89516881053835107</v>
      </c>
      <c r="K15" s="27">
        <f>K14+Diaria!H15/1000</f>
        <v>6.3253949248504009</v>
      </c>
      <c r="L15" s="54">
        <f t="shared" si="11"/>
        <v>5.9108499999999999</v>
      </c>
      <c r="M15" s="66">
        <f t="shared" si="20"/>
        <v>0.41454492485040095</v>
      </c>
      <c r="N15" s="27">
        <f>N14+Diaria!J15/1000</f>
        <v>6.1296482995575996</v>
      </c>
      <c r="O15" s="54">
        <f t="shared" si="12"/>
        <v>5.7040500000000005</v>
      </c>
      <c r="P15" s="66">
        <f t="shared" si="13"/>
        <v>0.42559829955759909</v>
      </c>
      <c r="Q15" s="27">
        <f>Q14+Diaria!L15/1000</f>
        <v>5.2145473846522004</v>
      </c>
      <c r="R15" s="54">
        <f t="shared" si="14"/>
        <v>5.8712789999999986</v>
      </c>
      <c r="S15" s="66">
        <f t="shared" si="15"/>
        <v>-0.65673161534779823</v>
      </c>
      <c r="T15" s="27">
        <f>IF(Diaria!N15&gt;0, Mensual!T14+Diaria!N15/1000,0)</f>
        <v>5.8861362804958004</v>
      </c>
      <c r="U15" s="54">
        <f t="shared" si="16"/>
        <v>5.6572644699999985</v>
      </c>
      <c r="V15" s="66">
        <f t="shared" si="2"/>
        <v>0.22887181049580185</v>
      </c>
      <c r="W15" s="27">
        <f>IF(Diaria!R15&gt;0, Mensual!W14+Diaria!R15/1000,0)</f>
        <v>6.8509525337030999</v>
      </c>
      <c r="X15" s="54">
        <f t="shared" si="17"/>
        <v>5.6312299999999986</v>
      </c>
      <c r="Y15" s="66">
        <f t="shared" si="3"/>
        <v>1.2197225337031012</v>
      </c>
      <c r="Z15" s="27">
        <f>IF(Diaria!V15&gt;0, Mensual!Z14+Diaria!V15/1000,0)</f>
        <v>6.1693422362522998</v>
      </c>
      <c r="AA15" s="27">
        <f>IF(Diaria!V15&gt;0, Mensual!AA14+Diaria!W15/1000,0)</f>
        <v>5.7939200000000008</v>
      </c>
      <c r="AB15" s="66">
        <f t="shared" si="4"/>
        <v>0.37542223625229898</v>
      </c>
      <c r="AC15" s="27">
        <f>IF(Diaria!Z15&gt;0, Mensual!AC14+Diaria!Z15/1000,0)</f>
        <v>5.4645230264815998</v>
      </c>
      <c r="AD15" s="27">
        <f>IF(Diaria!Z15&gt;0, Mensual!AD14+Diaria!AA15/1000,0)</f>
        <v>5.5859100000000002</v>
      </c>
      <c r="AE15" s="66">
        <f t="shared" si="5"/>
        <v>-0.12138697351840033</v>
      </c>
      <c r="AF15" s="27">
        <f>IF(Diaria!AD15&gt;0, Mensual!AF14+Diaria!AD15/1000,0)</f>
        <v>3.9203199999999994</v>
      </c>
      <c r="AG15" s="27">
        <f>IF(Diaria!AD15&gt;0, Mensual!AG14+Diaria!AE15/1000,0)</f>
        <v>5.7546500000000016</v>
      </c>
      <c r="AH15" s="66">
        <f t="shared" si="6"/>
        <v>-1.8343300000000022</v>
      </c>
      <c r="AI15" s="27">
        <f>IF(Diaria!AH15&gt;0, Mensual!AI14+Diaria!AH15/1000,0)</f>
        <v>4.6702500000000011</v>
      </c>
      <c r="AJ15" s="27">
        <f>IF(Diaria!AH15&gt;0, Mensual!AJ14+Diaria!AI15/1000,0)</f>
        <v>5.557970000000001</v>
      </c>
      <c r="AK15" s="66">
        <f t="shared" si="7"/>
        <v>-0.88771999999999984</v>
      </c>
    </row>
    <row r="16" spans="1:37" ht="15.75" thickBot="1">
      <c r="A16" s="42">
        <v>12</v>
      </c>
      <c r="B16" s="27">
        <f>+(Diaria!B16/1000)+Mensual!B15</f>
        <v>5.3967135057385001</v>
      </c>
      <c r="C16" s="60">
        <f t="shared" si="8"/>
        <v>5.9109677419354805</v>
      </c>
      <c r="D16" s="67">
        <f t="shared" si="0"/>
        <v>-0.51425423619698041</v>
      </c>
      <c r="E16" s="27">
        <f>+E15+(Diaria!D16/1000)</f>
        <v>5.0418003367464008</v>
      </c>
      <c r="F16" s="54">
        <f t="shared" si="9"/>
        <v>6.2937931034482668</v>
      </c>
      <c r="G16" s="67">
        <f t="shared" si="18"/>
        <v>-1.251992766701866</v>
      </c>
      <c r="H16" s="27">
        <f>H15+(Diaria!F16/1000)</f>
        <v>7.2306912949238002</v>
      </c>
      <c r="I16" s="54">
        <f t="shared" si="10"/>
        <v>6.2452903229354737</v>
      </c>
      <c r="J16" s="67">
        <f t="shared" si="1"/>
        <v>0.98540097198832655</v>
      </c>
      <c r="K16" s="27">
        <f>K15+Diaria!H16/1000</f>
        <v>7.0015768979292012</v>
      </c>
      <c r="L16" s="54">
        <f t="shared" si="11"/>
        <v>6.4481999999999999</v>
      </c>
      <c r="M16" s="66">
        <f t="shared" si="20"/>
        <v>0.55337689792920131</v>
      </c>
      <c r="N16" s="27">
        <f>N15+Diaria!J16/1000</f>
        <v>6.8445608859530997</v>
      </c>
      <c r="O16" s="54">
        <f t="shared" si="12"/>
        <v>6.2226000000000008</v>
      </c>
      <c r="P16" s="66">
        <f t="shared" si="13"/>
        <v>0.62196088595309895</v>
      </c>
      <c r="Q16" s="27">
        <f>Q15+Diaria!L16/1000</f>
        <v>5.9346218915498001</v>
      </c>
      <c r="R16" s="54">
        <f t="shared" si="14"/>
        <v>6.4050689999999983</v>
      </c>
      <c r="S16" s="66">
        <f t="shared" ref="S16" si="21">+Q16-R16</f>
        <v>-0.47044710845019821</v>
      </c>
      <c r="T16" s="27">
        <f>IF(Diaria!N16&gt;0, Mensual!T15+Diaria!N16/1000,0)</f>
        <v>6.6193081871313009</v>
      </c>
      <c r="U16" s="54">
        <f t="shared" si="16"/>
        <v>6.1715612399999982</v>
      </c>
      <c r="V16" s="66">
        <f t="shared" si="2"/>
        <v>0.4477469471313027</v>
      </c>
      <c r="W16" s="27">
        <f>IF(Diaria!R16&gt;0, Mensual!W15+Diaria!R16/1000,0)</f>
        <v>7.4677278954358997</v>
      </c>
      <c r="X16" s="54">
        <f t="shared" si="17"/>
        <v>6.1431599999999982</v>
      </c>
      <c r="Y16" s="66">
        <f t="shared" si="3"/>
        <v>1.3245678954359015</v>
      </c>
      <c r="Z16" s="27">
        <f>IF(Diaria!V16&gt;0, Mensual!Z15+Diaria!V16/1000,0)</f>
        <v>6.8300675202834995</v>
      </c>
      <c r="AA16" s="27">
        <f>IF(Diaria!V16&gt;0, Mensual!AA15+Diaria!W16/1000,0)</f>
        <v>6.3206400000000009</v>
      </c>
      <c r="AB16" s="66">
        <f t="shared" si="4"/>
        <v>0.50942752028349858</v>
      </c>
      <c r="AC16" s="27">
        <f>IF(Diaria!Z16&gt;0, Mensual!AC15+Diaria!Z16/1000,0)</f>
        <v>5.9745770620427994</v>
      </c>
      <c r="AD16" s="27">
        <f>IF(Diaria!Z16&gt;0, Mensual!AD15+Diaria!AA16/1000,0)</f>
        <v>6.0937200000000002</v>
      </c>
      <c r="AE16" s="66">
        <f t="shared" si="5"/>
        <v>-0.11914293795720088</v>
      </c>
      <c r="AF16" s="27">
        <f>IF(Diaria!AD16&gt;0, Mensual!AF15+Diaria!AD16/1000,0)</f>
        <v>4.4317299999999991</v>
      </c>
      <c r="AG16" s="27">
        <f>IF(Diaria!AD16&gt;0, Mensual!AG15+Diaria!AE16/1000,0)</f>
        <v>6.2778000000000018</v>
      </c>
      <c r="AH16" s="66">
        <f t="shared" si="6"/>
        <v>-1.8460700000000028</v>
      </c>
      <c r="AI16" s="27">
        <f>IF(Diaria!AH16&gt;0, Mensual!AI15+Diaria!AH16/1000,0)</f>
        <v>5.0617100000000015</v>
      </c>
      <c r="AJ16" s="27">
        <f>IF(Diaria!AH16&gt;0, Mensual!AJ15+Diaria!AI16/1000,0)</f>
        <v>6.0632400000000013</v>
      </c>
      <c r="AK16" s="66">
        <f t="shared" si="7"/>
        <v>-1.0015299999999998</v>
      </c>
    </row>
    <row r="17" spans="1:37" ht="15.75" thickBot="1">
      <c r="A17" s="42">
        <v>13</v>
      </c>
      <c r="B17" s="27">
        <f>+(Diaria!B17/1000)+Mensual!B16</f>
        <v>5.8302874194159999</v>
      </c>
      <c r="C17" s="60">
        <f t="shared" si="8"/>
        <v>6.4035483870967704</v>
      </c>
      <c r="D17" s="67">
        <f t="shared" si="0"/>
        <v>-0.57326096768077051</v>
      </c>
      <c r="E17" s="27">
        <f>+E16+(Diaria!D17/1000)</f>
        <v>5.5145715089897012</v>
      </c>
      <c r="F17" s="54">
        <f t="shared" si="9"/>
        <v>6.8182758620689556</v>
      </c>
      <c r="G17" s="67">
        <f t="shared" si="18"/>
        <v>-1.3037043530792545</v>
      </c>
      <c r="H17" s="27">
        <f>H16+(Diaria!F17/1000)</f>
        <v>7.9077953591025008</v>
      </c>
      <c r="I17" s="54">
        <f t="shared" si="10"/>
        <v>6.7657419358386983</v>
      </c>
      <c r="J17" s="67">
        <f t="shared" si="1"/>
        <v>1.1420534232638024</v>
      </c>
      <c r="K17" s="27">
        <f>K16+Diaria!H17/1000</f>
        <v>7.5991616130166015</v>
      </c>
      <c r="L17" s="54">
        <f t="shared" si="11"/>
        <v>6.9855499999999999</v>
      </c>
      <c r="M17" s="66">
        <f t="shared" si="20"/>
        <v>0.61361161301660161</v>
      </c>
      <c r="N17" s="27">
        <f>N16+Diaria!J17/1000</f>
        <v>7.5586682567784997</v>
      </c>
      <c r="O17" s="54">
        <f t="shared" si="12"/>
        <v>6.7411500000000011</v>
      </c>
      <c r="P17" s="66">
        <f t="shared" si="13"/>
        <v>0.81751825677849865</v>
      </c>
      <c r="Q17" s="27">
        <f>Q16+Diaria!L17/1000</f>
        <v>6.6309422876070006</v>
      </c>
      <c r="R17" s="54">
        <f t="shared" si="14"/>
        <v>6.9388589999999981</v>
      </c>
      <c r="S17" s="66">
        <f t="shared" ref="S17" si="22">+Q17-R17</f>
        <v>-0.30791671239299756</v>
      </c>
      <c r="T17" s="27">
        <f>IF(Diaria!N17&gt;0, Mensual!T16+Diaria!N17/1000,0)</f>
        <v>7.0436459249397005</v>
      </c>
      <c r="U17" s="54">
        <f t="shared" si="16"/>
        <v>6.6858580099999978</v>
      </c>
      <c r="V17" s="66">
        <f t="shared" si="2"/>
        <v>0.35778791493970274</v>
      </c>
      <c r="W17" s="27">
        <f>IF(Diaria!R17&gt;0, Mensual!W16+Diaria!R17/1000,0)</f>
        <v>8.0859456034211998</v>
      </c>
      <c r="X17" s="54">
        <f t="shared" si="17"/>
        <v>6.6550899999999977</v>
      </c>
      <c r="Y17" s="66">
        <f t="shared" si="3"/>
        <v>1.4308556034212021</v>
      </c>
      <c r="Z17" s="27">
        <f>IF(Diaria!V17&gt;0, Mensual!Z16+Diaria!V17/1000,0)</f>
        <v>7.4866975884621993</v>
      </c>
      <c r="AA17" s="27">
        <f>IF(Diaria!V17&gt;0, Mensual!AA16+Diaria!W17/1000,0)</f>
        <v>6.847360000000001</v>
      </c>
      <c r="AB17" s="66">
        <f t="shared" si="4"/>
        <v>0.63933758846219835</v>
      </c>
      <c r="AC17" s="27">
        <f>IF(Diaria!Z17&gt;0, Mensual!AC16+Diaria!Z17/1000,0)</f>
        <v>6.5902121077583997</v>
      </c>
      <c r="AD17" s="27">
        <f>IF(Diaria!Z17&gt;0, Mensual!AD16+Diaria!AA17/1000,0)</f>
        <v>6.6015300000000003</v>
      </c>
      <c r="AE17" s="66">
        <f t="shared" si="5"/>
        <v>-1.1317892241600624E-2</v>
      </c>
      <c r="AF17" s="27">
        <f>IF(Diaria!AD17&gt;0, Mensual!AF16+Diaria!AD17/1000,0)</f>
        <v>4.8617899999999992</v>
      </c>
      <c r="AG17" s="27">
        <f>IF(Diaria!AD17&gt;0, Mensual!AG16+Diaria!AE17/1000,0)</f>
        <v>6.800950000000002</v>
      </c>
      <c r="AH17" s="66">
        <f t="shared" si="6"/>
        <v>-1.9391600000000029</v>
      </c>
      <c r="AI17" s="27">
        <f>IF(Diaria!AH17&gt;0, Mensual!AI16+Diaria!AH17/1000,0)</f>
        <v>5.4167200000000015</v>
      </c>
      <c r="AJ17" s="27">
        <f>IF(Diaria!AH17&gt;0, Mensual!AJ16+Diaria!AI17/1000,0)</f>
        <v>6.5685100000000016</v>
      </c>
      <c r="AK17" s="66">
        <f t="shared" si="7"/>
        <v>-1.1517900000000001</v>
      </c>
    </row>
    <row r="18" spans="1:37" ht="15.75" thickBot="1">
      <c r="A18" s="42">
        <v>14</v>
      </c>
      <c r="B18" s="27">
        <f>+(Diaria!B18/1000)+Mensual!B17</f>
        <v>6.3399263962227002</v>
      </c>
      <c r="C18" s="60">
        <f t="shared" si="8"/>
        <v>6.8961290322580604</v>
      </c>
      <c r="D18" s="67">
        <f t="shared" si="0"/>
        <v>-0.55620263603536024</v>
      </c>
      <c r="E18" s="27">
        <f>+E17+(Diaria!D18/1000)</f>
        <v>6.0100270538051008</v>
      </c>
      <c r="F18" s="54">
        <f t="shared" si="9"/>
        <v>7.3427586206896445</v>
      </c>
      <c r="G18" s="67">
        <f t="shared" si="18"/>
        <v>-1.3327315668845436</v>
      </c>
      <c r="H18" s="27">
        <f>H17+(Diaria!F18/1000)</f>
        <v>8.5873540838765017</v>
      </c>
      <c r="I18" s="54">
        <f>0.520451612903225+I17</f>
        <v>7.2861935487419229</v>
      </c>
      <c r="J18" s="67">
        <f>+H18-I18</f>
        <v>1.3011605351345787</v>
      </c>
      <c r="K18" s="27">
        <f>K17+Diaria!H18/1000</f>
        <v>8.0941648539227025</v>
      </c>
      <c r="L18" s="54">
        <f t="shared" si="11"/>
        <v>7.5228999999999999</v>
      </c>
      <c r="M18" s="66">
        <f t="shared" si="20"/>
        <v>0.57126485392270254</v>
      </c>
      <c r="N18" s="27">
        <f>N17+Diaria!J18/1000</f>
        <v>8.2617770246469995</v>
      </c>
      <c r="O18" s="54">
        <f t="shared" si="12"/>
        <v>7.2597000000000014</v>
      </c>
      <c r="P18" s="66">
        <f t="shared" si="13"/>
        <v>1.0020770246469981</v>
      </c>
      <c r="Q18" s="27">
        <f>Q17+Diaria!L18/1000</f>
        <v>7.3675262499450005</v>
      </c>
      <c r="R18" s="54">
        <f t="shared" si="14"/>
        <v>7.4726489999999979</v>
      </c>
      <c r="S18" s="66">
        <f t="shared" si="15"/>
        <v>-0.10512275005499738</v>
      </c>
      <c r="T18" s="27">
        <f>IF(Diaria!N18&gt;0, Mensual!T17+Diaria!N18/1000,0)</f>
        <v>7.5690737443341005</v>
      </c>
      <c r="U18" s="54">
        <f t="shared" si="16"/>
        <v>7.2001547799999974</v>
      </c>
      <c r="V18" s="66">
        <f t="shared" si="2"/>
        <v>0.36891896433410309</v>
      </c>
      <c r="W18" s="27">
        <f>IF(Diaria!R18&gt;0, Mensual!W17+Diaria!R18/1000,0)</f>
        <v>8.6054755853395992</v>
      </c>
      <c r="X18" s="54">
        <f t="shared" si="17"/>
        <v>7.1670199999999973</v>
      </c>
      <c r="Y18" s="66">
        <f t="shared" si="3"/>
        <v>1.4384555853396019</v>
      </c>
      <c r="Z18" s="27">
        <f>IF(Diaria!V18&gt;0, Mensual!Z17+Diaria!V18/1000,0)</f>
        <v>7.9604753977658991</v>
      </c>
      <c r="AA18" s="27">
        <f>IF(Diaria!V18&gt;0, Mensual!AA17+Diaria!W18/1000,0)</f>
        <v>7.3740800000000011</v>
      </c>
      <c r="AB18" s="66">
        <f t="shared" si="4"/>
        <v>0.586395397765898</v>
      </c>
      <c r="AC18" s="27">
        <f>IF(Diaria!Z18&gt;0, Mensual!AC17+Diaria!Z18/1000,0)</f>
        <v>7.1032530193709995</v>
      </c>
      <c r="AD18" s="27">
        <f>IF(Diaria!Z18&gt;0, Mensual!AD17+Diaria!AA18/1000,0)</f>
        <v>7.1093400000000004</v>
      </c>
      <c r="AE18" s="66">
        <f t="shared" si="5"/>
        <v>-6.0869806290009265E-3</v>
      </c>
      <c r="AF18" s="27">
        <f>IF(Diaria!AD18&gt;0, Mensual!AF17+Diaria!AD18/1000,0)</f>
        <v>5.1457399999999991</v>
      </c>
      <c r="AG18" s="27">
        <f>IF(Diaria!AD18&gt;0, Mensual!AG17+Diaria!AE18/1000,0)</f>
        <v>7.3241000000000023</v>
      </c>
      <c r="AH18" s="66">
        <f t="shared" si="6"/>
        <v>-2.1783600000000032</v>
      </c>
      <c r="AI18" s="27">
        <f>IF(Diaria!AH18&gt;0, Mensual!AI17+Diaria!AH18/1000,0)</f>
        <v>5.5767000000000015</v>
      </c>
      <c r="AJ18" s="27">
        <f>IF(Diaria!AH18&gt;0, Mensual!AJ17+Diaria!AI18/1000,0)</f>
        <v>7.073780000000002</v>
      </c>
      <c r="AK18" s="66">
        <f t="shared" si="7"/>
        <v>-1.4970800000000004</v>
      </c>
    </row>
    <row r="19" spans="1:37" ht="15.75" thickBot="1">
      <c r="A19" s="42">
        <v>15</v>
      </c>
      <c r="B19" s="27">
        <f>+(Diaria!B19/1000)+Mensual!B18</f>
        <v>6.8760237201668</v>
      </c>
      <c r="C19" s="60">
        <f t="shared" si="8"/>
        <v>7.3887096774193504</v>
      </c>
      <c r="D19" s="67">
        <f t="shared" si="0"/>
        <v>-0.51268595725255039</v>
      </c>
      <c r="E19" s="27">
        <f>+E18+(Diaria!D19/1000)</f>
        <v>6.4385246897459005</v>
      </c>
      <c r="F19" s="54">
        <f t="shared" si="9"/>
        <v>7.8672413793103333</v>
      </c>
      <c r="G19" s="67">
        <f t="shared" si="18"/>
        <v>-1.4287166895644328</v>
      </c>
      <c r="H19" s="27">
        <f>H18+(Diaria!F19/1000)</f>
        <v>9.158476633162401</v>
      </c>
      <c r="I19" s="54">
        <f t="shared" si="10"/>
        <v>7.8066451616451475</v>
      </c>
      <c r="J19" s="67">
        <f t="shared" ref="J19:J35" si="23">+H19-I19</f>
        <v>1.3518314715172535</v>
      </c>
      <c r="K19" s="27">
        <f>K18+Diaria!H19/1000</f>
        <v>8.6102816019610025</v>
      </c>
      <c r="L19" s="54">
        <f t="shared" si="11"/>
        <v>8.0602499999999999</v>
      </c>
      <c r="M19" s="66">
        <f t="shared" si="20"/>
        <v>0.55003160196100254</v>
      </c>
      <c r="N19" s="27">
        <f>N18+Diaria!J19/1000</f>
        <v>8.9570384774900997</v>
      </c>
      <c r="O19" s="54">
        <f t="shared" si="12"/>
        <v>7.7782500000000017</v>
      </c>
      <c r="P19" s="66">
        <f t="shared" si="13"/>
        <v>1.1787884774900981</v>
      </c>
      <c r="Q19" s="27">
        <f>Q18+Diaria!L19/1000</f>
        <v>8.0614299852230005</v>
      </c>
      <c r="R19" s="54">
        <f t="shared" si="14"/>
        <v>8.0064389999999985</v>
      </c>
      <c r="S19" s="66">
        <f t="shared" si="15"/>
        <v>5.4990985223001942E-2</v>
      </c>
      <c r="T19" s="27">
        <f>IF(Diaria!N19&gt;0, Mensual!T18+Diaria!N19/1000,0)</f>
        <v>8.254346602908301</v>
      </c>
      <c r="U19" s="54">
        <f t="shared" si="16"/>
        <v>7.714451549999997</v>
      </c>
      <c r="V19" s="66">
        <f t="shared" si="2"/>
        <v>0.53989505290830397</v>
      </c>
      <c r="W19" s="27">
        <f>IF(Diaria!R19&gt;0, Mensual!W18+Diaria!R19/1000,0)</f>
        <v>9.0954179281820995</v>
      </c>
      <c r="X19" s="54">
        <f t="shared" si="17"/>
        <v>7.6789499999999968</v>
      </c>
      <c r="Y19" s="66">
        <f t="shared" si="3"/>
        <v>1.4164679281821027</v>
      </c>
      <c r="Z19" s="27">
        <f>IF(Diaria!V19&gt;0, Mensual!Z18+Diaria!V19/1000,0)</f>
        <v>8.4449615214626998</v>
      </c>
      <c r="AA19" s="27">
        <f>IF(Diaria!V19&gt;0, Mensual!AA18+Diaria!W19/1000,0)</f>
        <v>7.9008000000000012</v>
      </c>
      <c r="AB19" s="66">
        <f t="shared" si="4"/>
        <v>0.54416152146269869</v>
      </c>
      <c r="AC19" s="27">
        <f>IF(Diaria!Z19&gt;0, Mensual!AC18+Diaria!Z19/1000,0)</f>
        <v>7.6180599138077998</v>
      </c>
      <c r="AD19" s="27">
        <f>IF(Diaria!Z19&gt;0, Mensual!AD18+Diaria!AA19/1000,0)</f>
        <v>7.6171500000000005</v>
      </c>
      <c r="AE19" s="66">
        <f t="shared" si="5"/>
        <v>9.0991380779925635E-4</v>
      </c>
      <c r="AF19" s="27">
        <f>IF(Diaria!AD19&gt;0, Mensual!AF18+Diaria!AD19/1000,0)</f>
        <v>5.5300199999999986</v>
      </c>
      <c r="AG19" s="27">
        <f>IF(Diaria!AD19&gt;0, Mensual!AG18+Diaria!AE19/1000,0)</f>
        <v>7.8472500000000025</v>
      </c>
      <c r="AH19" s="66">
        <f t="shared" si="6"/>
        <v>-2.3172300000000039</v>
      </c>
      <c r="AI19" s="27">
        <f>IF(Diaria!AH19&gt;0, Mensual!AI18+Diaria!AH19/1000,0)</f>
        <v>5.9901800000000014</v>
      </c>
      <c r="AJ19" s="27">
        <f>IF(Diaria!AH19&gt;0, Mensual!AJ18+Diaria!AI19/1000,0)</f>
        <v>7.5790500000000023</v>
      </c>
      <c r="AK19" s="66">
        <f t="shared" si="7"/>
        <v>-1.5888700000000009</v>
      </c>
    </row>
    <row r="20" spans="1:37" ht="15.75" thickBot="1">
      <c r="A20" s="42">
        <v>16</v>
      </c>
      <c r="B20" s="27">
        <f>+(Diaria!B20/1000)+Mensual!B19</f>
        <v>7.4085983307666003</v>
      </c>
      <c r="C20" s="60">
        <f t="shared" si="8"/>
        <v>7.8812903225806403</v>
      </c>
      <c r="D20" s="67">
        <f t="shared" si="0"/>
        <v>-0.47269199181403998</v>
      </c>
      <c r="E20" s="27">
        <f>+E19+(Diaria!D20/1000)</f>
        <v>6.9615950501057009</v>
      </c>
      <c r="F20" s="54">
        <f t="shared" si="9"/>
        <v>8.391724137931023</v>
      </c>
      <c r="G20" s="67">
        <f t="shared" si="18"/>
        <v>-1.4301290878253221</v>
      </c>
      <c r="H20" s="27">
        <f>H19+(Diaria!F20/1000)</f>
        <v>9.7401419542687009</v>
      </c>
      <c r="I20" s="54">
        <f>0.520451612903225+I19</f>
        <v>8.327096774548373</v>
      </c>
      <c r="J20" s="67">
        <f t="shared" si="23"/>
        <v>1.4130451797203278</v>
      </c>
      <c r="K20" s="27">
        <f>K19+Diaria!H20/1000</f>
        <v>8.8659785953370029</v>
      </c>
      <c r="L20" s="54">
        <f t="shared" si="11"/>
        <v>8.5975999999999999</v>
      </c>
      <c r="M20" s="66">
        <f t="shared" si="20"/>
        <v>0.26837859533700303</v>
      </c>
      <c r="N20" s="27">
        <f>N19+Diaria!J20/1000</f>
        <v>9.6438675584076989</v>
      </c>
      <c r="O20" s="54">
        <f t="shared" si="12"/>
        <v>8.2968000000000011</v>
      </c>
      <c r="P20" s="66">
        <f t="shared" si="13"/>
        <v>1.3470675584076979</v>
      </c>
      <c r="Q20" s="27">
        <f>Q19+Diaria!L20/1000</f>
        <v>8.6055396595021012</v>
      </c>
      <c r="R20" s="54">
        <f t="shared" si="14"/>
        <v>8.5402289999999983</v>
      </c>
      <c r="S20" s="66">
        <f t="shared" si="15"/>
        <v>6.5310659502102908E-2</v>
      </c>
      <c r="T20" s="27">
        <f>IF(Diaria!N20&gt;0, Mensual!T19+Diaria!N20/1000,0)</f>
        <v>8.9784410757080018</v>
      </c>
      <c r="U20" s="54">
        <f t="shared" si="16"/>
        <v>8.2287483199999976</v>
      </c>
      <c r="V20" s="66">
        <f t="shared" si="2"/>
        <v>0.7496927557080042</v>
      </c>
      <c r="W20" s="27">
        <f>IF(Diaria!R20&gt;0, Mensual!W19+Diaria!R20/1000,0)</f>
        <v>9.6351907825641003</v>
      </c>
      <c r="X20" s="54">
        <f t="shared" si="17"/>
        <v>8.1908799999999964</v>
      </c>
      <c r="Y20" s="66">
        <f t="shared" si="3"/>
        <v>1.4443107825641039</v>
      </c>
      <c r="Z20" s="27">
        <f>IF(Diaria!V20&gt;0, Mensual!Z19+Diaria!V20/1000,0)</f>
        <v>8.9841326957127006</v>
      </c>
      <c r="AA20" s="27">
        <f>IF(Diaria!V20&gt;0, Mensual!AA19+Diaria!W20/1000,0)</f>
        <v>8.4275200000000012</v>
      </c>
      <c r="AB20" s="66">
        <f t="shared" si="4"/>
        <v>0.55661269571269933</v>
      </c>
      <c r="AC20" s="27">
        <f>IF(Diaria!Z20&gt;0, Mensual!AC19+Diaria!Z20/1000,0)</f>
        <v>8.1985375220825993</v>
      </c>
      <c r="AD20" s="27">
        <f>IF(Diaria!Z20&gt;0, Mensual!AD19+Diaria!AA20/1000,0)</f>
        <v>8.1249599999999997</v>
      </c>
      <c r="AE20" s="66">
        <f t="shared" si="5"/>
        <v>7.35775220825996E-2</v>
      </c>
      <c r="AF20" s="27">
        <f>IF(Diaria!AD20&gt;0, Mensual!AF19+Diaria!AD20/1000,0)</f>
        <v>5.8740499999999987</v>
      </c>
      <c r="AG20" s="27">
        <f>IF(Diaria!AD20&gt;0, Mensual!AG19+Diaria!AE20/1000,0)</f>
        <v>8.3704000000000018</v>
      </c>
      <c r="AH20" s="66">
        <f t="shared" si="6"/>
        <v>-2.4963500000000032</v>
      </c>
      <c r="AI20" s="27">
        <f>IF(Diaria!AH20&gt;0, Mensual!AI19+Diaria!AH20/1000,0)</f>
        <v>6.3679400000000017</v>
      </c>
      <c r="AJ20" s="27">
        <f>IF(Diaria!AH20&gt;0, Mensual!AJ19+Diaria!AI20/1000,0)</f>
        <v>8.0843200000000017</v>
      </c>
      <c r="AK20" s="66">
        <f t="shared" si="7"/>
        <v>-1.71638</v>
      </c>
    </row>
    <row r="21" spans="1:37" ht="15.75" thickBot="1">
      <c r="A21" s="42">
        <v>17</v>
      </c>
      <c r="B21" s="27">
        <f>+(Diaria!B21/1000)+Mensual!B20</f>
        <v>7.9419222345142</v>
      </c>
      <c r="C21" s="60">
        <f t="shared" si="8"/>
        <v>8.3738709677419312</v>
      </c>
      <c r="D21" s="67">
        <f t="shared" si="0"/>
        <v>-0.4319487332277312</v>
      </c>
      <c r="E21" s="27">
        <f>+E20+(Diaria!D21/1000)</f>
        <v>7.4173231913566005</v>
      </c>
      <c r="F21" s="54">
        <f t="shared" si="9"/>
        <v>8.9162068965517118</v>
      </c>
      <c r="G21" s="67">
        <f t="shared" si="18"/>
        <v>-1.4988837051951114</v>
      </c>
      <c r="H21" s="27">
        <f>H20+(Diaria!F21/1000)</f>
        <v>10.3461007273711</v>
      </c>
      <c r="I21" s="54">
        <f t="shared" si="10"/>
        <v>8.8475483874515977</v>
      </c>
      <c r="J21" s="67">
        <f t="shared" si="23"/>
        <v>1.4985523399195024</v>
      </c>
      <c r="K21" s="27">
        <f>K20+Diaria!H21/1000</f>
        <v>9.4822249539234029</v>
      </c>
      <c r="L21" s="54">
        <f t="shared" si="11"/>
        <v>9.1349499999999999</v>
      </c>
      <c r="M21" s="66">
        <f t="shared" si="20"/>
        <v>0.34727495392340302</v>
      </c>
      <c r="N21" s="27">
        <f>N20+Diaria!J21/1000</f>
        <v>10.332754985852798</v>
      </c>
      <c r="O21" s="54">
        <f t="shared" si="12"/>
        <v>8.8153500000000005</v>
      </c>
      <c r="P21" s="66">
        <f t="shared" si="13"/>
        <v>1.5174049858527976</v>
      </c>
      <c r="Q21" s="27">
        <f>Q20+Diaria!L21/1000</f>
        <v>9.1294025579468006</v>
      </c>
      <c r="R21" s="54">
        <f t="shared" si="14"/>
        <v>9.0740189999999981</v>
      </c>
      <c r="S21" s="66">
        <f t="shared" si="15"/>
        <v>5.5383557946802497E-2</v>
      </c>
      <c r="T21" s="27">
        <f>IF(Diaria!N21&gt;0, Mensual!T20+Diaria!N21/1000,0)</f>
        <v>9.5763482428080025</v>
      </c>
      <c r="U21" s="54">
        <f t="shared" si="16"/>
        <v>8.7430450899999972</v>
      </c>
      <c r="V21" s="66">
        <f t="shared" si="2"/>
        <v>0.83330315280800527</v>
      </c>
      <c r="W21" s="27">
        <f>IF(Diaria!R21&gt;0, Mensual!W20+Diaria!R21/1000,0)</f>
        <v>10.2771660614419</v>
      </c>
      <c r="X21" s="54">
        <f t="shared" si="17"/>
        <v>8.7028099999999959</v>
      </c>
      <c r="Y21" s="66">
        <f t="shared" si="3"/>
        <v>1.5743560614419039</v>
      </c>
      <c r="Z21" s="27">
        <f>IF(Diaria!V21&gt;0, Mensual!Z20+Diaria!V21/1000,0)</f>
        <v>9.5688312640774011</v>
      </c>
      <c r="AA21" s="27">
        <f>IF(Diaria!V21&gt;0, Mensual!AA20+Diaria!W21/1000,0)</f>
        <v>8.9542400000000022</v>
      </c>
      <c r="AB21" s="66">
        <f t="shared" si="4"/>
        <v>0.61459126407739895</v>
      </c>
      <c r="AC21" s="27">
        <f>IF(Diaria!Z21&gt;0, Mensual!AC20+Diaria!Z21/1000,0)</f>
        <v>8.8138090696826001</v>
      </c>
      <c r="AD21" s="27">
        <f>IF(Diaria!Z21&gt;0, Mensual!AD20+Diaria!AA21/1000,0)</f>
        <v>8.6327699999999989</v>
      </c>
      <c r="AE21" s="66">
        <f t="shared" si="5"/>
        <v>0.18103906968260119</v>
      </c>
      <c r="AF21" s="27">
        <f>IF(Diaria!AD21&gt;0, Mensual!AF20+Diaria!AD21/1000,0)</f>
        <v>6.1901699999999984</v>
      </c>
      <c r="AG21" s="27">
        <f>IF(Diaria!AD21&gt;0, Mensual!AG20+Diaria!AE21/1000,0)</f>
        <v>8.8935500000000012</v>
      </c>
      <c r="AH21" s="66">
        <f t="shared" si="6"/>
        <v>-2.7033800000000028</v>
      </c>
      <c r="AI21" s="27">
        <f>IF(Diaria!AH21&gt;0, Mensual!AI20+Diaria!AH21/1000,0)</f>
        <v>6.858760000000002</v>
      </c>
      <c r="AJ21" s="27">
        <f>IF(Diaria!AH21&gt;0, Mensual!AJ20+Diaria!AI21/1000,0)</f>
        <v>8.5895900000000012</v>
      </c>
      <c r="AK21" s="66">
        <f t="shared" si="7"/>
        <v>-1.7308299999999992</v>
      </c>
    </row>
    <row r="22" spans="1:37" ht="15.75" thickBot="1">
      <c r="A22" s="42">
        <v>18</v>
      </c>
      <c r="B22" s="27">
        <f>+(Diaria!B22/1000)+Mensual!B21</f>
        <v>8.4414731248684998</v>
      </c>
      <c r="C22" s="60">
        <f t="shared" si="8"/>
        <v>8.8664516129032211</v>
      </c>
      <c r="D22" s="67">
        <f t="shared" si="0"/>
        <v>-0.42497848803472138</v>
      </c>
      <c r="E22" s="27">
        <f>+E21+(Diaria!D22/1000)</f>
        <v>7.9131052547688006</v>
      </c>
      <c r="F22" s="54">
        <f t="shared" si="9"/>
        <v>9.4406896551724007</v>
      </c>
      <c r="G22" s="67">
        <f t="shared" si="18"/>
        <v>-1.5275844004036001</v>
      </c>
      <c r="H22" s="27">
        <f>H21+(Diaria!F22/1000)</f>
        <v>10.9153817504885</v>
      </c>
      <c r="I22" s="54">
        <f t="shared" si="10"/>
        <v>9.3680000003548223</v>
      </c>
      <c r="J22" s="67">
        <f t="shared" si="23"/>
        <v>1.5473817501336775</v>
      </c>
      <c r="K22" s="27">
        <f>K21+Diaria!H22/1000</f>
        <v>9.9835400635730025</v>
      </c>
      <c r="L22" s="54">
        <f t="shared" si="11"/>
        <v>9.6722999999999999</v>
      </c>
      <c r="M22" s="66">
        <f t="shared" si="20"/>
        <v>0.3112400635730026</v>
      </c>
      <c r="N22" s="27">
        <f>N21+Diaria!J22/1000</f>
        <v>11.003294737760099</v>
      </c>
      <c r="O22" s="54">
        <f t="shared" si="12"/>
        <v>9.3338999999999999</v>
      </c>
      <c r="P22" s="66">
        <f t="shared" si="13"/>
        <v>1.6693947377600988</v>
      </c>
      <c r="Q22" s="27">
        <f>Q21+Diaria!L22/1000</f>
        <v>9.4922410285123</v>
      </c>
      <c r="R22" s="54">
        <f t="shared" si="14"/>
        <v>9.6078089999999978</v>
      </c>
      <c r="S22" s="66">
        <f t="shared" si="15"/>
        <v>-0.11556797148769782</v>
      </c>
      <c r="T22" s="27">
        <f>IF(Diaria!N22&gt;0, Mensual!T21+Diaria!N22/1000,0)</f>
        <v>10.137567795863502</v>
      </c>
      <c r="U22" s="54">
        <f t="shared" si="16"/>
        <v>9.2573418599999968</v>
      </c>
      <c r="V22" s="66">
        <f t="shared" si="2"/>
        <v>0.88022593586350517</v>
      </c>
      <c r="W22" s="27">
        <f>IF(Diaria!R22&gt;0, Mensual!W21+Diaria!R22/1000,0)</f>
        <v>10.814403370457999</v>
      </c>
      <c r="X22" s="54">
        <f t="shared" si="17"/>
        <v>9.2147399999999955</v>
      </c>
      <c r="Y22" s="66">
        <f t="shared" si="3"/>
        <v>1.5996633704580034</v>
      </c>
      <c r="Z22" s="27">
        <f>IF(Diaria!V22&gt;0, Mensual!Z21+Diaria!V22/1000,0)</f>
        <v>10.169473369568601</v>
      </c>
      <c r="AA22" s="27">
        <f>IF(Diaria!V22&gt;0, Mensual!AA21+Diaria!W22/1000,0)</f>
        <v>9.4809600000000032</v>
      </c>
      <c r="AB22" s="66">
        <f t="shared" si="4"/>
        <v>0.68851336956859832</v>
      </c>
      <c r="AC22" s="27">
        <f>IF(Diaria!Z22&gt;0, Mensual!AC21+Diaria!Z22/1000,0)</f>
        <v>9.2814116680865997</v>
      </c>
      <c r="AD22" s="27">
        <f>IF(Diaria!Z22&gt;0, Mensual!AD21+Diaria!AA22/1000,0)</f>
        <v>9.1405799999999982</v>
      </c>
      <c r="AE22" s="66">
        <f t="shared" si="5"/>
        <v>0.14083166808660152</v>
      </c>
      <c r="AF22" s="27">
        <f>IF(Diaria!AD22&gt;0, Mensual!AF21+Diaria!AD22/1000,0)</f>
        <v>6.5797799999999986</v>
      </c>
      <c r="AG22" s="27">
        <f>IF(Diaria!AD22&gt;0, Mensual!AG21+Diaria!AE22/1000,0)</f>
        <v>9.4167000000000005</v>
      </c>
      <c r="AH22" s="66">
        <f t="shared" si="6"/>
        <v>-2.8369200000000019</v>
      </c>
      <c r="AI22" s="27">
        <f>IF(Diaria!AH22&gt;0, Mensual!AI21+Diaria!AH22/1000,0)</f>
        <v>7.3166900000000021</v>
      </c>
      <c r="AJ22" s="27">
        <f>IF(Diaria!AH22&gt;0, Mensual!AJ21+Diaria!AI22/1000,0)</f>
        <v>9.0948600000000006</v>
      </c>
      <c r="AK22" s="66">
        <f t="shared" si="7"/>
        <v>-1.7781699999999985</v>
      </c>
    </row>
    <row r="23" spans="1:37" ht="15.75" thickBot="1">
      <c r="A23" s="42">
        <v>19</v>
      </c>
      <c r="B23" s="27">
        <f>+(Diaria!B23/1000)+Mensual!B22</f>
        <v>8.9702114538788003</v>
      </c>
      <c r="C23" s="60">
        <f t="shared" si="8"/>
        <v>9.3590322580645111</v>
      </c>
      <c r="D23" s="67">
        <f t="shared" si="0"/>
        <v>-0.38882080418571086</v>
      </c>
      <c r="E23" s="27">
        <f>+E22+(Diaria!D23/1000)</f>
        <v>8.3992472458046006</v>
      </c>
      <c r="F23" s="54">
        <f t="shared" si="9"/>
        <v>9.9651724137930895</v>
      </c>
      <c r="G23" s="67">
        <f t="shared" si="18"/>
        <v>-1.5659251679884889</v>
      </c>
      <c r="H23" s="27">
        <f>H22+(Diaria!F23/1000)</f>
        <v>11.454877719262599</v>
      </c>
      <c r="I23" s="54">
        <f t="shared" si="10"/>
        <v>9.8884516132580469</v>
      </c>
      <c r="J23" s="67">
        <f t="shared" si="23"/>
        <v>1.5664261060045526</v>
      </c>
      <c r="K23" s="27">
        <f>K22+Diaria!H23/1000</f>
        <v>10.487565707376802</v>
      </c>
      <c r="L23" s="54">
        <f t="shared" si="11"/>
        <v>10.20965</v>
      </c>
      <c r="M23" s="66">
        <f t="shared" si="20"/>
        <v>0.2779157073768026</v>
      </c>
      <c r="N23" s="27">
        <f>N22+Diaria!J23/1000</f>
        <v>11.706058732740399</v>
      </c>
      <c r="O23" s="54">
        <f t="shared" si="12"/>
        <v>9.8524499999999993</v>
      </c>
      <c r="P23" s="66">
        <f t="shared" si="13"/>
        <v>1.8536087327403994</v>
      </c>
      <c r="Q23" s="27">
        <f>Q22+Diaria!L23/1000</f>
        <v>10.0702542673734</v>
      </c>
      <c r="R23" s="54">
        <f t="shared" si="14"/>
        <v>10.141598999999998</v>
      </c>
      <c r="S23" s="66">
        <f t="shared" ref="S23" si="24">+Q23-R23</f>
        <v>-7.1344732626597462E-2</v>
      </c>
      <c r="T23" s="27">
        <f>IF(Diaria!N23&gt;0, Mensual!T22+Diaria!N23/1000,0)</f>
        <v>10.741952315730602</v>
      </c>
      <c r="U23" s="54">
        <f t="shared" si="16"/>
        <v>9.7716386299999964</v>
      </c>
      <c r="V23" s="66">
        <f t="shared" si="2"/>
        <v>0.97031368573060561</v>
      </c>
      <c r="W23" s="27">
        <f>IF(Diaria!R23&gt;0, Mensual!W22+Diaria!R23/1000,0)</f>
        <v>11.474537461574698</v>
      </c>
      <c r="X23" s="54">
        <f t="shared" si="17"/>
        <v>9.726669999999995</v>
      </c>
      <c r="Y23" s="66">
        <f t="shared" si="3"/>
        <v>1.7478674615747032</v>
      </c>
      <c r="Z23" s="27">
        <f>IF(Diaria!V23&gt;0, Mensual!Z22+Diaria!V23/1000,0)</f>
        <v>10.753194381454801</v>
      </c>
      <c r="AA23" s="27">
        <f>IF(Diaria!V23&gt;0, Mensual!AA22+Diaria!W23/1000,0)</f>
        <v>10.007680000000004</v>
      </c>
      <c r="AB23" s="66">
        <f t="shared" si="4"/>
        <v>0.74551438145479665</v>
      </c>
      <c r="AC23" s="27">
        <f>IF(Diaria!Z23&gt;0, Mensual!AC22+Diaria!Z23/1000,0)</f>
        <v>9.7348384126909995</v>
      </c>
      <c r="AD23" s="27">
        <f>IF(Diaria!Z23&gt;0, Mensual!AD22+Diaria!AA23/1000,0)</f>
        <v>9.6483899999999974</v>
      </c>
      <c r="AE23" s="66">
        <f t="shared" si="5"/>
        <v>8.6448412691002119E-2</v>
      </c>
      <c r="AF23" s="27">
        <f>IF(Diaria!AD23&gt;0, Mensual!AF22+Diaria!AD23/1000,0)</f>
        <v>7.0935199999999989</v>
      </c>
      <c r="AG23" s="27">
        <f>IF(Diaria!AD23&gt;0, Mensual!AG22+Diaria!AE23/1000,0)</f>
        <v>9.9398499999999999</v>
      </c>
      <c r="AH23" s="66">
        <f t="shared" si="6"/>
        <v>-2.8463300000000009</v>
      </c>
      <c r="AI23" s="27">
        <f>IF(Diaria!AH23&gt;0, Mensual!AI22+Diaria!AH23/1000,0)</f>
        <v>7.7897200000000018</v>
      </c>
      <c r="AJ23" s="27">
        <f>IF(Diaria!AH23&gt;0, Mensual!AJ22+Diaria!AI23/1000,0)</f>
        <v>9.6001300000000001</v>
      </c>
      <c r="AK23" s="66">
        <f t="shared" si="7"/>
        <v>-1.8104099999999983</v>
      </c>
    </row>
    <row r="24" spans="1:37" ht="15.75" thickBot="1">
      <c r="A24" s="42">
        <v>20</v>
      </c>
      <c r="B24" s="27">
        <f>+(Diaria!B24/1000)+Mensual!B23</f>
        <v>9.4609125503755003</v>
      </c>
      <c r="C24" s="60">
        <f t="shared" si="8"/>
        <v>9.8516129032258011</v>
      </c>
      <c r="D24" s="67">
        <f t="shared" si="0"/>
        <v>-0.3907003528503008</v>
      </c>
      <c r="E24" s="27">
        <f>+E23+(Diaria!D24/1000)</f>
        <v>8.8659009621117999</v>
      </c>
      <c r="F24" s="54">
        <f t="shared" si="9"/>
        <v>10.489655172413778</v>
      </c>
      <c r="G24" s="67">
        <f t="shared" si="18"/>
        <v>-1.6237542103019784</v>
      </c>
      <c r="H24" s="27">
        <f>H23+(Diaria!F24/1000)</f>
        <v>12.009175960678199</v>
      </c>
      <c r="I24" s="54">
        <f t="shared" si="10"/>
        <v>10.408903226161272</v>
      </c>
      <c r="J24" s="67">
        <f t="shared" si="23"/>
        <v>1.6002727345169276</v>
      </c>
      <c r="K24" s="27">
        <f>K23+Diaria!H24/1000</f>
        <v>11.192705962589603</v>
      </c>
      <c r="L24" s="54">
        <f t="shared" si="11"/>
        <v>10.747</v>
      </c>
      <c r="M24" s="66">
        <f t="shared" si="20"/>
        <v>0.44570596258960293</v>
      </c>
      <c r="N24" s="27">
        <f>N23+Diaria!J24/1000</f>
        <v>12.276422917742099</v>
      </c>
      <c r="O24" s="54">
        <f t="shared" si="12"/>
        <v>10.370999999999999</v>
      </c>
      <c r="P24" s="66">
        <f t="shared" si="13"/>
        <v>1.9054229177421007</v>
      </c>
      <c r="Q24" s="27">
        <f>Q23+Diaria!L24/1000</f>
        <v>10.5443377901874</v>
      </c>
      <c r="R24" s="54">
        <f t="shared" si="14"/>
        <v>10.675388999999997</v>
      </c>
      <c r="S24" s="66">
        <f t="shared" ref="S24" si="25">+Q24-R24</f>
        <v>-0.13105120981259688</v>
      </c>
      <c r="T24" s="27">
        <f>IF(Diaria!N24&gt;0, Mensual!T23+Diaria!N24/1000,0)</f>
        <v>11.037266889151702</v>
      </c>
      <c r="U24" s="54">
        <f t="shared" si="16"/>
        <v>10.285935399999996</v>
      </c>
      <c r="V24" s="66">
        <f>IF(T24&gt;0,T24-U24,0)</f>
        <v>0.75133148915170622</v>
      </c>
      <c r="W24" s="27">
        <f>IF(Diaria!R24&gt;0, Mensual!W23+Diaria!R24/1000,0)</f>
        <v>12.160629117649698</v>
      </c>
      <c r="X24" s="54">
        <f t="shared" si="17"/>
        <v>10.238599999999995</v>
      </c>
      <c r="Y24" s="66">
        <f>IF(W24&gt;0,W24-X24,0)</f>
        <v>1.9220291176497035</v>
      </c>
      <c r="Z24" s="27">
        <f>IF(Diaria!V24&gt;0, Mensual!Z23+Diaria!V24/1000,0)</f>
        <v>11.3798440465858</v>
      </c>
      <c r="AA24" s="27">
        <f>IF(Diaria!V24&gt;0, Mensual!AA23+Diaria!W24/1000,0)</f>
        <v>10.534400000000005</v>
      </c>
      <c r="AB24" s="66">
        <f>IF(Z24&gt;0,Z24-AA24,0)</f>
        <v>0.84544404658579531</v>
      </c>
      <c r="AC24" s="27">
        <f>IF(Diaria!Z24&gt;0, Mensual!AC23+Diaria!Z24/1000,0)</f>
        <v>10.203359290308599</v>
      </c>
      <c r="AD24" s="27">
        <f>IF(Diaria!Z24&gt;0, Mensual!AD23+Diaria!AA24/1000,0)</f>
        <v>10.156199999999997</v>
      </c>
      <c r="AE24" s="66">
        <f>IF(AC24&gt;0,AC24-AD24,0)</f>
        <v>4.7159290308602664E-2</v>
      </c>
      <c r="AF24" s="27">
        <f>IF(Diaria!AD24&gt;0, Mensual!AF23+Diaria!AD24/1000,0)</f>
        <v>7.6013599999999988</v>
      </c>
      <c r="AG24" s="27">
        <f>IF(Diaria!AD24&gt;0, Mensual!AG23+Diaria!AE24/1000,0)</f>
        <v>10.462999999999999</v>
      </c>
      <c r="AH24" s="66">
        <f>IF(AF24&gt;0,AF24-AG24,0)</f>
        <v>-2.8616400000000004</v>
      </c>
      <c r="AI24" s="27">
        <f>IF(Diaria!AH24&gt;0, Mensual!AI23+Diaria!AH24/1000,0)</f>
        <v>8.0842000000000009</v>
      </c>
      <c r="AJ24" s="27">
        <f>IF(Diaria!AH24&gt;0, Mensual!AJ23+Diaria!AI24/1000,0)</f>
        <v>10.105399999999999</v>
      </c>
      <c r="AK24" s="66">
        <f>IF(AI24&gt;0,AI24-AJ24,0)</f>
        <v>-2.0211999999999986</v>
      </c>
    </row>
    <row r="25" spans="1:37" ht="15.75" thickBot="1">
      <c r="A25" s="42">
        <v>21</v>
      </c>
      <c r="B25" s="27">
        <f>+(Diaria!B25/1000)+Mensual!B24</f>
        <v>9.7842434267030995</v>
      </c>
      <c r="C25" s="60">
        <f t="shared" si="8"/>
        <v>10.344193548387091</v>
      </c>
      <c r="D25" s="67">
        <f t="shared" si="0"/>
        <v>-0.5599501216839915</v>
      </c>
      <c r="E25" s="27">
        <f>+E24+(Diaria!D25/1000)</f>
        <v>9.0523933058310995</v>
      </c>
      <c r="F25" s="54">
        <f t="shared" si="9"/>
        <v>11.014137931034467</v>
      </c>
      <c r="G25" s="67">
        <f t="shared" si="18"/>
        <v>-1.9617446252033677</v>
      </c>
      <c r="H25" s="27">
        <f>H24+(Diaria!F25/1000)</f>
        <v>12.5415330446362</v>
      </c>
      <c r="I25" s="54">
        <f t="shared" si="10"/>
        <v>10.929354839064496</v>
      </c>
      <c r="J25" s="67">
        <f t="shared" si="23"/>
        <v>1.6121782055717038</v>
      </c>
      <c r="K25" s="27">
        <f>K24+Diaria!H25/1000</f>
        <v>11.850028738041903</v>
      </c>
      <c r="L25" s="54">
        <f t="shared" si="11"/>
        <v>11.28435</v>
      </c>
      <c r="M25" s="66">
        <f t="shared" si="20"/>
        <v>0.56567873804190327</v>
      </c>
      <c r="N25" s="27">
        <f>N24+Diaria!J25/1000</f>
        <v>12.694043572779199</v>
      </c>
      <c r="O25" s="54">
        <f t="shared" si="12"/>
        <v>10.889549999999998</v>
      </c>
      <c r="P25" s="66">
        <f t="shared" si="13"/>
        <v>1.8044935727792009</v>
      </c>
      <c r="Q25" s="27">
        <f>Q24+Diaria!L25/1000</f>
        <v>11.0631201282935</v>
      </c>
      <c r="R25" s="54">
        <f t="shared" si="14"/>
        <v>11.209178999999997</v>
      </c>
      <c r="S25" s="66">
        <f t="shared" ref="S25:S27" si="26">+Q25-R25</f>
        <v>-0.14605887170649723</v>
      </c>
      <c r="T25" s="27">
        <f>IF(Diaria!N25&gt;0, Mensual!T24+Diaria!N25/1000,0)</f>
        <v>11.679853028341102</v>
      </c>
      <c r="U25" s="54">
        <f t="shared" si="16"/>
        <v>10.800232169999996</v>
      </c>
      <c r="V25" s="66">
        <f t="shared" si="2"/>
        <v>0.87962085834110582</v>
      </c>
      <c r="W25" s="27">
        <f>IF(Diaria!R25&gt;0, Mensual!W24+Diaria!R25/1000,0)</f>
        <v>12.820340035111299</v>
      </c>
      <c r="X25" s="54">
        <f t="shared" si="17"/>
        <v>10.750529999999994</v>
      </c>
      <c r="Y25" s="66">
        <f t="shared" ref="Y25:Y35" si="27">IF(W25&gt;0,W25-X25,0)</f>
        <v>2.0698100351113045</v>
      </c>
      <c r="Z25" s="27">
        <f>IF(Diaria!V25&gt;0, Mensual!Z24+Diaria!V25/1000,0)</f>
        <v>11.851056514928201</v>
      </c>
      <c r="AA25" s="27">
        <f>IF(Diaria!V25&gt;0, Mensual!AA24+Diaria!W25/1000,0)</f>
        <v>11.061120000000006</v>
      </c>
      <c r="AB25" s="66">
        <f t="shared" ref="AB25:AB35" si="28">IF(Z25&gt;0,Z25-AA25,0)</f>
        <v>0.78993651492819517</v>
      </c>
      <c r="AC25" s="27">
        <f>IF(Diaria!Z25&gt;0, Mensual!AC24+Diaria!Z25/1000,0)</f>
        <v>10.5608809949596</v>
      </c>
      <c r="AD25" s="27">
        <f>IF(Diaria!Z25&gt;0, Mensual!AD24+Diaria!AA25/1000,0)</f>
        <v>10.664009999999996</v>
      </c>
      <c r="AE25" s="66">
        <f t="shared" ref="AE25:AE33" si="29">IF(AC25&gt;0,AC25-AD25,0)</f>
        <v>-0.10312900504039568</v>
      </c>
      <c r="AF25" s="27">
        <f>IF(Diaria!AD25&gt;0, Mensual!AF24+Diaria!AD25/1000,0)</f>
        <v>8.1029799999999987</v>
      </c>
      <c r="AG25" s="27">
        <f>IF(Diaria!AD25&gt;0, Mensual!AG24+Diaria!AE25/1000,0)</f>
        <v>10.986149999999999</v>
      </c>
      <c r="AH25" s="66">
        <f t="shared" ref="AH25:AH33" si="30">IF(AF25&gt;0,AF25-AG25,0)</f>
        <v>-2.8831699999999998</v>
      </c>
      <c r="AI25" s="27">
        <f>IF(Diaria!AH25&gt;0, Mensual!AI24+Diaria!AH25/1000,0)</f>
        <v>8.3499300000000005</v>
      </c>
      <c r="AJ25" s="27">
        <f>IF(Diaria!AH25&gt;0, Mensual!AJ24+Diaria!AI25/1000,0)</f>
        <v>10.610669999999999</v>
      </c>
      <c r="AK25" s="66">
        <f t="shared" ref="AK25:AK33" si="31">IF(AI25&gt;0,AI25-AJ25,0)</f>
        <v>-2.2607399999999984</v>
      </c>
    </row>
    <row r="26" spans="1:37" ht="15.75" thickBot="1">
      <c r="A26" s="42">
        <v>22</v>
      </c>
      <c r="B26" s="27">
        <f>+(Diaria!B26/1000)+Mensual!B25</f>
        <v>9.9907346419915992</v>
      </c>
      <c r="C26" s="60">
        <f t="shared" si="8"/>
        <v>10.836774193548381</v>
      </c>
      <c r="D26" s="67">
        <f t="shared" si="0"/>
        <v>-0.84603955155678179</v>
      </c>
      <c r="E26" s="27">
        <f>+E25+(Diaria!D26/1000)</f>
        <v>9.6023087684585988</v>
      </c>
      <c r="F26" s="54">
        <f t="shared" si="9"/>
        <v>11.538620689655156</v>
      </c>
      <c r="G26" s="67">
        <f t="shared" si="18"/>
        <v>-1.9363119211965572</v>
      </c>
      <c r="H26" s="27">
        <f>H25+(Diaria!F26/1000)</f>
        <v>13.0994648870952</v>
      </c>
      <c r="I26" s="54">
        <f t="shared" si="10"/>
        <v>11.449806451967721</v>
      </c>
      <c r="J26" s="67">
        <f t="shared" si="23"/>
        <v>1.6496584351274794</v>
      </c>
      <c r="K26" s="27">
        <f>K25+Diaria!H26/1000</f>
        <v>12.420131482228504</v>
      </c>
      <c r="L26" s="54">
        <f t="shared" si="11"/>
        <v>11.8217</v>
      </c>
      <c r="M26" s="66">
        <f t="shared" si="20"/>
        <v>0.59843148222850395</v>
      </c>
      <c r="N26" s="27">
        <f>N25+Diaria!J26/1000</f>
        <v>12.808001757456799</v>
      </c>
      <c r="O26" s="54">
        <f t="shared" si="12"/>
        <v>11.408099999999997</v>
      </c>
      <c r="P26" s="66">
        <f t="shared" si="13"/>
        <v>1.3999017574568011</v>
      </c>
      <c r="Q26" s="27">
        <f>Q25+Diaria!L26/1000</f>
        <v>11.7037825498332</v>
      </c>
      <c r="R26" s="54">
        <f t="shared" si="14"/>
        <v>11.742968999999997</v>
      </c>
      <c r="S26" s="66">
        <f t="shared" si="26"/>
        <v>-3.9186450166797115E-2</v>
      </c>
      <c r="T26" s="27">
        <f>IF(Diaria!N26&gt;0, Mensual!T25+Diaria!N26/1000,0)</f>
        <v>12.250204916036402</v>
      </c>
      <c r="U26" s="54">
        <f t="shared" si="16"/>
        <v>11.314528939999995</v>
      </c>
      <c r="V26" s="66">
        <f t="shared" si="2"/>
        <v>0.93567597603640706</v>
      </c>
      <c r="W26" s="27">
        <f>IF(Diaria!R26&gt;0, Mensual!W25+Diaria!R26/1000,0)</f>
        <v>13.399616967619799</v>
      </c>
      <c r="X26" s="54">
        <f t="shared" si="17"/>
        <v>11.262459999999994</v>
      </c>
      <c r="Y26" s="66">
        <f t="shared" si="27"/>
        <v>2.1371569676198057</v>
      </c>
      <c r="Z26" s="27">
        <f>IF(Diaria!V26&gt;0, Mensual!Z25+Diaria!V26/1000,0)</f>
        <v>12.303958870098601</v>
      </c>
      <c r="AA26" s="27">
        <f>IF(Diaria!V26&gt;0, Mensual!AA25+Diaria!W26/1000,0)</f>
        <v>11.587840000000007</v>
      </c>
      <c r="AB26" s="66">
        <f t="shared" si="28"/>
        <v>0.71611887009859387</v>
      </c>
      <c r="AC26" s="27">
        <f>IF(Diaria!Z26&gt;0, Mensual!AC25+Diaria!Z26/1000,0)</f>
        <v>10.836309130064199</v>
      </c>
      <c r="AD26" s="27">
        <f>IF(Diaria!Z26&gt;0, Mensual!AD25+Diaria!AA26/1000,0)</f>
        <v>11.171819999999995</v>
      </c>
      <c r="AE26" s="66">
        <f t="shared" si="29"/>
        <v>-0.3355108699357956</v>
      </c>
      <c r="AF26" s="27">
        <f>IF(Diaria!AD26&gt;0, Mensual!AF25+Diaria!AD26/1000,0)</f>
        <v>8.6284999999999989</v>
      </c>
      <c r="AG26" s="27">
        <f>IF(Diaria!AD26&gt;0, Mensual!AG25+Diaria!AE26/1000,0)</f>
        <v>11.509299999999998</v>
      </c>
      <c r="AH26" s="66">
        <f t="shared" si="30"/>
        <v>-2.8807999999999989</v>
      </c>
      <c r="AI26" s="27">
        <f>IF(Diaria!AH26&gt;0, Mensual!AI25+Diaria!AH26/1000,0)</f>
        <v>8.6483000000000008</v>
      </c>
      <c r="AJ26" s="27">
        <f>IF(Diaria!AH26&gt;0, Mensual!AJ25+Diaria!AI26/1000,0)</f>
        <v>11.115939999999998</v>
      </c>
      <c r="AK26" s="66">
        <f t="shared" si="31"/>
        <v>-2.4676399999999976</v>
      </c>
    </row>
    <row r="27" spans="1:37" ht="15.75" thickBot="1">
      <c r="A27" s="42">
        <v>23</v>
      </c>
      <c r="B27" s="27">
        <f>+(Diaria!B27/1000)+Mensual!B26</f>
        <v>10.501965714708099</v>
      </c>
      <c r="C27" s="60">
        <f t="shared" si="8"/>
        <v>11.329354838709671</v>
      </c>
      <c r="D27" s="67">
        <f t="shared" si="0"/>
        <v>-0.82738912400157183</v>
      </c>
      <c r="E27" s="27">
        <f>+E26+(Diaria!D27/1000)</f>
        <v>10.215620979383299</v>
      </c>
      <c r="F27" s="54">
        <f t="shared" si="9"/>
        <v>12.063103448275845</v>
      </c>
      <c r="G27" s="67">
        <f t="shared" si="18"/>
        <v>-1.8474824688925455</v>
      </c>
      <c r="H27" s="27">
        <f>H26+(Diaria!F27/1000)</f>
        <v>13.732096215480601</v>
      </c>
      <c r="I27" s="54">
        <f t="shared" si="10"/>
        <v>11.970258064870945</v>
      </c>
      <c r="J27" s="67">
        <f t="shared" si="23"/>
        <v>1.7618381506096554</v>
      </c>
      <c r="K27" s="27">
        <f>K26+Diaria!H27/1000</f>
        <v>13.130427341426604</v>
      </c>
      <c r="L27" s="54">
        <f t="shared" si="11"/>
        <v>12.35905</v>
      </c>
      <c r="M27" s="66">
        <f t="shared" si="20"/>
        <v>0.77137734142660364</v>
      </c>
      <c r="N27" s="27">
        <f>N26+Diaria!J27/1000</f>
        <v>13.137389341216199</v>
      </c>
      <c r="O27" s="54">
        <f t="shared" si="12"/>
        <v>11.926649999999997</v>
      </c>
      <c r="P27" s="66">
        <f t="shared" si="13"/>
        <v>1.2107393412162022</v>
      </c>
      <c r="Q27" s="27">
        <f>Q26+Diaria!L27/1000</f>
        <v>12.238346565508799</v>
      </c>
      <c r="R27" s="54">
        <f t="shared" si="14"/>
        <v>12.276758999999997</v>
      </c>
      <c r="S27" s="66">
        <f t="shared" si="26"/>
        <v>-3.84124344911978E-2</v>
      </c>
      <c r="T27" s="27">
        <f>IF(Diaria!N27&gt;0, Mensual!T26+Diaria!N27/1000,0)</f>
        <v>12.948630295401102</v>
      </c>
      <c r="U27" s="54">
        <f t="shared" si="16"/>
        <v>11.828825709999995</v>
      </c>
      <c r="V27" s="66">
        <f t="shared" si="2"/>
        <v>1.1198045854011074</v>
      </c>
      <c r="W27" s="27">
        <f>IF(Diaria!R27&gt;0, Mensual!W26+Diaria!R27/1000,0)</f>
        <v>14.026859921959099</v>
      </c>
      <c r="X27" s="54">
        <f t="shared" si="17"/>
        <v>11.774389999999993</v>
      </c>
      <c r="Y27" s="66">
        <f t="shared" si="27"/>
        <v>2.252469921959106</v>
      </c>
      <c r="Z27" s="27">
        <f>IF(Diaria!V27&gt;0, Mensual!Z26+Diaria!V27/1000,0)</f>
        <v>12.744235527338001</v>
      </c>
      <c r="AA27" s="27">
        <f>IF(Diaria!V27&gt;0, Mensual!AA26+Diaria!W27/1000,0)</f>
        <v>12.114560000000008</v>
      </c>
      <c r="AB27" s="66">
        <f t="shared" si="28"/>
        <v>0.62967552733799259</v>
      </c>
      <c r="AC27" s="27">
        <f>IF(Diaria!Z27&gt;0, Mensual!AC26+Diaria!Z27/1000,0)</f>
        <v>11.243073553228799</v>
      </c>
      <c r="AD27" s="27">
        <f>IF(Diaria!Z27&gt;0, Mensual!AD26+Diaria!AA27/1000,0)</f>
        <v>11.679629999999994</v>
      </c>
      <c r="AE27" s="66">
        <f t="shared" si="29"/>
        <v>-0.43655644677119554</v>
      </c>
      <c r="AF27" s="27">
        <f>IF(Diaria!AD27&gt;0, Mensual!AF26+Diaria!AD27/1000,0)</f>
        <v>8.8472399999999993</v>
      </c>
      <c r="AG27" s="27">
        <f>IF(Diaria!AD27&gt;0, Mensual!AG26+Diaria!AE27/1000,0)</f>
        <v>12.032449999999997</v>
      </c>
      <c r="AH27" s="66">
        <f t="shared" si="30"/>
        <v>-3.1852099999999979</v>
      </c>
      <c r="AI27" s="27">
        <f>IF(Diaria!AH27&gt;0, Mensual!AI26+Diaria!AH27/1000,0)</f>
        <v>8.8165300000000002</v>
      </c>
      <c r="AJ27" s="27">
        <f>IF(Diaria!AH27&gt;0, Mensual!AJ26+Diaria!AI27/1000,0)</f>
        <v>11.621209999999998</v>
      </c>
      <c r="AK27" s="66">
        <f t="shared" si="31"/>
        <v>-2.8046799999999976</v>
      </c>
    </row>
    <row r="28" spans="1:37" ht="15.75" thickBot="1">
      <c r="A28" s="42">
        <v>24</v>
      </c>
      <c r="B28" s="27">
        <f>+(Diaria!B28/1000)+Mensual!B27</f>
        <v>10.827304528279399</v>
      </c>
      <c r="C28" s="60">
        <f t="shared" si="8"/>
        <v>11.821935483870961</v>
      </c>
      <c r="D28" s="67">
        <f t="shared" si="0"/>
        <v>-0.99463095559156223</v>
      </c>
      <c r="E28" s="27">
        <f>+E27+(Diaria!D28/1000)</f>
        <v>10.7400986916889</v>
      </c>
      <c r="F28" s="54">
        <f t="shared" si="9"/>
        <v>12.587586206896534</v>
      </c>
      <c r="G28" s="67">
        <f t="shared" si="18"/>
        <v>-1.847487515207634</v>
      </c>
      <c r="H28" s="27">
        <f>H27+(Diaria!F28/1000)</f>
        <v>14.2985504420586</v>
      </c>
      <c r="I28" s="54">
        <f t="shared" si="10"/>
        <v>12.49070967777417</v>
      </c>
      <c r="J28" s="67">
        <f t="shared" si="23"/>
        <v>1.8078407642844301</v>
      </c>
      <c r="K28" s="27">
        <f>K27+Diaria!H28/1000</f>
        <v>13.566581542520803</v>
      </c>
      <c r="L28" s="54">
        <f t="shared" si="11"/>
        <v>12.8964</v>
      </c>
      <c r="M28" s="66">
        <f t="shared" si="20"/>
        <v>0.67018154252080286</v>
      </c>
      <c r="N28" s="27">
        <f>N27+Diaria!J28/1000</f>
        <v>13.552496052118199</v>
      </c>
      <c r="O28" s="54">
        <f t="shared" si="12"/>
        <v>12.445199999999996</v>
      </c>
      <c r="P28" s="66">
        <f t="shared" si="13"/>
        <v>1.1072960521182029</v>
      </c>
      <c r="Q28" s="27">
        <f>Q27+Diaria!L28/1000</f>
        <v>12.810711141627598</v>
      </c>
      <c r="R28" s="54">
        <f t="shared" si="14"/>
        <v>12.810548999999996</v>
      </c>
      <c r="S28" s="66">
        <f t="shared" ref="S28" si="32">+Q28-R28</f>
        <v>1.6214162760164186E-4</v>
      </c>
      <c r="T28" s="27">
        <f>IF(Diaria!N28&gt;0, Mensual!T27+Diaria!N28/1000,0)</f>
        <v>13.619925700560703</v>
      </c>
      <c r="U28" s="54">
        <f t="shared" si="16"/>
        <v>12.343122479999995</v>
      </c>
      <c r="V28" s="66">
        <f t="shared" si="2"/>
        <v>1.2768032205607085</v>
      </c>
      <c r="W28" s="27">
        <f>IF(Diaria!R28&gt;0, Mensual!W27+Diaria!R28/1000,0)</f>
        <v>14.708204748936598</v>
      </c>
      <c r="X28" s="54">
        <f t="shared" si="17"/>
        <v>12.286319999999993</v>
      </c>
      <c r="Y28" s="66">
        <f t="shared" si="27"/>
        <v>2.4218847489366055</v>
      </c>
      <c r="Z28" s="27">
        <f>IF(Diaria!V28&gt;0, Mensual!Z27+Diaria!V28/1000,0)</f>
        <v>13.274116194897001</v>
      </c>
      <c r="AA28" s="27">
        <f>IF(Diaria!V28&gt;0, Mensual!AA27+Diaria!W28/1000,0)</f>
        <v>12.641280000000009</v>
      </c>
      <c r="AB28" s="66">
        <f t="shared" si="28"/>
        <v>0.63283619489699205</v>
      </c>
      <c r="AC28" s="27">
        <f>IF(Diaria!Z28&gt;0, Mensual!AC27+Diaria!Z28/1000,0)</f>
        <v>11.624434414510999</v>
      </c>
      <c r="AD28" s="27">
        <f>IF(Diaria!Z28&gt;0, Mensual!AD27+Diaria!AA28/1000,0)</f>
        <v>12.187439999999993</v>
      </c>
      <c r="AE28" s="66">
        <f t="shared" si="29"/>
        <v>-0.5630055854889946</v>
      </c>
      <c r="AF28" s="27">
        <f>IF(Diaria!AD28&gt;0, Mensual!AF27+Diaria!AD28/1000,0)</f>
        <v>9.1027199999999997</v>
      </c>
      <c r="AG28" s="27">
        <f>IF(Diaria!AD28&gt;0, Mensual!AG27+Diaria!AE28/1000,0)</f>
        <v>12.555599999999997</v>
      </c>
      <c r="AH28" s="66">
        <f t="shared" si="30"/>
        <v>-3.4528799999999968</v>
      </c>
      <c r="AI28" s="27">
        <f>IF(Diaria!AH28&gt;0, Mensual!AI27+Diaria!AH28/1000,0)</f>
        <v>9.2146500000000007</v>
      </c>
      <c r="AJ28" s="27">
        <f>IF(Diaria!AH28&gt;0, Mensual!AJ27+Diaria!AI28/1000,0)</f>
        <v>12.126479999999997</v>
      </c>
      <c r="AK28" s="66">
        <f t="shared" si="31"/>
        <v>-2.9118299999999966</v>
      </c>
    </row>
    <row r="29" spans="1:37" ht="15.75" thickBot="1">
      <c r="A29" s="42">
        <v>25</v>
      </c>
      <c r="B29" s="27">
        <f>+(Diaria!B29/1000)+Mensual!B28</f>
        <v>11.277460883641099</v>
      </c>
      <c r="C29" s="60">
        <f t="shared" si="8"/>
        <v>12.314516129032251</v>
      </c>
      <c r="D29" s="67">
        <f t="shared" si="0"/>
        <v>-1.0370552453911515</v>
      </c>
      <c r="E29" s="27">
        <f>+E28+(Diaria!D29/1000)</f>
        <v>11.232895353859799</v>
      </c>
      <c r="F29" s="54">
        <f t="shared" si="9"/>
        <v>13.112068965517222</v>
      </c>
      <c r="G29" s="67">
        <f t="shared" si="18"/>
        <v>-1.8791736116574231</v>
      </c>
      <c r="H29" s="27">
        <f>H28+(Diaria!F29/1000)</f>
        <v>14.6754823439815</v>
      </c>
      <c r="I29" s="54">
        <f t="shared" si="10"/>
        <v>13.011161290677395</v>
      </c>
      <c r="J29" s="67">
        <f t="shared" si="23"/>
        <v>1.6643210533041053</v>
      </c>
      <c r="K29" s="27">
        <f>K28+Diaria!H29/1000</f>
        <v>13.988865312570804</v>
      </c>
      <c r="L29" s="54">
        <f t="shared" si="11"/>
        <v>13.43375</v>
      </c>
      <c r="M29" s="66">
        <f t="shared" si="20"/>
        <v>0.55511531257080371</v>
      </c>
      <c r="N29" s="27">
        <f>N28+Diaria!J29/1000</f>
        <v>13.9745501302758</v>
      </c>
      <c r="O29" s="54">
        <f t="shared" si="12"/>
        <v>12.963749999999996</v>
      </c>
      <c r="P29" s="66">
        <f t="shared" si="13"/>
        <v>1.0108001302758041</v>
      </c>
      <c r="Q29" s="27">
        <f>Q28+Diaria!L29/1000</f>
        <v>13.431171600238498</v>
      </c>
      <c r="R29" s="54">
        <f t="shared" si="14"/>
        <v>13.344338999999996</v>
      </c>
      <c r="S29" s="66">
        <f t="shared" ref="S29" si="33">+Q29-R29</f>
        <v>8.6832600238501811E-2</v>
      </c>
      <c r="T29" s="27">
        <f>IF(Diaria!N29&gt;0, Mensual!T28+Diaria!N29/1000,0)</f>
        <v>14.080133970900704</v>
      </c>
      <c r="U29" s="54">
        <f t="shared" si="16"/>
        <v>12.857419249999994</v>
      </c>
      <c r="V29" s="66">
        <f t="shared" si="2"/>
        <v>1.2227147209007097</v>
      </c>
      <c r="W29" s="27">
        <f>IF(Diaria!R29&gt;0, Mensual!W28+Diaria!R29/1000,0)</f>
        <v>15.417170293047398</v>
      </c>
      <c r="X29" s="54">
        <f t="shared" si="17"/>
        <v>12.798249999999992</v>
      </c>
      <c r="Y29" s="66">
        <f t="shared" si="27"/>
        <v>2.618920293047406</v>
      </c>
      <c r="Z29" s="27">
        <f>IF(Diaria!V29&gt;0, Mensual!Z28+Diaria!V29/1000,0)</f>
        <v>13.873350496136402</v>
      </c>
      <c r="AA29" s="27">
        <f>IF(Diaria!V29&gt;0, Mensual!AA28+Diaria!W29/1000,0)</f>
        <v>13.16800000000001</v>
      </c>
      <c r="AB29" s="66">
        <f t="shared" si="28"/>
        <v>0.70535049613639167</v>
      </c>
      <c r="AC29" s="27">
        <f>IF(Diaria!Z29&gt;0, Mensual!AC28+Diaria!Z29/1000,0)</f>
        <v>12.122130226003998</v>
      </c>
      <c r="AD29" s="27">
        <f>IF(Diaria!Z29&gt;0, Mensual!AD28+Diaria!AA29/1000,0)</f>
        <v>12.695249999999993</v>
      </c>
      <c r="AE29" s="66">
        <f t="shared" si="29"/>
        <v>-0.57311977399599456</v>
      </c>
      <c r="AF29" s="27">
        <f>IF(Diaria!AD29&gt;0, Mensual!AF28+Diaria!AD29/1000,0)</f>
        <v>9.4070099999999996</v>
      </c>
      <c r="AG29" s="27">
        <f>IF(Diaria!AD29&gt;0, Mensual!AG28+Diaria!AE29/1000,0)</f>
        <v>13.078749999999996</v>
      </c>
      <c r="AH29" s="66">
        <f t="shared" si="30"/>
        <v>-3.6717399999999962</v>
      </c>
      <c r="AI29" s="27">
        <f>IF(Diaria!AH29&gt;0, Mensual!AI28+Diaria!AH29/1000,0)</f>
        <v>9.5505000000000013</v>
      </c>
      <c r="AJ29" s="27">
        <f>IF(Diaria!AH29&gt;0, Mensual!AJ28+Diaria!AI29/1000,0)</f>
        <v>12.631749999999997</v>
      </c>
      <c r="AK29" s="66">
        <f t="shared" si="31"/>
        <v>-3.0812499999999954</v>
      </c>
    </row>
    <row r="30" spans="1:37" ht="15.75" thickBot="1">
      <c r="A30" s="42">
        <v>26</v>
      </c>
      <c r="B30" s="27">
        <f>+(Diaria!B30/1000)+Mensual!B29</f>
        <v>11.834358406621</v>
      </c>
      <c r="C30" s="60">
        <f t="shared" si="8"/>
        <v>12.807096774193541</v>
      </c>
      <c r="D30" s="67">
        <f t="shared" si="0"/>
        <v>-0.97273836757254095</v>
      </c>
      <c r="E30" s="27">
        <f>+E29+(Diaria!D30/1000)</f>
        <v>11.580263293175799</v>
      </c>
      <c r="F30" s="54">
        <f t="shared" si="9"/>
        <v>13.636551724137911</v>
      </c>
      <c r="G30" s="67">
        <f t="shared" si="18"/>
        <v>-2.0562884309621126</v>
      </c>
      <c r="H30" s="27">
        <f>H29+(Diaria!F30/1000)</f>
        <v>15.180807066931699</v>
      </c>
      <c r="I30" s="54">
        <f t="shared" si="10"/>
        <v>13.531612903580619</v>
      </c>
      <c r="J30" s="67">
        <f t="shared" si="23"/>
        <v>1.6491941633510798</v>
      </c>
      <c r="K30" s="27">
        <f>K29+Diaria!H30/1000</f>
        <v>14.323371043192504</v>
      </c>
      <c r="L30" s="54">
        <f t="shared" si="11"/>
        <v>13.9711</v>
      </c>
      <c r="M30" s="66">
        <f t="shared" si="20"/>
        <v>0.3522710431925038</v>
      </c>
      <c r="N30" s="27">
        <f>N29+Diaria!J30/1000</f>
        <v>14.4368478576214</v>
      </c>
      <c r="O30" s="54">
        <f t="shared" si="12"/>
        <v>13.482299999999995</v>
      </c>
      <c r="P30" s="66">
        <f t="shared" si="13"/>
        <v>0.95454785762140482</v>
      </c>
      <c r="Q30" s="27">
        <f>Q29+Diaria!L30/1000</f>
        <v>14.026807356922298</v>
      </c>
      <c r="R30" s="54">
        <f t="shared" si="14"/>
        <v>13.878128999999996</v>
      </c>
      <c r="S30" s="66">
        <f t="shared" ref="S30" si="34">+Q30-R30</f>
        <v>0.1486783569223018</v>
      </c>
      <c r="T30" s="27">
        <f>IF(Diaria!N30&gt;0, Mensual!T29+Diaria!N30/1000,0)</f>
        <v>14.480477286723405</v>
      </c>
      <c r="U30" s="54">
        <f t="shared" si="16"/>
        <v>13.371716019999994</v>
      </c>
      <c r="V30" s="66">
        <f t="shared" si="2"/>
        <v>1.1087612667234108</v>
      </c>
      <c r="W30" s="27">
        <f>IF(Diaria!R30&gt;0, Mensual!W29+Diaria!R30/1000,0)</f>
        <v>16.089098670416799</v>
      </c>
      <c r="X30" s="54">
        <f t="shared" si="17"/>
        <v>13.310179999999992</v>
      </c>
      <c r="Y30" s="66">
        <f t="shared" si="27"/>
        <v>2.7789186704168074</v>
      </c>
      <c r="Z30" s="27">
        <f>IF(Diaria!V30&gt;0, Mensual!Z29+Diaria!V30/1000,0)</f>
        <v>14.532159306569401</v>
      </c>
      <c r="AA30" s="27">
        <f>IF(Diaria!V30&gt;0, Mensual!AA29+Diaria!W30/1000,0)</f>
        <v>13.694720000000011</v>
      </c>
      <c r="AB30" s="66">
        <f t="shared" si="28"/>
        <v>0.83743930656939014</v>
      </c>
      <c r="AC30" s="27">
        <f>IF(Diaria!Z30&gt;0, Mensual!AC29+Diaria!Z30/1000,0)</f>
        <v>12.573650742113099</v>
      </c>
      <c r="AD30" s="27">
        <f>IF(Diaria!Z30&gt;0, Mensual!AD29+Diaria!AA30/1000,0)</f>
        <v>13.203059999999992</v>
      </c>
      <c r="AE30" s="66">
        <f t="shared" si="29"/>
        <v>-0.62940925788689306</v>
      </c>
      <c r="AF30" s="27">
        <f>IF(Diaria!AD30&gt;0, Mensual!AF29+Diaria!AD30/1000,0)</f>
        <v>9.6980550000000001</v>
      </c>
      <c r="AG30" s="27">
        <f>IF(Diaria!AD30&gt;0, Mensual!AG29+Diaria!AE30/1000,0)</f>
        <v>13.601899999999995</v>
      </c>
      <c r="AH30" s="66">
        <f t="shared" si="30"/>
        <v>-3.9038449999999951</v>
      </c>
      <c r="AI30" s="27">
        <f>IF(Diaria!AH30&gt;0, Mensual!AI29+Diaria!AH30/1000,0)</f>
        <v>9.9324900000000014</v>
      </c>
      <c r="AJ30" s="27">
        <f>IF(Diaria!AH30&gt;0, Mensual!AJ29+Diaria!AI30/1000,0)</f>
        <v>13.137019999999996</v>
      </c>
      <c r="AK30" s="66">
        <f t="shared" si="31"/>
        <v>-3.2045299999999948</v>
      </c>
    </row>
    <row r="31" spans="1:37" ht="15.75" thickBot="1">
      <c r="A31" s="42">
        <v>27</v>
      </c>
      <c r="B31" s="27">
        <f>+(Diaria!B31/1000)+Mensual!B30</f>
        <v>12.379026738256099</v>
      </c>
      <c r="C31" s="60">
        <f t="shared" si="8"/>
        <v>13.299677419354831</v>
      </c>
      <c r="D31" s="67">
        <f t="shared" si="0"/>
        <v>-0.92065068109873138</v>
      </c>
      <c r="E31" s="27">
        <f>+E30+(Diaria!D31/1000)</f>
        <v>11.803126464947498</v>
      </c>
      <c r="F31" s="54">
        <f t="shared" si="9"/>
        <v>14.1610344827586</v>
      </c>
      <c r="G31" s="67">
        <f t="shared" si="18"/>
        <v>-2.357908017811102</v>
      </c>
      <c r="H31" s="27">
        <f>H30+(Diaria!F31/1000)</f>
        <v>15.860041935611099</v>
      </c>
      <c r="I31" s="54">
        <f t="shared" si="10"/>
        <v>14.052064516483844</v>
      </c>
      <c r="J31" s="67">
        <f t="shared" si="23"/>
        <v>1.8079774191272548</v>
      </c>
      <c r="K31" s="27">
        <f>K30+Diaria!H31/1000</f>
        <v>14.759840969603303</v>
      </c>
      <c r="L31" s="54">
        <f t="shared" si="11"/>
        <v>14.50845</v>
      </c>
      <c r="M31" s="66">
        <f t="shared" si="20"/>
        <v>0.2513909696033032</v>
      </c>
      <c r="N31" s="27">
        <f>N30+Diaria!J31/1000</f>
        <v>14.8881083668819</v>
      </c>
      <c r="O31" s="54">
        <f t="shared" si="12"/>
        <v>14.000849999999994</v>
      </c>
      <c r="P31" s="66">
        <f t="shared" si="13"/>
        <v>0.8872583668819054</v>
      </c>
      <c r="Q31" s="27">
        <f>Q30+Diaria!L31/1000</f>
        <v>14.684410623655499</v>
      </c>
      <c r="R31" s="54">
        <f t="shared" si="14"/>
        <v>14.411918999999996</v>
      </c>
      <c r="S31" s="66">
        <f t="shared" ref="S31" si="35">+Q31-R31</f>
        <v>0.27249162365550283</v>
      </c>
      <c r="T31" s="27">
        <f>IF(Diaria!N31&gt;0, Mensual!T30+Diaria!N31/1000,0)</f>
        <v>14.901421877093705</v>
      </c>
      <c r="U31" s="54">
        <f t="shared" si="16"/>
        <v>13.886012789999993</v>
      </c>
      <c r="V31" s="66">
        <f t="shared" si="2"/>
        <v>1.0154090870937118</v>
      </c>
      <c r="W31" s="27">
        <f>IF(Diaria!R31&gt;0, Mensual!W30+Diaria!R31/1000,0)</f>
        <v>16.769475091649198</v>
      </c>
      <c r="X31" s="54">
        <f t="shared" si="17"/>
        <v>13.822109999999991</v>
      </c>
      <c r="Y31" s="66">
        <f t="shared" si="27"/>
        <v>2.9473650916492069</v>
      </c>
      <c r="Z31" s="27">
        <f>IF(Diaria!V31&gt;0, Mensual!Z30+Diaria!V31/1000,0)</f>
        <v>15.045648117147302</v>
      </c>
      <c r="AA31" s="27">
        <f>IF(Diaria!V31&gt;0, Mensual!AA30+Diaria!W31/1000,0)</f>
        <v>14.221440000000012</v>
      </c>
      <c r="AB31" s="66">
        <f t="shared" si="28"/>
        <v>0.8242081171472897</v>
      </c>
      <c r="AC31" s="27">
        <f>IF(Diaria!Z31&gt;0, Mensual!AC30+Diaria!Z31/1000,0)</f>
        <v>12.938220798728999</v>
      </c>
      <c r="AD31" s="27">
        <f>IF(Diaria!Z31&gt;0, Mensual!AD30+Diaria!AA31/1000,0)</f>
        <v>13.710869999999991</v>
      </c>
      <c r="AE31" s="66">
        <f t="shared" si="29"/>
        <v>-0.77264920127099224</v>
      </c>
      <c r="AF31" s="27">
        <f>IF(Diaria!AD31&gt;0, Mensual!AF30+Diaria!AD31/1000,0)</f>
        <v>9.9411850000000008</v>
      </c>
      <c r="AG31" s="27">
        <f>IF(Diaria!AD31&gt;0, Mensual!AG30+Diaria!AE31/1000,0)</f>
        <v>14.125049999999995</v>
      </c>
      <c r="AH31" s="66">
        <f t="shared" si="30"/>
        <v>-4.1838649999999937</v>
      </c>
      <c r="AI31" s="27">
        <f>IF(Diaria!AH31&gt;0, Mensual!AI30+Diaria!AH31/1000,0)</f>
        <v>0</v>
      </c>
      <c r="AJ31" s="27">
        <f>IF(Diaria!AH31&gt;0, Mensual!AJ30+Diaria!AI31/1000,0)</f>
        <v>0</v>
      </c>
      <c r="AK31" s="66">
        <f t="shared" si="31"/>
        <v>0</v>
      </c>
    </row>
    <row r="32" spans="1:37" ht="15.75" thickBot="1">
      <c r="A32" s="42">
        <v>28</v>
      </c>
      <c r="B32" s="27">
        <f>+(Diaria!B32/1000)+Mensual!B31</f>
        <v>12.957299000066499</v>
      </c>
      <c r="C32" s="60">
        <f t="shared" si="8"/>
        <v>13.792258064516121</v>
      </c>
      <c r="D32" s="67">
        <f t="shared" si="0"/>
        <v>-0.83495906444962209</v>
      </c>
      <c r="E32" s="27">
        <f>+E31+(Diaria!D32/1000)</f>
        <v>12.374038107495398</v>
      </c>
      <c r="F32" s="54">
        <f t="shared" si="9"/>
        <v>14.685517241379289</v>
      </c>
      <c r="G32" s="67">
        <f t="shared" si="18"/>
        <v>-2.3114791338838909</v>
      </c>
      <c r="H32" s="27">
        <f>H31+(Diaria!F32/1000)</f>
        <v>16.579433324901398</v>
      </c>
      <c r="I32" s="54">
        <f t="shared" si="10"/>
        <v>14.572516129387068</v>
      </c>
      <c r="J32" s="67">
        <f t="shared" si="23"/>
        <v>2.0069171955143297</v>
      </c>
      <c r="K32" s="27">
        <f>K31+Diaria!H32/1000</f>
        <v>15.013907701924303</v>
      </c>
      <c r="L32" s="54">
        <f t="shared" si="11"/>
        <v>15.0458</v>
      </c>
      <c r="M32" s="66">
        <f t="shared" si="20"/>
        <v>-3.1892298075696601E-2</v>
      </c>
      <c r="N32" s="27">
        <f>N31+Diaria!J32/1000</f>
        <v>15.222293243129601</v>
      </c>
      <c r="O32" s="54">
        <f t="shared" si="12"/>
        <v>14.519399999999994</v>
      </c>
      <c r="P32" s="66">
        <f t="shared" si="13"/>
        <v>0.70289324312960666</v>
      </c>
      <c r="Q32" s="27">
        <f>Q31+Diaria!L32/1000</f>
        <v>15.307290182096899</v>
      </c>
      <c r="R32" s="54">
        <f t="shared" si="14"/>
        <v>14.945708999999995</v>
      </c>
      <c r="S32" s="66">
        <f t="shared" ref="S32:S33" si="36">+Q32-R32</f>
        <v>0.36158118209690393</v>
      </c>
      <c r="T32" s="27">
        <f>IF(Diaria!N32&gt;0, Mensual!T31+Diaria!N32/1000,0)</f>
        <v>15.313096061816406</v>
      </c>
      <c r="U32" s="54">
        <f t="shared" si="16"/>
        <v>14.400309559999993</v>
      </c>
      <c r="V32" s="66">
        <f t="shared" si="2"/>
        <v>0.91278650181641297</v>
      </c>
      <c r="W32" s="27">
        <f>IF(Diaria!R32&gt;0, Mensual!W31+Diaria!R32/1000,0)</f>
        <v>17.444900382879698</v>
      </c>
      <c r="X32" s="54">
        <f t="shared" si="17"/>
        <v>14.334039999999991</v>
      </c>
      <c r="Y32" s="66">
        <f t="shared" si="27"/>
        <v>3.1108603828797072</v>
      </c>
      <c r="Z32" s="27">
        <f>IF(Diaria!V32&gt;0, Mensual!Z31+Diaria!V32/1000,0)</f>
        <v>15.549111015676502</v>
      </c>
      <c r="AA32" s="27">
        <f>IF(Diaria!V32&gt;0, Mensual!AA31+Diaria!W32/1000,0)</f>
        <v>14.748160000000013</v>
      </c>
      <c r="AB32" s="66">
        <f t="shared" si="28"/>
        <v>0.80095101567648896</v>
      </c>
      <c r="AC32" s="27">
        <f>IF(Diaria!Z32&gt;0, Mensual!AC31+Diaria!Z32/1000,0)</f>
        <v>13.308392205577398</v>
      </c>
      <c r="AD32" s="27">
        <f>IF(Diaria!Z32&gt;0, Mensual!AD31+Diaria!AA32/1000,0)</f>
        <v>14.21867999999999</v>
      </c>
      <c r="AE32" s="66">
        <f t="shared" si="29"/>
        <v>-0.910287794422592</v>
      </c>
      <c r="AF32" s="27">
        <f>IF(Diaria!AD32&gt;0, Mensual!AF31+Diaria!AD32/1000,0)</f>
        <v>10.278765</v>
      </c>
      <c r="AG32" s="27">
        <f>IF(Diaria!AD32&gt;0, Mensual!AG31+Diaria!AE32/1000,0)</f>
        <v>14.648199999999994</v>
      </c>
      <c r="AH32" s="66">
        <f t="shared" si="30"/>
        <v>-4.369434999999994</v>
      </c>
      <c r="AI32" s="27">
        <f>IF(Diaria!AH32&gt;0, Mensual!AI31+Diaria!AH32/1000,0)</f>
        <v>0</v>
      </c>
      <c r="AJ32" s="27">
        <f>IF(Diaria!AH32&gt;0, Mensual!AJ31+Diaria!AI32/1000,0)</f>
        <v>0</v>
      </c>
      <c r="AK32" s="66">
        <f t="shared" si="31"/>
        <v>0</v>
      </c>
    </row>
    <row r="33" spans="1:37" ht="15.75" thickBot="1">
      <c r="A33" s="42">
        <v>29</v>
      </c>
      <c r="B33" s="27">
        <f>+(Diaria!B33/1000)+Mensual!B32</f>
        <v>13.376700420127198</v>
      </c>
      <c r="C33" s="60">
        <f t="shared" si="8"/>
        <v>14.284838709677411</v>
      </c>
      <c r="D33" s="67">
        <f t="shared" si="0"/>
        <v>-0.90813828955021236</v>
      </c>
      <c r="E33" s="27">
        <f>+E32+(Diaria!D33/1000)</f>
        <v>12.995672569752998</v>
      </c>
      <c r="F33" s="54">
        <f t="shared" si="9"/>
        <v>15.209999999999978</v>
      </c>
      <c r="G33" s="67">
        <f t="shared" si="18"/>
        <v>-2.2143274302469802</v>
      </c>
      <c r="H33" s="27">
        <f>H32+(Diaria!F33/1000)</f>
        <v>17.2514375784341</v>
      </c>
      <c r="I33" s="54">
        <f t="shared" si="10"/>
        <v>15.092967742290293</v>
      </c>
      <c r="J33" s="67">
        <f t="shared" si="23"/>
        <v>2.1584698361438068</v>
      </c>
      <c r="K33" s="27">
        <f>K32+Diaria!H33/1000</f>
        <v>15.500126082890503</v>
      </c>
      <c r="L33" s="54">
        <f t="shared" si="11"/>
        <v>15.58315</v>
      </c>
      <c r="M33" s="85">
        <f t="shared" si="20"/>
        <v>-8.3023917109496637E-2</v>
      </c>
      <c r="N33" s="27">
        <f>N32+Diaria!J33/1000</f>
        <v>15.6361120219442</v>
      </c>
      <c r="O33" s="54">
        <f t="shared" si="12"/>
        <v>15.037949999999993</v>
      </c>
      <c r="P33" s="66">
        <f t="shared" si="13"/>
        <v>0.59816202194420676</v>
      </c>
      <c r="Q33" s="27">
        <f>Q32+Diaria!L33/1000</f>
        <v>15.958822879958099</v>
      </c>
      <c r="R33" s="54">
        <f t="shared" si="14"/>
        <v>15.479498999999995</v>
      </c>
      <c r="S33" s="66">
        <f t="shared" si="36"/>
        <v>0.47932387995810366</v>
      </c>
      <c r="T33" s="27">
        <f>IF(Diaria!N33&gt;0, Mensual!T32+Diaria!N33/1000,0)</f>
        <v>15.918178797003605</v>
      </c>
      <c r="U33" s="54">
        <f t="shared" si="16"/>
        <v>14.914606329999993</v>
      </c>
      <c r="V33" s="66">
        <f t="shared" si="2"/>
        <v>1.0035724670036128</v>
      </c>
      <c r="W33" s="27">
        <f>IF(Diaria!R33&gt;0, Mensual!W32+Diaria!R33/1000,0)</f>
        <v>18.040699742229599</v>
      </c>
      <c r="X33" s="54">
        <f t="shared" si="17"/>
        <v>14.845969999999991</v>
      </c>
      <c r="Y33" s="66">
        <f t="shared" si="27"/>
        <v>3.1947297422296081</v>
      </c>
      <c r="Z33" s="27">
        <f>IF(Diaria!V33&gt;0, Mensual!Z32+Diaria!V33/1000,0)</f>
        <v>15.965181540258902</v>
      </c>
      <c r="AA33" s="27">
        <f>IF(Diaria!V33&gt;0, Mensual!AA32+Diaria!W33/1000,0)</f>
        <v>15.274880000000014</v>
      </c>
      <c r="AB33" s="66">
        <f t="shared" si="28"/>
        <v>0.69030154025888812</v>
      </c>
      <c r="AC33" s="27">
        <f>IF(Diaria!Z33&gt;0, Mensual!AC32+Diaria!Z33/1000,0)</f>
        <v>13.656511260439498</v>
      </c>
      <c r="AD33" s="27">
        <f>IF(Diaria!Z33&gt;0, Mensual!AD32+Diaria!AA33/1000,0)</f>
        <v>14.726489999999989</v>
      </c>
      <c r="AE33" s="66">
        <f t="shared" si="29"/>
        <v>-1.0699787395604918</v>
      </c>
      <c r="AF33" s="27">
        <f>IF(Diaria!AD33&gt;0, Mensual!AF32+Diaria!AD33/1000,0)</f>
        <v>10.566715</v>
      </c>
      <c r="AG33" s="27">
        <f>IF(Diaria!AD33&gt;0, Mensual!AG32+Diaria!AE33/1000,0)</f>
        <v>15.171349999999993</v>
      </c>
      <c r="AH33" s="66">
        <f t="shared" si="30"/>
        <v>-4.6046349999999929</v>
      </c>
      <c r="AI33" s="27">
        <f>IF(Diaria!AH33&gt;0, Mensual!AI32+Diaria!AH33/1000,0)</f>
        <v>0</v>
      </c>
      <c r="AJ33" s="27">
        <f>IF(Diaria!AH33&gt;0, Mensual!AJ32+Diaria!AI33/1000,0)</f>
        <v>0</v>
      </c>
      <c r="AK33" s="66">
        <f t="shared" si="31"/>
        <v>0</v>
      </c>
    </row>
    <row r="34" spans="1:37" ht="15.75" thickBot="1">
      <c r="A34" s="42">
        <v>30</v>
      </c>
      <c r="B34" s="27">
        <f>+(Diaria!B34/1000)+Mensual!B33</f>
        <v>13.560716155475799</v>
      </c>
      <c r="C34" s="60">
        <f t="shared" si="8"/>
        <v>14.777419354838701</v>
      </c>
      <c r="D34" s="67"/>
      <c r="E34" s="27"/>
      <c r="F34" s="25"/>
      <c r="G34" s="67"/>
      <c r="H34" s="27">
        <f>H33+(Diaria!F34/1000)</f>
        <v>17.393673620307599</v>
      </c>
      <c r="I34" s="54">
        <f t="shared" si="10"/>
        <v>15.613419355193518</v>
      </c>
      <c r="J34" s="67">
        <f t="shared" si="23"/>
        <v>1.7802542651140811</v>
      </c>
      <c r="K34" s="27">
        <f>K33+Diaria!H34/1000</f>
        <v>16.152551416803902</v>
      </c>
      <c r="L34" s="54">
        <f t="shared" si="11"/>
        <v>16.1205</v>
      </c>
      <c r="M34" s="85">
        <f t="shared" si="20"/>
        <v>3.2051416803902555E-2</v>
      </c>
      <c r="N34" s="27">
        <f>N33+Diaria!J34/1000</f>
        <v>16.193173242026202</v>
      </c>
      <c r="O34" s="54">
        <f t="shared" si="12"/>
        <v>15.556499999999993</v>
      </c>
      <c r="P34" s="66">
        <f t="shared" si="13"/>
        <v>0.6366732420262089</v>
      </c>
      <c r="Q34" s="27">
        <f>Q33+Diaria!L34/1000</f>
        <v>16.5173102042036</v>
      </c>
      <c r="R34" s="54">
        <f t="shared" si="14"/>
        <v>16.013288999999997</v>
      </c>
      <c r="S34" s="66">
        <f t="shared" si="15"/>
        <v>0.50402120420360319</v>
      </c>
      <c r="T34" s="27">
        <f>IF(Diaria!N34&gt;0, Mensual!T33+Diaria!N34/1000,0)</f>
        <v>16.572329185678004</v>
      </c>
      <c r="U34" s="54">
        <f t="shared" si="16"/>
        <v>15.428903099999992</v>
      </c>
      <c r="V34" s="66">
        <f t="shared" si="2"/>
        <v>1.1434260856780121</v>
      </c>
      <c r="W34" s="27">
        <f>IF(Diaria!R34&gt;0, Mensual!W33+Diaria!R34/1000,0)</f>
        <v>18.695438760996598</v>
      </c>
      <c r="X34" s="54">
        <f t="shared" si="17"/>
        <v>15.35789999999999</v>
      </c>
      <c r="Y34" s="66">
        <f t="shared" si="27"/>
        <v>3.3375387609966083</v>
      </c>
      <c r="Z34" s="27">
        <f>IF(Diaria!V34&gt;0, Mensual!Z33+Diaria!V34/1000,0)</f>
        <v>16.587018701941403</v>
      </c>
      <c r="AA34" s="27">
        <f>IF(Diaria!V34&gt;0, Mensual!AA33+Diaria!W34/1000,0)</f>
        <v>15.801600000000015</v>
      </c>
      <c r="AB34" s="66">
        <f>IF(Z34&gt;0,Z34-AA34,0)</f>
        <v>0.78541870194138852</v>
      </c>
      <c r="AC34" s="27">
        <f>IF(Diaria!Z34&gt;0, Mensual!AC33+Diaria!Z34/1000,0)</f>
        <v>13.909051260439497</v>
      </c>
      <c r="AD34" s="27">
        <f>IF(Diaria!Z34&gt;0, Mensual!AD33+Diaria!AA34/1000,0)</f>
        <v>15.234299999999989</v>
      </c>
      <c r="AE34" s="66">
        <f>IF(AC34&gt;0,AC34-AD34,0)</f>
        <v>-1.3252487395604913</v>
      </c>
      <c r="AF34" s="27">
        <f>IF(Diaria!AD34&gt;0, Mensual!AF33+Diaria!AD34/1000,0)</f>
        <v>11.034165</v>
      </c>
      <c r="AG34" s="27">
        <f>IF(Diaria!AD34&gt;0, Mensual!AG33+Diaria!AE34/1000,0)</f>
        <v>15.694499999999993</v>
      </c>
      <c r="AH34" s="66">
        <f>IF(AF34&gt;0,AF34-AG34,0)</f>
        <v>-4.6603349999999928</v>
      </c>
      <c r="AI34" s="27">
        <f>IF(Diaria!AH34&gt;0, Mensual!AI33+Diaria!AH34/1000,0)</f>
        <v>0</v>
      </c>
      <c r="AJ34" s="27">
        <f>IF(Diaria!AH34&gt;0, Mensual!AJ33+Diaria!AI34/1000,0)</f>
        <v>0</v>
      </c>
      <c r="AK34" s="66">
        <f>IF(AI34&gt;0,AI34-AJ34,0)</f>
        <v>0</v>
      </c>
    </row>
    <row r="35" spans="1:37" ht="15.75" thickBot="1">
      <c r="A35" s="43">
        <v>31</v>
      </c>
      <c r="B35" s="61">
        <f>+(Diaria!B35/1000)+Mensual!B34</f>
        <v>13.923587995487599</v>
      </c>
      <c r="C35" s="60">
        <f t="shared" si="8"/>
        <v>15.269999999999991</v>
      </c>
      <c r="D35" s="68"/>
      <c r="E35" s="27"/>
      <c r="F35" s="26"/>
      <c r="G35" s="68"/>
      <c r="H35" s="27">
        <f>H34+(Diaria!F35/1000)</f>
        <v>17.913403710518299</v>
      </c>
      <c r="I35" s="54">
        <f t="shared" si="10"/>
        <v>16.133870968096744</v>
      </c>
      <c r="J35" s="67">
        <f t="shared" si="23"/>
        <v>1.779532742421555</v>
      </c>
      <c r="K35" s="27"/>
      <c r="L35" s="54"/>
      <c r="M35" s="67"/>
      <c r="N35" s="27">
        <f>N34+Diaria!J35/1000</f>
        <v>16.5668317310781</v>
      </c>
      <c r="O35" s="54">
        <f t="shared" si="12"/>
        <v>16.075049999999994</v>
      </c>
      <c r="P35" s="66">
        <f t="shared" si="13"/>
        <v>0.49178173107810608</v>
      </c>
      <c r="Q35" s="27"/>
      <c r="R35" s="54"/>
      <c r="S35" s="66">
        <f t="shared" si="15"/>
        <v>0</v>
      </c>
      <c r="T35" s="27">
        <f>IF(Diaria!N35&gt;0, Mensual!T34+Diaria!N35/1000,0)</f>
        <v>17.271011030517904</v>
      </c>
      <c r="U35" s="54">
        <f t="shared" si="16"/>
        <v>15.943199869999992</v>
      </c>
      <c r="V35" s="66">
        <f t="shared" si="2"/>
        <v>1.3278111605179124</v>
      </c>
      <c r="W35" s="27">
        <f>IF(Diaria!R35&gt;0, Mensual!W34+Diaria!R35/1000,0)</f>
        <v>19.292396110972199</v>
      </c>
      <c r="X35" s="54">
        <f t="shared" si="17"/>
        <v>15.86982999999999</v>
      </c>
      <c r="Y35" s="66">
        <f t="shared" si="27"/>
        <v>3.422566110972209</v>
      </c>
      <c r="Z35" s="27"/>
      <c r="AA35" s="27"/>
      <c r="AB35" s="66">
        <f t="shared" si="28"/>
        <v>0</v>
      </c>
      <c r="AC35" s="27">
        <f>IF(Diaria!Z35&gt;0, Mensual!AC34+Diaria!Z35/1000,0)</f>
        <v>14.301791260439497</v>
      </c>
      <c r="AD35" s="27">
        <f>IF(Diaria!Z35&gt;0, Mensual!AD34+Diaria!AA35/1000,0)</f>
        <v>15.742109999999988</v>
      </c>
      <c r="AE35" s="66">
        <f t="shared" ref="AE35" si="37">IF(AC35&gt;0,AC35-AD35,0)</f>
        <v>-1.4403187395604906</v>
      </c>
      <c r="AF35" s="27">
        <f>IF(Diaria!AD35&gt;0, Mensual!AF34+Diaria!AD35/1000,0)</f>
        <v>0</v>
      </c>
      <c r="AG35" s="27">
        <f>IF(Diaria!AD35&gt;0, Mensual!AG34+Diaria!AE35/1000,0)</f>
        <v>0</v>
      </c>
      <c r="AH35" s="66">
        <f t="shared" ref="AH35" si="38">IF(AF35&gt;0,AF35-AG35,0)</f>
        <v>0</v>
      </c>
      <c r="AI35" s="27">
        <f>IF(Diaria!AH35&gt;0, Mensual!AI34+Diaria!AH35/1000,0)</f>
        <v>0</v>
      </c>
      <c r="AJ35" s="27">
        <f>IF(Diaria!AH35&gt;0, Mensual!AJ34+Diaria!AI35/1000,0)</f>
        <v>0</v>
      </c>
      <c r="AK35" s="66">
        <f t="shared" ref="AK35" si="39">IF(AI35&gt;0,AI35-AJ35,0)</f>
        <v>0</v>
      </c>
    </row>
    <row r="36" spans="1:37" ht="15.75" thickBot="1">
      <c r="A36" s="22" t="s">
        <v>269</v>
      </c>
      <c r="B36" s="57">
        <f>+B35</f>
        <v>13.923587995487599</v>
      </c>
      <c r="C36" s="60">
        <f t="shared" si="8"/>
        <v>15.762580645161281</v>
      </c>
      <c r="D36" s="73">
        <f>+B36-C36</f>
        <v>-1.8389926496736813</v>
      </c>
      <c r="E36" s="39">
        <f>+E33</f>
        <v>12.995672569752998</v>
      </c>
      <c r="F36" s="40">
        <f>+F33</f>
        <v>15.209999999999978</v>
      </c>
      <c r="G36" s="72">
        <f>+E36-F36</f>
        <v>-2.2143274302469802</v>
      </c>
      <c r="H36" s="70">
        <f>+H35</f>
        <v>17.913403710518299</v>
      </c>
      <c r="I36" s="71">
        <f>+I35</f>
        <v>16.133870968096744</v>
      </c>
      <c r="J36" s="72">
        <f>SUM(J5:J35)</f>
        <v>37.624640872553655</v>
      </c>
      <c r="K36" s="70">
        <f>Diaria!H36</f>
        <v>16.152551416803899</v>
      </c>
      <c r="L36" s="71">
        <f>L34</f>
        <v>16.1205</v>
      </c>
      <c r="M36" s="72">
        <f>SUM(M5:M35)</f>
        <v>11.911794648251558</v>
      </c>
      <c r="N36" s="70">
        <f>Diaria!J36</f>
        <v>16.566831731078103</v>
      </c>
      <c r="O36" s="71">
        <f>O35</f>
        <v>16.075049999999994</v>
      </c>
      <c r="P36" s="72">
        <f>SUM(P5:P35)</f>
        <v>21.704035180162332</v>
      </c>
      <c r="Q36" s="70">
        <f>Diaria!L36</f>
        <v>16.5173102042036</v>
      </c>
      <c r="R36" s="71">
        <f>R34</f>
        <v>16.013288999999997</v>
      </c>
      <c r="S36" s="72">
        <f>SUM(S5:S35)</f>
        <v>-8.0412919101148486</v>
      </c>
      <c r="T36" s="70">
        <f>Diaria!N36</f>
        <v>17.271011030517901</v>
      </c>
      <c r="U36" s="93">
        <f>Diaria!O36</f>
        <v>15.94329999999999</v>
      </c>
      <c r="V36" s="94">
        <f>SUM(V5:V35)</f>
        <v>18.421767414621257</v>
      </c>
      <c r="W36" s="70">
        <f>Diaria!R36</f>
        <v>19.292396110972195</v>
      </c>
      <c r="X36" s="93">
        <f>Diaria!S36</f>
        <v>15.869830000000006</v>
      </c>
      <c r="Y36" s="94">
        <f>SUM(Y5:Y35)</f>
        <v>49.619484278571704</v>
      </c>
      <c r="Z36" s="70">
        <f>Diaria!V36</f>
        <v>16.5870187019414</v>
      </c>
      <c r="AA36" s="93">
        <f>Diaria!W36</f>
        <v>15.801599999999993</v>
      </c>
      <c r="AB36" s="94">
        <f>SUM(AB5:AB35)</f>
        <v>14.497587474943588</v>
      </c>
      <c r="AC36" s="70">
        <f>Diaria!Z36</f>
        <v>14.301791260439499</v>
      </c>
      <c r="AD36" s="93">
        <f>Diaria!AA36</f>
        <v>15.742109999999995</v>
      </c>
      <c r="AE36" s="94">
        <f>AC36-AD36</f>
        <v>-1.4403187395604959</v>
      </c>
      <c r="AF36" s="70">
        <f>Diaria!AD36</f>
        <v>11.034165000000002</v>
      </c>
      <c r="AG36" s="93">
        <f>Diaria!AE36</f>
        <v>15.694499999999993</v>
      </c>
      <c r="AH36" s="94">
        <f>AF36-AG36</f>
        <v>-4.660334999999991</v>
      </c>
      <c r="AI36" s="70">
        <f>Diaria!AH36</f>
        <v>9.9324900000000014</v>
      </c>
      <c r="AJ36" s="93">
        <f>Diaria!AI36</f>
        <v>13.137020000000009</v>
      </c>
      <c r="AK36" s="94">
        <f>AI36-AJ36</f>
        <v>-3.2045300000000072</v>
      </c>
    </row>
    <row r="37" spans="1:37" ht="15.75" thickBot="1">
      <c r="A37" s="22" t="s">
        <v>249</v>
      </c>
      <c r="B37" s="111">
        <f>15.2702</f>
        <v>15.270200000000001</v>
      </c>
      <c r="C37" s="111"/>
      <c r="D37" s="111"/>
      <c r="E37" s="111">
        <v>15.210800000000001</v>
      </c>
      <c r="F37" s="111"/>
      <c r="G37" s="55"/>
      <c r="H37" s="111">
        <v>16.134</v>
      </c>
      <c r="I37" s="111"/>
      <c r="J37" s="111"/>
      <c r="K37" s="111">
        <v>16.1206</v>
      </c>
      <c r="L37" s="111"/>
      <c r="M37" s="131"/>
      <c r="N37" s="111">
        <v>16.074999999999999</v>
      </c>
      <c r="O37" s="112"/>
      <c r="P37" s="113"/>
      <c r="Q37" s="111">
        <v>16.010000000000002</v>
      </c>
      <c r="R37" s="112"/>
      <c r="S37" s="113"/>
      <c r="T37" s="111">
        <v>15.94</v>
      </c>
      <c r="U37" s="112"/>
      <c r="V37" s="126"/>
      <c r="W37" s="111">
        <f>X36</f>
        <v>15.869830000000006</v>
      </c>
      <c r="X37" s="112"/>
      <c r="Y37" s="126"/>
      <c r="Z37" s="111">
        <f>AA36</f>
        <v>15.801599999999993</v>
      </c>
      <c r="AA37" s="112"/>
      <c r="AB37" s="126"/>
      <c r="AC37" s="111">
        <f>AD36</f>
        <v>15.742109999999995</v>
      </c>
      <c r="AD37" s="112"/>
      <c r="AE37" s="126"/>
      <c r="AF37" s="111">
        <v>15.69</v>
      </c>
      <c r="AG37" s="112"/>
      <c r="AH37" s="126"/>
      <c r="AI37" s="111">
        <v>15.69</v>
      </c>
      <c r="AJ37" s="112"/>
      <c r="AK37" s="126"/>
    </row>
    <row r="38" spans="1:37" ht="30.75" customHeight="1" thickBot="1">
      <c r="A38" s="117" t="s">
        <v>250</v>
      </c>
      <c r="B38" s="118"/>
      <c r="C38" s="118"/>
      <c r="D38" s="119"/>
      <c r="E38" s="114">
        <f>+E36+H36+B36+K36+N36+Q36+T36+W36+Z36+AC36+AF36</f>
        <v>172.55573973171548</v>
      </c>
      <c r="F38" s="115"/>
      <c r="G38" s="115"/>
      <c r="H38" s="115"/>
      <c r="I38" s="115"/>
      <c r="J38" s="115"/>
      <c r="K38" s="115"/>
      <c r="L38" s="115"/>
      <c r="M38" s="116"/>
      <c r="V38" s="83"/>
      <c r="Y38" s="83"/>
    </row>
    <row r="39" spans="1:37" ht="29.25" customHeight="1" thickBot="1">
      <c r="A39" s="117" t="s">
        <v>251</v>
      </c>
      <c r="B39" s="118"/>
      <c r="C39" s="118"/>
      <c r="D39" s="118"/>
      <c r="E39" s="120"/>
      <c r="F39" s="130"/>
      <c r="G39" s="80"/>
      <c r="H39" s="114">
        <f>106.35+E38</f>
        <v>278.90573973171547</v>
      </c>
      <c r="I39" s="115"/>
      <c r="J39" s="115"/>
      <c r="K39" s="115"/>
      <c r="L39" s="115"/>
      <c r="M39" s="116"/>
      <c r="P39" s="83"/>
    </row>
    <row r="43" spans="1:37">
      <c r="H43" s="83"/>
    </row>
  </sheetData>
  <mergeCells count="31">
    <mergeCell ref="AI3:AK3"/>
    <mergeCell ref="AI37:AK37"/>
    <mergeCell ref="A1:J1"/>
    <mergeCell ref="A2:J2"/>
    <mergeCell ref="A3:A4"/>
    <mergeCell ref="B3:D3"/>
    <mergeCell ref="H3:J3"/>
    <mergeCell ref="N3:P3"/>
    <mergeCell ref="N37:P37"/>
    <mergeCell ref="AF3:AH3"/>
    <mergeCell ref="AF37:AH37"/>
    <mergeCell ref="AC3:AE3"/>
    <mergeCell ref="AC37:AE37"/>
    <mergeCell ref="Z3:AB3"/>
    <mergeCell ref="Z37:AB37"/>
    <mergeCell ref="W3:Y3"/>
    <mergeCell ref="A39:F39"/>
    <mergeCell ref="E3:G3"/>
    <mergeCell ref="H37:J37"/>
    <mergeCell ref="E37:F37"/>
    <mergeCell ref="B37:D37"/>
    <mergeCell ref="A38:D38"/>
    <mergeCell ref="E38:M38"/>
    <mergeCell ref="H39:M39"/>
    <mergeCell ref="K3:M3"/>
    <mergeCell ref="K37:M37"/>
    <mergeCell ref="W37:Y37"/>
    <mergeCell ref="T3:V3"/>
    <mergeCell ref="T37:V37"/>
    <mergeCell ref="Q3:S3"/>
    <mergeCell ref="Q37:S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36"/>
  <sheetViews>
    <sheetView topLeftCell="A10" zoomScaleNormal="100" workbookViewId="0">
      <pane xSplit="1" topLeftCell="AI22" activePane="topRight" state="frozen"/>
      <selection pane="topRight" activeCell="AI22" sqref="AI22:AJ22"/>
    </sheetView>
  </sheetViews>
  <sheetFormatPr defaultColWidth="11.5703125" defaultRowHeight="15"/>
  <cols>
    <col min="1" max="1" width="19.140625" bestFit="1" customWidth="1"/>
    <col min="2" max="2" width="8.7109375" bestFit="1" customWidth="1"/>
    <col min="3" max="3" width="12" customWidth="1"/>
    <col min="4" max="4" width="11.28515625" bestFit="1" customWidth="1"/>
    <col min="5" max="5" width="8.7109375" bestFit="1" customWidth="1"/>
    <col min="6" max="7" width="11.28515625" customWidth="1"/>
    <col min="8" max="8" width="10.85546875" customWidth="1"/>
    <col min="9" max="9" width="14.5703125" customWidth="1"/>
    <col min="10" max="10" width="10.140625" bestFit="1" customWidth="1"/>
    <col min="11" max="11" width="12.5703125" bestFit="1" customWidth="1"/>
    <col min="13" max="13" width="13.7109375" bestFit="1" customWidth="1"/>
    <col min="14" max="14" width="12.5703125" bestFit="1" customWidth="1"/>
    <col min="16" max="16" width="13.7109375" bestFit="1" customWidth="1"/>
    <col min="17" max="17" width="12.5703125" bestFit="1" customWidth="1"/>
    <col min="19" max="19" width="13.7109375" bestFit="1" customWidth="1"/>
    <col min="20" max="20" width="12.5703125" bestFit="1" customWidth="1"/>
    <col min="22" max="22" width="13.7109375" bestFit="1" customWidth="1"/>
    <col min="23" max="23" width="12.5703125" bestFit="1" customWidth="1"/>
    <col min="25" max="25" width="13.7109375" bestFit="1" customWidth="1"/>
  </cols>
  <sheetData>
    <row r="1" spans="1:37" ht="15.75">
      <c r="A1" s="121" t="s">
        <v>228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37" ht="16.5" thickBot="1">
      <c r="A2" s="124" t="s">
        <v>229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37" ht="15.75" thickBot="1">
      <c r="A3" s="122" t="s">
        <v>230</v>
      </c>
      <c r="B3" s="132" t="s">
        <v>231</v>
      </c>
      <c r="C3" s="109"/>
      <c r="D3" s="133"/>
      <c r="E3" s="132" t="s">
        <v>232</v>
      </c>
      <c r="F3" s="109"/>
      <c r="G3" s="133"/>
      <c r="H3" s="132" t="s">
        <v>233</v>
      </c>
      <c r="I3" s="109"/>
      <c r="J3" s="110"/>
      <c r="K3" s="132" t="s">
        <v>234</v>
      </c>
      <c r="L3" s="109"/>
      <c r="M3" s="110"/>
      <c r="N3" s="132" t="s">
        <v>235</v>
      </c>
      <c r="O3" s="109"/>
      <c r="P3" s="110"/>
      <c r="Q3" s="132" t="s">
        <v>236</v>
      </c>
      <c r="R3" s="109"/>
      <c r="S3" s="110"/>
      <c r="T3" s="132" t="s">
        <v>237</v>
      </c>
      <c r="U3" s="109"/>
      <c r="V3" s="110"/>
      <c r="W3" s="132" t="s">
        <v>238</v>
      </c>
      <c r="X3" s="109"/>
      <c r="Y3" s="110"/>
      <c r="Z3" s="132" t="s">
        <v>239</v>
      </c>
      <c r="AA3" s="109"/>
      <c r="AB3" s="110"/>
      <c r="AC3" s="132" t="s">
        <v>254</v>
      </c>
      <c r="AD3" s="109"/>
      <c r="AE3" s="110"/>
      <c r="AF3" s="132" t="s">
        <v>241</v>
      </c>
      <c r="AG3" s="109"/>
      <c r="AH3" s="110"/>
      <c r="AI3" s="132" t="s">
        <v>242</v>
      </c>
      <c r="AJ3" s="109"/>
      <c r="AK3" s="110"/>
    </row>
    <row r="4" spans="1:37" ht="45.75" thickBot="1">
      <c r="A4" s="123"/>
      <c r="B4" s="76" t="s">
        <v>255</v>
      </c>
      <c r="C4" s="56" t="s">
        <v>270</v>
      </c>
      <c r="D4" s="77" t="s">
        <v>257</v>
      </c>
      <c r="E4" s="76" t="s">
        <v>255</v>
      </c>
      <c r="F4" s="56" t="s">
        <v>270</v>
      </c>
      <c r="G4" s="77" t="s">
        <v>257</v>
      </c>
      <c r="H4" s="76" t="s">
        <v>255</v>
      </c>
      <c r="I4" s="56" t="s">
        <v>259</v>
      </c>
      <c r="J4" s="77" t="s">
        <v>257</v>
      </c>
      <c r="K4" s="76" t="s">
        <v>255</v>
      </c>
      <c r="L4" s="56" t="s">
        <v>260</v>
      </c>
      <c r="M4" s="77" t="s">
        <v>257</v>
      </c>
      <c r="N4" s="76" t="s">
        <v>255</v>
      </c>
      <c r="O4" s="56" t="s">
        <v>261</v>
      </c>
      <c r="P4" s="77" t="s">
        <v>257</v>
      </c>
      <c r="Q4" s="76" t="s">
        <v>255</v>
      </c>
      <c r="R4" s="56" t="s">
        <v>262</v>
      </c>
      <c r="S4" s="77" t="s">
        <v>257</v>
      </c>
      <c r="T4" s="76" t="s">
        <v>255</v>
      </c>
      <c r="U4" s="56" t="s">
        <v>271</v>
      </c>
      <c r="V4" s="77" t="s">
        <v>257</v>
      </c>
      <c r="W4" s="76" t="s">
        <v>255</v>
      </c>
      <c r="X4" s="56" t="s">
        <v>272</v>
      </c>
      <c r="Y4" s="77" t="s">
        <v>257</v>
      </c>
      <c r="Z4" s="76" t="s">
        <v>255</v>
      </c>
      <c r="AA4" s="56" t="s">
        <v>273</v>
      </c>
      <c r="AB4" s="77" t="s">
        <v>257</v>
      </c>
      <c r="AC4" s="76" t="s">
        <v>255</v>
      </c>
      <c r="AD4" s="56" t="s">
        <v>274</v>
      </c>
      <c r="AE4" s="77" t="s">
        <v>257</v>
      </c>
      <c r="AF4" s="76" t="s">
        <v>255</v>
      </c>
      <c r="AG4" s="56" t="s">
        <v>275</v>
      </c>
      <c r="AH4" s="77" t="s">
        <v>257</v>
      </c>
      <c r="AI4" s="76" t="s">
        <v>255</v>
      </c>
      <c r="AJ4" s="56" t="s">
        <v>276</v>
      </c>
      <c r="AK4" s="77" t="s">
        <v>257</v>
      </c>
    </row>
    <row r="5" spans="1:37" ht="15.75" thickBot="1">
      <c r="A5" s="41">
        <v>1</v>
      </c>
      <c r="B5" s="27">
        <f>Diaria!B5/1000</f>
        <v>0.23984673263539999</v>
      </c>
      <c r="C5" s="74">
        <v>0.492587</v>
      </c>
      <c r="D5" s="75">
        <f>+B5-C5</f>
        <v>-0.25274026736459998</v>
      </c>
      <c r="E5" s="64">
        <f>+B35+(Diaria!D5/1000)</f>
        <v>14.2452721134577</v>
      </c>
      <c r="F5" s="54">
        <f>0.52451+C35</f>
        <v>15.794707000000006</v>
      </c>
      <c r="G5" s="75">
        <f>+E5-F5</f>
        <v>-1.549434886542306</v>
      </c>
      <c r="H5" s="27">
        <f>+E33+(Diaria!F5/1000)</f>
        <v>27.554130873878702</v>
      </c>
      <c r="I5" s="54">
        <f>0.520452+F33</f>
        <v>31.001438999999987</v>
      </c>
      <c r="J5" s="66">
        <f>+H5-I5</f>
        <v>-3.4473081261212855</v>
      </c>
      <c r="K5" s="27">
        <f>H35+Mensual!K5</f>
        <v>45.544593470630112</v>
      </c>
      <c r="L5" s="54">
        <f>0.537353+I35</f>
        <v>47.152351999999958</v>
      </c>
      <c r="M5" s="66">
        <f>+K5-L5</f>
        <v>-1.6077585293698462</v>
      </c>
      <c r="N5" s="27">
        <f>K34+Diaria!J5/1000</f>
        <v>61.415343399271912</v>
      </c>
      <c r="O5" s="54">
        <f>L34+0.51855</f>
        <v>63.254139000000045</v>
      </c>
      <c r="P5" s="66">
        <f>N5-O5</f>
        <v>-1.8387956007281332</v>
      </c>
      <c r="Q5" s="27">
        <f>N35+Diaria!L5/1000</f>
        <v>77.774406400825299</v>
      </c>
      <c r="R5" s="54">
        <f>O35+0.53379</f>
        <v>79.344429000000176</v>
      </c>
      <c r="S5" s="66">
        <f>Q5-R5</f>
        <v>-1.5700225991748766</v>
      </c>
      <c r="T5" s="27">
        <f>Q34+Diaria!N5/1000</f>
        <v>94.710986449285855</v>
      </c>
      <c r="U5" s="54">
        <f>R34+Diaria!O5/1000</f>
        <v>95.338639000000072</v>
      </c>
      <c r="V5" s="66">
        <f>T5-U5</f>
        <v>-0.62765255071421677</v>
      </c>
      <c r="W5" s="27">
        <f>T35+Diaria!R5/1000</f>
        <v>111.66130740766644</v>
      </c>
      <c r="X5" s="54">
        <f>U35+Diaria!S5/1000</f>
        <v>111.27956900000025</v>
      </c>
      <c r="Y5" s="66">
        <f>W5-X5</f>
        <v>0.38173840766619094</v>
      </c>
      <c r="Z5" s="27">
        <f>W35+Diaria!V5/1000</f>
        <v>131.33403009179096</v>
      </c>
      <c r="AA5" s="54">
        <f>X35+Diaria!W5/1000</f>
        <v>127.16418900000045</v>
      </c>
      <c r="AB5" s="66">
        <f>Z5-AA5</f>
        <v>4.1698410917905164</v>
      </c>
      <c r="AC5" s="27">
        <f>Z34+Diaria!Z5/1000</f>
        <v>147.80202987282667</v>
      </c>
      <c r="AD5" s="54">
        <f>AA34+Diaria!AA5/1000</f>
        <v>142.94687900000076</v>
      </c>
      <c r="AE5" s="66">
        <f>AC5-AD5</f>
        <v>4.8551508728259023</v>
      </c>
      <c r="AF5" s="27">
        <f>AC35+Diaria!AD5/1000</f>
        <v>161.76601473171561</v>
      </c>
      <c r="AG5" s="54">
        <f>AD35+Diaria!AE5/1000</f>
        <v>158.70432900000094</v>
      </c>
      <c r="AH5" s="66">
        <f>AF5-AG5</f>
        <v>3.0616857317146753</v>
      </c>
      <c r="AI5" s="27">
        <f>AF34+Diaria!AH5/1000</f>
        <v>173.05114973171567</v>
      </c>
      <c r="AJ5" s="54">
        <f>AG34+Diaria!AI5/1000</f>
        <v>174.38094900000056</v>
      </c>
      <c r="AK5" s="66">
        <f>AI5-AJ5</f>
        <v>-1.3297992682848871</v>
      </c>
    </row>
    <row r="6" spans="1:37" ht="15.75" thickBot="1">
      <c r="A6" s="42">
        <v>2</v>
      </c>
      <c r="B6" s="23">
        <f>+(Diaria!B6/1000)+Anual!B5</f>
        <v>0.71231764604199999</v>
      </c>
      <c r="C6" s="65">
        <f>0.492587+C5</f>
        <v>0.98517399999999999</v>
      </c>
      <c r="D6" s="67">
        <f t="shared" ref="D6:D35" si="0">+B6-C6</f>
        <v>-0.27285635395800001</v>
      </c>
      <c r="E6" s="64">
        <f>+E5+(Diaria!D6/1000)</f>
        <v>14.3621340524533</v>
      </c>
      <c r="F6" s="54">
        <f>0.52451+F5</f>
        <v>16.319217000000005</v>
      </c>
      <c r="G6" s="67">
        <f t="shared" ref="G6:G35" si="1">+E6-F6</f>
        <v>-1.9570829475467058</v>
      </c>
      <c r="H6" s="27">
        <f>+(Diaria!F6/1000)+Anual!H5</f>
        <v>28.173824639503902</v>
      </c>
      <c r="I6" s="54">
        <f>0.520452+I5</f>
        <v>31.521890999999986</v>
      </c>
      <c r="J6" s="67">
        <f t="shared" ref="J6:J35" si="2">+H6-I6</f>
        <v>-3.3480663604960839</v>
      </c>
      <c r="K6" s="27">
        <f>K5+Diaria!H6/1000</f>
        <v>46.27008121220971</v>
      </c>
      <c r="L6" s="54">
        <f>0.537353+L5</f>
        <v>47.689704999999961</v>
      </c>
      <c r="M6" s="66">
        <f>+K6-L6</f>
        <v>-1.4196237877902504</v>
      </c>
      <c r="N6" s="27">
        <f>N5+Diaria!J6/1000</f>
        <v>61.747787275719411</v>
      </c>
      <c r="O6" s="54">
        <f>O5+0.51855</f>
        <v>63.772689000000042</v>
      </c>
      <c r="P6" s="66">
        <f>N6-O6</f>
        <v>-2.0249017242806318</v>
      </c>
      <c r="Q6" s="27">
        <f>Q5+Diaria!L6/1000</f>
        <v>78.073289794487593</v>
      </c>
      <c r="R6" s="54">
        <f>R5+0.53379</f>
        <v>79.878219000000172</v>
      </c>
      <c r="S6" s="66">
        <f>Q6-R6</f>
        <v>-1.804929205512579</v>
      </c>
      <c r="T6" s="27">
        <f>IF(Diaria!N6&gt;0,Anual!T5+Diaria!N6/1000,0)</f>
        <v>95.100863548619955</v>
      </c>
      <c r="U6" s="54">
        <f>U5+Diaria!O5/1000</f>
        <v>95.852939000000077</v>
      </c>
      <c r="V6" s="66">
        <f>IF(T6&gt;0,T6-U6,0)</f>
        <v>-0.75207545138012222</v>
      </c>
      <c r="W6" s="27">
        <f>IF(Diaria!R6&gt;0,Anual!W5+Diaria!R6/1000,0)</f>
        <v>112.20501283273094</v>
      </c>
      <c r="X6" s="54">
        <f>X5+Diaria!S6/1000</f>
        <v>111.79149900000026</v>
      </c>
      <c r="Y6" s="66">
        <f>IF(W6&gt;0,W6-X6,0)</f>
        <v>0.4135138327306862</v>
      </c>
      <c r="Z6" s="27">
        <f>IF(Diaria!V6&gt;0,Anual!Z5+Diaria!V6/1000,0)</f>
        <v>131.82856163717065</v>
      </c>
      <c r="AA6" s="54">
        <f>IF(Diaria!V6&gt;0, AA5+Diaria!W6/1000,0)</f>
        <v>127.69090900000045</v>
      </c>
      <c r="AB6" s="66">
        <f>IF(Z6&gt;0,Z6-AA6,0)</f>
        <v>4.1376526371702056</v>
      </c>
      <c r="AC6" s="27">
        <f>IF(Diaria!Z6&gt;0,Anual!AC5+Diaria!Z6/1000,0)</f>
        <v>148.41195215831797</v>
      </c>
      <c r="AD6" s="54">
        <f>IF(Diaria!Z6&gt;0, AD5+Diaria!AA6/1000,0)</f>
        <v>143.45468900000077</v>
      </c>
      <c r="AE6" s="66">
        <f>IF(AC6&gt;0,AC6-AD6,0)</f>
        <v>4.957263158317204</v>
      </c>
      <c r="AF6" s="27">
        <f>IF(Diaria!AD6&gt;0,Anual!AF5+Diaria!AD6/1000,0)</f>
        <v>162.12663473171563</v>
      </c>
      <c r="AG6" s="54">
        <f>IF(Diaria!AD6&gt;0, AG5+Diaria!AE6/1000,0)</f>
        <v>159.22747900000093</v>
      </c>
      <c r="AH6" s="66">
        <f>IF(AF6&gt;0,AF6-AG6,0)</f>
        <v>2.8991557317146999</v>
      </c>
      <c r="AI6" s="27">
        <f>IF(Diaria!AH6&gt;0,Anual!AI5+Diaria!AH6/1000,0)</f>
        <v>173.52345973171566</v>
      </c>
      <c r="AJ6" s="54">
        <f>IF(Diaria!AH6&gt;0, AJ5+Diaria!AI6/1000,0)</f>
        <v>174.88621900000055</v>
      </c>
      <c r="AK6" s="66">
        <f>IF(AI6&gt;0,AI6-AJ6,0)</f>
        <v>-1.3627592682848899</v>
      </c>
    </row>
    <row r="7" spans="1:37" ht="15.75" thickBot="1">
      <c r="A7" s="42">
        <v>3</v>
      </c>
      <c r="B7" s="23">
        <f>+(Diaria!B7/1000)+Anual!B6</f>
        <v>0.90085264624049999</v>
      </c>
      <c r="C7" s="65">
        <f t="shared" ref="C7:C35" si="3">0.492587+C6</f>
        <v>1.4777610000000001</v>
      </c>
      <c r="D7" s="67">
        <f t="shared" si="0"/>
        <v>-0.57690835375950011</v>
      </c>
      <c r="E7" s="64">
        <f>+E6+(Diaria!D7/1000)</f>
        <v>14.6771052183544</v>
      </c>
      <c r="F7" s="54">
        <f t="shared" ref="F7:F33" si="4">0.52451+F6</f>
        <v>16.843727000000005</v>
      </c>
      <c r="G7" s="67">
        <f t="shared" si="1"/>
        <v>-2.1666217816456044</v>
      </c>
      <c r="H7" s="27">
        <f>+(Diaria!F7/1000)+Anual!H6</f>
        <v>28.824227918974604</v>
      </c>
      <c r="I7" s="54">
        <f t="shared" ref="I7:I35" si="5">0.520452+I6</f>
        <v>32.042342999999988</v>
      </c>
      <c r="J7" s="67">
        <f t="shared" si="2"/>
        <v>-3.2181150810253847</v>
      </c>
      <c r="K7" s="27">
        <f>K6+Diaria!H7/1000</f>
        <v>46.972221743971708</v>
      </c>
      <c r="L7" s="54">
        <f t="shared" ref="L7:L34" si="6">0.537353+L6</f>
        <v>48.227057999999964</v>
      </c>
      <c r="M7" s="66">
        <f>+K7-L7</f>
        <v>-1.2548362560282555</v>
      </c>
      <c r="N7" s="27">
        <f>N6+Diaria!J7/1000</f>
        <v>62.192680286929608</v>
      </c>
      <c r="O7" s="54">
        <f t="shared" ref="O7:O35" si="7">O6+0.51855</f>
        <v>64.291239000000047</v>
      </c>
      <c r="P7" s="66">
        <f t="shared" ref="P7:P35" si="8">N7-O7</f>
        <v>-2.0985587130704388</v>
      </c>
      <c r="Q7" s="27">
        <f>Q6+Diaria!L7/1000</f>
        <v>78.456489635387598</v>
      </c>
      <c r="R7" s="54">
        <f>R6+0.53379</f>
        <v>80.412009000000168</v>
      </c>
      <c r="S7" s="66">
        <f t="shared" ref="S7:S35" si="9">Q7-R7</f>
        <v>-1.9555193646125701</v>
      </c>
      <c r="T7" s="27">
        <f>IF(Diaria!N7&gt;0,Anual!T6+Diaria!N7/1000,0)</f>
        <v>95.452621265362453</v>
      </c>
      <c r="U7" s="54">
        <f>U6+Diaria!O6/1000</f>
        <v>96.367239000000083</v>
      </c>
      <c r="V7" s="66">
        <f t="shared" ref="V7:V35" si="10">IF(T7&gt;0,T7-U7,0)</f>
        <v>-0.91461773463763052</v>
      </c>
      <c r="W7" s="27">
        <f>IF(Diaria!R7&gt;0,Anual!W6+Diaria!R7/1000,0)</f>
        <v>112.90896171036414</v>
      </c>
      <c r="X7" s="54">
        <f>X6+Diaria!S7/1000</f>
        <v>112.30342900000026</v>
      </c>
      <c r="Y7" s="66">
        <f t="shared" ref="Y7:Y35" si="11">IF(W7&gt;0,W7-X7,0)</f>
        <v>0.60553271036387457</v>
      </c>
      <c r="Z7" s="27">
        <f>IF(Diaria!V7&gt;0,Anual!Z6+Diaria!V7/1000,0)</f>
        <v>132.08160344448274</v>
      </c>
      <c r="AA7" s="54">
        <f>IF(Diaria!V7&gt;0, AA6+Diaria!W7/1000,0)</f>
        <v>128.21762900000044</v>
      </c>
      <c r="AB7" s="66">
        <f t="shared" ref="AB7:AB35" si="12">IF(Z7&gt;0,Z7-AA7,0)</f>
        <v>3.8639744444822952</v>
      </c>
      <c r="AC7" s="27">
        <f>IF(Diaria!Z7&gt;0,Anual!AC6+Diaria!Z7/1000,0)</f>
        <v>148.96955106946018</v>
      </c>
      <c r="AD7" s="54">
        <f>IF(Diaria!Z7&gt;0, AD6+Diaria!AA7/1000,0)</f>
        <v>143.96249900000078</v>
      </c>
      <c r="AE7" s="66">
        <f t="shared" ref="AE7:AE35" si="13">IF(AC7&gt;0,AC7-AD7,0)</f>
        <v>5.0070520694594052</v>
      </c>
      <c r="AF7" s="27">
        <f>IF(Diaria!AD7&gt;0,Anual!AF6+Diaria!AD7/1000,0)</f>
        <v>162.60162473171562</v>
      </c>
      <c r="AG7" s="54">
        <f>IF(Diaria!AD7&gt;0, AG6+Diaria!AE7/1000,0)</f>
        <v>159.75062900000091</v>
      </c>
      <c r="AH7" s="66">
        <f t="shared" ref="AH7:AH35" si="14">IF(AF7&gt;0,AF7-AG7,0)</f>
        <v>2.8509957317147041</v>
      </c>
      <c r="AI7" s="27">
        <f>IF(Diaria!AH7&gt;0,Anual!AI6+Diaria!AH7/1000,0)</f>
        <v>173.98413973171566</v>
      </c>
      <c r="AJ7" s="54">
        <f>IF(Diaria!AH7&gt;0, AJ6+Diaria!AI7/1000,0)</f>
        <v>175.39148900000055</v>
      </c>
      <c r="AK7" s="66">
        <f t="shared" ref="AK7:AK35" si="15">IF(AI7&gt;0,AI7-AJ7,0)</f>
        <v>-1.4073492682848894</v>
      </c>
    </row>
    <row r="8" spans="1:37" ht="15.75" thickBot="1">
      <c r="A8" s="42">
        <v>4</v>
      </c>
      <c r="B8" s="23">
        <f>+(Diaria!B8/1000)+Anual!B7</f>
        <v>1.4103622373586999</v>
      </c>
      <c r="C8" s="65">
        <f t="shared" si="3"/>
        <v>1.970348</v>
      </c>
      <c r="D8" s="67">
        <f t="shared" si="0"/>
        <v>-0.55998576264130007</v>
      </c>
      <c r="E8" s="64">
        <f>+E7+(Diaria!D8/1000)</f>
        <v>15.1218247189141</v>
      </c>
      <c r="F8" s="54">
        <f t="shared" si="4"/>
        <v>17.368237000000004</v>
      </c>
      <c r="G8" s="67">
        <f t="shared" si="1"/>
        <v>-2.2464122810859042</v>
      </c>
      <c r="H8" s="27">
        <f>+(Diaria!F8/1000)+Anual!H7</f>
        <v>29.329977982171002</v>
      </c>
      <c r="I8" s="54">
        <f t="shared" si="5"/>
        <v>32.562794999999987</v>
      </c>
      <c r="J8" s="67">
        <f t="shared" si="2"/>
        <v>-3.2328170178289852</v>
      </c>
      <c r="K8" s="27">
        <f>K7+Diaria!H8/1000</f>
        <v>47.533863424010406</v>
      </c>
      <c r="L8" s="54">
        <f t="shared" si="6"/>
        <v>48.764410999999967</v>
      </c>
      <c r="M8" s="66">
        <f>+K8-L8</f>
        <v>-1.2305475759895614</v>
      </c>
      <c r="N8" s="27">
        <f>N7+Diaria!J8/1000</f>
        <v>62.685237336079105</v>
      </c>
      <c r="O8" s="54">
        <f t="shared" si="7"/>
        <v>64.809789000000052</v>
      </c>
      <c r="P8" s="66">
        <f t="shared" si="8"/>
        <v>-2.124551663920947</v>
      </c>
      <c r="Q8" s="27">
        <f>Q7+Diaria!L8/1000</f>
        <v>78.911525443078702</v>
      </c>
      <c r="R8" s="54">
        <f>R7+0.53379</f>
        <v>80.945799000000164</v>
      </c>
      <c r="S8" s="66">
        <f t="shared" si="9"/>
        <v>-2.0342735569214625</v>
      </c>
      <c r="T8" s="27">
        <f>IF(Diaria!N8&gt;0,Anual!T7+Diaria!N8/1000,0)</f>
        <v>96.076770069386853</v>
      </c>
      <c r="U8" s="54">
        <f>U7+Diaria!O7/1000</f>
        <v>96.881539000000089</v>
      </c>
      <c r="V8" s="66">
        <f t="shared" si="10"/>
        <v>-0.80476893061323551</v>
      </c>
      <c r="W8" s="27">
        <f>IF(Diaria!R8&gt;0,Anual!W7+Diaria!R8/1000,0)</f>
        <v>113.61895507018664</v>
      </c>
      <c r="X8" s="54">
        <f>X7+Diaria!S8/1000</f>
        <v>112.81535900000027</v>
      </c>
      <c r="Y8" s="66">
        <f t="shared" si="11"/>
        <v>0.80359607018637291</v>
      </c>
      <c r="Z8" s="27">
        <f>IF(Diaria!V8&gt;0,Anual!Z7+Diaria!V8/1000,0)</f>
        <v>132.65530162148875</v>
      </c>
      <c r="AA8" s="54">
        <f>IF(Diaria!V8&gt;0, AA7+Diaria!W8/1000,0)</f>
        <v>128.74434900000045</v>
      </c>
      <c r="AB8" s="66">
        <f t="shared" si="12"/>
        <v>3.9109526214882919</v>
      </c>
      <c r="AC8" s="27">
        <f>IF(Diaria!Z8&gt;0,Anual!AC7+Diaria!Z8/1000,0)</f>
        <v>149.47845112594078</v>
      </c>
      <c r="AD8" s="54">
        <f>IF(Diaria!Z8&gt;0, AD7+Diaria!AA8/1000,0)</f>
        <v>144.47030900000078</v>
      </c>
      <c r="AE8" s="66">
        <f t="shared" si="13"/>
        <v>5.0081421259399974</v>
      </c>
      <c r="AF8" s="27">
        <f>IF(Diaria!AD8&gt;0,Anual!AF7+Diaria!AD8/1000,0)</f>
        <v>162.9607347317156</v>
      </c>
      <c r="AG8" s="54">
        <f>IF(Diaria!AD8&gt;0, AG7+Diaria!AE8/1000,0)</f>
        <v>160.2737790000009</v>
      </c>
      <c r="AH8" s="66">
        <f t="shared" si="14"/>
        <v>2.6869557317147041</v>
      </c>
      <c r="AI8" s="27">
        <f>IF(Diaria!AH8&gt;0,Anual!AI7+Diaria!AH8/1000,0)</f>
        <v>174.17847973171567</v>
      </c>
      <c r="AJ8" s="54">
        <f>IF(Diaria!AH8&gt;0, AJ7+Diaria!AI8/1000,0)</f>
        <v>175.89675900000054</v>
      </c>
      <c r="AK8" s="66">
        <f t="shared" si="15"/>
        <v>-1.7182792682848742</v>
      </c>
    </row>
    <row r="9" spans="1:37" ht="15.75" thickBot="1">
      <c r="A9" s="42">
        <v>5</v>
      </c>
      <c r="B9" s="23">
        <f>+(Diaria!B9/1000)+Anual!B8</f>
        <v>1.7461962124127</v>
      </c>
      <c r="C9" s="65">
        <f t="shared" si="3"/>
        <v>2.4629349999999999</v>
      </c>
      <c r="D9" s="67">
        <f t="shared" si="0"/>
        <v>-0.71673878758729992</v>
      </c>
      <c r="E9" s="64">
        <f>+E8+(Diaria!D9/1000)</f>
        <v>15.5675869988822</v>
      </c>
      <c r="F9" s="54">
        <f t="shared" si="4"/>
        <v>17.892747000000004</v>
      </c>
      <c r="G9" s="67">
        <f t="shared" si="1"/>
        <v>-2.3251600011178031</v>
      </c>
      <c r="H9" s="27">
        <f>+(Diaria!F9/1000)+Anual!H8</f>
        <v>29.936808394006103</v>
      </c>
      <c r="I9" s="54">
        <f t="shared" si="5"/>
        <v>33.083246999999986</v>
      </c>
      <c r="J9" s="67">
        <f t="shared" si="2"/>
        <v>-3.1464386059938825</v>
      </c>
      <c r="K9" s="27">
        <f>K8+Diaria!H9/1000</f>
        <v>48.052545857857403</v>
      </c>
      <c r="L9" s="54">
        <f t="shared" si="6"/>
        <v>49.30176399999997</v>
      </c>
      <c r="M9" s="66">
        <f t="shared" ref="M9:M34" si="16">+K9-L9</f>
        <v>-1.249218142142567</v>
      </c>
      <c r="N9" s="27">
        <f>N8+Diaria!J9/1000</f>
        <v>63.278136067711905</v>
      </c>
      <c r="O9" s="54">
        <f t="shared" si="7"/>
        <v>65.328339000000057</v>
      </c>
      <c r="P9" s="66">
        <f t="shared" si="8"/>
        <v>-2.0502029322881512</v>
      </c>
      <c r="Q9" s="27">
        <f>Q8+Diaria!L9/1000</f>
        <v>79.341695742833195</v>
      </c>
      <c r="R9" s="54">
        <f>R8+0.53379</f>
        <v>81.479589000000161</v>
      </c>
      <c r="S9" s="66">
        <f t="shared" si="9"/>
        <v>-2.1378932571669651</v>
      </c>
      <c r="T9" s="27">
        <f>IF(Diaria!N9&gt;0,Anual!T8+Diaria!N9/1000,0)</f>
        <v>96.508014220170253</v>
      </c>
      <c r="U9" s="54">
        <f>U8+Diaria!O8/1000</f>
        <v>97.395839000000095</v>
      </c>
      <c r="V9" s="66">
        <f t="shared" si="10"/>
        <v>-0.88782477982984176</v>
      </c>
      <c r="W9" s="27">
        <f>IF(Diaria!R9&gt;0,Anual!W8+Diaria!R9/1000,0)</f>
        <v>114.28914109411835</v>
      </c>
      <c r="X9" s="54">
        <f>X8+Diaria!S9/1000</f>
        <v>113.32728900000028</v>
      </c>
      <c r="Y9" s="66">
        <f t="shared" si="11"/>
        <v>0.96185209411807193</v>
      </c>
      <c r="Z9" s="27">
        <f>IF(Diaria!V9&gt;0,Anual!Z8+Diaria!V9/1000,0)</f>
        <v>133.23861167290005</v>
      </c>
      <c r="AA9" s="54">
        <f>IF(Diaria!V9&gt;0, AA8+Diaria!W9/1000,0)</f>
        <v>129.27106900000047</v>
      </c>
      <c r="AB9" s="66">
        <f t="shared" si="12"/>
        <v>3.9675426728995831</v>
      </c>
      <c r="AC9" s="27">
        <f>IF(Diaria!Z9&gt;0,Anual!AC8+Diaria!Z9/1000,0)</f>
        <v>149.96439102854029</v>
      </c>
      <c r="AD9" s="54">
        <f>IF(Diaria!Z9&gt;0, AD8+Diaria!AA9/1000,0)</f>
        <v>144.97811900000079</v>
      </c>
      <c r="AE9" s="66">
        <f t="shared" si="13"/>
        <v>4.9862720285395028</v>
      </c>
      <c r="AF9" s="27">
        <f>IF(Diaria!AD9&gt;0,Anual!AF8+Diaria!AD9/1000,0)</f>
        <v>163.2846047317156</v>
      </c>
      <c r="AG9" s="54">
        <f>IF(Diaria!AD9&gt;0, AG8+Diaria!AE9/1000,0)</f>
        <v>160.79692900000089</v>
      </c>
      <c r="AH9" s="66">
        <f t="shared" si="14"/>
        <v>2.4876757317147167</v>
      </c>
      <c r="AI9" s="27">
        <f>IF(Diaria!AH9&gt;0,Anual!AI8+Diaria!AH9/1000,0)</f>
        <v>174.61102973171566</v>
      </c>
      <c r="AJ9" s="54">
        <f>IF(Diaria!AH9&gt;0, AJ8+Diaria!AI9/1000,0)</f>
        <v>176.40202900000054</v>
      </c>
      <c r="AK9" s="66">
        <f t="shared" si="15"/>
        <v>-1.7909992682848781</v>
      </c>
    </row>
    <row r="10" spans="1:37" ht="15.75" thickBot="1">
      <c r="A10" s="42">
        <v>6</v>
      </c>
      <c r="B10" s="23">
        <f>+(Diaria!B10/1000)+Anual!B9</f>
        <v>2.2787306217835002</v>
      </c>
      <c r="C10" s="65">
        <f t="shared" si="3"/>
        <v>2.9555219999999998</v>
      </c>
      <c r="D10" s="67">
        <f t="shared" si="0"/>
        <v>-0.6767913782164996</v>
      </c>
      <c r="E10" s="64">
        <f>+E9+(Diaria!D10/1000)</f>
        <v>15.815045953640201</v>
      </c>
      <c r="F10" s="54">
        <f t="shared" si="4"/>
        <v>18.417257000000003</v>
      </c>
      <c r="G10" s="67">
        <f t="shared" si="1"/>
        <v>-2.6022110463598018</v>
      </c>
      <c r="H10" s="27">
        <f>+(Diaria!F10/1000)+Anual!H9</f>
        <v>30.588632988168403</v>
      </c>
      <c r="I10" s="54">
        <f t="shared" si="5"/>
        <v>33.603698999999985</v>
      </c>
      <c r="J10" s="67">
        <f t="shared" si="2"/>
        <v>-3.015066011831582</v>
      </c>
      <c r="K10" s="27">
        <f>K9+Diaria!H10/1000</f>
        <v>48.553639855008406</v>
      </c>
      <c r="L10" s="54">
        <f t="shared" si="6"/>
        <v>49.839116999999973</v>
      </c>
      <c r="M10" s="66">
        <f t="shared" si="16"/>
        <v>-1.2854771449915674</v>
      </c>
      <c r="N10" s="27">
        <f>N9+Diaria!J10/1000</f>
        <v>63.808749625893206</v>
      </c>
      <c r="O10" s="54">
        <f t="shared" si="7"/>
        <v>65.846889000000061</v>
      </c>
      <c r="P10" s="66">
        <f t="shared" si="8"/>
        <v>-2.038139374106855</v>
      </c>
      <c r="Q10" s="27">
        <f>Q9+Diaria!L10/1000</f>
        <v>79.856439052109593</v>
      </c>
      <c r="R10" s="54">
        <f>R9+0.53379</f>
        <v>82.013379000000157</v>
      </c>
      <c r="S10" s="66">
        <f t="shared" si="9"/>
        <v>-2.1569399478905638</v>
      </c>
      <c r="T10" s="27">
        <f>IF(Diaria!N10&gt;0,Anual!T9+Diaria!N10/1000,0)</f>
        <v>97.133026565432857</v>
      </c>
      <c r="U10" s="54">
        <f>U9+Diaria!O9/1000</f>
        <v>97.9101390000001</v>
      </c>
      <c r="V10" s="66">
        <f t="shared" si="10"/>
        <v>-0.77711243456724333</v>
      </c>
      <c r="W10" s="27">
        <f>IF(Diaria!R10&gt;0,Anual!W9+Diaria!R10/1000,0)</f>
        <v>114.96026011955895</v>
      </c>
      <c r="X10" s="54">
        <f>X9+Diaria!S10/1000</f>
        <v>113.83921900000028</v>
      </c>
      <c r="Y10" s="66">
        <f t="shared" si="11"/>
        <v>1.1210411195586687</v>
      </c>
      <c r="Z10" s="27">
        <f>IF(Diaria!V10&gt;0,Anual!Z9+Diaria!V10/1000,0)</f>
        <v>133.82733171964185</v>
      </c>
      <c r="AA10" s="54">
        <f>IF(Diaria!V10&gt;0, AA9+Diaria!W10/1000,0)</f>
        <v>129.79778900000048</v>
      </c>
      <c r="AB10" s="66">
        <f t="shared" si="12"/>
        <v>4.0295427196413698</v>
      </c>
      <c r="AC10" s="27">
        <f>IF(Diaria!Z10&gt;0,Anual!AC9+Diaria!Z10/1000,0)</f>
        <v>150.4362934185244</v>
      </c>
      <c r="AD10" s="54">
        <f>IF(Diaria!Z10&gt;0, AD9+Diaria!AA10/1000,0)</f>
        <v>145.48592900000079</v>
      </c>
      <c r="AE10" s="66">
        <f t="shared" si="13"/>
        <v>4.9503644185236055</v>
      </c>
      <c r="AF10" s="27">
        <f>IF(Diaria!AD10&gt;0,Anual!AF9+Diaria!AD10/1000,0)</f>
        <v>163.77611473171561</v>
      </c>
      <c r="AG10" s="54">
        <f>IF(Diaria!AD10&gt;0, AG9+Diaria!AE10/1000,0)</f>
        <v>161.32007900000087</v>
      </c>
      <c r="AH10" s="66">
        <f t="shared" si="14"/>
        <v>2.456035731714735</v>
      </c>
      <c r="AI10" s="27">
        <f>IF(Diaria!AH10&gt;0,Anual!AI9+Diaria!AH10/1000,0)</f>
        <v>175.10556973171566</v>
      </c>
      <c r="AJ10" s="54">
        <f>IF(Diaria!AH10&gt;0, AJ9+Diaria!AI10/1000,0)</f>
        <v>176.90729900000053</v>
      </c>
      <c r="AK10" s="66">
        <f t="shared" si="15"/>
        <v>-1.8017292682848733</v>
      </c>
    </row>
    <row r="11" spans="1:37" ht="15.75" thickBot="1">
      <c r="A11" s="42">
        <v>7</v>
      </c>
      <c r="B11" s="23">
        <f>+(Diaria!B11/1000)+Anual!B10</f>
        <v>2.8082989885250003</v>
      </c>
      <c r="C11" s="65">
        <f t="shared" si="3"/>
        <v>3.4481089999999996</v>
      </c>
      <c r="D11" s="67">
        <f t="shared" si="0"/>
        <v>-0.63981001147499938</v>
      </c>
      <c r="E11" s="64">
        <f>+E10+(Diaria!D11/1000)</f>
        <v>16.2949938442197</v>
      </c>
      <c r="F11" s="54">
        <f t="shared" si="4"/>
        <v>18.941767000000002</v>
      </c>
      <c r="G11" s="67">
        <f t="shared" si="1"/>
        <v>-2.646773155780302</v>
      </c>
      <c r="H11" s="27">
        <f>+(Diaria!F11/1000)+Anual!H10</f>
        <v>31.090509044798004</v>
      </c>
      <c r="I11" s="54">
        <f t="shared" si="5"/>
        <v>34.124150999999983</v>
      </c>
      <c r="J11" s="67">
        <f t="shared" si="2"/>
        <v>-3.0336419552019791</v>
      </c>
      <c r="K11" s="27">
        <f>K10+Diaria!H11/1000</f>
        <v>49.079432897832007</v>
      </c>
      <c r="L11" s="54">
        <f t="shared" si="6"/>
        <v>50.376469999999976</v>
      </c>
      <c r="M11" s="66">
        <f t="shared" si="16"/>
        <v>-1.2970371021679696</v>
      </c>
      <c r="N11" s="27">
        <f>N10+Diaria!J11/1000</f>
        <v>64.459723784328304</v>
      </c>
      <c r="O11" s="54">
        <f t="shared" si="7"/>
        <v>66.365439000000066</v>
      </c>
      <c r="P11" s="66">
        <f t="shared" si="8"/>
        <v>-1.9057152156717621</v>
      </c>
      <c r="Q11" s="27">
        <f>Q10+Diaria!L11/1000</f>
        <v>80.200748071223799</v>
      </c>
      <c r="R11" s="54">
        <f t="shared" ref="R11:R34" si="17">R10+0.53379</f>
        <v>82.547169000000153</v>
      </c>
      <c r="S11" s="66">
        <f t="shared" si="9"/>
        <v>-2.3464209287763538</v>
      </c>
      <c r="T11" s="27">
        <f>IF(Diaria!N11&gt;0,Anual!T10+Diaria!N11/1000,0)</f>
        <v>97.766133861514859</v>
      </c>
      <c r="U11" s="54">
        <f>U10+Diaria!O10/1000</f>
        <v>98.424439000000106</v>
      </c>
      <c r="V11" s="66">
        <f t="shared" si="10"/>
        <v>-0.65830513848524674</v>
      </c>
      <c r="W11" s="27">
        <f>IF(Diaria!R11&gt;0,Anual!W10+Diaria!R11/1000,0)</f>
        <v>115.53444681678906</v>
      </c>
      <c r="X11" s="54">
        <f>X10+Diaria!S11/1000</f>
        <v>114.35114900000029</v>
      </c>
      <c r="Y11" s="66">
        <f t="shared" si="11"/>
        <v>1.183297816788766</v>
      </c>
      <c r="Z11" s="27">
        <f>IF(Diaria!V11&gt;0,Anual!Z10+Diaria!V11/1000,0)</f>
        <v>134.41275727350975</v>
      </c>
      <c r="AA11" s="54">
        <f>IF(Diaria!V11&gt;0, AA10+Diaria!W11/1000,0)</f>
        <v>130.32450900000049</v>
      </c>
      <c r="AB11" s="66">
        <f t="shared" si="12"/>
        <v>4.0882482735092651</v>
      </c>
      <c r="AC11" s="27">
        <f>IF(Diaria!Z11&gt;0,Anual!AC10+Diaria!Z11/1000,0)</f>
        <v>150.96508287972131</v>
      </c>
      <c r="AD11" s="54">
        <f>IF(Diaria!Z11&gt;0, AD10+Diaria!AA11/1000,0)</f>
        <v>145.9937390000008</v>
      </c>
      <c r="AE11" s="66">
        <f t="shared" si="13"/>
        <v>4.9713438797205072</v>
      </c>
      <c r="AF11" s="27">
        <f>IF(Diaria!AD11&gt;0,Anual!AF10+Diaria!AD11/1000,0)</f>
        <v>164.1117647317156</v>
      </c>
      <c r="AG11" s="54">
        <f>IF(Diaria!AD11&gt;0, AG10+Diaria!AE11/1000,0)</f>
        <v>161.84322900000086</v>
      </c>
      <c r="AH11" s="66">
        <f t="shared" si="14"/>
        <v>2.268535731714735</v>
      </c>
      <c r="AI11" s="27">
        <f>IF(Diaria!AH11&gt;0,Anual!AI10+Diaria!AH11/1000,0)</f>
        <v>175.56355973171566</v>
      </c>
      <c r="AJ11" s="54">
        <f>IF(Diaria!AH11&gt;0, AJ10+Diaria!AI11/1000,0)</f>
        <v>177.41256900000053</v>
      </c>
      <c r="AK11" s="66">
        <f t="shared" si="15"/>
        <v>-1.849009268284874</v>
      </c>
    </row>
    <row r="12" spans="1:37" ht="15.75" thickBot="1">
      <c r="A12" s="42">
        <v>8</v>
      </c>
      <c r="B12" s="23">
        <f>+(Diaria!B12/1000)+Anual!B11</f>
        <v>3.3373573013609001</v>
      </c>
      <c r="C12" s="65">
        <f t="shared" si="3"/>
        <v>3.9406959999999995</v>
      </c>
      <c r="D12" s="67">
        <f t="shared" si="0"/>
        <v>-0.60333869863909939</v>
      </c>
      <c r="E12" s="64">
        <f>+E11+(Diaria!D12/1000)</f>
        <v>16.698265391815301</v>
      </c>
      <c r="F12" s="54">
        <f t="shared" si="4"/>
        <v>19.466277000000002</v>
      </c>
      <c r="G12" s="67">
        <f t="shared" si="1"/>
        <v>-2.7680116081847004</v>
      </c>
      <c r="H12" s="27">
        <f>+(Diaria!F12/1000)+Anual!H11</f>
        <v>31.679765269052705</v>
      </c>
      <c r="I12" s="54">
        <f t="shared" si="5"/>
        <v>34.644602999999982</v>
      </c>
      <c r="J12" s="67">
        <f t="shared" si="2"/>
        <v>-2.9648377309472771</v>
      </c>
      <c r="K12" s="27">
        <f>K11+Diaria!H12/1000</f>
        <v>49.579379597642209</v>
      </c>
      <c r="L12" s="54">
        <f t="shared" si="6"/>
        <v>50.913822999999979</v>
      </c>
      <c r="M12" s="66">
        <f t="shared" si="16"/>
        <v>-1.3344434023577705</v>
      </c>
      <c r="N12" s="27">
        <f>N11+Diaria!J12/1000</f>
        <v>65.112297693107607</v>
      </c>
      <c r="O12" s="54">
        <f t="shared" si="7"/>
        <v>66.883989000000071</v>
      </c>
      <c r="P12" s="66">
        <f t="shared" si="8"/>
        <v>-1.771691306892464</v>
      </c>
      <c r="Q12" s="27">
        <f>Q11+Diaria!L12/1000</f>
        <v>80.780178042415201</v>
      </c>
      <c r="R12" s="54">
        <f t="shared" si="17"/>
        <v>83.080959000000149</v>
      </c>
      <c r="S12" s="66">
        <f t="shared" si="9"/>
        <v>-2.3007809575849478</v>
      </c>
      <c r="T12" s="27">
        <f>IF(Diaria!N12&gt;0,Anual!T11+Diaria!N12/1000,0)</f>
        <v>98.414912498714457</v>
      </c>
      <c r="U12" s="54">
        <f>U11+Diaria!O11/1000</f>
        <v>98.938739000000112</v>
      </c>
      <c r="V12" s="66">
        <f t="shared" si="10"/>
        <v>-0.52382650128565444</v>
      </c>
      <c r="W12" s="27">
        <f>IF(Diaria!R12&gt;0,Anual!W11+Diaria!R12/1000,0)</f>
        <v>116.18685200673106</v>
      </c>
      <c r="X12" s="54">
        <f>X11+Diaria!S12/1000</f>
        <v>114.8630790000003</v>
      </c>
      <c r="Y12" s="66">
        <f t="shared" si="11"/>
        <v>1.3237730067307609</v>
      </c>
      <c r="Z12" s="27">
        <f>IF(Diaria!V12&gt;0,Anual!Z11+Diaria!V12/1000,0)</f>
        <v>135.01700556953816</v>
      </c>
      <c r="AA12" s="54">
        <f>IF(Diaria!V12&gt;0, AA11+Diaria!W12/1000,0)</f>
        <v>130.8512290000005</v>
      </c>
      <c r="AB12" s="66">
        <f t="shared" si="12"/>
        <v>4.1657765695376554</v>
      </c>
      <c r="AC12" s="27">
        <f>IF(Diaria!Z12&gt;0,Anual!AC11+Diaria!Z12/1000,0)</f>
        <v>151.307488233832</v>
      </c>
      <c r="AD12" s="54">
        <f>IF(Diaria!Z12&gt;0, AD11+Diaria!AA12/1000,0)</f>
        <v>146.50154900000081</v>
      </c>
      <c r="AE12" s="66">
        <f t="shared" si="13"/>
        <v>4.8059392338311966</v>
      </c>
      <c r="AF12" s="27">
        <f>IF(Diaria!AD12&gt;0,Anual!AF11+Diaria!AD12/1000,0)</f>
        <v>164.42689473171561</v>
      </c>
      <c r="AG12" s="54">
        <f>IF(Diaria!AD12&gt;0, AG11+Diaria!AE12/1000,0)</f>
        <v>162.36637900000085</v>
      </c>
      <c r="AH12" s="66">
        <f t="shared" si="14"/>
        <v>2.0605157317147587</v>
      </c>
      <c r="AI12" s="27">
        <f>IF(Diaria!AH12&gt;0,Anual!AI11+Diaria!AH12/1000,0)</f>
        <v>176.01712973171567</v>
      </c>
      <c r="AJ12" s="54">
        <f>IF(Diaria!AH12&gt;0, AJ11+Diaria!AI12/1000,0)</f>
        <v>177.91783900000053</v>
      </c>
      <c r="AK12" s="66">
        <f t="shared" si="15"/>
        <v>-1.9007092682848565</v>
      </c>
    </row>
    <row r="13" spans="1:37" ht="15.75" thickBot="1">
      <c r="A13" s="42">
        <v>9</v>
      </c>
      <c r="B13" s="23">
        <f>+(Diaria!B13/1000)+Anual!B12</f>
        <v>3.8521748254149002</v>
      </c>
      <c r="C13" s="65">
        <f t="shared" si="3"/>
        <v>4.4332829999999994</v>
      </c>
      <c r="D13" s="67">
        <f t="shared" si="0"/>
        <v>-0.58110817458509922</v>
      </c>
      <c r="E13" s="64">
        <f>+E12+(Diaria!D13/1000)</f>
        <v>17.269435826259002</v>
      </c>
      <c r="F13" s="54">
        <f t="shared" si="4"/>
        <v>19.990787000000001</v>
      </c>
      <c r="G13" s="67">
        <f t="shared" si="1"/>
        <v>-2.7213511737409988</v>
      </c>
      <c r="H13" s="27">
        <f>+(Diaria!F13/1000)+Anual!H12</f>
        <v>32.326127805597707</v>
      </c>
      <c r="I13" s="54">
        <f t="shared" si="5"/>
        <v>35.165054999999981</v>
      </c>
      <c r="J13" s="67">
        <f t="shared" si="2"/>
        <v>-2.8389271944022738</v>
      </c>
      <c r="K13" s="27">
        <f>K12+Diaria!H13/1000</f>
        <v>49.742044307084512</v>
      </c>
      <c r="L13" s="54">
        <f t="shared" si="6"/>
        <v>51.451175999999982</v>
      </c>
      <c r="M13" s="66">
        <f t="shared" si="16"/>
        <v>-1.7091316929154701</v>
      </c>
      <c r="N13" s="27">
        <f>N12+Diaria!J13/1000</f>
        <v>65.7907994372068</v>
      </c>
      <c r="O13" s="54">
        <f t="shared" si="7"/>
        <v>67.402539000000075</v>
      </c>
      <c r="P13" s="66">
        <f t="shared" si="8"/>
        <v>-1.6117395627932751</v>
      </c>
      <c r="Q13" s="27">
        <f>Q12+Diaria!L13/1000</f>
        <v>81.430890516582608</v>
      </c>
      <c r="R13" s="54">
        <f t="shared" si="17"/>
        <v>83.614749000000145</v>
      </c>
      <c r="S13" s="66">
        <f t="shared" si="9"/>
        <v>-2.1838584834175379</v>
      </c>
      <c r="T13" s="27">
        <f>IF(Diaria!N13&gt;0,Anual!T12+Diaria!N13/1000,0)</f>
        <v>98.890614080463763</v>
      </c>
      <c r="U13" s="54">
        <f>U12+Diaria!O12/1000</f>
        <v>99.453039000000118</v>
      </c>
      <c r="V13" s="66">
        <f t="shared" si="10"/>
        <v>-0.56242491953635465</v>
      </c>
      <c r="W13" s="27">
        <f>IF(Diaria!R13&gt;0,Anual!W12+Diaria!R13/1000,0)</f>
        <v>116.87454917405177</v>
      </c>
      <c r="X13" s="54">
        <f>X12+Diaria!S13/1000</f>
        <v>115.3750090000003</v>
      </c>
      <c r="Y13" s="66">
        <f t="shared" si="11"/>
        <v>1.4995401740514609</v>
      </c>
      <c r="Z13" s="27">
        <f>IF(Diaria!V13&gt;0,Anual!Z12+Diaria!V13/1000,0)</f>
        <v>135.63982623756795</v>
      </c>
      <c r="AA13" s="54">
        <f>IF(Diaria!V13&gt;0, AA12+Diaria!W13/1000,0)</f>
        <v>131.37794900000051</v>
      </c>
      <c r="AB13" s="66">
        <f t="shared" si="12"/>
        <v>4.2618772375674325</v>
      </c>
      <c r="AC13" s="27">
        <f>IF(Diaria!Z13&gt;0,Anual!AC12+Diaria!Z13/1000,0)</f>
        <v>151.74529805640302</v>
      </c>
      <c r="AD13" s="54">
        <f>IF(Diaria!Z13&gt;0, AD12+Diaria!AA13/1000,0)</f>
        <v>147.00935900000081</v>
      </c>
      <c r="AE13" s="66">
        <f t="shared" si="13"/>
        <v>4.7359390564022021</v>
      </c>
      <c r="AF13" s="27">
        <f>IF(Diaria!AD13&gt;0,Anual!AF12+Diaria!AD13/1000,0)</f>
        <v>164.7585447317156</v>
      </c>
      <c r="AG13" s="54">
        <f>IF(Diaria!AD13&gt;0, AG12+Diaria!AE13/1000,0)</f>
        <v>162.88952900000083</v>
      </c>
      <c r="AH13" s="66">
        <f t="shared" si="14"/>
        <v>1.869015731714768</v>
      </c>
      <c r="AI13" s="27">
        <f>IF(Diaria!AH13&gt;0,Anual!AI12+Diaria!AH13/1000,0)</f>
        <v>176.36715973171567</v>
      </c>
      <c r="AJ13" s="54">
        <f>IF(Diaria!AH13&gt;0, AJ12+Diaria!AI13/1000,0)</f>
        <v>178.42310900000052</v>
      </c>
      <c r="AK13" s="66">
        <f t="shared" si="15"/>
        <v>-2.0559492682848486</v>
      </c>
    </row>
    <row r="14" spans="1:37" ht="15.75" thickBot="1">
      <c r="A14" s="42">
        <v>10</v>
      </c>
      <c r="B14" s="23">
        <f>+(Diaria!B14/1000)+Anual!B13</f>
        <v>4.3774005371709004</v>
      </c>
      <c r="C14" s="65">
        <f t="shared" si="3"/>
        <v>4.9258699999999997</v>
      </c>
      <c r="D14" s="67">
        <f t="shared" si="0"/>
        <v>-0.54846946282909936</v>
      </c>
      <c r="E14" s="64">
        <f>+E13+(Diaria!D14/1000)</f>
        <v>17.806494966064204</v>
      </c>
      <c r="F14" s="54">
        <f t="shared" si="4"/>
        <v>20.515297</v>
      </c>
      <c r="G14" s="67">
        <f t="shared" si="1"/>
        <v>-2.7088020339357968</v>
      </c>
      <c r="H14" s="27">
        <f>+(Diaria!F14/1000)+Anual!H13</f>
        <v>32.95731444614691</v>
      </c>
      <c r="I14" s="54">
        <f t="shared" si="5"/>
        <v>35.68550699999998</v>
      </c>
      <c r="J14" s="67">
        <f t="shared" si="2"/>
        <v>-2.72819255385307</v>
      </c>
      <c r="K14" s="27">
        <f>K13+Diaria!H14/1000</f>
        <v>50.429958233911314</v>
      </c>
      <c r="L14" s="54">
        <f t="shared" si="6"/>
        <v>51.988528999999986</v>
      </c>
      <c r="M14" s="66">
        <f t="shared" si="16"/>
        <v>-1.5585707660886712</v>
      </c>
      <c r="N14" s="27">
        <f>N13+Diaria!J14/1000</f>
        <v>66.442298006085494</v>
      </c>
      <c r="O14" s="54">
        <f t="shared" si="7"/>
        <v>67.92108900000008</v>
      </c>
      <c r="P14" s="66">
        <f t="shared" si="8"/>
        <v>-1.4787909939145862</v>
      </c>
      <c r="Q14" s="27">
        <f>Q13+Diaria!L14/1000</f>
        <v>82.060923292513507</v>
      </c>
      <c r="R14" s="54">
        <f t="shared" si="17"/>
        <v>84.148539000000142</v>
      </c>
      <c r="S14" s="66">
        <f t="shared" si="9"/>
        <v>-2.0876157074866342</v>
      </c>
      <c r="T14" s="27">
        <f>IF(Diaria!N14&gt;0,Anual!T13+Diaria!N14/1000,0)</f>
        <v>99.27324984497136</v>
      </c>
      <c r="U14" s="54">
        <f>U13+Diaria!O13/1000</f>
        <v>99.967339000000123</v>
      </c>
      <c r="V14" s="66">
        <f t="shared" si="10"/>
        <v>-0.69408915502876312</v>
      </c>
      <c r="W14" s="27">
        <f>IF(Diaria!R14&gt;0,Anual!W13+Diaria!R14/1000,0)</f>
        <v>117.52931756441016</v>
      </c>
      <c r="X14" s="54">
        <f>X13+Diaria!S14/1000</f>
        <v>115.88693900000031</v>
      </c>
      <c r="Y14" s="66">
        <f t="shared" si="11"/>
        <v>1.642378564409853</v>
      </c>
      <c r="Z14" s="27">
        <f>IF(Diaria!V14&gt;0,Anual!Z13+Diaria!V14/1000,0)</f>
        <v>136.24214959358176</v>
      </c>
      <c r="AA14" s="54">
        <f>IF(Diaria!V14&gt;0, AA13+Diaria!W14/1000,0)</f>
        <v>131.90466900000052</v>
      </c>
      <c r="AB14" s="66">
        <f t="shared" si="12"/>
        <v>4.3374805935812333</v>
      </c>
      <c r="AC14" s="27">
        <f>IF(Diaria!Z14&gt;0,Anual!AC13+Diaria!Z14/1000,0)</f>
        <v>152.25580901760893</v>
      </c>
      <c r="AD14" s="54">
        <f>IF(Diaria!Z14&gt;0, AD13+Diaria!AA14/1000,0)</f>
        <v>147.51716900000082</v>
      </c>
      <c r="AE14" s="66">
        <f t="shared" si="13"/>
        <v>4.7386400176081054</v>
      </c>
      <c r="AF14" s="27">
        <f>IF(Diaria!AD14&gt;0,Anual!AF13+Diaria!AD14/1000,0)</f>
        <v>164.97626473171562</v>
      </c>
      <c r="AG14" s="54">
        <f>IF(Diaria!AD14&gt;0, AG13+Diaria!AE14/1000,0)</f>
        <v>163.41267900000082</v>
      </c>
      <c r="AH14" s="66">
        <f t="shared" si="14"/>
        <v>1.5635857317147952</v>
      </c>
      <c r="AI14" s="27">
        <f>IF(Diaria!AH14&gt;0,Anual!AI13+Diaria!AH14/1000,0)</f>
        <v>176.71787973171567</v>
      </c>
      <c r="AJ14" s="54">
        <f>IF(Diaria!AH14&gt;0, AJ13+Diaria!AI14/1000,0)</f>
        <v>178.92837900000052</v>
      </c>
      <c r="AK14" s="66">
        <f t="shared" si="15"/>
        <v>-2.210499268284849</v>
      </c>
    </row>
    <row r="15" spans="1:37" ht="15.75" thickBot="1">
      <c r="A15" s="42">
        <v>11</v>
      </c>
      <c r="B15" s="23">
        <f>+(Diaria!B15/1000)+Anual!B14</f>
        <v>4.9043946855477003</v>
      </c>
      <c r="C15" s="65">
        <f t="shared" si="3"/>
        <v>5.4184570000000001</v>
      </c>
      <c r="D15" s="67">
        <f t="shared" si="0"/>
        <v>-0.51406231445229977</v>
      </c>
      <c r="E15" s="64">
        <f>+E14+(Diaria!D15/1000)</f>
        <v>18.399126477184602</v>
      </c>
      <c r="F15" s="54">
        <f t="shared" si="4"/>
        <v>21.039807</v>
      </c>
      <c r="G15" s="67">
        <f t="shared" si="1"/>
        <v>-2.6406805228153978</v>
      </c>
      <c r="H15" s="27">
        <f>+(Diaria!F15/1000)+Anual!H14</f>
        <v>33.539268085811209</v>
      </c>
      <c r="I15" s="54">
        <f t="shared" si="5"/>
        <v>36.205958999999979</v>
      </c>
      <c r="J15" s="67">
        <f t="shared" si="2"/>
        <v>-2.66669091418877</v>
      </c>
      <c r="K15" s="27">
        <f>K14+Diaria!H15/1000</f>
        <v>51.158059200609316</v>
      </c>
      <c r="L15" s="54">
        <f t="shared" si="6"/>
        <v>52.525881999999989</v>
      </c>
      <c r="M15" s="66">
        <f t="shared" si="16"/>
        <v>-1.3678227993906731</v>
      </c>
      <c r="N15" s="27">
        <f>N14+Diaria!J15/1000</f>
        <v>67.114863992120391</v>
      </c>
      <c r="O15" s="54">
        <f t="shared" si="7"/>
        <v>68.439639000000085</v>
      </c>
      <c r="P15" s="66">
        <f t="shared" si="8"/>
        <v>-1.324775007879694</v>
      </c>
      <c r="Q15" s="27">
        <f>Q14+Diaria!L15/1000</f>
        <v>82.766594808293107</v>
      </c>
      <c r="R15" s="54">
        <f t="shared" si="17"/>
        <v>84.682329000000138</v>
      </c>
      <c r="S15" s="66">
        <f t="shared" si="9"/>
        <v>-1.9157341917070312</v>
      </c>
      <c r="T15" s="27">
        <f>IF(Diaria!N15&gt;0,Anual!T14+Diaria!N15/1000,0)</f>
        <v>99.955493908340358</v>
      </c>
      <c r="U15" s="54">
        <f>U14+Diaria!O14/1000</f>
        <v>100.48163900000013</v>
      </c>
      <c r="V15" s="66">
        <f t="shared" si="10"/>
        <v>-0.52614509165977097</v>
      </c>
      <c r="W15" s="27">
        <f>IF(Diaria!R15&gt;0,Anual!W14+Diaria!R15/1000,0)</f>
        <v>118.19132119206556</v>
      </c>
      <c r="X15" s="54">
        <f>X14+Diaria!S15/1000</f>
        <v>116.39886900000032</v>
      </c>
      <c r="Y15" s="66">
        <f t="shared" si="11"/>
        <v>1.792452192065241</v>
      </c>
      <c r="Z15" s="27">
        <f>IF(Diaria!V15&gt;0,Anual!Z14+Diaria!V15/1000,0)</f>
        <v>136.80210700558695</v>
      </c>
      <c r="AA15" s="54">
        <f>IF(Diaria!V15&gt;0, AA14+Diaria!W15/1000,0)</f>
        <v>132.43138900000054</v>
      </c>
      <c r="AB15" s="66">
        <f t="shared" si="12"/>
        <v>4.3707180055864114</v>
      </c>
      <c r="AC15" s="27">
        <f>IF(Diaria!Z15&gt;0,Anual!AC14+Diaria!Z15/1000,0)</f>
        <v>152.68430649775772</v>
      </c>
      <c r="AD15" s="54">
        <f>IF(Diaria!Z15&gt;0, AD14+Diaria!AA15/1000,0)</f>
        <v>148.02497900000083</v>
      </c>
      <c r="AE15" s="66">
        <f t="shared" si="13"/>
        <v>4.659327497756891</v>
      </c>
      <c r="AF15" s="27">
        <f>IF(Diaria!AD15&gt;0,Anual!AF14+Diaria!AD15/1000,0)</f>
        <v>165.44189473171562</v>
      </c>
      <c r="AG15" s="54">
        <f>IF(Diaria!AD15&gt;0, AG14+Diaria!AE15/1000,0)</f>
        <v>163.93582900000081</v>
      </c>
      <c r="AH15" s="66">
        <f t="shared" si="14"/>
        <v>1.5060657317148127</v>
      </c>
      <c r="AI15" s="27">
        <f>IF(Diaria!AH15&gt;0,Anual!AI14+Diaria!AH15/1000,0)</f>
        <v>177.22598973171566</v>
      </c>
      <c r="AJ15" s="54">
        <f>IF(Diaria!AH15&gt;0, AJ14+Diaria!AI15/1000,0)</f>
        <v>179.43364900000051</v>
      </c>
      <c r="AK15" s="66">
        <f t="shared" si="15"/>
        <v>-2.207659268284857</v>
      </c>
    </row>
    <row r="16" spans="1:37" ht="15.75" thickBot="1">
      <c r="A16" s="42">
        <v>12</v>
      </c>
      <c r="B16" s="23">
        <f>+(Diaria!B16/1000)+Anual!B15</f>
        <v>5.3967135057385001</v>
      </c>
      <c r="C16" s="65">
        <f t="shared" si="3"/>
        <v>5.9110440000000004</v>
      </c>
      <c r="D16" s="67">
        <f t="shared" si="0"/>
        <v>-0.51433049426150035</v>
      </c>
      <c r="E16" s="64">
        <f>+E15+(Diaria!D16/1000)</f>
        <v>18.965388332234003</v>
      </c>
      <c r="F16" s="54">
        <f t="shared" si="4"/>
        <v>21.564316999999999</v>
      </c>
      <c r="G16" s="67">
        <f t="shared" si="1"/>
        <v>-2.5989286677659962</v>
      </c>
      <c r="H16" s="27">
        <f>+(Diaria!F16/1000)+Anual!H15</f>
        <v>34.149951860164407</v>
      </c>
      <c r="I16" s="54">
        <f t="shared" si="5"/>
        <v>36.726410999999977</v>
      </c>
      <c r="J16" s="67">
        <f t="shared" si="2"/>
        <v>-2.5764591398355705</v>
      </c>
      <c r="K16" s="27">
        <f>K15+Diaria!H16/1000</f>
        <v>51.834241173688113</v>
      </c>
      <c r="L16" s="54">
        <f t="shared" si="6"/>
        <v>53.063234999999992</v>
      </c>
      <c r="M16" s="66">
        <f t="shared" si="16"/>
        <v>-1.2289938263118785</v>
      </c>
      <c r="N16" s="27">
        <f>N15+Diaria!J16/1000</f>
        <v>67.82977657851589</v>
      </c>
      <c r="O16" s="54">
        <f t="shared" si="7"/>
        <v>68.95818900000009</v>
      </c>
      <c r="P16" s="66">
        <f t="shared" si="8"/>
        <v>-1.1284124214841995</v>
      </c>
      <c r="Q16" s="27">
        <f>Q15+Diaria!L16/1000</f>
        <v>83.48666931519071</v>
      </c>
      <c r="R16" s="54">
        <f t="shared" si="17"/>
        <v>85.216119000000134</v>
      </c>
      <c r="S16" s="66">
        <f t="shared" si="9"/>
        <v>-1.7294496848094241</v>
      </c>
      <c r="T16" s="27">
        <f>IF(Diaria!N16&gt;0,Anual!T15+Diaria!N16/1000,0)</f>
        <v>100.68866581497586</v>
      </c>
      <c r="U16" s="54">
        <f>U15+Diaria!O15/1000</f>
        <v>100.99593900000013</v>
      </c>
      <c r="V16" s="66">
        <f t="shared" si="10"/>
        <v>-0.30727318502427181</v>
      </c>
      <c r="W16" s="27">
        <f>IF(Diaria!R16&gt;0,Anual!W15+Diaria!R16/1000,0)</f>
        <v>118.80809655379836</v>
      </c>
      <c r="X16" s="54">
        <f>X15+Diaria!S16/1000</f>
        <v>116.91079900000032</v>
      </c>
      <c r="Y16" s="66">
        <f t="shared" si="11"/>
        <v>1.8972975537980403</v>
      </c>
      <c r="Z16" s="27">
        <f>IF(Diaria!V16&gt;0,Anual!Z15+Diaria!V16/1000,0)</f>
        <v>137.46283228961815</v>
      </c>
      <c r="AA16" s="54">
        <f>IF(Diaria!V16&gt;0, AA15+Diaria!W16/1000,0)</f>
        <v>132.95810900000055</v>
      </c>
      <c r="AB16" s="66">
        <f t="shared" si="12"/>
        <v>4.5047232896176013</v>
      </c>
      <c r="AC16" s="27">
        <f>IF(Diaria!Z16&gt;0,Anual!AC15+Diaria!Z16/1000,0)</f>
        <v>153.19436053331893</v>
      </c>
      <c r="AD16" s="54">
        <f>IF(Diaria!Z16&gt;0, AD15+Diaria!AA16/1000,0)</f>
        <v>148.53278900000083</v>
      </c>
      <c r="AE16" s="66">
        <f t="shared" si="13"/>
        <v>4.6615715333180958</v>
      </c>
      <c r="AF16" s="27">
        <f>IF(Diaria!AD16&gt;0,Anual!AF15+Diaria!AD16/1000,0)</f>
        <v>165.95330473171563</v>
      </c>
      <c r="AG16" s="54">
        <f>IF(Diaria!AD16&gt;0, AG15+Diaria!AE16/1000,0)</f>
        <v>164.4589790000008</v>
      </c>
      <c r="AH16" s="66">
        <f t="shared" si="14"/>
        <v>1.494325731714838</v>
      </c>
      <c r="AI16" s="27">
        <f>IF(Diaria!AH16&gt;0,Anual!AI15+Diaria!AH16/1000,0)</f>
        <v>177.61744973171565</v>
      </c>
      <c r="AJ16" s="54">
        <f>IF(Diaria!AH16&gt;0, AJ15+Diaria!AI16/1000,0)</f>
        <v>179.93891900000051</v>
      </c>
      <c r="AK16" s="66">
        <f t="shared" si="15"/>
        <v>-2.3214692682848579</v>
      </c>
    </row>
    <row r="17" spans="1:37" ht="15.75" thickBot="1">
      <c r="A17" s="42">
        <v>13</v>
      </c>
      <c r="B17" s="23">
        <f>+(Diaria!B17/1000)+Anual!B16</f>
        <v>5.8302874194159999</v>
      </c>
      <c r="C17" s="65">
        <f t="shared" si="3"/>
        <v>6.4036310000000007</v>
      </c>
      <c r="D17" s="67">
        <f t="shared" si="0"/>
        <v>-0.57334358058400081</v>
      </c>
      <c r="E17" s="64">
        <f>+E16+(Diaria!D17/1000)</f>
        <v>19.438159504477301</v>
      </c>
      <c r="F17" s="54">
        <f t="shared" si="4"/>
        <v>22.088826999999998</v>
      </c>
      <c r="G17" s="67">
        <f t="shared" si="1"/>
        <v>-2.650667495522697</v>
      </c>
      <c r="H17" s="27">
        <f>+(Diaria!F17/1000)+Anual!H16</f>
        <v>34.827055924343107</v>
      </c>
      <c r="I17" s="54">
        <f t="shared" si="5"/>
        <v>37.246862999999976</v>
      </c>
      <c r="J17" s="67">
        <f t="shared" si="2"/>
        <v>-2.4198070756568697</v>
      </c>
      <c r="K17" s="27">
        <f>K16+Diaria!H17/1000</f>
        <v>52.431825888775514</v>
      </c>
      <c r="L17" s="54">
        <f t="shared" si="6"/>
        <v>53.600587999999995</v>
      </c>
      <c r="M17" s="66">
        <f t="shared" si="16"/>
        <v>-1.1687621112244813</v>
      </c>
      <c r="N17" s="27">
        <f>N16+Diaria!J17/1000</f>
        <v>68.543883949341293</v>
      </c>
      <c r="O17" s="54">
        <f t="shared" si="7"/>
        <v>69.476739000000094</v>
      </c>
      <c r="P17" s="66">
        <f t="shared" si="8"/>
        <v>-0.93285505065880159</v>
      </c>
      <c r="Q17" s="27">
        <f>Q16+Diaria!L17/1000</f>
        <v>84.182989711247913</v>
      </c>
      <c r="R17" s="54">
        <f t="shared" si="17"/>
        <v>85.74990900000013</v>
      </c>
      <c r="S17" s="66">
        <f t="shared" si="9"/>
        <v>-1.5669192887522172</v>
      </c>
      <c r="T17" s="27">
        <f>IF(Diaria!N17&gt;0,Anual!T16+Diaria!N17/1000,0)</f>
        <v>101.11300355278426</v>
      </c>
      <c r="U17" s="54">
        <f>U16+Diaria!O16/1000</f>
        <v>101.51023900000014</v>
      </c>
      <c r="V17" s="66">
        <f t="shared" si="10"/>
        <v>-0.397235447215877</v>
      </c>
      <c r="W17" s="27">
        <f>IF(Diaria!R17&gt;0,Anual!W16+Diaria!R17/1000,0)</f>
        <v>119.42631426178366</v>
      </c>
      <c r="X17" s="54">
        <f>X16+Diaria!S17/1000</f>
        <v>117.42272900000033</v>
      </c>
      <c r="Y17" s="66">
        <f t="shared" si="11"/>
        <v>2.0035852617833285</v>
      </c>
      <c r="Z17" s="27">
        <f>IF(Diaria!V17&gt;0,Anual!Z16+Diaria!V17/1000,0)</f>
        <v>138.11946235779686</v>
      </c>
      <c r="AA17" s="54">
        <f>IF(Diaria!V17&gt;0, AA16+Diaria!W17/1000,0)</f>
        <v>133.48482900000056</v>
      </c>
      <c r="AB17" s="66">
        <f t="shared" si="12"/>
        <v>4.6346333577963037</v>
      </c>
      <c r="AC17" s="27">
        <f>IF(Diaria!Z17&gt;0,Anual!AC16+Diaria!Z17/1000,0)</f>
        <v>153.80999557903453</v>
      </c>
      <c r="AD17" s="54">
        <f>IF(Diaria!Z17&gt;0, AD16+Diaria!AA17/1000,0)</f>
        <v>149.04059900000084</v>
      </c>
      <c r="AE17" s="66">
        <f t="shared" si="13"/>
        <v>4.7693965790336961</v>
      </c>
      <c r="AF17" s="27">
        <f>IF(Diaria!AD17&gt;0,Anual!AF16+Diaria!AD17/1000,0)</f>
        <v>166.38336473171563</v>
      </c>
      <c r="AG17" s="54">
        <f>IF(Diaria!AD17&gt;0, AG16+Diaria!AE17/1000,0)</f>
        <v>164.98212900000078</v>
      </c>
      <c r="AH17" s="66">
        <f t="shared" si="14"/>
        <v>1.4012357317148485</v>
      </c>
      <c r="AI17" s="27">
        <f>IF(Diaria!AH17&gt;0,Anual!AI16+Diaria!AH17/1000,0)</f>
        <v>177.97245973171565</v>
      </c>
      <c r="AJ17" s="54">
        <f>IF(Diaria!AH17&gt;0, AJ16+Diaria!AI17/1000,0)</f>
        <v>180.44418900000051</v>
      </c>
      <c r="AK17" s="66">
        <f t="shared" si="15"/>
        <v>-2.4717292682848608</v>
      </c>
    </row>
    <row r="18" spans="1:37" ht="15.75" thickBot="1">
      <c r="A18" s="42">
        <v>14</v>
      </c>
      <c r="B18" s="23">
        <f>+(Diaria!B18/1000)+Anual!B17</f>
        <v>6.3399263962227002</v>
      </c>
      <c r="C18" s="65">
        <f t="shared" si="3"/>
        <v>6.8962180000000011</v>
      </c>
      <c r="D18" s="67">
        <f t="shared" si="0"/>
        <v>-0.55629160377730091</v>
      </c>
      <c r="E18" s="64">
        <f>+E17+(Diaria!D18/1000)</f>
        <v>19.933615049292701</v>
      </c>
      <c r="F18" s="54">
        <f t="shared" si="4"/>
        <v>22.613336999999998</v>
      </c>
      <c r="G18" s="67">
        <f t="shared" si="1"/>
        <v>-2.6797219507072967</v>
      </c>
      <c r="H18" s="27">
        <f>+(Diaria!F18/1000)+Anual!H17</f>
        <v>35.506614649117104</v>
      </c>
      <c r="I18" s="54">
        <f t="shared" si="5"/>
        <v>37.767314999999975</v>
      </c>
      <c r="J18" s="67">
        <f t="shared" si="2"/>
        <v>-2.2607003508828711</v>
      </c>
      <c r="K18" s="27">
        <f>K17+Diaria!H18/1000</f>
        <v>52.926829129681614</v>
      </c>
      <c r="L18" s="54">
        <f t="shared" si="6"/>
        <v>54.137940999999998</v>
      </c>
      <c r="M18" s="66">
        <f t="shared" si="16"/>
        <v>-1.2111118703183834</v>
      </c>
      <c r="N18" s="27">
        <f>N17+Diaria!J18/1000</f>
        <v>69.246992717209793</v>
      </c>
      <c r="O18" s="54">
        <f t="shared" si="7"/>
        <v>69.995289000000099</v>
      </c>
      <c r="P18" s="66">
        <f t="shared" si="8"/>
        <v>-0.74829628279030658</v>
      </c>
      <c r="Q18" s="27">
        <f>Q17+Diaria!L18/1000</f>
        <v>84.919573673585916</v>
      </c>
      <c r="R18" s="54">
        <f t="shared" si="17"/>
        <v>86.283699000000126</v>
      </c>
      <c r="S18" s="66">
        <f t="shared" si="9"/>
        <v>-1.3641253264142108</v>
      </c>
      <c r="T18" s="27">
        <f>IF(Diaria!N18&gt;0,Anual!T17+Diaria!N18/1000,0)</f>
        <v>101.63843137217866</v>
      </c>
      <c r="U18" s="54">
        <f>U17+Diaria!O17/1000</f>
        <v>102.02453900000015</v>
      </c>
      <c r="V18" s="66">
        <f t="shared" si="10"/>
        <v>-0.38610762782148811</v>
      </c>
      <c r="W18" s="27">
        <f>IF(Diaria!R18&gt;0,Anual!W17+Diaria!R18/1000,0)</f>
        <v>119.94584424370206</v>
      </c>
      <c r="X18" s="54">
        <f>X17+Diaria!S18/1000</f>
        <v>117.93465900000034</v>
      </c>
      <c r="Y18" s="66">
        <f t="shared" si="11"/>
        <v>2.0111852437017177</v>
      </c>
      <c r="Z18" s="27">
        <f>IF(Diaria!V18&gt;0,Anual!Z17+Diaria!V18/1000,0)</f>
        <v>138.59324016710056</v>
      </c>
      <c r="AA18" s="54">
        <f>IF(Diaria!V18&gt;0, AA17+Diaria!W18/1000,0)</f>
        <v>134.01154900000057</v>
      </c>
      <c r="AB18" s="66">
        <f t="shared" si="12"/>
        <v>4.58169116709999</v>
      </c>
      <c r="AC18" s="27">
        <f>IF(Diaria!Z18&gt;0,Anual!AC17+Diaria!Z18/1000,0)</f>
        <v>154.32303649064713</v>
      </c>
      <c r="AD18" s="54">
        <f>IF(Diaria!Z18&gt;0, AD17+Diaria!AA18/1000,0)</f>
        <v>149.54840900000085</v>
      </c>
      <c r="AE18" s="66">
        <f t="shared" si="13"/>
        <v>4.7746274906462816</v>
      </c>
      <c r="AF18" s="27">
        <f>IF(Diaria!AD18&gt;0,Anual!AF17+Diaria!AD18/1000,0)</f>
        <v>166.66731473171563</v>
      </c>
      <c r="AG18" s="54">
        <f>IF(Diaria!AD18&gt;0, AG17+Diaria!AE18/1000,0)</f>
        <v>165.50527900000077</v>
      </c>
      <c r="AH18" s="66">
        <f t="shared" si="14"/>
        <v>1.162035731714866</v>
      </c>
      <c r="AI18" s="27">
        <f>IF(Diaria!AH18&gt;0,Anual!AI17+Diaria!AH18/1000,0)</f>
        <v>178.13243973171564</v>
      </c>
      <c r="AJ18" s="54">
        <f>IF(Diaria!AH18&gt;0, AJ17+Diaria!AI18/1000,0)</f>
        <v>180.9494590000005</v>
      </c>
      <c r="AK18" s="66">
        <f t="shared" si="15"/>
        <v>-2.8170192682848665</v>
      </c>
    </row>
    <row r="19" spans="1:37" ht="15.75" thickBot="1">
      <c r="A19" s="42">
        <v>15</v>
      </c>
      <c r="B19" s="23">
        <f>+(Diaria!B19/1000)+Anual!B18</f>
        <v>6.8760237201668</v>
      </c>
      <c r="C19" s="65">
        <f t="shared" si="3"/>
        <v>7.3888050000000014</v>
      </c>
      <c r="D19" s="67">
        <f t="shared" si="0"/>
        <v>-0.51278127983320143</v>
      </c>
      <c r="E19" s="64">
        <f>+E18+(Diaria!D19/1000)</f>
        <v>20.362112685233502</v>
      </c>
      <c r="F19" s="54">
        <f t="shared" si="4"/>
        <v>23.137846999999997</v>
      </c>
      <c r="G19" s="67">
        <f t="shared" si="1"/>
        <v>-2.7757343147664955</v>
      </c>
      <c r="H19" s="27">
        <f>+(Diaria!F19/1000)+Anual!H18</f>
        <v>36.077737198403007</v>
      </c>
      <c r="I19" s="54">
        <f t="shared" si="5"/>
        <v>38.287766999999974</v>
      </c>
      <c r="J19" s="67">
        <f t="shared" si="2"/>
        <v>-2.210029801596967</v>
      </c>
      <c r="K19" s="27">
        <f>K18+Diaria!H19/1000</f>
        <v>53.442945877719914</v>
      </c>
      <c r="L19" s="54">
        <f t="shared" si="6"/>
        <v>54.675294000000001</v>
      </c>
      <c r="M19" s="66">
        <f t="shared" si="16"/>
        <v>-1.2323481222800865</v>
      </c>
      <c r="N19" s="27">
        <f>N18+Diaria!J19/1000</f>
        <v>69.942254170052891</v>
      </c>
      <c r="O19" s="54">
        <f t="shared" si="7"/>
        <v>70.513839000000104</v>
      </c>
      <c r="P19" s="66">
        <f t="shared" si="8"/>
        <v>-0.57158482994721282</v>
      </c>
      <c r="Q19" s="27">
        <f>Q18+Diaria!L19/1000</f>
        <v>85.613477408863915</v>
      </c>
      <c r="R19" s="54">
        <f t="shared" si="17"/>
        <v>86.817489000000123</v>
      </c>
      <c r="S19" s="66">
        <f t="shared" si="9"/>
        <v>-1.2040115911362079</v>
      </c>
      <c r="T19" s="27">
        <f>IF(Diaria!N19&gt;0,Anual!T18+Diaria!N19/1000,0)</f>
        <v>102.32370423075285</v>
      </c>
      <c r="U19" s="54">
        <f>U18+Diaria!O18/1000</f>
        <v>102.53883900000015</v>
      </c>
      <c r="V19" s="66">
        <f t="shared" si="10"/>
        <v>-0.21513476924729957</v>
      </c>
      <c r="W19" s="27">
        <f>IF(Diaria!R19&gt;0,Anual!W18+Diaria!R19/1000,0)</f>
        <v>120.43578658654455</v>
      </c>
      <c r="X19" s="54">
        <f>X18+Diaria!S19/1000</f>
        <v>118.44658900000034</v>
      </c>
      <c r="Y19" s="66">
        <f t="shared" si="11"/>
        <v>1.9891975865442078</v>
      </c>
      <c r="Z19" s="27">
        <f>IF(Diaria!V19&gt;0,Anual!Z18+Diaria!V19/1000,0)</f>
        <v>139.07772629079736</v>
      </c>
      <c r="AA19" s="54">
        <f>IF(Diaria!V19&gt;0, AA18+Diaria!W19/1000,0)</f>
        <v>134.53826900000058</v>
      </c>
      <c r="AB19" s="66">
        <f t="shared" si="12"/>
        <v>4.5394572907967756</v>
      </c>
      <c r="AC19" s="27">
        <f>IF(Diaria!Z19&gt;0,Anual!AC18+Diaria!Z19/1000,0)</f>
        <v>154.83784338508391</v>
      </c>
      <c r="AD19" s="54">
        <f>IF(Diaria!Z19&gt;0, AD18+Diaria!AA19/1000,0)</f>
        <v>150.05621900000085</v>
      </c>
      <c r="AE19" s="66">
        <f t="shared" si="13"/>
        <v>4.7816243850830631</v>
      </c>
      <c r="AF19" s="27">
        <f>IF(Diaria!AD19&gt;0,Anual!AF18+Diaria!AD19/1000,0)</f>
        <v>167.05159473171562</v>
      </c>
      <c r="AG19" s="54">
        <f>IF(Diaria!AD19&gt;0, AG18+Diaria!AE19/1000,0)</f>
        <v>166.02842900000076</v>
      </c>
      <c r="AH19" s="66">
        <f t="shared" si="14"/>
        <v>1.0231657317148688</v>
      </c>
      <c r="AI19" s="27">
        <f>IF(Diaria!AH19&gt;0,Anual!AI18+Diaria!AH19/1000,0)</f>
        <v>178.54591973171563</v>
      </c>
      <c r="AJ19" s="54">
        <f>IF(Diaria!AH19&gt;0, AJ18+Diaria!AI19/1000,0)</f>
        <v>181.4547290000005</v>
      </c>
      <c r="AK19" s="66">
        <f t="shared" si="15"/>
        <v>-2.9088092682848696</v>
      </c>
    </row>
    <row r="20" spans="1:37" ht="15.75" thickBot="1">
      <c r="A20" s="42">
        <v>16</v>
      </c>
      <c r="B20" s="23">
        <f>+(Diaria!B20/1000)+Anual!B19</f>
        <v>7.4085983307666003</v>
      </c>
      <c r="C20" s="65">
        <f t="shared" si="3"/>
        <v>7.8813920000000017</v>
      </c>
      <c r="D20" s="67">
        <f t="shared" si="0"/>
        <v>-0.47279366923340138</v>
      </c>
      <c r="E20" s="64">
        <f>+E19+(Diaria!D20/1000)</f>
        <v>20.885183045593301</v>
      </c>
      <c r="F20" s="54">
        <f t="shared" si="4"/>
        <v>23.662356999999997</v>
      </c>
      <c r="G20" s="67">
        <f t="shared" si="1"/>
        <v>-2.7771739544066953</v>
      </c>
      <c r="H20" s="27">
        <f>+(Diaria!F20/1000)+Anual!H19</f>
        <v>36.659402519509307</v>
      </c>
      <c r="I20" s="54">
        <f t="shared" si="5"/>
        <v>38.808218999999973</v>
      </c>
      <c r="J20" s="67">
        <f t="shared" si="2"/>
        <v>-2.148816480490666</v>
      </c>
      <c r="K20" s="27">
        <f>K19+Diaria!H20/1000</f>
        <v>53.698642871095913</v>
      </c>
      <c r="L20" s="54">
        <f t="shared" si="6"/>
        <v>55.212647000000004</v>
      </c>
      <c r="M20" s="66">
        <f t="shared" si="16"/>
        <v>-1.5140041289040909</v>
      </c>
      <c r="N20" s="27">
        <f>N19+Diaria!J20/1000</f>
        <v>70.629083250970496</v>
      </c>
      <c r="O20" s="54">
        <f t="shared" si="7"/>
        <v>71.032389000000109</v>
      </c>
      <c r="P20" s="66">
        <f t="shared" si="8"/>
        <v>-0.40330574902961303</v>
      </c>
      <c r="Q20" s="27">
        <f>Q19+Diaria!L20/1000</f>
        <v>86.157587083143014</v>
      </c>
      <c r="R20" s="54">
        <f t="shared" si="17"/>
        <v>87.351279000000119</v>
      </c>
      <c r="S20" s="66">
        <f t="shared" si="9"/>
        <v>-1.1936919168571052</v>
      </c>
      <c r="T20" s="27">
        <f>IF(Diaria!N20&gt;0,Anual!T19+Diaria!N20/1000,0)</f>
        <v>103.04779870355256</v>
      </c>
      <c r="U20" s="54">
        <f>U19+Diaria!O19/1000</f>
        <v>103.05313900000016</v>
      </c>
      <c r="V20" s="66">
        <f t="shared" si="10"/>
        <v>-5.3402964475992576E-3</v>
      </c>
      <c r="W20" s="27">
        <f>IF(Diaria!R20&gt;0,Anual!W19+Diaria!R20/1000,0)</f>
        <v>120.97555944092655</v>
      </c>
      <c r="X20" s="54">
        <f>X19+Diaria!S20/1000</f>
        <v>118.95851900000035</v>
      </c>
      <c r="Y20" s="66">
        <f t="shared" si="11"/>
        <v>2.0170404409261948</v>
      </c>
      <c r="Z20" s="27">
        <f>IF(Diaria!V20&gt;0,Anual!Z19+Diaria!V20/1000,0)</f>
        <v>139.61689746504734</v>
      </c>
      <c r="AA20" s="54">
        <f>IF(Diaria!V20&gt;0, AA19+Diaria!W20/1000,0)</f>
        <v>135.06498900000059</v>
      </c>
      <c r="AB20" s="66">
        <f t="shared" si="12"/>
        <v>4.5519084650467505</v>
      </c>
      <c r="AC20" s="27">
        <f>IF(Diaria!Z20&gt;0,Anual!AC19+Diaria!Z20/1000,0)</f>
        <v>155.41832099335872</v>
      </c>
      <c r="AD20" s="54">
        <f>IF(Diaria!Z20&gt;0, AD19+Diaria!AA20/1000,0)</f>
        <v>150.56402900000086</v>
      </c>
      <c r="AE20" s="66">
        <f t="shared" si="13"/>
        <v>4.8542919933578617</v>
      </c>
      <c r="AF20" s="27">
        <f>IF(Diaria!AD20&gt;0,Anual!AF19+Diaria!AD20/1000,0)</f>
        <v>167.39562473171563</v>
      </c>
      <c r="AG20" s="54">
        <f>IF(Diaria!AD20&gt;0, AG19+Diaria!AE20/1000,0)</f>
        <v>166.55157900000074</v>
      </c>
      <c r="AH20" s="66">
        <f t="shared" si="14"/>
        <v>0.84404573171488551</v>
      </c>
      <c r="AI20" s="27">
        <f>IF(Diaria!AH20&gt;0,Anual!AI19+Diaria!AH20/1000,0)</f>
        <v>178.92367973171562</v>
      </c>
      <c r="AJ20" s="54">
        <f>IF(Diaria!AH20&gt;0, AJ19+Diaria!AI20/1000,0)</f>
        <v>181.95999900000049</v>
      </c>
      <c r="AK20" s="66">
        <f t="shared" si="15"/>
        <v>-3.0363192682848705</v>
      </c>
    </row>
    <row r="21" spans="1:37" ht="15.75" thickBot="1">
      <c r="A21" s="42">
        <v>17</v>
      </c>
      <c r="B21" s="23">
        <f>+(Diaria!B21/1000)+Anual!B20</f>
        <v>7.9419222345142</v>
      </c>
      <c r="C21" s="65">
        <f t="shared" si="3"/>
        <v>8.3739790000000021</v>
      </c>
      <c r="D21" s="67">
        <f t="shared" si="0"/>
        <v>-0.43205676548580207</v>
      </c>
      <c r="E21" s="64">
        <f>+E20+(Diaria!D21/1000)</f>
        <v>21.340911186844203</v>
      </c>
      <c r="F21" s="54">
        <f t="shared" si="4"/>
        <v>24.186866999999996</v>
      </c>
      <c r="G21" s="67">
        <f t="shared" si="1"/>
        <v>-2.8459558131557934</v>
      </c>
      <c r="H21" s="27">
        <f>+(Diaria!F21/1000)+Anual!H20</f>
        <v>37.265361292611708</v>
      </c>
      <c r="I21" s="54">
        <f t="shared" si="5"/>
        <v>39.328670999999972</v>
      </c>
      <c r="J21" s="67">
        <f t="shared" si="2"/>
        <v>-2.0633097073882638</v>
      </c>
      <c r="K21" s="27">
        <f>K20+Diaria!H21/1000</f>
        <v>54.314889229682315</v>
      </c>
      <c r="L21" s="54">
        <f t="shared" si="6"/>
        <v>55.750000000000007</v>
      </c>
      <c r="M21" s="66">
        <f t="shared" si="16"/>
        <v>-1.4351107703176922</v>
      </c>
      <c r="N21" s="27">
        <f>N20+Diaria!J21/1000</f>
        <v>71.317970678415591</v>
      </c>
      <c r="O21" s="54">
        <f t="shared" si="7"/>
        <v>71.550939000000113</v>
      </c>
      <c r="P21" s="66">
        <f t="shared" si="8"/>
        <v>-0.23296832158452219</v>
      </c>
      <c r="Q21" s="27">
        <f>Q20+Diaria!L21/1000</f>
        <v>86.681449981587718</v>
      </c>
      <c r="R21" s="54">
        <f t="shared" si="17"/>
        <v>87.885069000000115</v>
      </c>
      <c r="S21" s="66">
        <f t="shared" si="9"/>
        <v>-1.2036190184123967</v>
      </c>
      <c r="T21" s="27">
        <f>IF(Diaria!N21&gt;0,Anual!T20+Diaria!N21/1000,0)</f>
        <v>103.64570587065256</v>
      </c>
      <c r="U21" s="54">
        <f>U20+Diaria!O20/1000</f>
        <v>103.56743900000016</v>
      </c>
      <c r="V21" s="66">
        <f t="shared" si="10"/>
        <v>7.8266870652399234E-2</v>
      </c>
      <c r="W21" s="27">
        <f>IF(Diaria!R21&gt;0,Anual!W20+Diaria!R21/1000,0)</f>
        <v>121.61753471980434</v>
      </c>
      <c r="X21" s="54">
        <f>X20+Diaria!S21/1000</f>
        <v>119.47044900000036</v>
      </c>
      <c r="Y21" s="66">
        <f t="shared" si="11"/>
        <v>2.1470857198039823</v>
      </c>
      <c r="Z21" s="27">
        <f>IF(Diaria!V21&gt;0,Anual!Z20+Diaria!V21/1000,0)</f>
        <v>140.20159603341205</v>
      </c>
      <c r="AA21" s="54">
        <f>IF(Diaria!V21&gt;0, AA20+Diaria!W21/1000,0)</f>
        <v>135.59170900000061</v>
      </c>
      <c r="AB21" s="66">
        <f t="shared" si="12"/>
        <v>4.6098870334114395</v>
      </c>
      <c r="AC21" s="27">
        <f>IF(Diaria!Z21&gt;0,Anual!AC20+Diaria!Z21/1000,0)</f>
        <v>156.03359254095872</v>
      </c>
      <c r="AD21" s="54">
        <f>IF(Diaria!Z21&gt;0, AD20+Diaria!AA21/1000,0)</f>
        <v>151.07183900000086</v>
      </c>
      <c r="AE21" s="66">
        <f t="shared" si="13"/>
        <v>4.9617535409578579</v>
      </c>
      <c r="AF21" s="27">
        <f>IF(Diaria!AD21&gt;0,Anual!AF20+Diaria!AD21/1000,0)</f>
        <v>167.71174473171564</v>
      </c>
      <c r="AG21" s="54">
        <f>IF(Diaria!AD21&gt;0, AG20+Diaria!AE21/1000,0)</f>
        <v>167.07472900000073</v>
      </c>
      <c r="AH21" s="66">
        <f t="shared" si="14"/>
        <v>0.63701573171491077</v>
      </c>
      <c r="AI21" s="27">
        <f>IF(Diaria!AH21&gt;0,Anual!AI20+Diaria!AH21/1000,0)</f>
        <v>179.41449973171564</v>
      </c>
      <c r="AJ21" s="54">
        <f>IF(Diaria!AH21&gt;0, AJ20+Diaria!AI21/1000,0)</f>
        <v>182.46526900000049</v>
      </c>
      <c r="AK21" s="66">
        <f t="shared" si="15"/>
        <v>-3.0507692682848528</v>
      </c>
    </row>
    <row r="22" spans="1:37" ht="15.75" thickBot="1">
      <c r="A22" s="42">
        <v>18</v>
      </c>
      <c r="B22" s="23">
        <f>+(Diaria!B22/1000)+Anual!B21</f>
        <v>8.4414731248684998</v>
      </c>
      <c r="C22" s="65">
        <f t="shared" si="3"/>
        <v>8.8665660000000024</v>
      </c>
      <c r="D22" s="67">
        <f t="shared" si="0"/>
        <v>-0.42509287513150262</v>
      </c>
      <c r="E22" s="64">
        <f>+E21+(Diaria!D22/1000)</f>
        <v>21.836693250256403</v>
      </c>
      <c r="F22" s="54">
        <f t="shared" si="4"/>
        <v>24.711376999999995</v>
      </c>
      <c r="G22" s="67">
        <f t="shared" si="1"/>
        <v>-2.8746837497435926</v>
      </c>
      <c r="H22" s="27">
        <f>+(Diaria!F22/1000)+Anual!H21</f>
        <v>37.834642315729106</v>
      </c>
      <c r="I22" s="54">
        <f t="shared" si="5"/>
        <v>39.84912299999997</v>
      </c>
      <c r="J22" s="67">
        <f t="shared" si="2"/>
        <v>-2.0144806842708647</v>
      </c>
      <c r="K22" s="27">
        <f>K21+Diaria!H22/1000</f>
        <v>54.816204339331918</v>
      </c>
      <c r="L22" s="54">
        <f t="shared" si="6"/>
        <v>56.28735300000001</v>
      </c>
      <c r="M22" s="66">
        <f t="shared" si="16"/>
        <v>-1.4711486606680921</v>
      </c>
      <c r="N22" s="27">
        <f>N21+Diaria!J22/1000</f>
        <v>71.98851043032289</v>
      </c>
      <c r="O22" s="54">
        <f t="shared" si="7"/>
        <v>72.069489000000118</v>
      </c>
      <c r="P22" s="66">
        <f t="shared" si="8"/>
        <v>-8.0978569677228052E-2</v>
      </c>
      <c r="Q22" s="27">
        <f>Q21+Diaria!L22/1000</f>
        <v>87.044288452153225</v>
      </c>
      <c r="R22" s="54">
        <f t="shared" si="17"/>
        <v>88.418859000000111</v>
      </c>
      <c r="S22" s="66">
        <f t="shared" si="9"/>
        <v>-1.3745705478468864</v>
      </c>
      <c r="T22" s="27">
        <f>IF(Diaria!N22&gt;0,Anual!T21+Diaria!N22/1000,0)</f>
        <v>104.20692542370806</v>
      </c>
      <c r="U22" s="54">
        <f>U21+Diaria!O21/1000</f>
        <v>104.08173900000017</v>
      </c>
      <c r="V22" s="66">
        <f t="shared" si="10"/>
        <v>0.12518642370788768</v>
      </c>
      <c r="W22" s="27">
        <f>IF(Diaria!R22&gt;0,Anual!W21+Diaria!R22/1000,0)</f>
        <v>122.15477202882045</v>
      </c>
      <c r="X22" s="54">
        <f>X21+Diaria!S22/1000</f>
        <v>119.98237900000036</v>
      </c>
      <c r="Y22" s="66">
        <f t="shared" si="11"/>
        <v>2.1723930288200819</v>
      </c>
      <c r="Z22" s="27">
        <f>IF(Diaria!V22&gt;0,Anual!Z21+Diaria!V22/1000,0)</f>
        <v>140.80223813890325</v>
      </c>
      <c r="AA22" s="54">
        <f>IF(Diaria!V22&gt;0, AA21+Diaria!W22/1000,0)</f>
        <v>136.11842900000062</v>
      </c>
      <c r="AB22" s="66">
        <f t="shared" si="12"/>
        <v>4.6838091389026317</v>
      </c>
      <c r="AC22" s="27">
        <f>IF(Diaria!Z22&gt;0,Anual!AC21+Diaria!Z22/1000,0)</f>
        <v>156.50119513936272</v>
      </c>
      <c r="AD22" s="54">
        <f>IF(Diaria!Z22&gt;0, AD21+Diaria!AA22/1000,0)</f>
        <v>151.57964900000087</v>
      </c>
      <c r="AE22" s="66">
        <f t="shared" si="13"/>
        <v>4.9215461393618511</v>
      </c>
      <c r="AF22" s="27">
        <f>IF(Diaria!AD22&gt;0,Anual!AF21+Diaria!AD22/1000,0)</f>
        <v>168.10135473171565</v>
      </c>
      <c r="AG22" s="54">
        <f>IF(Diaria!AD22&gt;0, AG21+Diaria!AE22/1000,0)</f>
        <v>167.59787900000072</v>
      </c>
      <c r="AH22" s="66">
        <f t="shared" si="14"/>
        <v>0.50347573171492854</v>
      </c>
      <c r="AI22" s="27">
        <f>IF(Diaria!AH22&gt;0,Anual!AI21+Diaria!AH22/1000,0)</f>
        <v>179.87242973171564</v>
      </c>
      <c r="AJ22" s="54">
        <f>IF(Diaria!AH22&gt;0, AJ21+Diaria!AI22/1000,0)</f>
        <v>182.97053900000049</v>
      </c>
      <c r="AK22" s="66">
        <f t="shared" si="15"/>
        <v>-3.0981092682848441</v>
      </c>
    </row>
    <row r="23" spans="1:37" ht="15.75" thickBot="1">
      <c r="A23" s="42">
        <v>19</v>
      </c>
      <c r="B23" s="23">
        <f>+(Diaria!B23/1000)+Anual!B22</f>
        <v>8.9702114538788003</v>
      </c>
      <c r="C23" s="65">
        <f t="shared" si="3"/>
        <v>9.3591530000000027</v>
      </c>
      <c r="D23" s="67">
        <f t="shared" si="0"/>
        <v>-0.38894154612120246</v>
      </c>
      <c r="E23" s="64">
        <f>+E22+(Diaria!D23/1000)</f>
        <v>22.322835241292204</v>
      </c>
      <c r="F23" s="54">
        <f t="shared" si="4"/>
        <v>25.235886999999995</v>
      </c>
      <c r="G23" s="67">
        <f t="shared" si="1"/>
        <v>-2.9130517587077911</v>
      </c>
      <c r="H23" s="27">
        <f>+(Diaria!F23/1000)+Anual!H22</f>
        <v>38.374138284503204</v>
      </c>
      <c r="I23" s="54">
        <f t="shared" si="5"/>
        <v>40.369574999999969</v>
      </c>
      <c r="J23" s="67">
        <f t="shared" si="2"/>
        <v>-1.9954367154967656</v>
      </c>
      <c r="K23" s="27">
        <f>K22+Diaria!H23/1000</f>
        <v>55.320229983135718</v>
      </c>
      <c r="L23" s="54">
        <f t="shared" si="6"/>
        <v>56.824706000000013</v>
      </c>
      <c r="M23" s="66">
        <f t="shared" si="16"/>
        <v>-1.5044760168642952</v>
      </c>
      <c r="N23" s="27">
        <f>N22+Diaria!J23/1000</f>
        <v>72.691274425303192</v>
      </c>
      <c r="O23" s="54">
        <f t="shared" si="7"/>
        <v>72.588039000000123</v>
      </c>
      <c r="P23" s="66">
        <f t="shared" si="8"/>
        <v>0.10323542530306895</v>
      </c>
      <c r="Q23" s="27">
        <f>Q22+Diaria!L23/1000</f>
        <v>87.622301691014329</v>
      </c>
      <c r="R23" s="54">
        <f t="shared" si="17"/>
        <v>88.952649000000108</v>
      </c>
      <c r="S23" s="66">
        <f t="shared" ref="S23" si="18">Q23-R23</f>
        <v>-1.3303473089857789</v>
      </c>
      <c r="T23" s="27">
        <f>IF(Diaria!N23&gt;0,Anual!T22+Diaria!N23/1000,0)</f>
        <v>104.81130994357515</v>
      </c>
      <c r="U23" s="54">
        <f>U22+Diaria!O22/1000</f>
        <v>104.59603900000018</v>
      </c>
      <c r="V23" s="66">
        <f t="shared" si="10"/>
        <v>0.21527094357497845</v>
      </c>
      <c r="W23" s="27">
        <f>IF(Diaria!R23&gt;0,Anual!W22+Diaria!R23/1000,0)</f>
        <v>122.81490611993715</v>
      </c>
      <c r="X23" s="54">
        <f>X22+Diaria!S23/1000</f>
        <v>120.49430900000037</v>
      </c>
      <c r="Y23" s="66">
        <f t="shared" si="11"/>
        <v>2.3205971199367781</v>
      </c>
      <c r="Z23" s="27">
        <f>IF(Diaria!V23&gt;0,Anual!Z22+Diaria!V23/1000,0)</f>
        <v>141.38595915078946</v>
      </c>
      <c r="AA23" s="54">
        <f>IF(Diaria!V23&gt;0, AA22+Diaria!W23/1000,0)</f>
        <v>136.64514900000063</v>
      </c>
      <c r="AB23" s="66">
        <f t="shared" si="12"/>
        <v>4.7408101507888318</v>
      </c>
      <c r="AC23" s="27">
        <f>IF(Diaria!Z23&gt;0,Anual!AC22+Diaria!Z23/1000,0)</f>
        <v>156.95462188396712</v>
      </c>
      <c r="AD23" s="54">
        <f>IF(Diaria!Z23&gt;0, AD22+Diaria!AA23/1000,0)</f>
        <v>152.08745900000088</v>
      </c>
      <c r="AE23" s="66">
        <f t="shared" si="13"/>
        <v>4.8671628839662446</v>
      </c>
      <c r="AF23" s="27">
        <f>IF(Diaria!AD23&gt;0,Anual!AF22+Diaria!AD23/1000,0)</f>
        <v>168.61509473171566</v>
      </c>
      <c r="AG23" s="54">
        <f>IF(Diaria!AD23&gt;0, AG22+Diaria!AE23/1000,0)</f>
        <v>168.1210290000007</v>
      </c>
      <c r="AH23" s="66">
        <f t="shared" si="14"/>
        <v>0.49406573171495438</v>
      </c>
      <c r="AI23" s="27">
        <f>IF(Diaria!AH23&gt;0,Anual!AI22+Diaria!AH23/1000,0)</f>
        <v>180.34545973171564</v>
      </c>
      <c r="AJ23" s="54">
        <f>IF(Diaria!AH23&gt;0, AJ22+Diaria!AI23/1000,0)</f>
        <v>183.47580900000048</v>
      </c>
      <c r="AK23" s="66">
        <f t="shared" si="15"/>
        <v>-3.1303492682848457</v>
      </c>
    </row>
    <row r="24" spans="1:37" ht="15.75" thickBot="1">
      <c r="A24" s="42">
        <v>20</v>
      </c>
      <c r="B24" s="23">
        <f>+(Diaria!B24/1000)+Anual!B23</f>
        <v>9.4609125503755003</v>
      </c>
      <c r="C24" s="65">
        <f t="shared" si="3"/>
        <v>9.8517400000000031</v>
      </c>
      <c r="D24" s="67">
        <f t="shared" si="0"/>
        <v>-0.39082744962450278</v>
      </c>
      <c r="E24" s="64">
        <f>+E23+(Diaria!D24/1000)</f>
        <v>22.789488957599403</v>
      </c>
      <c r="F24" s="54">
        <f t="shared" si="4"/>
        <v>25.760396999999994</v>
      </c>
      <c r="G24" s="67">
        <f t="shared" si="1"/>
        <v>-2.9709080424005911</v>
      </c>
      <c r="H24" s="27">
        <f>+(Diaria!F24/1000)+Anual!H23</f>
        <v>38.928436525918805</v>
      </c>
      <c r="I24" s="54">
        <f t="shared" si="5"/>
        <v>40.890026999999968</v>
      </c>
      <c r="J24" s="67">
        <f t="shared" si="2"/>
        <v>-1.9615904740811629</v>
      </c>
      <c r="K24" s="27">
        <f>K23+Diaria!H24/1000</f>
        <v>56.025370238348515</v>
      </c>
      <c r="L24" s="54">
        <f t="shared" si="6"/>
        <v>57.362059000000016</v>
      </c>
      <c r="M24" s="66">
        <f t="shared" si="16"/>
        <v>-1.3366887616515015</v>
      </c>
      <c r="N24" s="27">
        <f>N23+Diaria!J24/1000</f>
        <v>73.261638610304885</v>
      </c>
      <c r="O24" s="54">
        <f t="shared" si="7"/>
        <v>73.106589000000127</v>
      </c>
      <c r="P24" s="66">
        <f t="shared" si="8"/>
        <v>0.15504961030475783</v>
      </c>
      <c r="Q24" s="27">
        <f>Q23+Diaria!L24/1000</f>
        <v>88.096385213828327</v>
      </c>
      <c r="R24" s="54">
        <f t="shared" si="17"/>
        <v>89.486439000000104</v>
      </c>
      <c r="S24" s="66">
        <f t="shared" ref="S24" si="19">Q24-R24</f>
        <v>-1.3900537861717766</v>
      </c>
      <c r="T24" s="27">
        <f>IF(Diaria!N24&gt;0,Anual!T23+Diaria!N24/1000,0)</f>
        <v>105.10662451699625</v>
      </c>
      <c r="U24" s="54">
        <f>U23+Diaria!O23/1000</f>
        <v>105.11033900000018</v>
      </c>
      <c r="V24" s="66">
        <f t="shared" si="10"/>
        <v>-3.7144830039324006E-3</v>
      </c>
      <c r="W24" s="27">
        <f>IF(Diaria!R24&gt;0,Anual!W23+Diaria!R24/1000,0)</f>
        <v>123.50099777601216</v>
      </c>
      <c r="X24" s="54">
        <f>X23+Diaria!S24/1000</f>
        <v>121.00623900000038</v>
      </c>
      <c r="Y24" s="66">
        <f t="shared" si="11"/>
        <v>2.4947587760117784</v>
      </c>
      <c r="Z24" s="27">
        <f>IF(Diaria!V24&gt;0,Anual!Z23+Diaria!V24/1000,0)</f>
        <v>142.01260881592046</v>
      </c>
      <c r="AA24" s="54">
        <f>IF(Diaria!V24&gt;0, AA23+Diaria!W24/1000,0)</f>
        <v>137.17186900000064</v>
      </c>
      <c r="AB24" s="66">
        <f t="shared" si="12"/>
        <v>4.8407398159198181</v>
      </c>
      <c r="AC24" s="27">
        <f>IF(Diaria!Z24&gt;0,Anual!AC23+Diaria!Z24/1000,0)</f>
        <v>157.42314276158473</v>
      </c>
      <c r="AD24" s="54">
        <f>IF(Diaria!Z24&gt;0, AD23+Diaria!AA24/1000,0)</f>
        <v>152.59526900000088</v>
      </c>
      <c r="AE24" s="66">
        <f t="shared" si="13"/>
        <v>4.8278737615838452</v>
      </c>
      <c r="AF24" s="27">
        <f>IF(Diaria!AD24&gt;0,Anual!AF23+Diaria!AD24/1000,0)</f>
        <v>169.12293473171565</v>
      </c>
      <c r="AG24" s="54">
        <f>IF(Diaria!AD24&gt;0, AG23+Diaria!AE24/1000,0)</f>
        <v>168.64417900000069</v>
      </c>
      <c r="AH24" s="66">
        <f t="shared" si="14"/>
        <v>0.47875573171495489</v>
      </c>
      <c r="AI24" s="27">
        <f>IF(Diaria!AH24&gt;0,Anual!AI23+Diaria!AH24/1000,0)</f>
        <v>180.63993973171563</v>
      </c>
      <c r="AJ24" s="54">
        <f>IF(Diaria!AH24&gt;0, AJ23+Diaria!AI24/1000,0)</f>
        <v>183.98107900000048</v>
      </c>
      <c r="AK24" s="66">
        <f t="shared" si="15"/>
        <v>-3.3411392682848486</v>
      </c>
    </row>
    <row r="25" spans="1:37" ht="15.75" thickBot="1">
      <c r="A25" s="42">
        <v>21</v>
      </c>
      <c r="B25" s="23">
        <f>+(Diaria!B25/1000)+Anual!B24</f>
        <v>9.7842434267030995</v>
      </c>
      <c r="C25" s="65">
        <f t="shared" si="3"/>
        <v>10.344327000000003</v>
      </c>
      <c r="D25" s="67">
        <f t="shared" si="0"/>
        <v>-0.56008357329690384</v>
      </c>
      <c r="E25" s="64">
        <f>+E24+(Diaria!D25/1000)</f>
        <v>22.975981301318704</v>
      </c>
      <c r="F25" s="54">
        <f t="shared" si="4"/>
        <v>26.284906999999993</v>
      </c>
      <c r="G25" s="67">
        <f t="shared" si="1"/>
        <v>-3.3089256986812892</v>
      </c>
      <c r="H25" s="27">
        <f>+(Diaria!F25/1000)+Anual!H24</f>
        <v>39.460793609876802</v>
      </c>
      <c r="I25" s="54">
        <f t="shared" si="5"/>
        <v>41.410478999999967</v>
      </c>
      <c r="J25" s="67">
        <f t="shared" si="2"/>
        <v>-1.9496853901231646</v>
      </c>
      <c r="K25" s="27">
        <f>K24+Diaria!H25/1000</f>
        <v>56.682693013800815</v>
      </c>
      <c r="L25" s="54">
        <f t="shared" si="6"/>
        <v>57.899412000000019</v>
      </c>
      <c r="M25" s="66">
        <f t="shared" si="16"/>
        <v>-1.2167189861992043</v>
      </c>
      <c r="N25" s="27">
        <f>N24+Diaria!J25/1000</f>
        <v>73.679259265341983</v>
      </c>
      <c r="O25" s="54">
        <f t="shared" si="7"/>
        <v>73.625139000000132</v>
      </c>
      <c r="P25" s="66">
        <f t="shared" si="8"/>
        <v>5.4120265341850882E-2</v>
      </c>
      <c r="Q25" s="27">
        <f>Q24+Diaria!L25/1000</f>
        <v>88.615167551934434</v>
      </c>
      <c r="R25" s="54">
        <f t="shared" si="17"/>
        <v>90.0202290000001</v>
      </c>
      <c r="S25" s="66">
        <f t="shared" ref="S25:S27" si="20">Q25-R25</f>
        <v>-1.4050614480656662</v>
      </c>
      <c r="T25" s="27">
        <f>IF(Diaria!N25&gt;0,Anual!T24+Diaria!N25/1000,0)</f>
        <v>105.74921065618565</v>
      </c>
      <c r="U25" s="54">
        <f>U24+Diaria!O24/1000</f>
        <v>105.62463900000019</v>
      </c>
      <c r="V25" s="66">
        <f t="shared" si="10"/>
        <v>0.1245716561854664</v>
      </c>
      <c r="W25" s="27">
        <f>IF(Diaria!R25&gt;0,Anual!W24+Diaria!R25/1000,0)</f>
        <v>124.16070869347375</v>
      </c>
      <c r="X25" s="54">
        <f>X24+Diaria!S25/1000</f>
        <v>121.51816900000038</v>
      </c>
      <c r="Y25" s="66">
        <f t="shared" si="11"/>
        <v>2.6425396934733669</v>
      </c>
      <c r="Z25" s="27">
        <f>IF(Diaria!V25&gt;0,Anual!Z24+Diaria!V25/1000,0)</f>
        <v>142.48382128426286</v>
      </c>
      <c r="AA25" s="54">
        <f>IF(Diaria!V25&gt;0, AA24+Diaria!W25/1000,0)</f>
        <v>137.69858900000065</v>
      </c>
      <c r="AB25" s="66">
        <f t="shared" si="12"/>
        <v>4.7852322842622073</v>
      </c>
      <c r="AC25" s="27">
        <f>IF(Diaria!Z25&gt;0,Anual!AC24+Diaria!Z25/1000,0)</f>
        <v>157.78066446623572</v>
      </c>
      <c r="AD25" s="54">
        <f>IF(Diaria!Z25&gt;0, AD24+Diaria!AA25/1000,0)</f>
        <v>153.10307900000089</v>
      </c>
      <c r="AE25" s="66">
        <f t="shared" si="13"/>
        <v>4.6775854662348308</v>
      </c>
      <c r="AF25" s="27">
        <f>IF(Diaria!AD25&gt;0,Anual!AF24+Diaria!AD25/1000,0)</f>
        <v>169.62455473171565</v>
      </c>
      <c r="AG25" s="54">
        <f>IF(Diaria!AD25&gt;0, AG24+Diaria!AE25/1000,0)</f>
        <v>169.16732900000068</v>
      </c>
      <c r="AH25" s="66">
        <f t="shared" si="14"/>
        <v>0.45722573171497061</v>
      </c>
      <c r="AI25" s="27">
        <f>IF(Diaria!AH25&gt;0,Anual!AI24+Diaria!AH25/1000,0)</f>
        <v>180.90566973171562</v>
      </c>
      <c r="AJ25" s="54">
        <f>IF(Diaria!AH25&gt;0, AJ24+Diaria!AI25/1000,0)</f>
        <v>184.48634900000047</v>
      </c>
      <c r="AK25" s="66">
        <f t="shared" si="15"/>
        <v>-3.5806792682848538</v>
      </c>
    </row>
    <row r="26" spans="1:37" ht="15.75" thickBot="1">
      <c r="A26" s="42">
        <v>22</v>
      </c>
      <c r="B26" s="23">
        <f>+(Diaria!B26/1000)+Anual!B25</f>
        <v>9.9907346419915992</v>
      </c>
      <c r="C26" s="65">
        <f t="shared" si="3"/>
        <v>10.836914000000004</v>
      </c>
      <c r="D26" s="67">
        <f t="shared" si="0"/>
        <v>-0.84617935800840449</v>
      </c>
      <c r="E26" s="64">
        <f>+E25+(Diaria!D26/1000)</f>
        <v>23.525896763946204</v>
      </c>
      <c r="F26" s="54">
        <f t="shared" si="4"/>
        <v>26.809416999999993</v>
      </c>
      <c r="G26" s="67">
        <f t="shared" si="1"/>
        <v>-3.2835202360537892</v>
      </c>
      <c r="H26" s="27">
        <f>+(Diaria!F26/1000)+Anual!H25</f>
        <v>40.018725452335801</v>
      </c>
      <c r="I26" s="54">
        <f t="shared" si="5"/>
        <v>41.930930999999966</v>
      </c>
      <c r="J26" s="67">
        <f t="shared" si="2"/>
        <v>-1.9122055476641648</v>
      </c>
      <c r="K26" s="27">
        <f>K25+Diaria!H26/1000</f>
        <v>57.252795757987414</v>
      </c>
      <c r="L26" s="54">
        <f t="shared" si="6"/>
        <v>58.436765000000022</v>
      </c>
      <c r="M26" s="66">
        <f t="shared" si="16"/>
        <v>-1.1839692420126084</v>
      </c>
      <c r="N26" s="27">
        <f>N25+Diaria!J26/1000</f>
        <v>73.793217450019583</v>
      </c>
      <c r="O26" s="54">
        <f t="shared" si="7"/>
        <v>74.143689000000137</v>
      </c>
      <c r="P26" s="66">
        <f t="shared" si="8"/>
        <v>-0.35047154998055419</v>
      </c>
      <c r="Q26" s="27">
        <f>Q25+Diaria!L26/1000</f>
        <v>89.255829973474135</v>
      </c>
      <c r="R26" s="54">
        <f t="shared" si="17"/>
        <v>90.554019000000096</v>
      </c>
      <c r="S26" s="66">
        <f t="shared" si="20"/>
        <v>-1.2981890265259608</v>
      </c>
      <c r="T26" s="27">
        <f>IF(Diaria!N26&gt;0,Anual!T25+Diaria!N26/1000,0)</f>
        <v>106.31956254388095</v>
      </c>
      <c r="U26" s="54">
        <f>U25+Diaria!O25/1000</f>
        <v>106.13893900000019</v>
      </c>
      <c r="V26" s="66">
        <f t="shared" si="10"/>
        <v>0.18062354388075619</v>
      </c>
      <c r="W26" s="27">
        <f>IF(Diaria!R26&gt;0,Anual!W25+Diaria!R26/1000,0)</f>
        <v>124.73998562598226</v>
      </c>
      <c r="X26" s="54">
        <f>X25+Diaria!S26/1000</f>
        <v>122.03009900000039</v>
      </c>
      <c r="Y26" s="66">
        <f t="shared" si="11"/>
        <v>2.7098866259818664</v>
      </c>
      <c r="Z26" s="27">
        <f>IF(Diaria!V26&gt;0,Anual!Z25+Diaria!V26/1000,0)</f>
        <v>142.93672363943327</v>
      </c>
      <c r="AA26" s="54">
        <f>IF(Diaria!V26&gt;0, AA25+Diaria!W26/1000,0)</f>
        <v>138.22530900000066</v>
      </c>
      <c r="AB26" s="66">
        <f t="shared" si="12"/>
        <v>4.7114146394326042</v>
      </c>
      <c r="AC26" s="27">
        <f>IF(Diaria!Z26&gt;0,Anual!AC25+Diaria!Z26/1000,0)</f>
        <v>158.05609260134031</v>
      </c>
      <c r="AD26" s="54">
        <f>IF(Diaria!Z26&gt;0, AD25+Diaria!AA26/1000,0)</f>
        <v>153.6108890000009</v>
      </c>
      <c r="AE26" s="66">
        <f t="shared" si="13"/>
        <v>4.4452036013394149</v>
      </c>
      <c r="AF26" s="27">
        <f>IF(Diaria!AD26&gt;0,Anual!AF25+Diaria!AD26/1000,0)</f>
        <v>170.15007473171565</v>
      </c>
      <c r="AG26" s="54">
        <f>IF(Diaria!AD26&gt;0, AG25+Diaria!AE26/1000,0)</f>
        <v>169.69047900000066</v>
      </c>
      <c r="AH26" s="66">
        <f t="shared" si="14"/>
        <v>0.45959573171498391</v>
      </c>
      <c r="AI26" s="27">
        <f>IF(Diaria!AH26&gt;0,Anual!AI25+Diaria!AH26/1000,0)</f>
        <v>181.20403973171562</v>
      </c>
      <c r="AJ26" s="54">
        <f>IF(Diaria!AH26&gt;0, AJ25+Diaria!AI26/1000,0)</f>
        <v>184.99161900000047</v>
      </c>
      <c r="AK26" s="66">
        <f t="shared" si="15"/>
        <v>-3.7875792682848441</v>
      </c>
    </row>
    <row r="27" spans="1:37" ht="15.75" thickBot="1">
      <c r="A27" s="42">
        <v>23</v>
      </c>
      <c r="B27" s="23">
        <f>+(Diaria!B27/1000)+Anual!B26</f>
        <v>10.501965714708099</v>
      </c>
      <c r="C27" s="65">
        <f t="shared" si="3"/>
        <v>11.329501000000004</v>
      </c>
      <c r="D27" s="67">
        <f t="shared" si="0"/>
        <v>-0.8275352852919049</v>
      </c>
      <c r="E27" s="64">
        <f>+E26+(Diaria!D27/1000)</f>
        <v>24.139208974870904</v>
      </c>
      <c r="F27" s="54">
        <f t="shared" si="4"/>
        <v>27.333926999999992</v>
      </c>
      <c r="G27" s="67">
        <f t="shared" si="1"/>
        <v>-3.1947180251290881</v>
      </c>
      <c r="H27" s="27">
        <f>+(Diaria!F27/1000)+Anual!H26</f>
        <v>40.651356780721201</v>
      </c>
      <c r="I27" s="54">
        <f t="shared" si="5"/>
        <v>42.451382999999964</v>
      </c>
      <c r="J27" s="67">
        <f t="shared" si="2"/>
        <v>-1.8000262192787631</v>
      </c>
      <c r="K27" s="27">
        <f>K26+Diaria!H27/1000</f>
        <v>57.963091617185512</v>
      </c>
      <c r="L27" s="54">
        <f t="shared" si="6"/>
        <v>58.974118000000026</v>
      </c>
      <c r="M27" s="66">
        <f t="shared" si="16"/>
        <v>-1.0110263828145136</v>
      </c>
      <c r="N27" s="27">
        <f>N26+Diaria!J27/1000</f>
        <v>74.122605033778981</v>
      </c>
      <c r="O27" s="54">
        <f t="shared" si="7"/>
        <v>74.662239000000142</v>
      </c>
      <c r="P27" s="66">
        <f t="shared" si="8"/>
        <v>-0.53963396622116022</v>
      </c>
      <c r="Q27" s="27">
        <f>Q26+Diaria!L27/1000</f>
        <v>89.790393989149734</v>
      </c>
      <c r="R27" s="54">
        <f t="shared" si="17"/>
        <v>91.087809000000092</v>
      </c>
      <c r="S27" s="66">
        <f t="shared" si="20"/>
        <v>-1.2974150108503579</v>
      </c>
      <c r="T27" s="27">
        <f>IF(Diaria!N27&gt;0,Anual!T26+Diaria!N27/1000,0)</f>
        <v>107.01798792324566</v>
      </c>
      <c r="U27" s="54">
        <f>U26+Diaria!O26/1000</f>
        <v>106.6532390000002</v>
      </c>
      <c r="V27" s="66">
        <f t="shared" si="10"/>
        <v>0.36474892324545749</v>
      </c>
      <c r="W27" s="27">
        <f>IF(Diaria!R27&gt;0,Anual!W26+Diaria!R27/1000,0)</f>
        <v>125.36722858032155</v>
      </c>
      <c r="X27" s="54">
        <f>X26+Diaria!S27/1000</f>
        <v>122.5420290000004</v>
      </c>
      <c r="Y27" s="66">
        <f t="shared" si="11"/>
        <v>2.8251995803211543</v>
      </c>
      <c r="Z27" s="27">
        <f>IF(Diaria!V27&gt;0,Anual!Z26+Diaria!V27/1000,0)</f>
        <v>143.37700029667266</v>
      </c>
      <c r="AA27" s="54">
        <f>IF(Diaria!V27&gt;0, AA26+Diaria!W27/1000,0)</f>
        <v>138.75202900000068</v>
      </c>
      <c r="AB27" s="66">
        <f t="shared" si="12"/>
        <v>4.6249712966719869</v>
      </c>
      <c r="AC27" s="27">
        <f>IF(Diaria!Z27&gt;0,Anual!AC26+Diaria!Z27/1000,0)</f>
        <v>158.4628570245049</v>
      </c>
      <c r="AD27" s="54">
        <f>IF(Diaria!Z27&gt;0, AD26+Diaria!AA27/1000,0)</f>
        <v>154.1186990000009</v>
      </c>
      <c r="AE27" s="66">
        <f t="shared" si="13"/>
        <v>4.3441580245039972</v>
      </c>
      <c r="AF27" s="27">
        <f>IF(Diaria!AD27&gt;0,Anual!AF26+Diaria!AD27/1000,0)</f>
        <v>170.36881473171564</v>
      </c>
      <c r="AG27" s="54">
        <f>IF(Diaria!AD27&gt;0, AG26+Diaria!AE27/1000,0)</f>
        <v>170.21362900000065</v>
      </c>
      <c r="AH27" s="66">
        <f t="shared" si="14"/>
        <v>0.15518573171499384</v>
      </c>
      <c r="AI27" s="27">
        <f>IF(Diaria!AH27&gt;0,Anual!AI26+Diaria!AH27/1000,0)</f>
        <v>181.37226973171562</v>
      </c>
      <c r="AJ27" s="54">
        <f>IF(Diaria!AH27&gt;0, AJ26+Diaria!AI27/1000,0)</f>
        <v>185.49688900000046</v>
      </c>
      <c r="AK27" s="66">
        <f t="shared" si="15"/>
        <v>-4.1246192682848459</v>
      </c>
    </row>
    <row r="28" spans="1:37" ht="15.75" thickBot="1">
      <c r="A28" s="42">
        <v>24</v>
      </c>
      <c r="B28" s="23">
        <f>+(Diaria!B28/1000)+Anual!B27</f>
        <v>10.827304528279399</v>
      </c>
      <c r="C28" s="65">
        <f t="shared" si="3"/>
        <v>11.822088000000004</v>
      </c>
      <c r="D28" s="67">
        <f t="shared" si="0"/>
        <v>-0.99478347172060566</v>
      </c>
      <c r="E28" s="64">
        <f>+E27+(Diaria!D28/1000)</f>
        <v>24.663686687176504</v>
      </c>
      <c r="F28" s="54">
        <f t="shared" si="4"/>
        <v>27.858436999999991</v>
      </c>
      <c r="G28" s="67">
        <f t="shared" si="1"/>
        <v>-3.1947503128234871</v>
      </c>
      <c r="H28" s="27">
        <f>+(Diaria!F28/1000)+Anual!H27</f>
        <v>41.217811007299204</v>
      </c>
      <c r="I28" s="54">
        <f t="shared" si="5"/>
        <v>42.971834999999963</v>
      </c>
      <c r="J28" s="67">
        <f t="shared" si="2"/>
        <v>-1.754023992700759</v>
      </c>
      <c r="K28" s="27">
        <f>K27+Diaria!H28/1000</f>
        <v>58.399245818279709</v>
      </c>
      <c r="L28" s="54">
        <f t="shared" si="6"/>
        <v>59.511471000000029</v>
      </c>
      <c r="M28" s="66">
        <f t="shared" si="16"/>
        <v>-1.1122251817203193</v>
      </c>
      <c r="N28" s="27">
        <f>N27+Diaria!J28/1000</f>
        <v>74.537711744680976</v>
      </c>
      <c r="O28" s="54">
        <f t="shared" si="7"/>
        <v>75.180789000000146</v>
      </c>
      <c r="P28" s="66">
        <f t="shared" si="8"/>
        <v>-0.64307725531917015</v>
      </c>
      <c r="Q28" s="27">
        <f>Q27+Diaria!L28/1000</f>
        <v>90.362758565268535</v>
      </c>
      <c r="R28" s="54">
        <f t="shared" si="17"/>
        <v>91.621599000000089</v>
      </c>
      <c r="S28" s="66">
        <f t="shared" ref="S28" si="21">Q28-R28</f>
        <v>-1.2588404347315532</v>
      </c>
      <c r="T28" s="27">
        <f>IF(Diaria!N28&gt;0,Anual!T27+Diaria!N28/1000,0)</f>
        <v>107.68928332840525</v>
      </c>
      <c r="U28" s="54">
        <f>U27+Diaria!O27/1000</f>
        <v>107.1675390000002</v>
      </c>
      <c r="V28" s="66">
        <f t="shared" si="10"/>
        <v>0.52174432840504892</v>
      </c>
      <c r="W28" s="27">
        <f>IF(Diaria!R28&gt;0,Anual!W27+Diaria!R28/1000,0)</f>
        <v>126.04857340729905</v>
      </c>
      <c r="X28" s="54">
        <f>X27+Diaria!S28/1000</f>
        <v>123.0539590000004</v>
      </c>
      <c r="Y28" s="66">
        <f t="shared" si="11"/>
        <v>2.9946144072986414</v>
      </c>
      <c r="Z28" s="27">
        <f>IF(Diaria!V28&gt;0,Anual!Z27+Diaria!V28/1000,0)</f>
        <v>143.90688096423168</v>
      </c>
      <c r="AA28" s="54">
        <f>IF(Diaria!V28&gt;0, AA27+Diaria!W28/1000,0)</f>
        <v>139.27874900000069</v>
      </c>
      <c r="AB28" s="66">
        <f t="shared" si="12"/>
        <v>4.6281319642309882</v>
      </c>
      <c r="AC28" s="27">
        <f>IF(Diaria!Z28&gt;0,Anual!AC27+Diaria!Z28/1000,0)</f>
        <v>158.84421788578709</v>
      </c>
      <c r="AD28" s="54">
        <f>IF(Diaria!Z28&gt;0, AD27+Diaria!AA28/1000,0)</f>
        <v>154.62650900000091</v>
      </c>
      <c r="AE28" s="66">
        <f t="shared" si="13"/>
        <v>4.2177088857861804</v>
      </c>
      <c r="AF28" s="27">
        <f>IF(Diaria!AD28&gt;0,Anual!AF27+Diaria!AD28/1000,0)</f>
        <v>170.62429473171565</v>
      </c>
      <c r="AG28" s="54">
        <f>IF(Diaria!AD28&gt;0, AG27+Diaria!AE28/1000,0)</f>
        <v>170.73677900000064</v>
      </c>
      <c r="AH28" s="66">
        <f t="shared" si="14"/>
        <v>-0.11248426828498737</v>
      </c>
      <c r="AI28" s="27">
        <f>IF(Diaria!AH28&gt;0,Anual!AI27+Diaria!AH28/1000,0)</f>
        <v>181.77038973171562</v>
      </c>
      <c r="AJ28" s="54">
        <f>IF(Diaria!AH28&gt;0, AJ27+Diaria!AI28/1000,0)</f>
        <v>186.00215900000046</v>
      </c>
      <c r="AK28" s="66">
        <f t="shared" si="15"/>
        <v>-4.231769268284836</v>
      </c>
    </row>
    <row r="29" spans="1:37" ht="15.75" thickBot="1">
      <c r="A29" s="42">
        <v>25</v>
      </c>
      <c r="B29" s="23">
        <f>+(Diaria!B29/1000)+Anual!B28</f>
        <v>11.277460883641099</v>
      </c>
      <c r="C29" s="65">
        <f t="shared" si="3"/>
        <v>12.314675000000005</v>
      </c>
      <c r="D29" s="67">
        <f t="shared" si="0"/>
        <v>-1.0372141163589053</v>
      </c>
      <c r="E29" s="64">
        <f>+E28+(Diaria!D29/1000)</f>
        <v>25.156483349347404</v>
      </c>
      <c r="F29" s="54">
        <f t="shared" si="4"/>
        <v>28.382946999999991</v>
      </c>
      <c r="G29" s="67">
        <f t="shared" si="1"/>
        <v>-3.2264636506525868</v>
      </c>
      <c r="H29" s="27">
        <f>+(Diaria!F29/1000)+Anual!H28</f>
        <v>41.594742909222106</v>
      </c>
      <c r="I29" s="54">
        <f t="shared" si="5"/>
        <v>43.492286999999962</v>
      </c>
      <c r="J29" s="67">
        <f t="shared" si="2"/>
        <v>-1.8975440907778562</v>
      </c>
      <c r="K29" s="27">
        <f>K28+Diaria!H29/1000</f>
        <v>58.82152958832971</v>
      </c>
      <c r="L29" s="54">
        <f t="shared" si="6"/>
        <v>60.048824000000032</v>
      </c>
      <c r="M29" s="66">
        <f t="shared" si="16"/>
        <v>-1.2272944116703215</v>
      </c>
      <c r="N29" s="27">
        <f>N28+Diaria!J29/1000</f>
        <v>74.959765822838577</v>
      </c>
      <c r="O29" s="54">
        <f t="shared" si="7"/>
        <v>75.699339000000151</v>
      </c>
      <c r="P29" s="66">
        <f t="shared" si="8"/>
        <v>-0.73957317716157434</v>
      </c>
      <c r="Q29" s="27">
        <f>Q28+Diaria!L29/1000</f>
        <v>90.983219023879442</v>
      </c>
      <c r="R29" s="54">
        <f t="shared" si="17"/>
        <v>92.155389000000085</v>
      </c>
      <c r="S29" s="66">
        <f t="shared" ref="S29" si="22">Q29-R29</f>
        <v>-1.1721699761206423</v>
      </c>
      <c r="T29" s="27">
        <f>IF(Diaria!N29&gt;0,Anual!T28+Diaria!N29/1000,0)</f>
        <v>108.14949159874526</v>
      </c>
      <c r="U29" s="54">
        <f>U28+Diaria!O28/1000</f>
        <v>107.68183900000021</v>
      </c>
      <c r="V29" s="66">
        <f t="shared" si="10"/>
        <v>0.4676525987450475</v>
      </c>
      <c r="W29" s="27">
        <f>IF(Diaria!R29&gt;0,Anual!W28+Diaria!R29/1000,0)</f>
        <v>126.75753895140984</v>
      </c>
      <c r="X29" s="54">
        <f>X28+Diaria!S29/1000</f>
        <v>123.56588900000041</v>
      </c>
      <c r="Y29" s="66">
        <f t="shared" si="11"/>
        <v>3.1916499514094312</v>
      </c>
      <c r="Z29" s="27">
        <f>IF(Diaria!V29&gt;0,Anual!Z28+Diaria!V29/1000,0)</f>
        <v>144.50611526547107</v>
      </c>
      <c r="AA29" s="54">
        <f>IF(Diaria!V29&gt;0, AA28+Diaria!W29/1000,0)</f>
        <v>139.8054690000007</v>
      </c>
      <c r="AB29" s="66">
        <f t="shared" si="12"/>
        <v>4.7006462654703682</v>
      </c>
      <c r="AC29" s="27">
        <f>IF(Diaria!Z29&gt;0,Anual!AC28+Diaria!Z29/1000,0)</f>
        <v>159.34191369728009</v>
      </c>
      <c r="AD29" s="54">
        <f>IF(Diaria!Z29&gt;0, AD28+Diaria!AA29/1000,0)</f>
        <v>155.13431900000091</v>
      </c>
      <c r="AE29" s="66">
        <f t="shared" si="13"/>
        <v>4.2075946972791769</v>
      </c>
      <c r="AF29" s="27">
        <f>IF(Diaria!AD29&gt;0,Anual!AF28+Diaria!AD29/1000,0)</f>
        <v>170.92858473171566</v>
      </c>
      <c r="AG29" s="54">
        <f>IF(Diaria!AD29&gt;0, AG28+Diaria!AE29/1000,0)</f>
        <v>171.25992900000062</v>
      </c>
      <c r="AH29" s="66">
        <f t="shared" si="14"/>
        <v>-0.33134426828496544</v>
      </c>
      <c r="AI29" s="27">
        <f>IF(Diaria!AH29&gt;0,Anual!AI28+Diaria!AH29/1000,0)</f>
        <v>182.10623973171562</v>
      </c>
      <c r="AJ29" s="54">
        <f>IF(Diaria!AH29&gt;0, AJ28+Diaria!AI29/1000,0)</f>
        <v>186.50742900000046</v>
      </c>
      <c r="AK29" s="66">
        <f t="shared" si="15"/>
        <v>-4.4011892682848384</v>
      </c>
    </row>
    <row r="30" spans="1:37" ht="15.75" thickBot="1">
      <c r="A30" s="42">
        <v>26</v>
      </c>
      <c r="B30" s="23">
        <f>+(Diaria!B30/1000)+Anual!B29</f>
        <v>11.834358406621</v>
      </c>
      <c r="C30" s="65">
        <f t="shared" si="3"/>
        <v>12.807262000000005</v>
      </c>
      <c r="D30" s="67">
        <f t="shared" si="0"/>
        <v>-0.97290359337900512</v>
      </c>
      <c r="E30" s="64">
        <f>+E29+(Diaria!D30/1000)</f>
        <v>25.503851288663405</v>
      </c>
      <c r="F30" s="54">
        <f t="shared" si="4"/>
        <v>28.90745699999999</v>
      </c>
      <c r="G30" s="67">
        <f t="shared" si="1"/>
        <v>-3.403605711336585</v>
      </c>
      <c r="H30" s="27">
        <f>+(Diaria!F30/1000)+Anual!H29</f>
        <v>42.100067632172305</v>
      </c>
      <c r="I30" s="54">
        <f t="shared" si="5"/>
        <v>44.012738999999961</v>
      </c>
      <c r="J30" s="67">
        <f t="shared" si="2"/>
        <v>-1.9126713678276559</v>
      </c>
      <c r="K30" s="27">
        <f>K29+Diaria!H30/1000</f>
        <v>59.15603531895141</v>
      </c>
      <c r="L30" s="54">
        <f t="shared" si="6"/>
        <v>60.586177000000035</v>
      </c>
      <c r="M30" s="66">
        <f t="shared" si="16"/>
        <v>-1.4301416810486245</v>
      </c>
      <c r="N30" s="27">
        <f>N29+Diaria!J30/1000</f>
        <v>75.422063550184177</v>
      </c>
      <c r="O30" s="54">
        <f t="shared" si="7"/>
        <v>76.217889000000156</v>
      </c>
      <c r="P30" s="66">
        <f t="shared" si="8"/>
        <v>-0.79582544981597891</v>
      </c>
      <c r="Q30" s="27">
        <f>Q29+Diaria!L30/1000</f>
        <v>91.578854780563248</v>
      </c>
      <c r="R30" s="54">
        <f t="shared" si="17"/>
        <v>92.689179000000081</v>
      </c>
      <c r="S30" s="66">
        <f t="shared" ref="S30" si="23">Q30-R30</f>
        <v>-1.1103242194368335</v>
      </c>
      <c r="T30" s="27">
        <f>IF(Diaria!N30&gt;0,Anual!T29+Diaria!N30/1000,0)</f>
        <v>108.54983491456795</v>
      </c>
      <c r="U30" s="54">
        <f>U29+Diaria!O29/1000</f>
        <v>108.19613900000022</v>
      </c>
      <c r="V30" s="66">
        <f t="shared" si="10"/>
        <v>0.35369591456773719</v>
      </c>
      <c r="W30" s="27">
        <f>IF(Diaria!R30&gt;0,Anual!W29+Diaria!R30/1000,0)</f>
        <v>127.42946732877924</v>
      </c>
      <c r="X30" s="54">
        <f>X29+Diaria!S30/1000</f>
        <v>124.07781900000042</v>
      </c>
      <c r="Y30" s="66">
        <f t="shared" si="11"/>
        <v>3.3516483287788219</v>
      </c>
      <c r="Z30" s="27">
        <f>IF(Diaria!V30&gt;0,Anual!Z29+Diaria!V30/1000,0)</f>
        <v>145.16492407590405</v>
      </c>
      <c r="AA30" s="54">
        <f>IF(Diaria!V30&gt;0, AA29+Diaria!W30/1000,0)</f>
        <v>140.33218900000071</v>
      </c>
      <c r="AB30" s="66">
        <f t="shared" si="12"/>
        <v>4.8327350759033436</v>
      </c>
      <c r="AC30" s="27">
        <f>IF(Diaria!Z30&gt;0,Anual!AC29+Diaria!Z30/1000,0)</f>
        <v>159.79343421338919</v>
      </c>
      <c r="AD30" s="54">
        <f>IF(Diaria!Z30&gt;0, AD29+Diaria!AA30/1000,0)</f>
        <v>155.64212900000092</v>
      </c>
      <c r="AE30" s="66">
        <f t="shared" si="13"/>
        <v>4.1513052133882695</v>
      </c>
      <c r="AF30" s="27">
        <f>IF(Diaria!AD30&gt;0,Anual!AF29+Diaria!AD30/1000,0)</f>
        <v>171.21962973171566</v>
      </c>
      <c r="AG30" s="54">
        <f>IF(Diaria!AD30&gt;0, AG29+Diaria!AE30/1000,0)</f>
        <v>171.78307900000061</v>
      </c>
      <c r="AH30" s="66">
        <f t="shared" si="14"/>
        <v>-0.56344926828495545</v>
      </c>
      <c r="AI30" s="27">
        <f>IF(Diaria!AH30&gt;0,Anual!AI29+Diaria!AH30/1000,0)</f>
        <v>182.48822973171562</v>
      </c>
      <c r="AJ30" s="54">
        <f>IF(Diaria!AH30&gt;0, AJ29+Diaria!AI30/1000,0)</f>
        <v>187.01269900000045</v>
      </c>
      <c r="AK30" s="66">
        <f t="shared" si="15"/>
        <v>-4.5244692682848324</v>
      </c>
    </row>
    <row r="31" spans="1:37" ht="15.75" thickBot="1">
      <c r="A31" s="42">
        <v>27</v>
      </c>
      <c r="B31" s="23">
        <f>+(Diaria!B31/1000)+Anual!B30</f>
        <v>12.379026738256099</v>
      </c>
      <c r="C31" s="65">
        <f t="shared" si="3"/>
        <v>13.299849000000005</v>
      </c>
      <c r="D31" s="67">
        <f t="shared" si="0"/>
        <v>-0.92082226174390591</v>
      </c>
      <c r="E31" s="64">
        <f>+E30+(Diaria!D31/1000)</f>
        <v>25.726714460435105</v>
      </c>
      <c r="F31" s="54">
        <f t="shared" si="4"/>
        <v>29.43196699999999</v>
      </c>
      <c r="G31" s="67">
        <f t="shared" si="1"/>
        <v>-3.705252539564885</v>
      </c>
      <c r="H31" s="27">
        <f>+(Diaria!F31/1000)+Anual!H30</f>
        <v>42.779302500851706</v>
      </c>
      <c r="I31" s="54">
        <f t="shared" si="5"/>
        <v>44.53319099999996</v>
      </c>
      <c r="J31" s="67">
        <f t="shared" si="2"/>
        <v>-1.7538884991482533</v>
      </c>
      <c r="K31" s="27">
        <f>K30+Diaria!H31/1000</f>
        <v>59.592505245362211</v>
      </c>
      <c r="L31" s="54">
        <f t="shared" si="6"/>
        <v>61.123530000000038</v>
      </c>
      <c r="M31" s="66">
        <f t="shared" si="16"/>
        <v>-1.5310247546378264</v>
      </c>
      <c r="N31" s="27">
        <f>N30+Diaria!J31/1000</f>
        <v>75.873324059444684</v>
      </c>
      <c r="O31" s="54">
        <f t="shared" si="7"/>
        <v>76.736439000000161</v>
      </c>
      <c r="P31" s="66">
        <f t="shared" si="8"/>
        <v>-0.86311494055547655</v>
      </c>
      <c r="Q31" s="27">
        <f>Q30+Diaria!L31/1000</f>
        <v>92.236458047296452</v>
      </c>
      <c r="R31" s="54">
        <f t="shared" si="17"/>
        <v>93.222969000000077</v>
      </c>
      <c r="S31" s="66">
        <f t="shared" ref="S31" si="24">Q31-R31</f>
        <v>-0.98651095270362532</v>
      </c>
      <c r="T31" s="27">
        <f>IF(Diaria!N31&gt;0,Anual!T30+Diaria!N31/1000,0)</f>
        <v>108.97077950493825</v>
      </c>
      <c r="U31" s="54">
        <f>U30+Diaria!O30/1000</f>
        <v>108.71043900000022</v>
      </c>
      <c r="V31" s="66">
        <f t="shared" si="10"/>
        <v>0.26034050493802852</v>
      </c>
      <c r="W31" s="27">
        <f>IF(Diaria!R31&gt;0,Anual!W30+Diaria!R31/1000,0)</f>
        <v>128.10984375001163</v>
      </c>
      <c r="X31" s="54">
        <f>X30+Diaria!S31/1000</f>
        <v>124.58974900000042</v>
      </c>
      <c r="Y31" s="66">
        <f t="shared" si="11"/>
        <v>3.5200947500112107</v>
      </c>
      <c r="Z31" s="27">
        <f>IF(Diaria!V31&gt;0,Anual!Z30+Diaria!V31/1000,0)</f>
        <v>145.67841288648196</v>
      </c>
      <c r="AA31" s="54">
        <f>IF(Diaria!V31&gt;0, AA30+Diaria!W31/1000,0)</f>
        <v>140.85890900000072</v>
      </c>
      <c r="AB31" s="66">
        <f t="shared" si="12"/>
        <v>4.8195038864812432</v>
      </c>
      <c r="AC31" s="27">
        <f>IF(Diaria!Z31&gt;0,Anual!AC30+Diaria!Z31/1000,0)</f>
        <v>160.15800427000508</v>
      </c>
      <c r="AD31" s="54">
        <f>IF(Diaria!Z31&gt;0, AD30+Diaria!AA31/1000,0)</f>
        <v>156.14993900000093</v>
      </c>
      <c r="AE31" s="66">
        <f t="shared" si="13"/>
        <v>4.0080652700041526</v>
      </c>
      <c r="AF31" s="27">
        <f>IF(Diaria!AD31&gt;0,Anual!AF30+Diaria!AD31/1000,0)</f>
        <v>171.46275973171566</v>
      </c>
      <c r="AG31" s="54">
        <f>IF(Diaria!AD31&gt;0, AG30+Diaria!AE31/1000,0)</f>
        <v>172.3062290000006</v>
      </c>
      <c r="AH31" s="66">
        <f t="shared" si="14"/>
        <v>-0.84346926828493451</v>
      </c>
      <c r="AI31" s="27">
        <f>IF(Diaria!AH31&gt;0,Anual!AI30+Diaria!AH31/1000,0)</f>
        <v>0</v>
      </c>
      <c r="AJ31" s="54">
        <f>IF(Diaria!AH31&gt;0, AJ30+Diaria!AI31/1000,0)</f>
        <v>0</v>
      </c>
      <c r="AK31" s="66">
        <f t="shared" si="15"/>
        <v>0</v>
      </c>
    </row>
    <row r="32" spans="1:37" ht="15.75" thickBot="1">
      <c r="A32" s="42">
        <v>28</v>
      </c>
      <c r="B32" s="23">
        <f>+(Diaria!B32/1000)+Anual!B31</f>
        <v>12.957299000066499</v>
      </c>
      <c r="C32" s="65">
        <f t="shared" si="3"/>
        <v>13.792436000000006</v>
      </c>
      <c r="D32" s="67">
        <f t="shared" si="0"/>
        <v>-0.83513699993350698</v>
      </c>
      <c r="E32" s="64">
        <f>+E31+(Diaria!D32/1000)</f>
        <v>26.297626102983003</v>
      </c>
      <c r="F32" s="54">
        <f t="shared" si="4"/>
        <v>29.956476999999989</v>
      </c>
      <c r="G32" s="67">
        <f t="shared" si="1"/>
        <v>-3.6588508970169862</v>
      </c>
      <c r="H32" s="27">
        <f>+(Diaria!F32/1000)+Anual!H31</f>
        <v>43.498693890142007</v>
      </c>
      <c r="I32" s="54">
        <f t="shared" si="5"/>
        <v>45.053642999999958</v>
      </c>
      <c r="J32" s="67">
        <f t="shared" si="2"/>
        <v>-1.5549491098579509</v>
      </c>
      <c r="K32" s="27">
        <f>K31+Diaria!H32/1000</f>
        <v>59.846571977683212</v>
      </c>
      <c r="L32" s="54">
        <f t="shared" si="6"/>
        <v>61.660883000000041</v>
      </c>
      <c r="M32" s="66">
        <f t="shared" si="16"/>
        <v>-1.8143110223168293</v>
      </c>
      <c r="N32" s="27">
        <f>N31+Diaria!J32/1000</f>
        <v>76.207508935692388</v>
      </c>
      <c r="O32" s="54">
        <f t="shared" si="7"/>
        <v>77.254989000000165</v>
      </c>
      <c r="P32" s="66">
        <f t="shared" si="8"/>
        <v>-1.0474800643077771</v>
      </c>
      <c r="Q32" s="27">
        <f>Q31+Diaria!L32/1000</f>
        <v>92.859337605737849</v>
      </c>
      <c r="R32" s="54">
        <f t="shared" si="17"/>
        <v>93.756759000000073</v>
      </c>
      <c r="S32" s="66">
        <f t="shared" ref="S32:S34" si="25">Q32-R32</f>
        <v>-0.89742139426222423</v>
      </c>
      <c r="T32" s="27">
        <f>IF(Diaria!N32&gt;0,Anual!T31+Diaria!N32/1000,0)</f>
        <v>109.38245368966095</v>
      </c>
      <c r="U32" s="54">
        <f>U31+Diaria!O31/1000</f>
        <v>109.22473900000023</v>
      </c>
      <c r="V32" s="66">
        <f t="shared" si="10"/>
        <v>0.15771468966072177</v>
      </c>
      <c r="W32" s="27">
        <f>IF(Diaria!R32&gt;0,Anual!W31+Diaria!R32/1000,0)</f>
        <v>128.78526904124215</v>
      </c>
      <c r="X32" s="54">
        <f>X31+Diaria!S32/1000</f>
        <v>125.10167900000043</v>
      </c>
      <c r="Y32" s="66">
        <f t="shared" si="11"/>
        <v>3.6835900412417146</v>
      </c>
      <c r="Z32" s="27">
        <f>IF(Diaria!V32&gt;0,Anual!Z31+Diaria!V32/1000,0)</f>
        <v>146.18187578501116</v>
      </c>
      <c r="AA32" s="54">
        <f>IF(Diaria!V32&gt;0, AA31+Diaria!W32/1000,0)</f>
        <v>141.38562900000073</v>
      </c>
      <c r="AB32" s="66">
        <f t="shared" si="12"/>
        <v>4.7962467850104247</v>
      </c>
      <c r="AC32" s="27">
        <f>IF(Diaria!Z32&gt;0,Anual!AC31+Diaria!Z32/1000,0)</f>
        <v>160.52817567685349</v>
      </c>
      <c r="AD32" s="54">
        <f>IF(Diaria!Z32&gt;0, AD31+Diaria!AA32/1000,0)</f>
        <v>156.65774900000093</v>
      </c>
      <c r="AE32" s="66">
        <f t="shared" si="13"/>
        <v>3.8704266768525599</v>
      </c>
      <c r="AF32" s="27">
        <f>IF(Diaria!AD32&gt;0,Anual!AF31+Diaria!AD32/1000,0)</f>
        <v>171.80033973171567</v>
      </c>
      <c r="AG32" s="54">
        <f>IF(Diaria!AD32&gt;0, AG31+Diaria!AE32/1000,0)</f>
        <v>172.82937900000059</v>
      </c>
      <c r="AH32" s="66">
        <f t="shared" si="14"/>
        <v>-1.0290392682849188</v>
      </c>
      <c r="AI32" s="27">
        <f>IF(Diaria!AH32&gt;0,Anual!AI31+Diaria!AH32/1000,0)</f>
        <v>0</v>
      </c>
      <c r="AJ32" s="54">
        <f>IF(Diaria!AH32&gt;0, AJ31+Diaria!AI32/1000,0)</f>
        <v>0</v>
      </c>
      <c r="AK32" s="66">
        <f t="shared" si="15"/>
        <v>0</v>
      </c>
    </row>
    <row r="33" spans="1:37" ht="15.75" thickBot="1">
      <c r="A33" s="42">
        <v>29</v>
      </c>
      <c r="B33" s="23">
        <f>+(Diaria!B33/1000)+Anual!B32</f>
        <v>13.376700420127198</v>
      </c>
      <c r="C33" s="65">
        <f t="shared" si="3"/>
        <v>14.285023000000006</v>
      </c>
      <c r="D33" s="67">
        <f t="shared" si="0"/>
        <v>-0.90832257987280762</v>
      </c>
      <c r="E33" s="64">
        <f>+E32+(Diaria!D33/1000)</f>
        <v>26.919260565240602</v>
      </c>
      <c r="F33" s="54">
        <f t="shared" si="4"/>
        <v>30.480986999999988</v>
      </c>
      <c r="G33" s="67">
        <f t="shared" si="1"/>
        <v>-3.561726434759386</v>
      </c>
      <c r="H33" s="27">
        <f>+(Diaria!F33/1000)+Anual!H32</f>
        <v>44.170698143674706</v>
      </c>
      <c r="I33" s="54">
        <f t="shared" si="5"/>
        <v>45.574094999999957</v>
      </c>
      <c r="J33" s="67">
        <f t="shared" si="2"/>
        <v>-1.4033968563252515</v>
      </c>
      <c r="K33" s="27">
        <f>K32+Diaria!H33/1000</f>
        <v>60.332790358649412</v>
      </c>
      <c r="L33" s="54">
        <f t="shared" si="6"/>
        <v>62.198236000000044</v>
      </c>
      <c r="M33" s="66">
        <f t="shared" si="16"/>
        <v>-1.8654456413506324</v>
      </c>
      <c r="N33" s="27">
        <f>N32+Diaria!J33/1000</f>
        <v>76.62132771450699</v>
      </c>
      <c r="O33" s="54">
        <f t="shared" si="7"/>
        <v>77.77353900000017</v>
      </c>
      <c r="P33" s="66">
        <f t="shared" si="8"/>
        <v>-1.1522112854931805</v>
      </c>
      <c r="Q33" s="27">
        <f>Q32+Diaria!L33/1000</f>
        <v>93.510870303599049</v>
      </c>
      <c r="R33" s="54">
        <f t="shared" si="17"/>
        <v>94.29054900000007</v>
      </c>
      <c r="S33" s="66">
        <f t="shared" si="25"/>
        <v>-0.77967869640102094</v>
      </c>
      <c r="T33" s="27">
        <f>IF(Diaria!N33&gt;0,Anual!T32+Diaria!N33/1000,0)</f>
        <v>109.98753642484814</v>
      </c>
      <c r="U33" s="54">
        <f>U32+Diaria!O32/1000</f>
        <v>109.73903900000023</v>
      </c>
      <c r="V33" s="66">
        <f t="shared" si="10"/>
        <v>0.24849742484791193</v>
      </c>
      <c r="W33" s="27">
        <f>IF(Diaria!R33&gt;0,Anual!W32+Diaria!R33/1000,0)</f>
        <v>129.38106840059206</v>
      </c>
      <c r="X33" s="54">
        <f>X32+Diaria!S33/1000</f>
        <v>125.61360900000044</v>
      </c>
      <c r="Y33" s="66">
        <f t="shared" si="11"/>
        <v>3.7674594005916191</v>
      </c>
      <c r="Z33" s="27">
        <f>IF(Diaria!V33&gt;0,Anual!Z32+Diaria!V33/1000,0)</f>
        <v>146.59794630959357</v>
      </c>
      <c r="AA33" s="54">
        <f>IF(Diaria!V33&gt;0, AA32+Diaria!W33/1000,0)</f>
        <v>141.91234900000075</v>
      </c>
      <c r="AB33" s="66">
        <f t="shared" si="12"/>
        <v>4.6855973095928221</v>
      </c>
      <c r="AC33" s="27">
        <f>IF(Diaria!Z33&gt;0,Anual!AC32+Diaria!Z33/1000,0)</f>
        <v>160.8762947317156</v>
      </c>
      <c r="AD33" s="54">
        <f>IF(Diaria!Z33&gt;0, AD32+Diaria!AA33/1000,0)</f>
        <v>157.16555900000094</v>
      </c>
      <c r="AE33" s="66">
        <f t="shared" si="13"/>
        <v>3.7107357317146636</v>
      </c>
      <c r="AF33" s="27">
        <f>IF(Diaria!AD33&gt;0,Anual!AF32+Diaria!AD33/1000,0)</f>
        <v>172.08828973171566</v>
      </c>
      <c r="AG33" s="54">
        <f>IF(Diaria!AD33&gt;0, AG32+Diaria!AE33/1000,0)</f>
        <v>173.35252900000057</v>
      </c>
      <c r="AH33" s="66">
        <f t="shared" si="14"/>
        <v>-1.2642392682849106</v>
      </c>
      <c r="AI33" s="27">
        <f>IF(Diaria!AH33&gt;0,Anual!AI32+Diaria!AH33/1000,0)</f>
        <v>0</v>
      </c>
      <c r="AJ33" s="54">
        <f>IF(Diaria!AH33&gt;0, AJ32+Diaria!AI33/1000,0)</f>
        <v>0</v>
      </c>
      <c r="AK33" s="66">
        <f t="shared" si="15"/>
        <v>0</v>
      </c>
    </row>
    <row r="34" spans="1:37" ht="15.75" thickBot="1">
      <c r="A34" s="42">
        <v>30</v>
      </c>
      <c r="B34" s="23">
        <f>+(Diaria!B34/1000)+Anual!B33</f>
        <v>13.560716155475799</v>
      </c>
      <c r="C34" s="65">
        <f t="shared" si="3"/>
        <v>14.777610000000006</v>
      </c>
      <c r="D34" s="67">
        <f t="shared" si="0"/>
        <v>-1.2168938445242077</v>
      </c>
      <c r="E34" s="64"/>
      <c r="F34" s="25"/>
      <c r="G34" s="67">
        <f t="shared" si="1"/>
        <v>0</v>
      </c>
      <c r="H34" s="27">
        <f>+(Diaria!F34/1000)+Anual!H33</f>
        <v>44.312934185548208</v>
      </c>
      <c r="I34" s="54">
        <f t="shared" si="5"/>
        <v>46.094546999999956</v>
      </c>
      <c r="J34" s="67">
        <f t="shared" si="2"/>
        <v>-1.7816128144517478</v>
      </c>
      <c r="K34" s="27">
        <f>K33+Diaria!H34/1000</f>
        <v>60.985215692562811</v>
      </c>
      <c r="L34" s="54">
        <f t="shared" si="6"/>
        <v>62.735589000000047</v>
      </c>
      <c r="M34" s="66">
        <f t="shared" si="16"/>
        <v>-1.7503733074372363</v>
      </c>
      <c r="N34" s="27">
        <f>N33+Diaria!J34/1000</f>
        <v>77.178388934588995</v>
      </c>
      <c r="O34" s="54">
        <f t="shared" si="7"/>
        <v>78.292089000000175</v>
      </c>
      <c r="P34" s="66">
        <f t="shared" si="8"/>
        <v>-1.1137000654111802</v>
      </c>
      <c r="Q34" s="27">
        <f>Q33+Diaria!L34/1000</f>
        <v>94.069357627844553</v>
      </c>
      <c r="R34" s="54">
        <f t="shared" si="17"/>
        <v>94.824339000000066</v>
      </c>
      <c r="S34" s="66">
        <f t="shared" si="25"/>
        <v>-0.75498137215551253</v>
      </c>
      <c r="T34" s="27">
        <f>IF(Diaria!N34&gt;0,Anual!T33+Diaria!N34/1000,0)</f>
        <v>110.64168681352254</v>
      </c>
      <c r="U34" s="54">
        <f>U33+Diaria!O33/1000</f>
        <v>110.25333900000024</v>
      </c>
      <c r="V34" s="66">
        <f t="shared" si="10"/>
        <v>0.38834781352230152</v>
      </c>
      <c r="W34" s="27">
        <f>IF(Diaria!R34&gt;0,Anual!W33+Diaria!R34/1000,0)</f>
        <v>130.03580741935906</v>
      </c>
      <c r="X34" s="54">
        <f>X33+Diaria!S34/1000</f>
        <v>126.12553900000044</v>
      </c>
      <c r="Y34" s="66">
        <f t="shared" si="11"/>
        <v>3.9102684193586157</v>
      </c>
      <c r="Z34" s="27">
        <f>IF(Diaria!V34&gt;0,Anual!Z33+Diaria!V34/1000,0)</f>
        <v>147.21978347127606</v>
      </c>
      <c r="AA34" s="54">
        <f>IF(Diaria!V34&gt;0, AA33+Diaria!W34/1000,0)</f>
        <v>142.43906900000076</v>
      </c>
      <c r="AB34" s="66">
        <f t="shared" si="12"/>
        <v>4.7807144712753029</v>
      </c>
      <c r="AC34" s="27">
        <f>IF(Diaria!Z34&gt;0,Anual!AC33+Diaria!Z34/1000,0)</f>
        <v>161.12883473171561</v>
      </c>
      <c r="AD34" s="54">
        <f>IF(Diaria!Z34&gt;0, AD33+Diaria!AA34/1000,0)</f>
        <v>157.67336900000095</v>
      </c>
      <c r="AE34" s="66">
        <f t="shared" si="13"/>
        <v>3.4554657317146678</v>
      </c>
      <c r="AF34" s="27">
        <f>IF(Diaria!AD34&gt;0,Anual!AF33+Diaria!AD34/1000,0)</f>
        <v>172.55573973171568</v>
      </c>
      <c r="AG34" s="54">
        <f>IF(Diaria!AD34&gt;0, AG33+Diaria!AE34/1000,0)</f>
        <v>173.87567900000056</v>
      </c>
      <c r="AH34" s="66">
        <f t="shared" si="14"/>
        <v>-1.3199392682848838</v>
      </c>
      <c r="AI34" s="27">
        <f>IF(Diaria!AH34&gt;0,Anual!AI33+Diaria!AH34/1000,0)</f>
        <v>0</v>
      </c>
      <c r="AJ34" s="54">
        <f>IF(Diaria!AH34&gt;0, AJ33+Diaria!AI34/1000,0)</f>
        <v>0</v>
      </c>
      <c r="AK34" s="66">
        <f t="shared" si="15"/>
        <v>0</v>
      </c>
    </row>
    <row r="35" spans="1:37" ht="15.75" thickBot="1">
      <c r="A35" s="43">
        <v>31</v>
      </c>
      <c r="B35" s="24">
        <f>+(Diaria!B35/1000)+Anual!B34</f>
        <v>13.923587995487599</v>
      </c>
      <c r="C35" s="65">
        <f t="shared" si="3"/>
        <v>15.270197000000007</v>
      </c>
      <c r="D35" s="69">
        <f t="shared" si="0"/>
        <v>-1.3466090045124073</v>
      </c>
      <c r="E35" s="81"/>
      <c r="F35" s="26"/>
      <c r="G35" s="69">
        <f t="shared" si="1"/>
        <v>0</v>
      </c>
      <c r="H35" s="82">
        <f>+(Diaria!F35/1000)+Anual!H34</f>
        <v>44.832664275758908</v>
      </c>
      <c r="I35" s="54">
        <f t="shared" si="5"/>
        <v>46.614998999999955</v>
      </c>
      <c r="J35" s="69">
        <f t="shared" si="2"/>
        <v>-1.7823347242410463</v>
      </c>
      <c r="K35" s="82"/>
      <c r="L35" s="83"/>
      <c r="M35" s="69"/>
      <c r="N35" s="27">
        <f>N34+Diaria!J35/1000</f>
        <v>77.5520474236409</v>
      </c>
      <c r="O35" s="86">
        <f t="shared" si="7"/>
        <v>78.81063900000018</v>
      </c>
      <c r="P35" s="66">
        <f t="shared" si="8"/>
        <v>-1.2585915763592794</v>
      </c>
      <c r="Q35" s="27"/>
      <c r="R35" s="86"/>
      <c r="S35" s="66">
        <f t="shared" si="9"/>
        <v>0</v>
      </c>
      <c r="T35" s="27">
        <f>IF(Diaria!N35&gt;0,Anual!T34+Diaria!N35/1000,0)</f>
        <v>111.34036865836244</v>
      </c>
      <c r="U35" s="54">
        <f>U34+Diaria!O34/1000</f>
        <v>110.76763900000024</v>
      </c>
      <c r="V35" s="66">
        <f t="shared" si="10"/>
        <v>0.57272965836219214</v>
      </c>
      <c r="W35" s="27">
        <f>IF(Diaria!R35&gt;0,Anual!W34+Diaria!R35/1000,0)</f>
        <v>130.63276476933467</v>
      </c>
      <c r="X35" s="54">
        <f>X34+Diaria!S35/1000</f>
        <v>126.63746900000045</v>
      </c>
      <c r="Y35" s="66">
        <f t="shared" si="11"/>
        <v>3.9952957693342199</v>
      </c>
      <c r="Z35" s="27"/>
      <c r="AA35" s="54"/>
      <c r="AB35" s="66">
        <f t="shared" si="12"/>
        <v>0</v>
      </c>
      <c r="AC35" s="27">
        <f>IF(Diaria!Z35&gt;0,Anual!AC34+Diaria!Z35/1000,0)</f>
        <v>161.52157473171562</v>
      </c>
      <c r="AD35" s="54">
        <f>IF(Diaria!Z35&gt;0, AD34+Diaria!AA35/1000,0)</f>
        <v>158.18117900000095</v>
      </c>
      <c r="AE35" s="66">
        <f t="shared" si="13"/>
        <v>3.3403957317146649</v>
      </c>
      <c r="AF35" s="27">
        <f>IF(Diaria!AD35&gt;0,Anual!AF34+Diaria!AD35/1000,0)</f>
        <v>0</v>
      </c>
      <c r="AG35" s="54">
        <f>IF(Diaria!AD35&gt;0, AG34+Diaria!AE35/1000,0)</f>
        <v>0</v>
      </c>
      <c r="AH35" s="66">
        <f t="shared" si="14"/>
        <v>0</v>
      </c>
      <c r="AI35" s="27">
        <f>IF(Diaria!AH35&gt;0,Anual!AI34+Diaria!AH35/1000,0)</f>
        <v>0</v>
      </c>
      <c r="AJ35" s="54">
        <f>IF(Diaria!AH35&gt;0, AJ34+Diaria!AI35/1000,0)</f>
        <v>0</v>
      </c>
      <c r="AK35" s="66">
        <f t="shared" si="15"/>
        <v>0</v>
      </c>
    </row>
    <row r="36" spans="1:37" ht="30.75" customHeight="1" thickBot="1">
      <c r="A36" s="117" t="s">
        <v>277</v>
      </c>
      <c r="B36" s="118"/>
      <c r="C36" s="118"/>
      <c r="D36" s="118"/>
      <c r="E36" s="114">
        <v>189.53899999999999</v>
      </c>
      <c r="F36" s="115"/>
      <c r="G36" s="115"/>
      <c r="H36" s="115"/>
      <c r="I36" s="115"/>
      <c r="J36" s="115"/>
      <c r="K36" s="115"/>
      <c r="L36" s="115"/>
      <c r="M36" s="116"/>
      <c r="T36" s="4"/>
      <c r="W36" s="4"/>
    </row>
  </sheetData>
  <mergeCells count="17">
    <mergeCell ref="AI3:AK3"/>
    <mergeCell ref="A1:J1"/>
    <mergeCell ref="A2:J2"/>
    <mergeCell ref="A3:A4"/>
    <mergeCell ref="B3:D3"/>
    <mergeCell ref="H3:J3"/>
    <mergeCell ref="AF3:AH3"/>
    <mergeCell ref="AC3:AE3"/>
    <mergeCell ref="Z3:AB3"/>
    <mergeCell ref="W3:Y3"/>
    <mergeCell ref="T3:V3"/>
    <mergeCell ref="Q3:S3"/>
    <mergeCell ref="E36:M36"/>
    <mergeCell ref="A36:D36"/>
    <mergeCell ref="E3:G3"/>
    <mergeCell ref="N3:P3"/>
    <mergeCell ref="K3:M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E0A8976073FD4DA70455DAC524729B" ma:contentTypeVersion="15" ma:contentTypeDescription="Crear nuevo documento." ma:contentTypeScope="" ma:versionID="85bb8c4629dea7713762164b4a6bf5cd">
  <xsd:schema xmlns:xsd="http://www.w3.org/2001/XMLSchema" xmlns:xs="http://www.w3.org/2001/XMLSchema" xmlns:p="http://schemas.microsoft.com/office/2006/metadata/properties" xmlns:ns2="0eb45aa6-4dca-4d74-ace9-4a1f10fd4488" xmlns:ns3="fdbc0ec4-46dd-49a7-9bd0-23e513651363" targetNamespace="http://schemas.microsoft.com/office/2006/metadata/properties" ma:root="true" ma:fieldsID="8c34096be0d22f409579e417b0f4508c" ns2:_="" ns3:_="">
    <xsd:import namespace="0eb45aa6-4dca-4d74-ace9-4a1f10fd4488"/>
    <xsd:import namespace="fdbc0ec4-46dd-49a7-9bd0-23e513651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5aa6-4dca-4d74-ace9-4a1f10fd4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0e5f98d-b566-4d37-ba0a-925be2df9a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c0ec4-46dd-49a7-9bd0-23e51365136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0aecd1-30f4-4762-ad18-3f1c31dea234}" ma:internalName="TaxCatchAll" ma:showField="CatchAllData" ma:web="fdbc0ec4-46dd-49a7-9bd0-23e513651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bc0ec4-46dd-49a7-9bd0-23e513651363" xsi:nil="true"/>
    <lcf76f155ced4ddcb4097134ff3c332f xmlns="0eb45aa6-4dca-4d74-ace9-4a1f10fd44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6448E-2354-4A75-94B8-521B61E81B51}"/>
</file>

<file path=customXml/itemProps2.xml><?xml version="1.0" encoding="utf-8"?>
<ds:datastoreItem xmlns:ds="http://schemas.openxmlformats.org/officeDocument/2006/customXml" ds:itemID="{2A571592-A856-48C1-883F-DE8C7BF62D29}"/>
</file>

<file path=customXml/itemProps3.xml><?xml version="1.0" encoding="utf-8"?>
<ds:datastoreItem xmlns:ds="http://schemas.openxmlformats.org/officeDocument/2006/customXml" ds:itemID="{9C39182C-BF9D-43CE-95C4-49340D459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Marín Tavarez Sánchez</dc:creator>
  <cp:keywords/>
  <dc:description/>
  <cp:lastModifiedBy>Ruben Dario Peralta</cp:lastModifiedBy>
  <cp:revision/>
  <dcterms:created xsi:type="dcterms:W3CDTF">2022-01-13T21:26:02Z</dcterms:created>
  <dcterms:modified xsi:type="dcterms:W3CDTF">2024-12-27T13:18:52Z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0x010100FCE0A8976073FD4DA70455DAC524729B</vt:lpwstr>
  </property>
  <property fmtid="{D5CDD505-2E9C-101B-9397-08002B2CF9AE}" pid="3" name="MediaServiceImageTags">
    <vt:lpwstr/>
  </property>
</Properties>
</file>