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dima\edu\Бухгалтерский учет и анализ\"/>
    </mc:Choice>
  </mc:AlternateContent>
  <xr:revisionPtr revIDLastSave="0" documentId="13_ncr:1_{F955BDD5-B77D-4F61-98E4-31B29BB8F702}" xr6:coauthVersionLast="47" xr6:coauthVersionMax="47" xr10:uidLastSave="{00000000-0000-0000-0000-000000000000}"/>
  <bookViews>
    <workbookView xWindow="6420" yWindow="2610" windowWidth="21600" windowHeight="12660" xr2:uid="{00000000-000D-0000-FFFF-FFFF00000000}"/>
  </bookViews>
  <sheets>
    <sheet name="Расчёт" sheetId="1" r:id="rId1"/>
  </sheets>
  <definedNames>
    <definedName name="_xlnm.Print_Area" localSheetId="0">Расчёт!$A$1:$S$24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1" i="1" l="1"/>
  <c r="R11" i="1" s="1"/>
  <c r="P10" i="1"/>
  <c r="R10" i="1" s="1"/>
  <c r="P9" i="1"/>
  <c r="P8" i="1"/>
  <c r="R8" i="1" s="1"/>
  <c r="P7" i="1"/>
  <c r="I11" i="1"/>
  <c r="K11" i="1" s="1"/>
  <c r="I10" i="1"/>
  <c r="K10" i="1" s="1"/>
  <c r="I9" i="1"/>
  <c r="I8" i="1"/>
  <c r="R7" i="1"/>
  <c r="K8" i="1"/>
  <c r="K9" i="1"/>
  <c r="K7" i="1"/>
  <c r="J9" i="1"/>
  <c r="L9" i="1" s="1"/>
  <c r="O9" i="1" s="1"/>
  <c r="D20" i="1" s="1"/>
  <c r="J10" i="1"/>
  <c r="J11" i="1"/>
  <c r="J7" i="1"/>
  <c r="L7" i="1" s="1"/>
  <c r="O7" i="1" s="1"/>
  <c r="D18" i="1" s="1"/>
  <c r="I7" i="1"/>
  <c r="G20" i="1" l="1"/>
  <c r="F20" i="1"/>
  <c r="F18" i="1"/>
  <c r="E18" i="1"/>
  <c r="H18" i="1" s="1"/>
  <c r="J18" i="1" s="1"/>
  <c r="G18" i="1"/>
  <c r="S9" i="1"/>
  <c r="T9" i="1" s="1"/>
  <c r="L11" i="1"/>
  <c r="O11" i="1" s="1"/>
  <c r="S11" i="1" s="1"/>
  <c r="T11" i="1" s="1"/>
  <c r="S7" i="1"/>
  <c r="T7" i="1" s="1"/>
  <c r="L10" i="1"/>
  <c r="O10" i="1" s="1"/>
  <c r="R9" i="1"/>
  <c r="W9" i="1" s="1"/>
  <c r="W7" i="1"/>
  <c r="S10" i="1"/>
  <c r="T10" i="1" s="1"/>
  <c r="W10" i="1" s="1"/>
  <c r="D21" i="1"/>
  <c r="G21" i="1" s="1"/>
  <c r="J8" i="1"/>
  <c r="L8" i="1" s="1"/>
  <c r="O8" i="1" s="1"/>
  <c r="E21" i="1"/>
  <c r="E20" i="1"/>
  <c r="H20" i="1" s="1"/>
  <c r="J20" i="1" s="1"/>
  <c r="F21" i="1"/>
  <c r="D22" i="1" l="1"/>
  <c r="W11" i="1"/>
  <c r="D19" i="1"/>
  <c r="S8" i="1"/>
  <c r="T8" i="1" s="1"/>
  <c r="W8" i="1" s="1"/>
  <c r="H21" i="1"/>
  <c r="J21" i="1" s="1"/>
  <c r="F22" i="1" l="1"/>
  <c r="E22" i="1"/>
  <c r="H22" i="1" s="1"/>
  <c r="J22" i="1" s="1"/>
  <c r="G22" i="1"/>
  <c r="G19" i="1"/>
  <c r="F19" i="1"/>
  <c r="E19" i="1"/>
  <c r="H19" i="1" s="1"/>
  <c r="J1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Вита</author>
  </authors>
  <commentList>
    <comment ref="F4" authorId="0" shapeId="0" xr:uid="{00000000-0006-0000-0000-000001000000}">
      <text>
        <r>
          <rPr>
            <b/>
            <sz val="12"/>
            <color indexed="81"/>
            <rFont val="Tahoma"/>
            <family val="2"/>
            <charset val="204"/>
          </rPr>
          <t>Налоговый вычет -</t>
        </r>
        <r>
          <rPr>
            <sz val="12"/>
            <color indexed="81"/>
            <rFont val="Tahoma"/>
            <family val="2"/>
            <charset val="204"/>
          </rPr>
          <t xml:space="preserve"> это «скидка» при расчете НДФЛ: прежде чем рассчитать налог, бухгалтер уменьшает налоговую базу на определенную сумму.
При расчете налога с меньшей налоговой базы, сокращается и сам налог, и это дает небольшую экономию налогоплательщику. Порядок применения стандартных вычетов прописан в ст. 218 НК РФ.
Вычеты на детей в 2023 г.: 
- на первого и второго ребенка — по 1 400 руб.
- на третьего и каждого следующего — по 3 000 руб.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sz val="12"/>
            <color indexed="81"/>
            <rFont val="Tahoma"/>
            <family val="2"/>
            <charset val="204"/>
          </rPr>
          <t xml:space="preserve">
Применение вычета в каждом календарном году прекращается с того месяца, в котором доход (начисленная заработная плата) превысит 350 000 рублей.</t>
        </r>
      </text>
    </comment>
    <comment ref="P5" authorId="0" shapeId="0" xr:uid="{00000000-0006-0000-0000-000002000000}">
      <text>
        <r>
          <rPr>
            <sz val="12"/>
            <color indexed="81"/>
            <rFont val="Tahoma"/>
            <family val="2"/>
            <charset val="204"/>
          </rPr>
          <t>Аванс рассчитывается процентом от установленного оклада
При расчете аванса премии, доплаты, надбавки не учитываются)
сумма аванса зависит от фактически отработанного времени
аванс = (оклад: количество рабочих дней в месяце) × количество отработанных дней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8" authorId="0" shapeId="0" xr:uid="{00000000-0006-0000-0000-000003000000}">
      <text>
        <r>
          <rPr>
            <sz val="12"/>
            <color indexed="81"/>
            <rFont val="Tahoma"/>
            <family val="2"/>
            <charset val="204"/>
          </rPr>
          <t>Больничный лист, 7 дней (с 08.11 по 14.11)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P8" authorId="0" shapeId="0" xr:uid="{00000000-0006-0000-0000-000004000000}">
      <text>
        <r>
          <rPr>
            <sz val="12"/>
            <color indexed="81"/>
            <rFont val="Tahoma"/>
            <family val="2"/>
            <charset val="204"/>
          </rPr>
          <t>5 рабочих дня при окладе 30000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0" authorId="0" shapeId="0" xr:uid="{00000000-0006-0000-0000-000005000000}">
      <text>
        <r>
          <rPr>
            <sz val="12"/>
            <color indexed="81"/>
            <rFont val="Tahoma"/>
            <family val="2"/>
            <charset val="204"/>
          </rPr>
          <t>Отпуск без сохранения заработной платы 2 дня (20, 21 ноября)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10" authorId="0" shapeId="0" xr:uid="{00000000-0006-0000-0000-000006000000}">
      <text>
        <r>
          <rPr>
            <sz val="12"/>
            <color indexed="81"/>
            <rFont val="Tahoma"/>
            <family val="2"/>
            <charset val="204"/>
          </rPr>
          <t xml:space="preserve">4% от объема отгруженной продукции по заключенным договорам поставки
(в ноябре составил 470 тыс. руб.) </t>
        </r>
      </text>
    </comment>
    <comment ref="E11" authorId="0" shapeId="0" xr:uid="{00000000-0006-0000-0000-000007000000}">
      <text>
        <r>
          <rPr>
            <b/>
            <sz val="9"/>
            <color indexed="81"/>
            <rFont val="Tahoma"/>
            <family val="2"/>
            <charset val="204"/>
          </rPr>
          <t>Отпуск 2 недели: с 13.11 по 26.11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<sst xmlns="http://schemas.openxmlformats.org/spreadsheetml/2006/main" count="71" uniqueCount="57">
  <si>
    <t>ФИО</t>
  </si>
  <si>
    <t>Премия</t>
  </si>
  <si>
    <t>Оклад</t>
  </si>
  <si>
    <t>Смирнова А.А.</t>
  </si>
  <si>
    <t>вычет на 1 ребенка</t>
  </si>
  <si>
    <t>Петров П.П.</t>
  </si>
  <si>
    <t>Серов Е.Е.</t>
  </si>
  <si>
    <t>Директор</t>
  </si>
  <si>
    <t>Бухгалтер</t>
  </si>
  <si>
    <t>Менеджер-логист</t>
  </si>
  <si>
    <t>Менеджер по продажам</t>
  </si>
  <si>
    <t>№ п/п</t>
  </si>
  <si>
    <t>20% от оклада</t>
  </si>
  <si>
    <t>10% от оклада</t>
  </si>
  <si>
    <t>Начислено за текущий месяц</t>
  </si>
  <si>
    <t>отпускные</t>
  </si>
  <si>
    <t>НДФЛ с заработной платы</t>
  </si>
  <si>
    <t>НДФЛ по больничным</t>
  </si>
  <si>
    <t>НДФЛ по отпускным</t>
  </si>
  <si>
    <t>Сумма к выплате</t>
  </si>
  <si>
    <t>Расчетно-платежная ведомость, руб.</t>
  </si>
  <si>
    <t>Должность (специальность, профессия)</t>
  </si>
  <si>
    <t>Начислена ЗП за текущий месяц</t>
  </si>
  <si>
    <t>Начислены страх.взносы, ОПС (22%)</t>
  </si>
  <si>
    <t>Начислены страх.взносы, ФСС (2,9%)</t>
  </si>
  <si>
    <t>Начислены страх.взносы, ФОМС (5,1%)</t>
  </si>
  <si>
    <t>Итого страховых взносов</t>
  </si>
  <si>
    <t>69.2</t>
  </si>
  <si>
    <t>69.1</t>
  </si>
  <si>
    <t>69.3</t>
  </si>
  <si>
    <t>ВСЕГО</t>
  </si>
  <si>
    <t>Легачев В.В.</t>
  </si>
  <si>
    <t>компенсация по временной нетрудоспособности</t>
  </si>
  <si>
    <t>Вычеты по НДФЛ</t>
  </si>
  <si>
    <t>Вычеты (стандартные) по НДФЛ</t>
  </si>
  <si>
    <t>вычеты на              2-х детей</t>
  </si>
  <si>
    <t xml:space="preserve">вычет на               3-х детей </t>
  </si>
  <si>
    <t>заработная плата (повременно-премиальная часть)</t>
  </si>
  <si>
    <t>итого</t>
  </si>
  <si>
    <t>ООО "Фрегат"</t>
  </si>
  <si>
    <t>Расчет социальных страховых взносов(ведомость РСВ), руб.</t>
  </si>
  <si>
    <t>Афонин К.С.</t>
  </si>
  <si>
    <t>Системный администратор</t>
  </si>
  <si>
    <t>Фонд заработной платы                             (с января по октябрь 2023 г.)</t>
  </si>
  <si>
    <t>Фактически отработано дней (ноябрь 2023 г.)                     при плане 21 рабочий день</t>
  </si>
  <si>
    <t>5% от оклада</t>
  </si>
  <si>
    <t>детей нет</t>
  </si>
  <si>
    <t>районный коэффициент 20%</t>
  </si>
  <si>
    <t>поясной коэффициент 30%</t>
  </si>
  <si>
    <t>НДФЛ с аванса</t>
  </si>
  <si>
    <t>Удержано и зачтено за 1 половину месяца</t>
  </si>
  <si>
    <t>Итоговый расчет за текущий месяц</t>
  </si>
  <si>
    <t>Выплачено сотруднику за текущий месяц</t>
  </si>
  <si>
    <t>Итоговые затраты на содержание персонала</t>
  </si>
  <si>
    <t>Аванс (50% от оклада)</t>
  </si>
  <si>
    <t>В</t>
  </si>
  <si>
    <t>ВНИМАНИЕ!!! Ошибки в расчете зарплаты по Серову. Нет расчета больничного листа, отпускных!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</si>
</sst>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i/>
      <sz val="14"/>
      <name val="Times New Roman"/>
      <family val="1"/>
      <charset val="204"/>
    </font>
    <font>
      <b/>
      <i/>
      <sz val="14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b/>
      <sz val="12"/>
      <color indexed="81"/>
      <name val="Tahoma"/>
      <family val="2"/>
      <charset val="204"/>
    </font>
    <font>
      <sz val="12"/>
      <color indexed="81"/>
      <name val="Tahoma"/>
      <family val="2"/>
      <charset val="204"/>
    </font>
    <font>
      <b/>
      <sz val="22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1" fontId="1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/>
    <xf numFmtId="1" fontId="0" fillId="0" borderId="0" xfId="0" applyNumberFormat="1"/>
    <xf numFmtId="3" fontId="8" fillId="0" borderId="0" xfId="0" applyNumberFormat="1" applyFont="1" applyAlignment="1">
      <alignment wrapText="1"/>
    </xf>
    <xf numFmtId="164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 indent="1"/>
    </xf>
    <xf numFmtId="3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top" wrapText="1"/>
    </xf>
    <xf numFmtId="3" fontId="4" fillId="2" borderId="1" xfId="0" applyNumberFormat="1" applyFont="1" applyFill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4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1" fontId="4" fillId="3" borderId="1" xfId="0" applyNumberFormat="1" applyFont="1" applyFill="1" applyBorder="1" applyAlignment="1">
      <alignment horizontal="center" vertical="center" wrapText="1"/>
    </xf>
    <xf numFmtId="3" fontId="4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left" vertical="center" wrapText="1"/>
    </xf>
    <xf numFmtId="0" fontId="12" fillId="4" borderId="0" xfId="0" applyFont="1" applyFill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0"/>
  <sheetViews>
    <sheetView tabSelected="1" zoomScale="40" zoomScaleNormal="40" workbookViewId="0">
      <selection activeCell="R16" sqref="R16"/>
    </sheetView>
  </sheetViews>
  <sheetFormatPr defaultRowHeight="15" x14ac:dyDescent="0.25"/>
  <cols>
    <col min="1" max="1" width="7" customWidth="1"/>
    <col min="2" max="2" width="20.85546875" customWidth="1"/>
    <col min="3" max="3" width="24.42578125" customWidth="1"/>
    <col min="4" max="4" width="21.85546875" customWidth="1"/>
    <col min="5" max="5" width="20.85546875" customWidth="1"/>
    <col min="6" max="6" width="19" customWidth="1"/>
    <col min="7" max="7" width="17.7109375" customWidth="1"/>
    <col min="8" max="8" width="15.42578125" customWidth="1"/>
    <col min="9" max="9" width="17" customWidth="1"/>
    <col min="10" max="10" width="12" customWidth="1"/>
    <col min="11" max="11" width="12.42578125" customWidth="1"/>
    <col min="12" max="12" width="13.7109375" customWidth="1"/>
    <col min="13" max="13" width="17.42578125" customWidth="1"/>
    <col min="14" max="14" width="15.42578125" customWidth="1"/>
    <col min="15" max="15" width="14.28515625" customWidth="1"/>
    <col min="16" max="16" width="16.140625" customWidth="1"/>
    <col min="17" max="17" width="15" customWidth="1"/>
    <col min="18" max="18" width="12.42578125" customWidth="1"/>
    <col min="19" max="19" width="16.42578125" customWidth="1"/>
    <col min="20" max="21" width="16.5703125" customWidth="1"/>
    <col min="22" max="22" width="16.42578125" customWidth="1"/>
    <col min="23" max="23" width="16.5703125" customWidth="1"/>
    <col min="24" max="24" width="18.5703125" customWidth="1"/>
    <col min="26" max="26" width="13.7109375" customWidth="1"/>
    <col min="27" max="27" width="17.42578125" customWidth="1"/>
    <col min="28" max="28" width="51.7109375" customWidth="1"/>
    <col min="29" max="29" width="14.42578125" customWidth="1"/>
    <col min="30" max="30" width="25" customWidth="1"/>
    <col min="31" max="31" width="69.140625" customWidth="1"/>
  </cols>
  <sheetData>
    <row r="1" spans="1:29" ht="19.5" x14ac:dyDescent="0.35">
      <c r="B1" s="2" t="s">
        <v>39</v>
      </c>
      <c r="C1" s="1"/>
      <c r="D1" s="1"/>
      <c r="E1" s="1"/>
      <c r="F1" s="1"/>
      <c r="G1" s="1"/>
      <c r="H1" s="1"/>
    </row>
    <row r="2" spans="1:29" ht="19.5" x14ac:dyDescent="0.35">
      <c r="B2" s="2" t="s">
        <v>20</v>
      </c>
      <c r="C2" s="1"/>
      <c r="D2" s="1"/>
      <c r="E2" s="1"/>
      <c r="F2" s="1"/>
      <c r="G2" s="1"/>
      <c r="H2" s="3"/>
    </row>
    <row r="3" spans="1:29" ht="18.75" x14ac:dyDescent="0.3">
      <c r="B3" s="1"/>
      <c r="C3" s="1"/>
      <c r="D3" s="1"/>
      <c r="E3" s="1"/>
      <c r="F3" s="1"/>
      <c r="G3" s="1"/>
      <c r="H3" s="1"/>
    </row>
    <row r="4" spans="1:29" ht="81.75" customHeight="1" x14ac:dyDescent="0.25">
      <c r="A4" s="32" t="s">
        <v>11</v>
      </c>
      <c r="B4" s="32" t="s">
        <v>0</v>
      </c>
      <c r="C4" s="32" t="s">
        <v>21</v>
      </c>
      <c r="D4" s="32" t="s">
        <v>43</v>
      </c>
      <c r="E4" s="32" t="s">
        <v>44</v>
      </c>
      <c r="F4" s="32" t="s">
        <v>34</v>
      </c>
      <c r="G4" s="32" t="s">
        <v>2</v>
      </c>
      <c r="H4" s="32" t="s">
        <v>1</v>
      </c>
      <c r="I4" s="32" t="s">
        <v>14</v>
      </c>
      <c r="J4" s="32"/>
      <c r="K4" s="32"/>
      <c r="L4" s="32"/>
      <c r="M4" s="32"/>
      <c r="N4" s="32"/>
      <c r="O4" s="32"/>
      <c r="P4" s="32" t="s">
        <v>50</v>
      </c>
      <c r="Q4" s="32"/>
      <c r="R4" s="32"/>
      <c r="S4" s="29" t="s">
        <v>51</v>
      </c>
      <c r="T4" s="30"/>
      <c r="U4" s="30"/>
      <c r="V4" s="31"/>
      <c r="W4" s="9" t="s">
        <v>52</v>
      </c>
    </row>
    <row r="5" spans="1:29" ht="135.75" customHeight="1" x14ac:dyDescent="0.25">
      <c r="A5" s="32"/>
      <c r="B5" s="32"/>
      <c r="C5" s="32"/>
      <c r="D5" s="32"/>
      <c r="E5" s="32"/>
      <c r="F5" s="32"/>
      <c r="G5" s="32"/>
      <c r="H5" s="32"/>
      <c r="I5" s="9" t="s">
        <v>37</v>
      </c>
      <c r="J5" s="9" t="s">
        <v>47</v>
      </c>
      <c r="K5" s="9" t="s">
        <v>48</v>
      </c>
      <c r="L5" s="9" t="s">
        <v>38</v>
      </c>
      <c r="M5" s="9" t="s">
        <v>32</v>
      </c>
      <c r="N5" s="9" t="s">
        <v>15</v>
      </c>
      <c r="O5" s="9" t="s">
        <v>30</v>
      </c>
      <c r="P5" s="9" t="s">
        <v>54</v>
      </c>
      <c r="Q5" s="9" t="s">
        <v>33</v>
      </c>
      <c r="R5" s="9" t="s">
        <v>49</v>
      </c>
      <c r="S5" s="9" t="s">
        <v>19</v>
      </c>
      <c r="T5" s="9" t="s">
        <v>16</v>
      </c>
      <c r="U5" s="9" t="s">
        <v>17</v>
      </c>
      <c r="V5" s="9" t="s">
        <v>18</v>
      </c>
      <c r="W5" s="9"/>
    </row>
    <row r="6" spans="1:29" ht="20.25" customHeight="1" x14ac:dyDescent="0.25">
      <c r="A6" s="10">
        <v>1</v>
      </c>
      <c r="B6" s="10">
        <v>2</v>
      </c>
      <c r="C6" s="10">
        <v>3</v>
      </c>
      <c r="D6" s="10">
        <v>4</v>
      </c>
      <c r="E6" s="10">
        <v>5</v>
      </c>
      <c r="F6" s="10">
        <v>6</v>
      </c>
      <c r="G6" s="10">
        <v>7</v>
      </c>
      <c r="H6" s="10">
        <v>8</v>
      </c>
      <c r="I6" s="10">
        <v>9</v>
      </c>
      <c r="J6" s="10">
        <v>10</v>
      </c>
      <c r="K6" s="10">
        <v>11</v>
      </c>
      <c r="L6" s="10">
        <v>12</v>
      </c>
      <c r="M6" s="10">
        <v>13</v>
      </c>
      <c r="N6" s="10">
        <v>14</v>
      </c>
      <c r="O6" s="10">
        <v>15</v>
      </c>
      <c r="P6" s="10">
        <v>16</v>
      </c>
      <c r="Q6" s="10">
        <v>17</v>
      </c>
      <c r="R6" s="10">
        <v>18</v>
      </c>
      <c r="S6" s="10">
        <v>19</v>
      </c>
      <c r="T6" s="10">
        <v>20</v>
      </c>
      <c r="U6" s="10">
        <v>21</v>
      </c>
      <c r="V6" s="10">
        <v>22</v>
      </c>
      <c r="W6" s="10">
        <v>23</v>
      </c>
      <c r="X6" s="4"/>
      <c r="Y6" s="4"/>
    </row>
    <row r="7" spans="1:29" ht="42.75" customHeight="1" x14ac:dyDescent="0.25">
      <c r="A7" s="11">
        <v>1</v>
      </c>
      <c r="B7" s="12" t="s">
        <v>31</v>
      </c>
      <c r="C7" s="12" t="s">
        <v>7</v>
      </c>
      <c r="D7" s="13">
        <v>980000</v>
      </c>
      <c r="E7" s="11">
        <v>21</v>
      </c>
      <c r="F7" s="11" t="s">
        <v>35</v>
      </c>
      <c r="G7" s="13">
        <v>60000</v>
      </c>
      <c r="H7" s="14" t="s">
        <v>12</v>
      </c>
      <c r="I7" s="13">
        <f>G7*0.2+G7</f>
        <v>72000</v>
      </c>
      <c r="J7" s="13">
        <f>I7*0.2</f>
        <v>14400</v>
      </c>
      <c r="K7" s="13">
        <f>I7*0.3</f>
        <v>21600</v>
      </c>
      <c r="L7" s="13">
        <f>SUM(I7:K7)</f>
        <v>108000</v>
      </c>
      <c r="M7" s="15">
        <v>0</v>
      </c>
      <c r="N7" s="11">
        <v>0</v>
      </c>
      <c r="O7" s="13">
        <f>SUM(L7:N7)</f>
        <v>108000</v>
      </c>
      <c r="P7" s="11">
        <f>(G7*0.5)*1.5</f>
        <v>45000</v>
      </c>
      <c r="Q7" s="11"/>
      <c r="R7" s="11">
        <f>P7*0.13</f>
        <v>5850</v>
      </c>
      <c r="S7" s="16">
        <f>O7-P7</f>
        <v>63000</v>
      </c>
      <c r="T7" s="13">
        <f>S7*0.13</f>
        <v>8190</v>
      </c>
      <c r="U7" s="13">
        <v>0</v>
      </c>
      <c r="V7" s="13">
        <v>0</v>
      </c>
      <c r="W7" s="13">
        <f>O7-R7-T7</f>
        <v>93960</v>
      </c>
      <c r="Y7" s="5"/>
    </row>
    <row r="8" spans="1:29" ht="42.75" customHeight="1" x14ac:dyDescent="0.25">
      <c r="A8" s="11">
        <v>2</v>
      </c>
      <c r="B8" s="12" t="s">
        <v>3</v>
      </c>
      <c r="C8" s="12" t="s">
        <v>8</v>
      </c>
      <c r="D8" s="13">
        <v>590000</v>
      </c>
      <c r="E8" s="11">
        <v>16</v>
      </c>
      <c r="F8" s="11" t="s">
        <v>4</v>
      </c>
      <c r="G8" s="13">
        <v>30000</v>
      </c>
      <c r="H8" s="14" t="s">
        <v>13</v>
      </c>
      <c r="I8" s="13">
        <f>(G8*0.1+G8)/21*16</f>
        <v>25142.857142857141</v>
      </c>
      <c r="J8" s="13">
        <f t="shared" ref="J8:J11" si="0">I8*0.2</f>
        <v>5028.5714285714284</v>
      </c>
      <c r="K8" s="13">
        <f t="shared" ref="K8:K11" si="1">I8*0.3</f>
        <v>7542.8571428571422</v>
      </c>
      <c r="L8" s="13">
        <f t="shared" ref="L8:L11" si="2">SUM(I8:K8)</f>
        <v>37714.28571428571</v>
      </c>
      <c r="M8" s="21"/>
      <c r="N8" s="18">
        <v>0</v>
      </c>
      <c r="O8" s="13">
        <f>SUM(L8:N8)</f>
        <v>37714.28571428571</v>
      </c>
      <c r="P8" s="24">
        <f>G8/21*5*0.5*1.5</f>
        <v>5357.1428571428569</v>
      </c>
      <c r="Q8" s="11"/>
      <c r="R8" s="24">
        <f t="shared" ref="R8:R11" si="3">P8*0.13</f>
        <v>696.42857142857144</v>
      </c>
      <c r="S8" s="16">
        <f t="shared" ref="S8:S10" si="4">O8-P8</f>
        <v>32357.142857142855</v>
      </c>
      <c r="T8" s="13">
        <f t="shared" ref="T8:T11" si="5">S8*0.13</f>
        <v>4206.4285714285716</v>
      </c>
      <c r="U8" s="20"/>
      <c r="V8" s="19">
        <v>0</v>
      </c>
      <c r="W8" s="13">
        <f t="shared" ref="W8:W10" si="6">O8-R8-T8</f>
        <v>32811.428571428565</v>
      </c>
      <c r="X8" s="6"/>
      <c r="Y8" s="6"/>
      <c r="Z8" s="7"/>
      <c r="AA8" s="7"/>
      <c r="AB8" s="7"/>
      <c r="AC8" s="7"/>
    </row>
    <row r="9" spans="1:29" ht="39.75" customHeight="1" x14ac:dyDescent="0.25">
      <c r="A9" s="18">
        <v>3</v>
      </c>
      <c r="B9" s="17" t="s">
        <v>5</v>
      </c>
      <c r="C9" s="17" t="s">
        <v>9</v>
      </c>
      <c r="D9" s="16">
        <v>520000</v>
      </c>
      <c r="E9" s="18">
        <v>21</v>
      </c>
      <c r="F9" s="18" t="s">
        <v>36</v>
      </c>
      <c r="G9" s="16">
        <v>25000</v>
      </c>
      <c r="H9" s="16">
        <v>10000</v>
      </c>
      <c r="I9" s="16">
        <f>H9+G9</f>
        <v>35000</v>
      </c>
      <c r="J9" s="13">
        <f t="shared" si="0"/>
        <v>7000</v>
      </c>
      <c r="K9" s="13">
        <f t="shared" si="1"/>
        <v>10500</v>
      </c>
      <c r="L9" s="13">
        <f t="shared" si="2"/>
        <v>52500</v>
      </c>
      <c r="M9" s="18">
        <v>0</v>
      </c>
      <c r="N9" s="18">
        <v>0</v>
      </c>
      <c r="O9" s="13">
        <f t="shared" ref="O9:O11" si="7">SUM(L9:N9)</f>
        <v>52500</v>
      </c>
      <c r="P9" s="11">
        <f>(G9*0.5)*1.5</f>
        <v>18750</v>
      </c>
      <c r="Q9" s="11"/>
      <c r="R9" s="11">
        <f t="shared" si="3"/>
        <v>2437.5</v>
      </c>
      <c r="S9" s="16">
        <f t="shared" si="4"/>
        <v>33750</v>
      </c>
      <c r="T9" s="13">
        <f t="shared" si="5"/>
        <v>4387.5</v>
      </c>
      <c r="U9" s="18">
        <v>0</v>
      </c>
      <c r="V9" s="18">
        <v>0</v>
      </c>
      <c r="W9" s="13">
        <f t="shared" si="6"/>
        <v>45675</v>
      </c>
      <c r="X9" s="6"/>
      <c r="Y9" s="6"/>
    </row>
    <row r="10" spans="1:29" ht="57" customHeight="1" x14ac:dyDescent="0.25">
      <c r="A10" s="18">
        <v>4</v>
      </c>
      <c r="B10" s="17" t="s">
        <v>6</v>
      </c>
      <c r="C10" s="17" t="s">
        <v>10</v>
      </c>
      <c r="D10" s="16">
        <v>470000</v>
      </c>
      <c r="E10" s="18">
        <v>19</v>
      </c>
      <c r="F10" s="18" t="s">
        <v>4</v>
      </c>
      <c r="G10" s="16">
        <v>25000</v>
      </c>
      <c r="H10" s="16">
        <v>18800</v>
      </c>
      <c r="I10" s="16">
        <f>(H10+G10)/21*19</f>
        <v>39628.571428571428</v>
      </c>
      <c r="J10" s="13">
        <f t="shared" si="0"/>
        <v>7925.7142857142862</v>
      </c>
      <c r="K10" s="13">
        <f t="shared" si="1"/>
        <v>11888.571428571428</v>
      </c>
      <c r="L10" s="13">
        <f t="shared" si="2"/>
        <v>59442.857142857138</v>
      </c>
      <c r="M10" s="18">
        <v>0</v>
      </c>
      <c r="N10" s="18">
        <v>0</v>
      </c>
      <c r="O10" s="13">
        <f t="shared" si="7"/>
        <v>59442.857142857138</v>
      </c>
      <c r="P10" s="11">
        <f>(G10*0.5)*1.5</f>
        <v>18750</v>
      </c>
      <c r="Q10" s="11"/>
      <c r="R10" s="11">
        <f t="shared" si="3"/>
        <v>2437.5</v>
      </c>
      <c r="S10" s="16">
        <f t="shared" si="4"/>
        <v>40692.857142857138</v>
      </c>
      <c r="T10" s="13">
        <f t="shared" si="5"/>
        <v>5290.0714285714284</v>
      </c>
      <c r="U10" s="19">
        <v>0</v>
      </c>
      <c r="V10" s="19">
        <v>0</v>
      </c>
      <c r="W10" s="13">
        <f t="shared" si="6"/>
        <v>51715.28571428571</v>
      </c>
      <c r="Z10" s="7"/>
      <c r="AA10" s="7"/>
      <c r="AB10" s="7"/>
      <c r="AC10" s="7"/>
    </row>
    <row r="11" spans="1:29" ht="43.5" customHeight="1" x14ac:dyDescent="0.25">
      <c r="A11" s="18">
        <v>5</v>
      </c>
      <c r="B11" s="17" t="s">
        <v>41</v>
      </c>
      <c r="C11" s="17" t="s">
        <v>42</v>
      </c>
      <c r="D11" s="16">
        <v>540000</v>
      </c>
      <c r="E11" s="18">
        <v>11</v>
      </c>
      <c r="F11" s="18" t="s">
        <v>46</v>
      </c>
      <c r="G11" s="16">
        <v>30000</v>
      </c>
      <c r="H11" s="18" t="s">
        <v>45</v>
      </c>
      <c r="I11" s="16">
        <f>(G11*0.05+G11)/21*11</f>
        <v>16500</v>
      </c>
      <c r="J11" s="13">
        <f t="shared" si="0"/>
        <v>3300</v>
      </c>
      <c r="K11" s="13">
        <f t="shared" si="1"/>
        <v>4950</v>
      </c>
      <c r="L11" s="13">
        <f t="shared" si="2"/>
        <v>24750</v>
      </c>
      <c r="M11" s="18">
        <v>0</v>
      </c>
      <c r="N11" s="22"/>
      <c r="O11" s="13">
        <f t="shared" si="7"/>
        <v>24750</v>
      </c>
      <c r="P11" s="11">
        <f>(G11*0.5)*1.5/21*7</f>
        <v>7499.9999999999991</v>
      </c>
      <c r="Q11" s="11"/>
      <c r="R11" s="11">
        <f t="shared" si="3"/>
        <v>974.99999999999989</v>
      </c>
      <c r="S11" s="16">
        <f>O11-P11</f>
        <v>17250</v>
      </c>
      <c r="T11" s="13">
        <f t="shared" si="5"/>
        <v>2242.5</v>
      </c>
      <c r="U11" s="19">
        <v>0</v>
      </c>
      <c r="V11" s="20"/>
      <c r="W11" s="13">
        <f>O11-R11-T11</f>
        <v>21532.5</v>
      </c>
    </row>
    <row r="12" spans="1:29" ht="28.5" customHeight="1" x14ac:dyDescent="0.25">
      <c r="O12" s="8"/>
    </row>
    <row r="13" spans="1:29" ht="23.25" customHeight="1" x14ac:dyDescent="0.25">
      <c r="A13" t="s">
        <v>55</v>
      </c>
      <c r="B13" s="33" t="s">
        <v>40</v>
      </c>
      <c r="C13" s="33"/>
      <c r="D13" s="33"/>
      <c r="E13" s="33"/>
      <c r="L13" s="34" t="s">
        <v>56</v>
      </c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</row>
    <row r="14" spans="1:29" x14ac:dyDescent="0.25">
      <c r="E14" s="4" t="s">
        <v>27</v>
      </c>
      <c r="F14" s="4" t="s">
        <v>28</v>
      </c>
      <c r="G14" s="4" t="s">
        <v>29</v>
      </c>
    </row>
    <row r="15" spans="1:29" ht="15" customHeight="1" x14ac:dyDescent="0.25">
      <c r="A15" s="32" t="s">
        <v>11</v>
      </c>
      <c r="B15" s="32" t="s">
        <v>0</v>
      </c>
      <c r="C15" s="32" t="s">
        <v>21</v>
      </c>
      <c r="D15" s="32" t="s">
        <v>22</v>
      </c>
      <c r="E15" s="32" t="s">
        <v>23</v>
      </c>
      <c r="F15" s="32" t="s">
        <v>24</v>
      </c>
      <c r="G15" s="32" t="s">
        <v>25</v>
      </c>
      <c r="H15" s="32" t="s">
        <v>26</v>
      </c>
      <c r="J15" s="32" t="s">
        <v>53</v>
      </c>
      <c r="K15" s="32"/>
    </row>
    <row r="16" spans="1:29" ht="63.75" customHeight="1" x14ac:dyDescent="0.25">
      <c r="A16" s="32"/>
      <c r="B16" s="32"/>
      <c r="C16" s="32"/>
      <c r="D16" s="32"/>
      <c r="E16" s="32"/>
      <c r="F16" s="32"/>
      <c r="G16" s="32"/>
      <c r="H16" s="32"/>
      <c r="J16" s="32"/>
      <c r="K16" s="32"/>
    </row>
    <row r="17" spans="1:11" ht="18.75" x14ac:dyDescent="0.25">
      <c r="A17" s="10">
        <v>1</v>
      </c>
      <c r="B17" s="10">
        <v>1</v>
      </c>
      <c r="C17" s="10">
        <v>2</v>
      </c>
      <c r="D17" s="10">
        <v>3</v>
      </c>
      <c r="E17" s="10">
        <v>4</v>
      </c>
      <c r="F17" s="10">
        <v>5</v>
      </c>
      <c r="G17" s="10">
        <v>6</v>
      </c>
      <c r="H17" s="10">
        <v>7</v>
      </c>
      <c r="J17" s="27"/>
      <c r="K17" s="28"/>
    </row>
    <row r="18" spans="1:11" ht="30" customHeight="1" x14ac:dyDescent="0.3">
      <c r="A18" s="11">
        <v>1</v>
      </c>
      <c r="B18" s="12" t="s">
        <v>31</v>
      </c>
      <c r="C18" s="12" t="s">
        <v>7</v>
      </c>
      <c r="D18" s="13">
        <f>O7</f>
        <v>108000</v>
      </c>
      <c r="E18" s="11">
        <f>D18*0.22</f>
        <v>23760</v>
      </c>
      <c r="F18" s="11">
        <f>D18*0.029</f>
        <v>3132</v>
      </c>
      <c r="G18" s="23">
        <f>D18*0.051</f>
        <v>5508</v>
      </c>
      <c r="H18" s="23">
        <f>SUM(E18:G18)</f>
        <v>32400</v>
      </c>
      <c r="J18" s="25">
        <f>D18+H18</f>
        <v>140400</v>
      </c>
      <c r="K18" s="26"/>
    </row>
    <row r="19" spans="1:11" ht="25.5" customHeight="1" x14ac:dyDescent="0.3">
      <c r="A19" s="11">
        <v>2</v>
      </c>
      <c r="B19" s="12" t="s">
        <v>3</v>
      </c>
      <c r="C19" s="12" t="s">
        <v>8</v>
      </c>
      <c r="D19" s="13">
        <f t="shared" ref="D19:D22" si="8">O8</f>
        <v>37714.28571428571</v>
      </c>
      <c r="E19" s="11">
        <f t="shared" ref="E19:E22" si="9">D19*0.22</f>
        <v>8297.1428571428569</v>
      </c>
      <c r="F19" s="11">
        <f t="shared" ref="F19:F22" si="10">D19*0.029</f>
        <v>1093.7142857142856</v>
      </c>
      <c r="G19" s="23">
        <f t="shared" ref="G19:G22" si="11">D19*0.051</f>
        <v>1923.4285714285711</v>
      </c>
      <c r="H19" s="23">
        <f t="shared" ref="H19:H22" si="12">SUM(E19:G19)</f>
        <v>11314.285714285714</v>
      </c>
      <c r="J19" s="25">
        <f t="shared" ref="J19:J22" si="13">D19+H19</f>
        <v>49028.57142857142</v>
      </c>
      <c r="K19" s="26"/>
    </row>
    <row r="20" spans="1:11" ht="28.5" customHeight="1" x14ac:dyDescent="0.3">
      <c r="A20" s="18">
        <v>3</v>
      </c>
      <c r="B20" s="17" t="s">
        <v>5</v>
      </c>
      <c r="C20" s="17" t="s">
        <v>9</v>
      </c>
      <c r="D20" s="13">
        <f t="shared" si="8"/>
        <v>52500</v>
      </c>
      <c r="E20" s="11">
        <f t="shared" si="9"/>
        <v>11550</v>
      </c>
      <c r="F20" s="11">
        <f t="shared" si="10"/>
        <v>1522.5</v>
      </c>
      <c r="G20" s="23">
        <f t="shared" si="11"/>
        <v>2677.5</v>
      </c>
      <c r="H20" s="23">
        <f t="shared" si="12"/>
        <v>15750</v>
      </c>
      <c r="J20" s="25">
        <f t="shared" si="13"/>
        <v>68250</v>
      </c>
      <c r="K20" s="26"/>
    </row>
    <row r="21" spans="1:11" ht="37.5" x14ac:dyDescent="0.3">
      <c r="A21" s="18">
        <v>4</v>
      </c>
      <c r="B21" s="17" t="s">
        <v>6</v>
      </c>
      <c r="C21" s="17" t="s">
        <v>10</v>
      </c>
      <c r="D21" s="13">
        <f t="shared" si="8"/>
        <v>59442.857142857138</v>
      </c>
      <c r="E21" s="11">
        <f t="shared" si="9"/>
        <v>13077.428571428571</v>
      </c>
      <c r="F21" s="11">
        <f t="shared" si="10"/>
        <v>1723.8428571428572</v>
      </c>
      <c r="G21" s="23">
        <f t="shared" si="11"/>
        <v>3031.5857142857139</v>
      </c>
      <c r="H21" s="23">
        <f t="shared" si="12"/>
        <v>17832.857142857141</v>
      </c>
      <c r="J21" s="25">
        <f t="shared" si="13"/>
        <v>77275.714285714275</v>
      </c>
      <c r="K21" s="26"/>
    </row>
    <row r="22" spans="1:11" ht="37.5" x14ac:dyDescent="0.3">
      <c r="A22" s="18">
        <v>5</v>
      </c>
      <c r="B22" s="17" t="s">
        <v>41</v>
      </c>
      <c r="C22" s="17" t="s">
        <v>42</v>
      </c>
      <c r="D22" s="13">
        <f t="shared" si="8"/>
        <v>24750</v>
      </c>
      <c r="E22" s="11">
        <f t="shared" si="9"/>
        <v>5445</v>
      </c>
      <c r="F22" s="11">
        <f t="shared" si="10"/>
        <v>717.75</v>
      </c>
      <c r="G22" s="23">
        <f t="shared" si="11"/>
        <v>1262.25</v>
      </c>
      <c r="H22" s="23">
        <f t="shared" si="12"/>
        <v>7425</v>
      </c>
      <c r="J22" s="25">
        <f t="shared" si="13"/>
        <v>32175</v>
      </c>
      <c r="K22" s="26"/>
    </row>
    <row r="26" spans="1:11" ht="19.5" x14ac:dyDescent="0.25">
      <c r="B26" s="33"/>
      <c r="C26" s="33"/>
      <c r="D26" s="33"/>
      <c r="E26" s="33"/>
    </row>
    <row r="28" spans="1:11" ht="18.75" x14ac:dyDescent="0.3">
      <c r="B28" s="1"/>
      <c r="C28" s="1"/>
      <c r="E28" s="1"/>
      <c r="F28" s="1"/>
    </row>
    <row r="29" spans="1:11" ht="18.75" x14ac:dyDescent="0.3">
      <c r="B29" s="1"/>
      <c r="C29" s="1"/>
      <c r="E29" s="1"/>
      <c r="F29" s="1"/>
    </row>
    <row r="30" spans="1:11" ht="18.75" x14ac:dyDescent="0.3">
      <c r="B30" s="1"/>
      <c r="C30" s="1"/>
    </row>
  </sheetData>
  <mergeCells count="29">
    <mergeCell ref="L13:W13"/>
    <mergeCell ref="G15:G16"/>
    <mergeCell ref="B26:E26"/>
    <mergeCell ref="B15:B16"/>
    <mergeCell ref="C15:C16"/>
    <mergeCell ref="D15:D16"/>
    <mergeCell ref="E15:E16"/>
    <mergeCell ref="S4:V4"/>
    <mergeCell ref="J15:K16"/>
    <mergeCell ref="A15:A16"/>
    <mergeCell ref="B13:E13"/>
    <mergeCell ref="A4:A5"/>
    <mergeCell ref="B4:B5"/>
    <mergeCell ref="C4:C5"/>
    <mergeCell ref="D4:D5"/>
    <mergeCell ref="E4:E5"/>
    <mergeCell ref="F4:F5"/>
    <mergeCell ref="G4:G5"/>
    <mergeCell ref="H4:H5"/>
    <mergeCell ref="I4:O4"/>
    <mergeCell ref="P4:R4"/>
    <mergeCell ref="H15:H16"/>
    <mergeCell ref="F15:F16"/>
    <mergeCell ref="J22:K22"/>
    <mergeCell ref="J17:K17"/>
    <mergeCell ref="J18:K18"/>
    <mergeCell ref="J19:K19"/>
    <mergeCell ref="J20:K20"/>
    <mergeCell ref="J21:K21"/>
  </mergeCells>
  <pageMargins left="0.19685039370078741" right="0.19685039370078741" top="0.19685039370078741" bottom="0.19685039370078741" header="0.31496062992125984" footer="0.31496062992125984"/>
  <pageSetup paperSize="9" scale="46" orientation="landscape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Расчёт</vt:lpstr>
      <vt:lpstr>Расчёт!Область_печати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Вита</dc:creator>
  <cp:lastModifiedBy>dima</cp:lastModifiedBy>
  <cp:lastPrinted>2020-12-12T10:45:57Z</cp:lastPrinted>
  <dcterms:created xsi:type="dcterms:W3CDTF">2020-11-30T08:54:33Z</dcterms:created>
  <dcterms:modified xsi:type="dcterms:W3CDTF">2025-01-16T03:53:50Z</dcterms:modified>
</cp:coreProperties>
</file>