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Hail-Met\schematics\"/>
    </mc:Choice>
  </mc:AlternateContent>
  <bookViews>
    <workbookView xWindow="0" yWindow="0" windowWidth="20490" windowHeight="9045"/>
  </bookViews>
  <sheets>
    <sheet name="Thermistor Resistors" sheetId="1" r:id="rId1"/>
    <sheet name="PROG1 - Charge Current" sheetId="4" r:id="rId2"/>
    <sheet name="PROG3 - Charge termination" sheetId="2" r:id="rId3"/>
    <sheet name="VPC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6" i="3"/>
  <c r="B10" i="2"/>
  <c r="B10" i="4"/>
  <c r="B11" i="4" s="1"/>
  <c r="B11" i="2"/>
  <c r="E24" i="1"/>
  <c r="E23" i="1"/>
  <c r="C8" i="1" l="1"/>
  <c r="C9" i="1" s="1"/>
  <c r="D8" i="1"/>
  <c r="D9" i="1" s="1"/>
  <c r="B16" i="1" s="1"/>
  <c r="B8" i="1"/>
  <c r="B9" i="1" s="1"/>
  <c r="D16" i="1" l="1"/>
  <c r="C16" i="1"/>
  <c r="C19" i="1" l="1"/>
  <c r="C20" i="1" s="1"/>
  <c r="B19" i="1"/>
  <c r="B20" i="1" s="1"/>
  <c r="D23" i="1" l="1"/>
  <c r="D24" i="1"/>
</calcChain>
</file>

<file path=xl/sharedStrings.xml><?xml version="1.0" encoding="utf-8"?>
<sst xmlns="http://schemas.openxmlformats.org/spreadsheetml/2006/main" count="76" uniqueCount="56">
  <si>
    <t>Parameter:</t>
  </si>
  <si>
    <t>Value:</t>
  </si>
  <si>
    <t>This spreadsheet calculates the resistance of a thermistor given parameters fom the specificaion.</t>
  </si>
  <si>
    <t>Developed by Ben Wang, 11/20/14, University of Michigan</t>
  </si>
  <si>
    <t>http://www.vishay.com/docs/29049/ntcle100.pdf</t>
  </si>
  <si>
    <t>Thermistor Resistance Calculator</t>
  </si>
  <si>
    <t>Datasheet:</t>
  </si>
  <si>
    <r>
      <t>Temperature (</t>
    </r>
    <r>
      <rPr>
        <b/>
        <sz val="11"/>
        <color theme="1"/>
        <rFont val="Calibri"/>
        <family val="2"/>
      </rPr>
      <t>°C)</t>
    </r>
    <r>
      <rPr>
        <b/>
        <sz val="11"/>
        <color theme="1"/>
        <rFont val="Calibri"/>
        <family val="2"/>
        <scheme val="minor"/>
      </rPr>
      <t>:</t>
    </r>
  </si>
  <si>
    <r>
      <t>Resistance (</t>
    </r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>):</t>
    </r>
  </si>
  <si>
    <t>Number</t>
  </si>
  <si>
    <t>B_25/85 (K)</t>
  </si>
  <si>
    <t>A</t>
  </si>
  <si>
    <t>B(K)</t>
  </si>
  <si>
    <t>C(K^2)</t>
  </si>
  <si>
    <t>D(K^3)</t>
  </si>
  <si>
    <t>R_25C</t>
  </si>
  <si>
    <t>R_cold</t>
  </si>
  <si>
    <t>R_hot</t>
  </si>
  <si>
    <t>B</t>
  </si>
  <si>
    <t>C</t>
  </si>
  <si>
    <t>R_T2:</t>
  </si>
  <si>
    <t>R_T1:</t>
  </si>
  <si>
    <t>Quadratic coefficients:</t>
  </si>
  <si>
    <t>Check:</t>
  </si>
  <si>
    <t>=</t>
  </si>
  <si>
    <t>Solution 1</t>
  </si>
  <si>
    <t>Solution 2</t>
  </si>
  <si>
    <t>PROG3 - Charging Current selection resistor</t>
  </si>
  <si>
    <t>I_termination = 1000V / R_PROG3</t>
  </si>
  <si>
    <t>R_PROG</t>
  </si>
  <si>
    <t>kOhms</t>
  </si>
  <si>
    <t>I_REG</t>
  </si>
  <si>
    <t>mA</t>
  </si>
  <si>
    <t>where</t>
  </si>
  <si>
    <t>Desired I_term:</t>
  </si>
  <si>
    <t>R_PROG3:</t>
  </si>
  <si>
    <t>PROG1 - Charging Current</t>
  </si>
  <si>
    <t>I_reg = 1000V / R_PROG1</t>
  </si>
  <si>
    <t>I_reg</t>
  </si>
  <si>
    <t>Desired I_reg:</t>
  </si>
  <si>
    <t>R_PROG:</t>
  </si>
  <si>
    <t>Battery Capacity:</t>
  </si>
  <si>
    <t>Charging C-rate:</t>
  </si>
  <si>
    <t>mAh</t>
  </si>
  <si>
    <t>Cutoff rate:</t>
  </si>
  <si>
    <t>&lt;-- Final Values</t>
  </si>
  <si>
    <t>VPCC - Voltage Proportional Charge Control - Voltage divider</t>
  </si>
  <si>
    <t>R1</t>
  </si>
  <si>
    <t>R2</t>
  </si>
  <si>
    <t>V_in</t>
  </si>
  <si>
    <t>R_eq</t>
  </si>
  <si>
    <t>VPCC</t>
  </si>
  <si>
    <t>V</t>
  </si>
  <si>
    <t>kOhm</t>
  </si>
  <si>
    <t>(Bottom)</t>
  </si>
  <si>
    <t>(Top)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</si>
</sst>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/>
    <xf numFmtId="0" fontId="0" fillId="3" borderId="1" xfId="0" applyFill="1" applyBorder="1"/>
    <xf numFmtId="11" fontId="0" fillId="3" borderId="1" xfId="0" applyNumberFormat="1" applyFill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  <xf numFmtId="0" fontId="4" fillId="0" borderId="0" xfId="0" applyFont="1"/>
    <xf numFmtId="0" fontId="0" fillId="2" borderId="1" xfId="0" applyFill="1" applyBorder="1"/>
    <xf numFmtId="0" fontId="0" fillId="4" borderId="1" xfId="0" applyFill="1" applyBorder="1"/>
    <xf numFmtId="0" fontId="0" fillId="3" borderId="0" xfId="0" applyFill="1"/>
    <xf numFmtId="0" fontId="0" fillId="0" borderId="1" xfId="0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5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20" sqref="B20"/>
    </sheetView>
  </sheetViews>
  <sheetFormatPr defaultRowHeight="15" x14ac:dyDescent="0.25"/>
  <cols>
    <col min="1" max="1" width="21.5703125" customWidth="1"/>
    <col min="2" max="2" width="10.5703125" customWidth="1"/>
    <col min="3" max="3" width="12.7109375" bestFit="1" customWidth="1"/>
    <col min="4" max="4" width="11.7109375" bestFit="1" customWidth="1"/>
    <col min="5" max="5" width="9.85546875" bestFit="1" customWidth="1"/>
  </cols>
  <sheetData>
    <row r="1" spans="1:8" x14ac:dyDescent="0.25">
      <c r="A1" s="2" t="s">
        <v>5</v>
      </c>
    </row>
    <row r="2" spans="1:8" x14ac:dyDescent="0.25">
      <c r="A2" t="s">
        <v>2</v>
      </c>
    </row>
    <row r="3" spans="1:8" x14ac:dyDescent="0.25">
      <c r="A3" t="s">
        <v>3</v>
      </c>
    </row>
    <row r="4" spans="1:8" x14ac:dyDescent="0.25">
      <c r="A4" s="1" t="s">
        <v>6</v>
      </c>
      <c r="B4" t="s">
        <v>4</v>
      </c>
    </row>
    <row r="6" spans="1:8" x14ac:dyDescent="0.25">
      <c r="B6" s="12" t="s">
        <v>15</v>
      </c>
      <c r="C6" s="11" t="s">
        <v>16</v>
      </c>
      <c r="D6" s="11" t="s">
        <v>17</v>
      </c>
    </row>
    <row r="7" spans="1:8" x14ac:dyDescent="0.25">
      <c r="A7" s="8" t="s">
        <v>7</v>
      </c>
      <c r="B7" s="6">
        <v>25</v>
      </c>
      <c r="C7" s="6">
        <v>0</v>
      </c>
      <c r="D7" s="6">
        <v>41</v>
      </c>
    </row>
    <row r="8" spans="1:8" x14ac:dyDescent="0.25">
      <c r="A8" s="8" t="s">
        <v>7</v>
      </c>
      <c r="B8" s="3">
        <f>272.15+B7</f>
        <v>297.14999999999998</v>
      </c>
      <c r="C8" s="3">
        <f t="shared" ref="C8:D8" si="0">272.15+C7</f>
        <v>272.14999999999998</v>
      </c>
      <c r="D8" s="3">
        <f t="shared" si="0"/>
        <v>313.14999999999998</v>
      </c>
    </row>
    <row r="9" spans="1:8" x14ac:dyDescent="0.25">
      <c r="A9" s="8" t="s">
        <v>8</v>
      </c>
      <c r="B9" s="5">
        <f>$H12*EXP($D12+$E12/B8+$F12/(B8^2)+$G12/(B8^3))</f>
        <v>10449.127025501353</v>
      </c>
      <c r="C9" s="5">
        <f>$H12*EXP($D12+$E12/C8+$F12/(C8^2)+$G12/(C8^3))</f>
        <v>34260.064190637939</v>
      </c>
      <c r="D9" s="5">
        <f>$H12*EXP($D12+$E12/D8+$F12/(D8^2)+$G12/(D8^3))</f>
        <v>5329.9734189006449</v>
      </c>
    </row>
    <row r="10" spans="1:8" x14ac:dyDescent="0.25">
      <c r="A10" s="9"/>
    </row>
    <row r="11" spans="1:8" x14ac:dyDescent="0.25">
      <c r="A11" s="8" t="s">
        <v>0</v>
      </c>
      <c r="B11" s="11" t="s">
        <v>9</v>
      </c>
      <c r="C11" s="11" t="s">
        <v>10</v>
      </c>
      <c r="D11" s="11" t="s">
        <v>11</v>
      </c>
      <c r="E11" s="11" t="s">
        <v>12</v>
      </c>
      <c r="F11" s="11" t="s">
        <v>13</v>
      </c>
      <c r="G11" s="11" t="s">
        <v>14</v>
      </c>
      <c r="H11" s="12" t="s">
        <v>15</v>
      </c>
    </row>
    <row r="12" spans="1:8" x14ac:dyDescent="0.25">
      <c r="A12" s="8" t="s">
        <v>1</v>
      </c>
      <c r="B12" s="6">
        <v>9</v>
      </c>
      <c r="C12" s="6">
        <v>3977</v>
      </c>
      <c r="D12" s="6">
        <v>-14.633699999999999</v>
      </c>
      <c r="E12" s="6">
        <v>4791.8419999999996</v>
      </c>
      <c r="F12" s="6">
        <v>-115334</v>
      </c>
      <c r="G12" s="7">
        <v>-3730535</v>
      </c>
      <c r="H12" s="6">
        <v>10000</v>
      </c>
    </row>
    <row r="13" spans="1:8" x14ac:dyDescent="0.25">
      <c r="A13" s="10"/>
    </row>
    <row r="14" spans="1:8" x14ac:dyDescent="0.25">
      <c r="A14" s="10"/>
    </row>
    <row r="15" spans="1:8" x14ac:dyDescent="0.25">
      <c r="A15" s="10"/>
      <c r="B15" s="11" t="s">
        <v>11</v>
      </c>
      <c r="C15" s="11" t="s">
        <v>18</v>
      </c>
      <c r="D15" s="11" t="s">
        <v>19</v>
      </c>
    </row>
    <row r="16" spans="1:8" x14ac:dyDescent="0.25">
      <c r="A16" s="8" t="s">
        <v>22</v>
      </c>
      <c r="B16" s="4">
        <f>C9-D9-19000</f>
        <v>9930.0907717372938</v>
      </c>
      <c r="C16" s="3">
        <f>-19000*(C9+D9)</f>
        <v>-752210714.58123314</v>
      </c>
      <c r="D16" s="3">
        <f>-19000*C9*D9</f>
        <v>-3469499397852.6709</v>
      </c>
    </row>
    <row r="17" spans="1:6" x14ac:dyDescent="0.25">
      <c r="A17" s="10"/>
    </row>
    <row r="18" spans="1:6" ht="15.75" thickBot="1" x14ac:dyDescent="0.3">
      <c r="A18" s="10"/>
      <c r="B18" s="23" t="s">
        <v>25</v>
      </c>
      <c r="C18" s="13" t="s">
        <v>26</v>
      </c>
    </row>
    <row r="19" spans="1:6" x14ac:dyDescent="0.25">
      <c r="A19" s="21" t="s">
        <v>20</v>
      </c>
      <c r="B19" s="24">
        <f>(-C16+SQRT(C16^2-4*B16*D16))/(2*B16)</f>
        <v>80111.942104403919</v>
      </c>
      <c r="C19" s="22">
        <f>(-C16-SQRT(C16^2-4*B16*D16))/(2*B16)</f>
        <v>-4361.3037797119387</v>
      </c>
      <c r="E19" s="26" t="s">
        <v>45</v>
      </c>
      <c r="F19" s="26"/>
    </row>
    <row r="20" spans="1:6" ht="15.75" thickBot="1" x14ac:dyDescent="0.3">
      <c r="A20" s="21" t="s">
        <v>21</v>
      </c>
      <c r="B20" s="25">
        <f>24000-B19*$C9/(B19+$C9)</f>
        <v>2.5169808310711232</v>
      </c>
      <c r="C20" s="22">
        <f>24000-C19*$C9/(C19+$C9)</f>
        <v>28997.483019168929</v>
      </c>
      <c r="E20" s="26"/>
      <c r="F20" s="26"/>
    </row>
    <row r="22" spans="1:6" x14ac:dyDescent="0.25">
      <c r="D22" s="13" t="s">
        <v>25</v>
      </c>
      <c r="E22" s="13" t="s">
        <v>26</v>
      </c>
    </row>
    <row r="23" spans="1:6" x14ac:dyDescent="0.25">
      <c r="A23" s="14" t="s">
        <v>23</v>
      </c>
      <c r="B23" s="3">
        <v>24000</v>
      </c>
      <c r="C23" s="3" t="s">
        <v>24</v>
      </c>
      <c r="D23" s="3">
        <f>B20+B19*$C$9/(B19+$C$9)</f>
        <v>24000</v>
      </c>
      <c r="E23" s="3">
        <f>C20+C19*$C$9/(C19+$C$9)</f>
        <v>24000</v>
      </c>
    </row>
    <row r="24" spans="1:6" x14ac:dyDescent="0.25">
      <c r="A24" s="15"/>
      <c r="B24" s="3">
        <v>5000</v>
      </c>
      <c r="C24" s="3" t="s">
        <v>24</v>
      </c>
      <c r="D24" s="3">
        <f>B20+B19*$D$9/(B19+$D$9)</f>
        <v>4999.9999999999955</v>
      </c>
      <c r="E24" s="3">
        <f>C20+C19*$D$9/(C19+$D$9)</f>
        <v>4999.99999999992</v>
      </c>
    </row>
  </sheetData>
  <mergeCells count="2">
    <mergeCell ref="A23:A24"/>
    <mergeCell ref="E19:F20"/>
  </mergeCells>
  <conditionalFormatting sqref="B19:C20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2" sqref="D12"/>
    </sheetView>
  </sheetViews>
  <sheetFormatPr defaultRowHeight="15" x14ac:dyDescent="0.25"/>
  <cols>
    <col min="1" max="1" width="16" customWidth="1"/>
  </cols>
  <sheetData>
    <row r="1" spans="1:3" x14ac:dyDescent="0.25">
      <c r="A1" s="2" t="s">
        <v>36</v>
      </c>
    </row>
    <row r="2" spans="1:3" x14ac:dyDescent="0.25">
      <c r="A2" t="s">
        <v>37</v>
      </c>
    </row>
    <row r="3" spans="1:3" x14ac:dyDescent="0.25">
      <c r="A3" s="10" t="s">
        <v>33</v>
      </c>
      <c r="B3" t="s">
        <v>29</v>
      </c>
      <c r="C3" t="s">
        <v>30</v>
      </c>
    </row>
    <row r="4" spans="1:3" x14ac:dyDescent="0.25">
      <c r="B4" t="s">
        <v>38</v>
      </c>
      <c r="C4" t="s">
        <v>32</v>
      </c>
    </row>
    <row r="6" spans="1:3" x14ac:dyDescent="0.25">
      <c r="A6" s="8" t="s">
        <v>41</v>
      </c>
      <c r="B6" s="6">
        <v>2500</v>
      </c>
      <c r="C6" s="3" t="s">
        <v>43</v>
      </c>
    </row>
    <row r="7" spans="1:3" x14ac:dyDescent="0.25">
      <c r="A7" s="8" t="s">
        <v>42</v>
      </c>
      <c r="B7" s="6">
        <v>0.2</v>
      </c>
      <c r="C7" s="3" t="s">
        <v>19</v>
      </c>
    </row>
    <row r="10" spans="1:3" x14ac:dyDescent="0.25">
      <c r="A10" s="8" t="s">
        <v>39</v>
      </c>
      <c r="B10" s="18">
        <f>B6*B7</f>
        <v>500</v>
      </c>
      <c r="C10" s="3" t="s">
        <v>32</v>
      </c>
    </row>
    <row r="11" spans="1:3" x14ac:dyDescent="0.25">
      <c r="A11" s="8" t="s">
        <v>40</v>
      </c>
      <c r="B11" s="17">
        <f>1000/B10</f>
        <v>2</v>
      </c>
      <c r="C11" s="3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workbookViewId="0">
      <selection activeCell="B11" sqref="B11"/>
    </sheetView>
  </sheetViews>
  <sheetFormatPr defaultRowHeight="15" x14ac:dyDescent="0.25"/>
  <cols>
    <col min="1" max="1" width="15.42578125" customWidth="1"/>
  </cols>
  <sheetData>
    <row r="1" spans="1:3" x14ac:dyDescent="0.25">
      <c r="A1" s="2" t="s">
        <v>27</v>
      </c>
    </row>
    <row r="2" spans="1:3" x14ac:dyDescent="0.25">
      <c r="A2" s="16" t="s">
        <v>28</v>
      </c>
    </row>
    <row r="3" spans="1:3" x14ac:dyDescent="0.25">
      <c r="A3" t="s">
        <v>33</v>
      </c>
      <c r="B3" s="16" t="s">
        <v>29</v>
      </c>
      <c r="C3" s="16" t="s">
        <v>30</v>
      </c>
    </row>
    <row r="4" spans="1:3" x14ac:dyDescent="0.25">
      <c r="B4" s="16" t="s">
        <v>31</v>
      </c>
      <c r="C4" s="16" t="s">
        <v>32</v>
      </c>
    </row>
    <row r="6" spans="1:3" x14ac:dyDescent="0.25">
      <c r="A6" s="20" t="s">
        <v>41</v>
      </c>
      <c r="B6" s="6">
        <v>2500</v>
      </c>
      <c r="C6" s="3" t="s">
        <v>43</v>
      </c>
    </row>
    <row r="7" spans="1:3" x14ac:dyDescent="0.25">
      <c r="A7" s="20" t="s">
        <v>44</v>
      </c>
      <c r="B7" s="6">
        <v>0.05</v>
      </c>
      <c r="C7" s="3" t="s">
        <v>19</v>
      </c>
    </row>
    <row r="10" spans="1:3" x14ac:dyDescent="0.25">
      <c r="A10" s="8" t="s">
        <v>34</v>
      </c>
      <c r="B10" s="18">
        <f>B6*B7</f>
        <v>125</v>
      </c>
      <c r="C10" s="3" t="s">
        <v>32</v>
      </c>
    </row>
    <row r="11" spans="1:3" x14ac:dyDescent="0.25">
      <c r="A11" s="8" t="s">
        <v>35</v>
      </c>
      <c r="B11" s="17">
        <f>1000/B10</f>
        <v>8</v>
      </c>
      <c r="C11" s="3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4" sqref="C4"/>
    </sheetView>
  </sheetViews>
  <sheetFormatPr defaultRowHeight="15" x14ac:dyDescent="0.25"/>
  <sheetData>
    <row r="1" spans="1:4" x14ac:dyDescent="0.25">
      <c r="A1" s="2" t="s">
        <v>46</v>
      </c>
    </row>
    <row r="2" spans="1:4" x14ac:dyDescent="0.25">
      <c r="A2" t="s">
        <v>47</v>
      </c>
      <c r="B2" s="19">
        <v>270</v>
      </c>
      <c r="C2" t="s">
        <v>53</v>
      </c>
      <c r="D2" t="s">
        <v>55</v>
      </c>
    </row>
    <row r="3" spans="1:4" x14ac:dyDescent="0.25">
      <c r="A3" t="s">
        <v>48</v>
      </c>
      <c r="B3" s="19">
        <v>100</v>
      </c>
      <c r="C3" t="s">
        <v>53</v>
      </c>
      <c r="D3" t="s">
        <v>54</v>
      </c>
    </row>
    <row r="4" spans="1:4" x14ac:dyDescent="0.25">
      <c r="A4" t="s">
        <v>49</v>
      </c>
      <c r="B4" s="27">
        <f>B7/B6</f>
        <v>4.5509999999999993</v>
      </c>
    </row>
    <row r="6" spans="1:4" x14ac:dyDescent="0.25">
      <c r="A6" t="s">
        <v>50</v>
      </c>
      <c r="B6">
        <f>B3/(B2+B3)</f>
        <v>0.27027027027027029</v>
      </c>
      <c r="C6" t="s">
        <v>53</v>
      </c>
    </row>
    <row r="7" spans="1:4" x14ac:dyDescent="0.25">
      <c r="A7" t="s">
        <v>51</v>
      </c>
      <c r="B7" s="19">
        <v>1.23</v>
      </c>
      <c r="C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Thermistor Resistors</vt:lpstr>
      <vt:lpstr>PROG1 - Charge Current</vt:lpstr>
      <vt:lpstr>PROG3 - Charge termination</vt:lpstr>
      <vt:lpstr>VPCC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Ben Wang</cp:lastModifiedBy>
  <dcterms:created xsi:type="dcterms:W3CDTF">2014-11-21T02:56:20Z</dcterms:created>
  <dcterms:modified xsi:type="dcterms:W3CDTF">2014-11-21T18:08:17Z</dcterms:modified>
</cp:coreProperties>
</file>