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drawings/drawing4.xml" ContentType="application/vnd.openxmlformats-officedocument.drawing+xml"/>
  <Override PartName="/xl/ctrlProps/ctrlProp9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trlProps/ctrlProp10.xml" ContentType="application/vnd.ms-excel.controlproperties+xml"/>
  <Override PartName="/xl/drawings/drawing8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updateLinks="always" codeName="ЭтаКнига"/>
  <mc:AlternateContent xmlns:mc="http://schemas.openxmlformats.org/markup-compatibility/2006">
    <mc:Choice Requires="x15">
      <x15ac:absPath xmlns:x15ac="http://schemas.microsoft.com/office/spreadsheetml/2010/11/ac" url="C:\Users\Dmitriy\IdeaProjects\fileworks\src\test\resources\example\"/>
    </mc:Choice>
  </mc:AlternateContent>
  <xr:revisionPtr revIDLastSave="0" documentId="8_{D3E92123-2BDC-4065-BD75-EEAE9CABEA0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Крагтен" sheetId="53" r:id="rId1"/>
    <sheet name="Крагтен АС" sheetId="64" r:id="rId2"/>
    <sheet name="Монте-карло" sheetId="3" r:id="rId3"/>
    <sheet name="Град граф" sheetId="59" r:id="rId4"/>
    <sheet name="ОтборПробISO5725" sheetId="62" r:id="rId5"/>
    <sheet name="ОтборПроб Размах" sheetId="61" r:id="rId6"/>
    <sheet name="Тип А" sheetId="28" r:id="rId7"/>
    <sheet name="Справочник" sheetId="20" r:id="rId8"/>
    <sheet name="Списки" sheetId="5" state="veryHidden" r:id="rId9"/>
    <sheet name="О программе" sheetId="31" r:id="rId10"/>
  </sheets>
  <definedNames>
    <definedName name="ВидРаспределения">Списки!$A$2:$A$16</definedName>
    <definedName name="_xlnm.Print_Area" localSheetId="0">Крагтен!$A$1:$O$63</definedName>
    <definedName name="_xlnm.Print_Area" localSheetId="1">'Крагтен АС'!$A$1:$O$63</definedName>
    <definedName name="_xlnm.Print_Area" localSheetId="5">'ОтборПроб Размах'!$A$1:$O$35</definedName>
    <definedName name="Отн">Списки!$C$2:$C$4</definedName>
    <definedName name="Тип_оценивания">Списки!$B$2:$B$4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53" l="1"/>
  <c r="I37" i="53"/>
  <c r="G37" i="53"/>
  <c r="I30" i="53"/>
  <c r="H29" i="53"/>
  <c r="H37" i="53" s="1"/>
  <c r="G28" i="53"/>
  <c r="F27" i="53"/>
  <c r="F37" i="53" s="1"/>
  <c r="E26" i="53"/>
  <c r="E37" i="53" s="1"/>
  <c r="D25" i="53"/>
  <c r="D37" i="53" s="1"/>
  <c r="H10" i="53"/>
  <c r="H9" i="53"/>
  <c r="H8" i="53"/>
  <c r="H6" i="53"/>
  <c r="C37" i="64" l="1"/>
  <c r="G37" i="64"/>
  <c r="I30" i="64"/>
  <c r="I37" i="64" s="1"/>
  <c r="H29" i="64"/>
  <c r="H37" i="64" s="1"/>
  <c r="G28" i="64"/>
  <c r="F27" i="64"/>
  <c r="F37" i="64" s="1"/>
  <c r="E26" i="64"/>
  <c r="E37" i="64" s="1"/>
  <c r="D25" i="64"/>
  <c r="D37" i="64" s="1"/>
  <c r="H9" i="64"/>
  <c r="H8" i="64"/>
  <c r="H7" i="64"/>
  <c r="H6" i="64"/>
  <c r="H5" i="64"/>
  <c r="B45" i="59" l="1" a="1"/>
  <c r="B45" i="59" s="1"/>
  <c r="B46" i="59"/>
  <c r="L16" i="59"/>
  <c r="K16" i="59"/>
  <c r="J16" i="59"/>
  <c r="I16" i="59"/>
  <c r="H16" i="59"/>
  <c r="G16" i="59"/>
  <c r="F16" i="59"/>
  <c r="E16" i="59"/>
  <c r="D16" i="59"/>
  <c r="C16" i="59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J22" i="3"/>
  <c r="E17" i="3"/>
  <c r="C15" i="28"/>
  <c r="C16" i="28" s="1"/>
  <c r="C14" i="28"/>
  <c r="C48" i="59" l="1"/>
  <c r="B48" i="59"/>
  <c r="C47" i="59"/>
  <c r="B47" i="59"/>
  <c r="C46" i="59"/>
  <c r="C49" i="59"/>
  <c r="C45" i="59"/>
  <c r="B49" i="59"/>
  <c r="J451" i="3"/>
  <c r="J459" i="3"/>
  <c r="J467" i="3"/>
  <c r="J475" i="3"/>
  <c r="J483" i="3"/>
  <c r="J491" i="3"/>
  <c r="J499" i="3"/>
  <c r="J507" i="3"/>
  <c r="J515" i="3"/>
  <c r="J523" i="3"/>
  <c r="J525" i="3"/>
  <c r="J520" i="3"/>
  <c r="J522" i="3"/>
  <c r="J516" i="3"/>
  <c r="J524" i="3"/>
  <c r="J518" i="3"/>
  <c r="J521" i="3"/>
  <c r="J519" i="3"/>
  <c r="J517" i="3"/>
  <c r="J509" i="3"/>
  <c r="J512" i="3"/>
  <c r="J514" i="3"/>
  <c r="J508" i="3"/>
  <c r="J494" i="3"/>
  <c r="J502" i="3"/>
  <c r="J510" i="3"/>
  <c r="J511" i="3"/>
  <c r="J505" i="3"/>
  <c r="J513" i="3"/>
  <c r="J503" i="3"/>
  <c r="J504" i="3"/>
  <c r="J492" i="3"/>
  <c r="J500" i="3"/>
  <c r="J501" i="3"/>
  <c r="J506" i="3"/>
  <c r="J489" i="3"/>
  <c r="J497" i="3"/>
  <c r="J498" i="3"/>
  <c r="J495" i="3"/>
  <c r="J496" i="3"/>
  <c r="J493" i="3"/>
  <c r="J490" i="3"/>
  <c r="J488" i="3"/>
  <c r="J484" i="3"/>
  <c r="J486" i="3"/>
  <c r="J487" i="3"/>
  <c r="J465" i="3"/>
  <c r="J473" i="3"/>
  <c r="J481" i="3"/>
  <c r="J485" i="3"/>
  <c r="J454" i="3"/>
  <c r="J462" i="3"/>
  <c r="J470" i="3"/>
  <c r="J478" i="3"/>
  <c r="J482" i="3"/>
  <c r="J480" i="3"/>
  <c r="J477" i="3"/>
  <c r="J471" i="3"/>
  <c r="J479" i="3"/>
  <c r="J472" i="3"/>
  <c r="J474" i="3"/>
  <c r="J476" i="3"/>
  <c r="J469" i="3"/>
  <c r="J436" i="3"/>
  <c r="J452" i="3"/>
  <c r="J460" i="3"/>
  <c r="J468" i="3"/>
  <c r="J466" i="3"/>
  <c r="J464" i="3"/>
  <c r="J461" i="3"/>
  <c r="J463" i="3"/>
  <c r="J458" i="3"/>
  <c r="J449" i="3"/>
  <c r="J457" i="3"/>
  <c r="J453" i="3"/>
  <c r="J455" i="3"/>
  <c r="J456" i="3"/>
  <c r="J448" i="3"/>
  <c r="J450" i="3"/>
  <c r="J444" i="3"/>
  <c r="J445" i="3"/>
  <c r="J443" i="3"/>
  <c r="J446" i="3"/>
  <c r="J447" i="3"/>
  <c r="J441" i="3"/>
  <c r="J442" i="3"/>
  <c r="J440" i="3"/>
  <c r="J439" i="3"/>
  <c r="J438" i="3"/>
  <c r="J403" i="3"/>
  <c r="J411" i="3"/>
  <c r="J419" i="3"/>
  <c r="J427" i="3"/>
  <c r="J435" i="3"/>
  <c r="J437" i="3"/>
  <c r="J434" i="3"/>
  <c r="J433" i="3"/>
  <c r="J431" i="3"/>
  <c r="J432" i="3"/>
  <c r="J420" i="3"/>
  <c r="J428" i="3"/>
  <c r="J422" i="3"/>
  <c r="J430" i="3"/>
  <c r="J425" i="3"/>
  <c r="J429" i="3"/>
  <c r="J426" i="3"/>
  <c r="J421" i="3"/>
  <c r="J423" i="3"/>
  <c r="J424" i="3"/>
  <c r="J418" i="3"/>
  <c r="J404" i="3"/>
  <c r="J412" i="3"/>
  <c r="J406" i="3"/>
  <c r="J414" i="3"/>
  <c r="J409" i="3"/>
  <c r="J417" i="3"/>
  <c r="J416" i="3"/>
  <c r="J415" i="3"/>
  <c r="J413" i="3"/>
  <c r="J410" i="3"/>
  <c r="J408" i="3"/>
  <c r="J407" i="3"/>
  <c r="J405" i="3"/>
  <c r="J400" i="3"/>
  <c r="J402" i="3"/>
  <c r="J401" i="3"/>
  <c r="J380" i="3"/>
  <c r="J388" i="3"/>
  <c r="J396" i="3"/>
  <c r="J398" i="3"/>
  <c r="J399" i="3"/>
  <c r="J397" i="3"/>
  <c r="J387" i="3"/>
  <c r="J395" i="3"/>
  <c r="J390" i="3"/>
  <c r="J393" i="3"/>
  <c r="J394" i="3"/>
  <c r="J391" i="3"/>
  <c r="J392" i="3"/>
  <c r="J389" i="3"/>
  <c r="J386" i="3"/>
  <c r="J291" i="3"/>
  <c r="J299" i="3"/>
  <c r="J307" i="3"/>
  <c r="J315" i="3"/>
  <c r="J323" i="3"/>
  <c r="J331" i="3"/>
  <c r="J339" i="3"/>
  <c r="J347" i="3"/>
  <c r="J355" i="3"/>
  <c r="J363" i="3"/>
  <c r="J371" i="3"/>
  <c r="J379" i="3"/>
  <c r="J382" i="3"/>
  <c r="J383" i="3"/>
  <c r="J384" i="3"/>
  <c r="J385" i="3"/>
  <c r="J381" i="3"/>
  <c r="J376" i="3"/>
  <c r="J378" i="3"/>
  <c r="J377" i="3"/>
  <c r="J373" i="3"/>
  <c r="J372" i="3"/>
  <c r="J366" i="3"/>
  <c r="J374" i="3"/>
  <c r="J375" i="3"/>
  <c r="J369" i="3"/>
  <c r="J365" i="3"/>
  <c r="J367" i="3"/>
  <c r="J368" i="3"/>
  <c r="J370" i="3"/>
  <c r="J364" i="3"/>
  <c r="J360" i="3"/>
  <c r="J362" i="3"/>
  <c r="J348" i="3"/>
  <c r="J356" i="3"/>
  <c r="J350" i="3"/>
  <c r="J358" i="3"/>
  <c r="J353" i="3"/>
  <c r="J361" i="3"/>
  <c r="J357" i="3"/>
  <c r="J359" i="3"/>
  <c r="J349" i="3"/>
  <c r="J351" i="3"/>
  <c r="J352" i="3"/>
  <c r="J354" i="3"/>
  <c r="J346" i="3"/>
  <c r="J340" i="3"/>
  <c r="J342" i="3"/>
  <c r="J337" i="3"/>
  <c r="J345" i="3"/>
  <c r="J344" i="3"/>
  <c r="J343" i="3"/>
  <c r="J341" i="3"/>
  <c r="J336" i="3"/>
  <c r="J338" i="3"/>
  <c r="J334" i="3"/>
  <c r="J335" i="3"/>
  <c r="J332" i="3"/>
  <c r="J333" i="3"/>
  <c r="J329" i="3"/>
  <c r="J330" i="3"/>
  <c r="J325" i="3"/>
  <c r="J327" i="3"/>
  <c r="J328" i="3"/>
  <c r="J284" i="3"/>
  <c r="J292" i="3"/>
  <c r="J300" i="3"/>
  <c r="J308" i="3"/>
  <c r="J316" i="3"/>
  <c r="J324" i="3"/>
  <c r="J294" i="3"/>
  <c r="J302" i="3"/>
  <c r="J310" i="3"/>
  <c r="J318" i="3"/>
  <c r="J326" i="3"/>
  <c r="J281" i="3"/>
  <c r="J289" i="3"/>
  <c r="J297" i="3"/>
  <c r="J305" i="3"/>
  <c r="J313" i="3"/>
  <c r="J321" i="3"/>
  <c r="J322" i="3"/>
  <c r="J319" i="3"/>
  <c r="J320" i="3"/>
  <c r="J317" i="3"/>
  <c r="J309" i="3"/>
  <c r="J311" i="3"/>
  <c r="J312" i="3"/>
  <c r="J314" i="3"/>
  <c r="J306" i="3"/>
  <c r="J301" i="3"/>
  <c r="J304" i="3"/>
  <c r="J303" i="3"/>
  <c r="J295" i="3"/>
  <c r="J296" i="3"/>
  <c r="J298" i="3"/>
  <c r="J293" i="3"/>
  <c r="J235" i="3"/>
  <c r="J243" i="3"/>
  <c r="J251" i="3"/>
  <c r="J259" i="3"/>
  <c r="J267" i="3"/>
  <c r="J275" i="3"/>
  <c r="J283" i="3"/>
  <c r="J278" i="3"/>
  <c r="J286" i="3"/>
  <c r="J290" i="3"/>
  <c r="J288" i="3"/>
  <c r="J285" i="3"/>
  <c r="J287" i="3"/>
  <c r="J280" i="3"/>
  <c r="J282" i="3"/>
  <c r="J277" i="3"/>
  <c r="J279" i="3"/>
  <c r="J276" i="3"/>
  <c r="J274" i="3"/>
  <c r="J268" i="3"/>
  <c r="J272" i="3"/>
  <c r="J265" i="3"/>
  <c r="J273" i="3"/>
  <c r="J269" i="3"/>
  <c r="J270" i="3"/>
  <c r="J271" i="3"/>
  <c r="J266" i="3"/>
  <c r="J264" i="3"/>
  <c r="J261" i="3"/>
  <c r="J263" i="3"/>
  <c r="J260" i="3"/>
  <c r="J254" i="3"/>
  <c r="J262" i="3"/>
  <c r="J257" i="3"/>
  <c r="J253" i="3"/>
  <c r="J255" i="3"/>
  <c r="J256" i="3"/>
  <c r="J258" i="3"/>
  <c r="J252" i="3"/>
  <c r="J249" i="3"/>
  <c r="J250" i="3"/>
  <c r="J245" i="3"/>
  <c r="J248" i="3"/>
  <c r="J244" i="3"/>
  <c r="J246" i="3"/>
  <c r="J247" i="3"/>
  <c r="J242" i="3"/>
  <c r="J228" i="3"/>
  <c r="J236" i="3"/>
  <c r="J238" i="3"/>
  <c r="J233" i="3"/>
  <c r="J241" i="3"/>
  <c r="J237" i="3"/>
  <c r="J239" i="3"/>
  <c r="J240" i="3"/>
  <c r="J232" i="3"/>
  <c r="J234" i="3"/>
  <c r="J187" i="3"/>
  <c r="J195" i="3"/>
  <c r="J203" i="3"/>
  <c r="J211" i="3"/>
  <c r="J219" i="3"/>
  <c r="J227" i="3"/>
  <c r="J230" i="3"/>
  <c r="J229" i="3"/>
  <c r="J231" i="3"/>
  <c r="J224" i="3"/>
  <c r="J226" i="3"/>
  <c r="J220" i="3"/>
  <c r="J222" i="3"/>
  <c r="J225" i="3"/>
  <c r="J223" i="3"/>
  <c r="J221" i="3"/>
  <c r="J218" i="3"/>
  <c r="J188" i="3"/>
  <c r="J196" i="3"/>
  <c r="J204" i="3"/>
  <c r="J212" i="3"/>
  <c r="J185" i="3"/>
  <c r="J193" i="3"/>
  <c r="J201" i="3"/>
  <c r="J209" i="3"/>
  <c r="J217" i="3"/>
  <c r="J213" i="3"/>
  <c r="J190" i="3"/>
  <c r="J198" i="3"/>
  <c r="J206" i="3"/>
  <c r="J214" i="3"/>
  <c r="J215" i="3"/>
  <c r="J216" i="3"/>
  <c r="J210" i="3"/>
  <c r="J208" i="3"/>
  <c r="J207" i="3"/>
  <c r="J205" i="3"/>
  <c r="J202" i="3"/>
  <c r="J200" i="3"/>
  <c r="J199" i="3"/>
  <c r="J197" i="3"/>
  <c r="J191" i="3"/>
  <c r="J192" i="3"/>
  <c r="J194" i="3"/>
  <c r="J189" i="3"/>
  <c r="J186" i="3"/>
  <c r="J115" i="3"/>
  <c r="J123" i="3"/>
  <c r="J131" i="3"/>
  <c r="J139" i="3"/>
  <c r="J147" i="3"/>
  <c r="J155" i="3"/>
  <c r="J163" i="3"/>
  <c r="J171" i="3"/>
  <c r="J179" i="3"/>
  <c r="J184" i="3"/>
  <c r="J182" i="3"/>
  <c r="J181" i="3"/>
  <c r="J183" i="3"/>
  <c r="J180" i="3"/>
  <c r="J177" i="3"/>
  <c r="J175" i="3"/>
  <c r="J176" i="3"/>
  <c r="J178" i="3"/>
  <c r="J172" i="3"/>
  <c r="J174" i="3"/>
  <c r="J169" i="3"/>
  <c r="J173" i="3"/>
  <c r="J168" i="3"/>
  <c r="J170" i="3"/>
  <c r="J156" i="3"/>
  <c r="J164" i="3"/>
  <c r="J166" i="3"/>
  <c r="J167" i="3"/>
  <c r="J165" i="3"/>
  <c r="J158" i="3"/>
  <c r="J153" i="3"/>
  <c r="J161" i="3"/>
  <c r="J162" i="3"/>
  <c r="J160" i="3"/>
  <c r="J157" i="3"/>
  <c r="J159" i="3"/>
  <c r="J152" i="3"/>
  <c r="J154" i="3"/>
  <c r="J132" i="3"/>
  <c r="J140" i="3"/>
  <c r="J148" i="3"/>
  <c r="J134" i="3"/>
  <c r="J142" i="3"/>
  <c r="J150" i="3"/>
  <c r="J151" i="3"/>
  <c r="J137" i="3"/>
  <c r="J145" i="3"/>
  <c r="J149" i="3"/>
  <c r="J141" i="3"/>
  <c r="J143" i="3"/>
  <c r="J144" i="3"/>
  <c r="J146" i="3"/>
  <c r="J133" i="3"/>
  <c r="J135" i="3"/>
  <c r="J136" i="3"/>
  <c r="J138" i="3"/>
  <c r="J128" i="3"/>
  <c r="J130" i="3"/>
  <c r="J127" i="3"/>
  <c r="J129" i="3"/>
  <c r="J126" i="3"/>
  <c r="J125" i="3"/>
  <c r="J124" i="3"/>
  <c r="J121" i="3"/>
  <c r="J117" i="3"/>
  <c r="J120" i="3"/>
  <c r="J114" i="3"/>
  <c r="J122" i="3"/>
  <c r="J118" i="3"/>
  <c r="J119" i="3"/>
  <c r="J116" i="3"/>
  <c r="J84" i="3"/>
  <c r="J92" i="3"/>
  <c r="J100" i="3"/>
  <c r="J108" i="3"/>
  <c r="J89" i="3"/>
  <c r="J97" i="3"/>
  <c r="J105" i="3"/>
  <c r="J113" i="3"/>
  <c r="J111" i="3"/>
  <c r="J112" i="3"/>
  <c r="J86" i="3"/>
  <c r="J94" i="3"/>
  <c r="J102" i="3"/>
  <c r="J110" i="3"/>
  <c r="J91" i="3"/>
  <c r="J99" i="3"/>
  <c r="J107" i="3"/>
  <c r="J109" i="3"/>
  <c r="J104" i="3"/>
  <c r="J106" i="3"/>
  <c r="J103" i="3"/>
  <c r="J101" i="3"/>
  <c r="J98" i="3"/>
  <c r="J96" i="3"/>
  <c r="J95" i="3"/>
  <c r="J93" i="3"/>
  <c r="J90" i="3"/>
  <c r="J88" i="3"/>
  <c r="J87" i="3"/>
  <c r="J85" i="3"/>
  <c r="J83" i="3"/>
  <c r="J81" i="3"/>
  <c r="J82" i="3"/>
  <c r="J67" i="3"/>
  <c r="J75" i="3"/>
  <c r="J80" i="3"/>
  <c r="J79" i="3"/>
  <c r="J76" i="3"/>
  <c r="J78" i="3"/>
  <c r="J73" i="3"/>
  <c r="J77" i="3"/>
  <c r="J74" i="3"/>
  <c r="J72" i="3"/>
  <c r="J62" i="3"/>
  <c r="J70" i="3"/>
  <c r="J65" i="3"/>
  <c r="J60" i="3"/>
  <c r="J68" i="3"/>
  <c r="J71" i="3"/>
  <c r="J69" i="3"/>
  <c r="J63" i="3"/>
  <c r="J64" i="3"/>
  <c r="J66" i="3"/>
  <c r="J27" i="3"/>
  <c r="J35" i="3"/>
  <c r="J43" i="3"/>
  <c r="J51" i="3"/>
  <c r="J59" i="3"/>
  <c r="J61" i="3"/>
  <c r="J52" i="3"/>
  <c r="J54" i="3"/>
  <c r="J57" i="3"/>
  <c r="J58" i="3"/>
  <c r="J55" i="3"/>
  <c r="J56" i="3"/>
  <c r="J53" i="3"/>
  <c r="J50" i="3"/>
  <c r="J36" i="3"/>
  <c r="J44" i="3"/>
  <c r="J38" i="3"/>
  <c r="J46" i="3"/>
  <c r="J33" i="3"/>
  <c r="J41" i="3"/>
  <c r="J49" i="3"/>
  <c r="J48" i="3"/>
  <c r="J45" i="3"/>
  <c r="J47" i="3"/>
  <c r="J42" i="3"/>
  <c r="J39" i="3"/>
  <c r="J40" i="3"/>
  <c r="J37" i="3"/>
  <c r="J34" i="3"/>
  <c r="J32" i="3"/>
  <c r="J28" i="3"/>
  <c r="J30" i="3"/>
  <c r="J31" i="3"/>
  <c r="J25" i="3"/>
  <c r="J29" i="3"/>
  <c r="J26" i="3"/>
  <c r="E17" i="64"/>
  <c r="F10" i="64"/>
  <c r="H10" i="64" s="1"/>
  <c r="E74" i="64"/>
  <c r="E73" i="64"/>
  <c r="AC70" i="64"/>
  <c r="AB70" i="64"/>
  <c r="AA70" i="64"/>
  <c r="Z70" i="64"/>
  <c r="Y70" i="64"/>
  <c r="X70" i="64"/>
  <c r="E6" i="61"/>
  <c r="D1" i="61"/>
  <c r="D1" i="62"/>
  <c r="E69" i="62"/>
  <c r="E70" i="62"/>
  <c r="E71" i="62"/>
  <c r="E56" i="62"/>
  <c r="E57" i="62"/>
  <c r="E58" i="62"/>
  <c r="E59" i="62"/>
  <c r="E60" i="62"/>
  <c r="E61" i="62"/>
  <c r="E62" i="62"/>
  <c r="E63" i="62"/>
  <c r="E64" i="62"/>
  <c r="E65" i="62"/>
  <c r="E66" i="62"/>
  <c r="E67" i="62"/>
  <c r="E68" i="62"/>
  <c r="D69" i="62"/>
  <c r="F69" i="62" s="1"/>
  <c r="D70" i="62"/>
  <c r="F70" i="62" s="1"/>
  <c r="D71" i="62"/>
  <c r="D56" i="62"/>
  <c r="D57" i="62"/>
  <c r="D58" i="62"/>
  <c r="D59" i="62"/>
  <c r="F59" i="62" s="1"/>
  <c r="D60" i="62"/>
  <c r="F60" i="62" s="1"/>
  <c r="D61" i="62"/>
  <c r="D62" i="62"/>
  <c r="D63" i="62"/>
  <c r="D64" i="62"/>
  <c r="D65" i="62"/>
  <c r="F65" i="62" s="1"/>
  <c r="D66" i="62"/>
  <c r="D67" i="62"/>
  <c r="D68" i="62"/>
  <c r="E5" i="62"/>
  <c r="L31" i="62"/>
  <c r="L32" i="62"/>
  <c r="L33" i="62"/>
  <c r="L34" i="62"/>
  <c r="L35" i="62"/>
  <c r="L36" i="62"/>
  <c r="L37" i="62"/>
  <c r="L38" i="62"/>
  <c r="L39" i="62"/>
  <c r="L40" i="62"/>
  <c r="L41" i="62"/>
  <c r="L42" i="62"/>
  <c r="L44" i="62"/>
  <c r="L45" i="62"/>
  <c r="L46" i="62"/>
  <c r="L43" i="62"/>
  <c r="K31" i="62"/>
  <c r="K32" i="62"/>
  <c r="K33" i="62"/>
  <c r="K34" i="62"/>
  <c r="K35" i="62"/>
  <c r="K36" i="62"/>
  <c r="K37" i="62"/>
  <c r="K38" i="62"/>
  <c r="K39" i="62"/>
  <c r="K40" i="62"/>
  <c r="K41" i="62"/>
  <c r="M41" i="62" s="1"/>
  <c r="K42" i="62"/>
  <c r="K44" i="62"/>
  <c r="K45" i="62"/>
  <c r="K46" i="62"/>
  <c r="K43" i="62"/>
  <c r="E31" i="62"/>
  <c r="E32" i="62"/>
  <c r="E33" i="62"/>
  <c r="E34" i="62"/>
  <c r="E35" i="62"/>
  <c r="E36" i="62"/>
  <c r="E37" i="62"/>
  <c r="E38" i="62"/>
  <c r="E39" i="62"/>
  <c r="E40" i="62"/>
  <c r="E41" i="62"/>
  <c r="E42" i="62"/>
  <c r="E44" i="62"/>
  <c r="E45" i="62"/>
  <c r="E46" i="62"/>
  <c r="E43" i="62"/>
  <c r="D31" i="62"/>
  <c r="D32" i="62"/>
  <c r="D33" i="62"/>
  <c r="D34" i="62"/>
  <c r="D35" i="62"/>
  <c r="D36" i="62"/>
  <c r="D37" i="62"/>
  <c r="D38" i="62"/>
  <c r="F38" i="62" s="1"/>
  <c r="G38" i="62" s="1"/>
  <c r="D39" i="62"/>
  <c r="D40" i="62"/>
  <c r="D41" i="62"/>
  <c r="D42" i="62"/>
  <c r="D44" i="62"/>
  <c r="D45" i="62"/>
  <c r="F45" i="62" s="1"/>
  <c r="G45" i="62" s="1"/>
  <c r="D46" i="62"/>
  <c r="D43" i="62"/>
  <c r="G8" i="61"/>
  <c r="C71" i="62"/>
  <c r="C70" i="62"/>
  <c r="B70" i="62"/>
  <c r="C69" i="62"/>
  <c r="C68" i="62"/>
  <c r="B68" i="62"/>
  <c r="C67" i="62"/>
  <c r="C66" i="62"/>
  <c r="B66" i="62"/>
  <c r="C65" i="62"/>
  <c r="C64" i="62"/>
  <c r="B64" i="62"/>
  <c r="C63" i="62"/>
  <c r="C62" i="62"/>
  <c r="B62" i="62"/>
  <c r="C61" i="62"/>
  <c r="C60" i="62"/>
  <c r="B60" i="62"/>
  <c r="C59" i="62"/>
  <c r="C58" i="62"/>
  <c r="B58" i="62"/>
  <c r="C57" i="62"/>
  <c r="C56" i="62"/>
  <c r="B56" i="62"/>
  <c r="E55" i="62"/>
  <c r="D55" i="62"/>
  <c r="D54" i="62"/>
  <c r="C54" i="62"/>
  <c r="B54" i="62"/>
  <c r="J46" i="62"/>
  <c r="C46" i="62"/>
  <c r="J45" i="62"/>
  <c r="I45" i="62"/>
  <c r="C45" i="62"/>
  <c r="B45" i="62"/>
  <c r="J44" i="62"/>
  <c r="C44" i="62"/>
  <c r="J43" i="62"/>
  <c r="I43" i="62"/>
  <c r="C43" i="62"/>
  <c r="B43" i="62"/>
  <c r="J42" i="62"/>
  <c r="C42" i="62"/>
  <c r="J41" i="62"/>
  <c r="I41" i="62"/>
  <c r="C41" i="62"/>
  <c r="B41" i="62"/>
  <c r="J40" i="62"/>
  <c r="C40" i="62"/>
  <c r="J39" i="62"/>
  <c r="I39" i="62"/>
  <c r="C39" i="62"/>
  <c r="B39" i="62"/>
  <c r="J38" i="62"/>
  <c r="C38" i="62"/>
  <c r="J37" i="62"/>
  <c r="I37" i="62"/>
  <c r="C37" i="62"/>
  <c r="B37" i="62"/>
  <c r="J36" i="62"/>
  <c r="C36" i="62"/>
  <c r="J35" i="62"/>
  <c r="I35" i="62"/>
  <c r="C35" i="62"/>
  <c r="B35" i="62"/>
  <c r="J34" i="62"/>
  <c r="C34" i="62"/>
  <c r="J33" i="62"/>
  <c r="I33" i="62"/>
  <c r="C33" i="62"/>
  <c r="B33" i="62"/>
  <c r="J32" i="62"/>
  <c r="C32" i="62"/>
  <c r="J31" i="62"/>
  <c r="I31" i="62"/>
  <c r="C31" i="62"/>
  <c r="B31" i="62"/>
  <c r="L30" i="62"/>
  <c r="K30" i="62"/>
  <c r="E30" i="62"/>
  <c r="D30" i="62"/>
  <c r="K29" i="62"/>
  <c r="J29" i="62"/>
  <c r="I29" i="62"/>
  <c r="D29" i="62"/>
  <c r="C29" i="62"/>
  <c r="B29" i="62"/>
  <c r="K22" i="61"/>
  <c r="J22" i="61"/>
  <c r="H22" i="61"/>
  <c r="G22" i="61"/>
  <c r="K21" i="61"/>
  <c r="J21" i="61"/>
  <c r="H21" i="61"/>
  <c r="O21" i="61" s="1"/>
  <c r="G21" i="61"/>
  <c r="K20" i="61"/>
  <c r="J20" i="61"/>
  <c r="H20" i="61"/>
  <c r="O20" i="61" s="1"/>
  <c r="G20" i="61"/>
  <c r="L20" i="61" s="1"/>
  <c r="K19" i="61"/>
  <c r="J19" i="61"/>
  <c r="H19" i="61"/>
  <c r="G19" i="61"/>
  <c r="K18" i="61"/>
  <c r="J18" i="61"/>
  <c r="H18" i="61"/>
  <c r="O18" i="61" s="1"/>
  <c r="G18" i="61"/>
  <c r="K17" i="61"/>
  <c r="J17" i="61"/>
  <c r="H17" i="61"/>
  <c r="G17" i="61"/>
  <c r="L17" i="61" s="1"/>
  <c r="K16" i="61"/>
  <c r="J16" i="61"/>
  <c r="H16" i="61"/>
  <c r="G16" i="61"/>
  <c r="K15" i="61"/>
  <c r="J15" i="61"/>
  <c r="H15" i="61"/>
  <c r="O15" i="61" s="1"/>
  <c r="G15" i="61"/>
  <c r="K14" i="61"/>
  <c r="J14" i="61"/>
  <c r="H14" i="61"/>
  <c r="G14" i="61"/>
  <c r="K13" i="61"/>
  <c r="J13" i="61"/>
  <c r="H13" i="61"/>
  <c r="G13" i="61"/>
  <c r="K12" i="61"/>
  <c r="J12" i="61"/>
  <c r="H12" i="61"/>
  <c r="G12" i="61"/>
  <c r="K11" i="61"/>
  <c r="J11" i="61"/>
  <c r="H11" i="61"/>
  <c r="G11" i="61"/>
  <c r="K10" i="61"/>
  <c r="J10" i="61"/>
  <c r="H10" i="61"/>
  <c r="G10" i="61"/>
  <c r="K9" i="61"/>
  <c r="J9" i="61"/>
  <c r="H9" i="61"/>
  <c r="G9" i="61"/>
  <c r="K8" i="61"/>
  <c r="J8" i="61"/>
  <c r="H8" i="61"/>
  <c r="K7" i="61"/>
  <c r="J7" i="61"/>
  <c r="H7" i="61"/>
  <c r="G7" i="61"/>
  <c r="G6" i="61"/>
  <c r="F6" i="61"/>
  <c r="F96" i="59"/>
  <c r="G96" i="59" s="1"/>
  <c r="F95" i="59"/>
  <c r="G95" i="59" s="1"/>
  <c r="F94" i="59"/>
  <c r="G94" i="59" s="1"/>
  <c r="F93" i="59"/>
  <c r="G93" i="59" s="1"/>
  <c r="F92" i="59"/>
  <c r="G92" i="59" s="1"/>
  <c r="F91" i="59"/>
  <c r="G91" i="59" s="1"/>
  <c r="F90" i="59"/>
  <c r="G90" i="59" s="1"/>
  <c r="F89" i="59"/>
  <c r="G89" i="59" s="1"/>
  <c r="F88" i="59"/>
  <c r="G88" i="59" s="1"/>
  <c r="F87" i="59"/>
  <c r="G87" i="59" s="1"/>
  <c r="F86" i="59"/>
  <c r="G86" i="59" s="1"/>
  <c r="F85" i="59"/>
  <c r="G85" i="59" s="1"/>
  <c r="F84" i="59"/>
  <c r="G84" i="59" s="1"/>
  <c r="F83" i="59"/>
  <c r="G83" i="59" s="1"/>
  <c r="F82" i="59"/>
  <c r="G82" i="59" s="1"/>
  <c r="Z81" i="59"/>
  <c r="F81" i="59"/>
  <c r="G81" i="59" s="1"/>
  <c r="AA80" i="59"/>
  <c r="Z80" i="59"/>
  <c r="T80" i="59"/>
  <c r="F80" i="59"/>
  <c r="G80" i="59" s="1"/>
  <c r="AA79" i="59"/>
  <c r="Z79" i="59"/>
  <c r="U79" i="59"/>
  <c r="T79" i="59"/>
  <c r="F79" i="59"/>
  <c r="G79" i="59" s="1"/>
  <c r="AA78" i="59"/>
  <c r="Z78" i="59"/>
  <c r="U78" i="59"/>
  <c r="T78" i="59"/>
  <c r="F78" i="59"/>
  <c r="G78" i="59" s="1"/>
  <c r="AA77" i="59"/>
  <c r="Z77" i="59"/>
  <c r="U77" i="59"/>
  <c r="T77" i="59"/>
  <c r="F77" i="59"/>
  <c r="G77" i="59" s="1"/>
  <c r="AA76" i="59"/>
  <c r="Z76" i="59"/>
  <c r="U76" i="59"/>
  <c r="T76" i="59"/>
  <c r="AA75" i="59"/>
  <c r="Z75" i="59"/>
  <c r="U75" i="59"/>
  <c r="T75" i="59"/>
  <c r="AA74" i="59"/>
  <c r="Z74" i="59"/>
  <c r="U74" i="59"/>
  <c r="T74" i="59"/>
  <c r="AA73" i="59"/>
  <c r="Z73" i="59"/>
  <c r="U73" i="59"/>
  <c r="T73" i="59"/>
  <c r="AA72" i="59"/>
  <c r="Z72" i="59"/>
  <c r="U72" i="59"/>
  <c r="T72" i="59"/>
  <c r="AA71" i="59"/>
  <c r="Z71" i="59"/>
  <c r="U71" i="59"/>
  <c r="T71" i="59"/>
  <c r="AA70" i="59"/>
  <c r="Z70" i="59"/>
  <c r="U70" i="59"/>
  <c r="T70" i="59"/>
  <c r="AA69" i="59"/>
  <c r="Z69" i="59"/>
  <c r="U69" i="59"/>
  <c r="T69" i="59"/>
  <c r="AA68" i="59"/>
  <c r="Z68" i="59"/>
  <c r="U68" i="59"/>
  <c r="T68" i="59"/>
  <c r="AA67" i="59"/>
  <c r="Z67" i="59"/>
  <c r="U67" i="59"/>
  <c r="T67" i="59"/>
  <c r="AA66" i="59"/>
  <c r="Z66" i="59"/>
  <c r="U66" i="59"/>
  <c r="T66" i="59"/>
  <c r="D66" i="59"/>
  <c r="AA65" i="59"/>
  <c r="Z65" i="59"/>
  <c r="U65" i="59"/>
  <c r="T65" i="59"/>
  <c r="AA64" i="59"/>
  <c r="Z64" i="59"/>
  <c r="U64" i="59"/>
  <c r="T64" i="59"/>
  <c r="G64" i="59"/>
  <c r="F64" i="59"/>
  <c r="E64" i="59"/>
  <c r="D64" i="59"/>
  <c r="C64" i="59"/>
  <c r="AA63" i="59"/>
  <c r="Z63" i="59"/>
  <c r="U63" i="59"/>
  <c r="T63" i="59"/>
  <c r="AA62" i="59"/>
  <c r="Z62" i="59"/>
  <c r="U62" i="59"/>
  <c r="T62" i="59"/>
  <c r="AA61" i="59"/>
  <c r="Z61" i="59"/>
  <c r="U61" i="59"/>
  <c r="T61" i="59"/>
  <c r="AA60" i="59"/>
  <c r="Z60" i="59"/>
  <c r="U60" i="59"/>
  <c r="T60" i="59"/>
  <c r="AA59" i="59"/>
  <c r="Z59" i="59"/>
  <c r="U59" i="59"/>
  <c r="T59" i="59"/>
  <c r="AA58" i="59"/>
  <c r="Z58" i="59"/>
  <c r="U58" i="59"/>
  <c r="T58" i="59"/>
  <c r="AA57" i="59"/>
  <c r="Z57" i="59"/>
  <c r="U57" i="59"/>
  <c r="T57" i="59"/>
  <c r="AA56" i="59"/>
  <c r="Z56" i="59"/>
  <c r="U56" i="59"/>
  <c r="T56" i="59"/>
  <c r="AA55" i="59"/>
  <c r="Z55" i="59"/>
  <c r="U55" i="59"/>
  <c r="T55" i="59"/>
  <c r="AA54" i="59"/>
  <c r="Z54" i="59"/>
  <c r="U54" i="59"/>
  <c r="T54" i="59"/>
  <c r="AA53" i="59"/>
  <c r="Z53" i="59"/>
  <c r="U53" i="59"/>
  <c r="T53" i="59"/>
  <c r="AA52" i="59"/>
  <c r="Z52" i="59"/>
  <c r="U52" i="59"/>
  <c r="T52" i="59"/>
  <c r="AA51" i="59"/>
  <c r="Z51" i="59"/>
  <c r="U51" i="59"/>
  <c r="T51" i="59"/>
  <c r="AA50" i="59"/>
  <c r="Z50" i="59"/>
  <c r="U50" i="59"/>
  <c r="T50" i="59"/>
  <c r="AA49" i="59"/>
  <c r="Z49" i="59"/>
  <c r="U49" i="59"/>
  <c r="T49" i="59"/>
  <c r="AA48" i="59"/>
  <c r="Z48" i="59"/>
  <c r="U48" i="59"/>
  <c r="T48" i="59"/>
  <c r="AA47" i="59"/>
  <c r="Z47" i="59"/>
  <c r="U47" i="59"/>
  <c r="T47" i="59"/>
  <c r="AA46" i="59"/>
  <c r="Z46" i="59"/>
  <c r="U46" i="59"/>
  <c r="T46" i="59"/>
  <c r="AA45" i="59"/>
  <c r="Z45" i="59"/>
  <c r="U45" i="59"/>
  <c r="T45" i="59"/>
  <c r="Z44" i="59"/>
  <c r="AA44" i="59" s="1"/>
  <c r="T44" i="59"/>
  <c r="U44" i="59" s="1"/>
  <c r="Z43" i="59"/>
  <c r="AA43" i="59" s="1"/>
  <c r="T43" i="59"/>
  <c r="U43" i="59" s="1"/>
  <c r="Z42" i="59"/>
  <c r="AA42" i="59" s="1"/>
  <c r="T42" i="59"/>
  <c r="U42" i="59" s="1"/>
  <c r="Z41" i="59"/>
  <c r="AA41" i="59" s="1"/>
  <c r="T41" i="59"/>
  <c r="U41" i="59" s="1"/>
  <c r="Z40" i="59"/>
  <c r="AA40" i="59" s="1"/>
  <c r="T40" i="59"/>
  <c r="U40" i="59" s="1"/>
  <c r="Z39" i="59"/>
  <c r="AA39" i="59" s="1"/>
  <c r="T39" i="59"/>
  <c r="U39" i="59" s="1"/>
  <c r="Z38" i="59"/>
  <c r="AA38" i="59" s="1"/>
  <c r="T38" i="59"/>
  <c r="U38" i="59" s="1"/>
  <c r="Z37" i="59"/>
  <c r="AA37" i="59" s="1"/>
  <c r="T37" i="59"/>
  <c r="U37" i="59" s="1"/>
  <c r="Z36" i="59"/>
  <c r="AA36" i="59" s="1"/>
  <c r="T36" i="59"/>
  <c r="U36" i="59" s="1"/>
  <c r="Z35" i="59"/>
  <c r="AA35" i="59" s="1"/>
  <c r="T35" i="59"/>
  <c r="U35" i="59" s="1"/>
  <c r="Z34" i="59"/>
  <c r="AA34" i="59" s="1"/>
  <c r="T34" i="59"/>
  <c r="U34" i="59" s="1"/>
  <c r="Z33" i="59"/>
  <c r="AA33" i="59" s="1"/>
  <c r="T33" i="59"/>
  <c r="U33" i="59" s="1"/>
  <c r="Z32" i="59"/>
  <c r="AA32" i="59" s="1"/>
  <c r="T32" i="59"/>
  <c r="U32" i="59" s="1"/>
  <c r="Z31" i="59"/>
  <c r="AA31" i="59" s="1"/>
  <c r="T31" i="59"/>
  <c r="U31" i="59" s="1"/>
  <c r="Z30" i="59"/>
  <c r="AA30" i="59" s="1"/>
  <c r="T30" i="59"/>
  <c r="U30" i="59" s="1"/>
  <c r="Z29" i="59"/>
  <c r="AA29" i="59" s="1"/>
  <c r="T29" i="59"/>
  <c r="U29" i="59" s="1"/>
  <c r="AE28" i="59"/>
  <c r="Z28" i="59"/>
  <c r="AA28" i="59" s="1"/>
  <c r="T28" i="59"/>
  <c r="U28" i="59" s="1"/>
  <c r="AM27" i="59"/>
  <c r="AL27" i="59"/>
  <c r="AK27" i="59"/>
  <c r="AJ27" i="59"/>
  <c r="AI27" i="59"/>
  <c r="AH27" i="59"/>
  <c r="AG27" i="59"/>
  <c r="AF27" i="59"/>
  <c r="AE27" i="59"/>
  <c r="AD27" i="59"/>
  <c r="Z27" i="59"/>
  <c r="AA27" i="59" s="1"/>
  <c r="T27" i="59"/>
  <c r="U27" i="59" s="1"/>
  <c r="AM26" i="59"/>
  <c r="AL26" i="59"/>
  <c r="AK26" i="59"/>
  <c r="AJ26" i="59"/>
  <c r="AI26" i="59"/>
  <c r="AH26" i="59"/>
  <c r="AG26" i="59"/>
  <c r="AF26" i="59"/>
  <c r="AE26" i="59"/>
  <c r="AD26" i="59"/>
  <c r="Z26" i="59"/>
  <c r="AA26" i="59" s="1"/>
  <c r="T26" i="59"/>
  <c r="U26" i="59" s="1"/>
  <c r="AM25" i="59"/>
  <c r="AL25" i="59"/>
  <c r="AK25" i="59"/>
  <c r="AJ25" i="59"/>
  <c r="AI25" i="59"/>
  <c r="AH25" i="59"/>
  <c r="AG25" i="59"/>
  <c r="AF25" i="59"/>
  <c r="AE25" i="59"/>
  <c r="AD25" i="59"/>
  <c r="Z25" i="59"/>
  <c r="AA25" i="59" s="1"/>
  <c r="T25" i="59"/>
  <c r="U25" i="59" s="1"/>
  <c r="AM24" i="59"/>
  <c r="AL24" i="59"/>
  <c r="AK24" i="59"/>
  <c r="AJ24" i="59"/>
  <c r="AI24" i="59"/>
  <c r="AH24" i="59"/>
  <c r="AG24" i="59"/>
  <c r="AF24" i="59"/>
  <c r="AE24" i="59"/>
  <c r="AD24" i="59"/>
  <c r="Z24" i="59"/>
  <c r="AA24" i="59" s="1"/>
  <c r="T24" i="59"/>
  <c r="U24" i="59" s="1"/>
  <c r="AM23" i="59"/>
  <c r="AL23" i="59"/>
  <c r="AK23" i="59"/>
  <c r="AK28" i="59" s="1"/>
  <c r="AJ23" i="59"/>
  <c r="AI23" i="59"/>
  <c r="AH23" i="59"/>
  <c r="AG23" i="59"/>
  <c r="AF23" i="59"/>
  <c r="AE23" i="59"/>
  <c r="AD23" i="59"/>
  <c r="Z23" i="59"/>
  <c r="AA23" i="59" s="1"/>
  <c r="T23" i="59"/>
  <c r="U23" i="59" s="1"/>
  <c r="AM22" i="59"/>
  <c r="AM28" i="59" s="1"/>
  <c r="AL22" i="59"/>
  <c r="AL28" i="59" s="1"/>
  <c r="AK22" i="59"/>
  <c r="AJ22" i="59"/>
  <c r="AJ28" i="59" s="1"/>
  <c r="AI22" i="59"/>
  <c r="AH22" i="59"/>
  <c r="AH28" i="59" s="1"/>
  <c r="AG22" i="59"/>
  <c r="AF22" i="59"/>
  <c r="AF28" i="59" s="1"/>
  <c r="AE22" i="59"/>
  <c r="AD22" i="59"/>
  <c r="AD28" i="59" s="1"/>
  <c r="Z22" i="59"/>
  <c r="AA22" i="59" s="1"/>
  <c r="T22" i="59"/>
  <c r="U22" i="59" s="1"/>
  <c r="Z21" i="59"/>
  <c r="AA21" i="59" s="1"/>
  <c r="T21" i="59"/>
  <c r="U21" i="59" s="1"/>
  <c r="AN20" i="59"/>
  <c r="AM20" i="59"/>
  <c r="AL20" i="59"/>
  <c r="AK20" i="59"/>
  <c r="AJ20" i="59"/>
  <c r="AI20" i="59"/>
  <c r="AH20" i="59"/>
  <c r="AG20" i="59"/>
  <c r="AF20" i="59"/>
  <c r="AE20" i="59"/>
  <c r="AD20" i="59"/>
  <c r="Z20" i="59"/>
  <c r="AA20" i="59" s="1"/>
  <c r="T20" i="59"/>
  <c r="U20" i="59" s="1"/>
  <c r="N19" i="59"/>
  <c r="J19" i="59"/>
  <c r="F19" i="59"/>
  <c r="L17" i="59"/>
  <c r="K17" i="59"/>
  <c r="J17" i="59"/>
  <c r="I17" i="59"/>
  <c r="H17" i="59"/>
  <c r="G17" i="59"/>
  <c r="F17" i="59"/>
  <c r="E17" i="59"/>
  <c r="D17" i="59"/>
  <c r="C17" i="59"/>
  <c r="F31" i="62" l="1"/>
  <c r="G31" i="62" s="1"/>
  <c r="L22" i="61"/>
  <c r="M45" i="62"/>
  <c r="M38" i="62"/>
  <c r="M32" i="62"/>
  <c r="F63" i="62"/>
  <c r="AG28" i="59"/>
  <c r="M33" i="62"/>
  <c r="F64" i="62"/>
  <c r="L19" i="61"/>
  <c r="F42" i="62"/>
  <c r="G42" i="62" s="1"/>
  <c r="O19" i="61"/>
  <c r="O22" i="61"/>
  <c r="M44" i="62"/>
  <c r="M37" i="62"/>
  <c r="F68" i="62"/>
  <c r="G68" i="62" s="1"/>
  <c r="H68" i="62" s="1"/>
  <c r="F62" i="62"/>
  <c r="G62" i="62" s="1"/>
  <c r="H62" i="62" s="1"/>
  <c r="F56" i="62"/>
  <c r="H39" i="64"/>
  <c r="V70" i="64" s="1"/>
  <c r="D40" i="64"/>
  <c r="E40" i="64"/>
  <c r="I39" i="64"/>
  <c r="W70" i="64" s="1"/>
  <c r="F40" i="64"/>
  <c r="D38" i="64"/>
  <c r="G38" i="64"/>
  <c r="I40" i="64"/>
  <c r="F39" i="64"/>
  <c r="H38" i="64"/>
  <c r="E39" i="64"/>
  <c r="F38" i="64"/>
  <c r="D39" i="64"/>
  <c r="R70" i="64" s="1"/>
  <c r="E38" i="64"/>
  <c r="I38" i="64"/>
  <c r="H40" i="64"/>
  <c r="G40" i="64"/>
  <c r="G39" i="64"/>
  <c r="C55" i="59"/>
  <c r="C52" i="59"/>
  <c r="C56" i="59"/>
  <c r="I17" i="61"/>
  <c r="L15" i="61"/>
  <c r="L18" i="61"/>
  <c r="L21" i="61"/>
  <c r="M36" i="62"/>
  <c r="F67" i="62"/>
  <c r="F61" i="62"/>
  <c r="F71" i="62"/>
  <c r="G70" i="62" s="1"/>
  <c r="H70" i="62" s="1"/>
  <c r="T70" i="64"/>
  <c r="S77" i="64"/>
  <c r="S70" i="64"/>
  <c r="E19" i="3"/>
  <c r="J23" i="3"/>
  <c r="U70" i="64"/>
  <c r="F57" i="62"/>
  <c r="M43" i="62"/>
  <c r="M42" i="62"/>
  <c r="N41" i="62" s="1"/>
  <c r="O41" i="62" s="1"/>
  <c r="F66" i="62"/>
  <c r="G66" i="62" s="1"/>
  <c r="H66" i="62" s="1"/>
  <c r="G64" i="62"/>
  <c r="H64" i="62" s="1"/>
  <c r="M39" i="62"/>
  <c r="M35" i="62"/>
  <c r="F35" i="62"/>
  <c r="G35" i="62" s="1"/>
  <c r="F58" i="62"/>
  <c r="M31" i="62"/>
  <c r="N31" i="62" s="1"/>
  <c r="O31" i="62" s="1"/>
  <c r="AI28" i="59"/>
  <c r="AO28" i="59" s="1"/>
  <c r="AO20" i="59"/>
  <c r="C53" i="59" s="1"/>
  <c r="O16" i="61"/>
  <c r="L16" i="61"/>
  <c r="L13" i="61"/>
  <c r="F44" i="62"/>
  <c r="G44" i="62" s="1"/>
  <c r="F43" i="62"/>
  <c r="G43" i="62" s="1"/>
  <c r="F40" i="62"/>
  <c r="G40" i="62" s="1"/>
  <c r="F39" i="62"/>
  <c r="G39" i="62" s="1"/>
  <c r="F37" i="62"/>
  <c r="G37" i="62" s="1"/>
  <c r="F36" i="62"/>
  <c r="G36" i="62" s="1"/>
  <c r="M34" i="62"/>
  <c r="N33" i="62" s="1"/>
  <c r="O33" i="62" s="1"/>
  <c r="F33" i="62"/>
  <c r="G33" i="62" s="1"/>
  <c r="F32" i="62"/>
  <c r="G32" i="62" s="1"/>
  <c r="H6" i="61"/>
  <c r="J6" i="61"/>
  <c r="K6" i="61"/>
  <c r="C6" i="61"/>
  <c r="M6" i="61"/>
  <c r="D6" i="61"/>
  <c r="F46" i="62"/>
  <c r="G46" i="62" s="1"/>
  <c r="M46" i="62"/>
  <c r="N45" i="62" s="1"/>
  <c r="O45" i="62" s="1"/>
  <c r="M40" i="62"/>
  <c r="N39" i="62" s="1"/>
  <c r="O39" i="62" s="1"/>
  <c r="G56" i="62"/>
  <c r="H56" i="62" s="1"/>
  <c r="G60" i="62"/>
  <c r="H60" i="62" s="1"/>
  <c r="G58" i="62"/>
  <c r="H58" i="62" s="1"/>
  <c r="F34" i="62"/>
  <c r="G34" i="62" s="1"/>
  <c r="F41" i="62"/>
  <c r="G41" i="62" s="1"/>
  <c r="N35" i="62"/>
  <c r="O35" i="62" s="1"/>
  <c r="N43" i="62"/>
  <c r="O43" i="62" s="1"/>
  <c r="N37" i="62"/>
  <c r="O37" i="62" s="1"/>
  <c r="L12" i="61"/>
  <c r="L14" i="61"/>
  <c r="L11" i="61"/>
  <c r="L10" i="61"/>
  <c r="L9" i="61"/>
  <c r="L8" i="61"/>
  <c r="L7" i="61"/>
  <c r="I10" i="61"/>
  <c r="I14" i="61"/>
  <c r="I21" i="61"/>
  <c r="I9" i="61"/>
  <c r="I13" i="61"/>
  <c r="I16" i="61"/>
  <c r="I20" i="61"/>
  <c r="I7" i="61"/>
  <c r="I12" i="61"/>
  <c r="I18" i="61"/>
  <c r="I22" i="61"/>
  <c r="M7" i="61"/>
  <c r="M8" i="61"/>
  <c r="O8" i="61" s="1"/>
  <c r="M9" i="61"/>
  <c r="O9" i="61" s="1"/>
  <c r="M10" i="61"/>
  <c r="O10" i="61" s="1"/>
  <c r="M11" i="61"/>
  <c r="O11" i="61" s="1"/>
  <c r="M12" i="61"/>
  <c r="O12" i="61" s="1"/>
  <c r="M13" i="61"/>
  <c r="O13" i="61" s="1"/>
  <c r="M14" i="61"/>
  <c r="O14" i="61" s="1"/>
  <c r="M15" i="61"/>
  <c r="M16" i="61"/>
  <c r="M17" i="61"/>
  <c r="M18" i="61"/>
  <c r="M19" i="61"/>
  <c r="M20" i="61"/>
  <c r="M21" i="61"/>
  <c r="M22" i="61"/>
  <c r="I8" i="61"/>
  <c r="I11" i="61"/>
  <c r="I15" i="61"/>
  <c r="I19" i="61"/>
  <c r="O17" i="61"/>
  <c r="D67" i="59"/>
  <c r="E73" i="59"/>
  <c r="E74" i="59" s="1"/>
  <c r="G74" i="59" s="1"/>
  <c r="I79" i="59" s="1"/>
  <c r="C54" i="59" l="1"/>
  <c r="C40" i="64"/>
  <c r="D69" i="59"/>
  <c r="E5" i="53"/>
  <c r="E17" i="53" s="1"/>
  <c r="G48" i="62"/>
  <c r="G49" i="62" s="1"/>
  <c r="L55" i="62" s="1"/>
  <c r="O48" i="62"/>
  <c r="L24" i="61"/>
  <c r="L23" i="61"/>
  <c r="I34" i="61"/>
  <c r="M24" i="61"/>
  <c r="M23" i="61"/>
  <c r="I23" i="61"/>
  <c r="I24" i="61"/>
  <c r="O7" i="61"/>
  <c r="H95" i="59"/>
  <c r="H80" i="59"/>
  <c r="I89" i="59"/>
  <c r="I77" i="59"/>
  <c r="H93" i="59"/>
  <c r="H81" i="59"/>
  <c r="I80" i="59"/>
  <c r="I85" i="59"/>
  <c r="H94" i="59"/>
  <c r="H91" i="59"/>
  <c r="I84" i="59"/>
  <c r="H78" i="59"/>
  <c r="I94" i="59"/>
  <c r="H89" i="59"/>
  <c r="I81" i="59"/>
  <c r="H88" i="59"/>
  <c r="H87" i="59"/>
  <c r="H96" i="59"/>
  <c r="I95" i="59"/>
  <c r="I88" i="59"/>
  <c r="I93" i="59"/>
  <c r="H82" i="59"/>
  <c r="I78" i="59"/>
  <c r="H86" i="59"/>
  <c r="H85" i="59"/>
  <c r="I96" i="59"/>
  <c r="H90" i="59"/>
  <c r="H92" i="59"/>
  <c r="I91" i="59"/>
  <c r="I83" i="59"/>
  <c r="H84" i="59"/>
  <c r="H83" i="59"/>
  <c r="I86" i="59"/>
  <c r="I90" i="59"/>
  <c r="I92" i="59"/>
  <c r="H79" i="59"/>
  <c r="I82" i="59"/>
  <c r="I87" i="59"/>
  <c r="H77" i="59"/>
  <c r="H38" i="53" l="1"/>
  <c r="D40" i="53"/>
  <c r="G40" i="53"/>
  <c r="H40" i="53"/>
  <c r="I40" i="53"/>
  <c r="I38" i="53"/>
  <c r="F40" i="53"/>
  <c r="G38" i="53"/>
  <c r="H39" i="53"/>
  <c r="E38" i="53"/>
  <c r="I39" i="53"/>
  <c r="D38" i="53"/>
  <c r="E40" i="53"/>
  <c r="F39" i="53"/>
  <c r="G39" i="53"/>
  <c r="D39" i="53"/>
  <c r="E39" i="53"/>
  <c r="F38" i="53"/>
  <c r="C45" i="64"/>
  <c r="C44" i="64"/>
  <c r="C43" i="64"/>
  <c r="C46" i="64"/>
  <c r="G41" i="64"/>
  <c r="H41" i="64"/>
  <c r="E41" i="64"/>
  <c r="F41" i="64"/>
  <c r="D41" i="64"/>
  <c r="I41" i="64"/>
  <c r="F7" i="53"/>
  <c r="H7" i="53" s="1"/>
  <c r="C70" i="64"/>
  <c r="C71" i="64" s="1"/>
  <c r="D70" i="59"/>
  <c r="F5" i="53"/>
  <c r="H5" i="53" s="1"/>
  <c r="H73" i="62"/>
  <c r="J55" i="62" s="1"/>
  <c r="O49" i="62"/>
  <c r="E26" i="61"/>
  <c r="I26" i="61" s="1"/>
  <c r="E34" i="61"/>
  <c r="M33" i="61" s="1"/>
  <c r="O24" i="61"/>
  <c r="O23" i="61"/>
  <c r="C40" i="53" l="1"/>
  <c r="F74" i="64"/>
  <c r="S76" i="64"/>
  <c r="F73" i="64"/>
  <c r="O50" i="62"/>
  <c r="N55" i="62" s="1"/>
  <c r="L61" i="62" s="1"/>
  <c r="H74" i="62"/>
  <c r="H75" i="62" s="1"/>
  <c r="H76" i="62" s="1"/>
  <c r="P55" i="62" s="1"/>
  <c r="L67" i="62" s="1"/>
  <c r="L58" i="62"/>
  <c r="L59" i="62" s="1"/>
  <c r="E30" i="61"/>
  <c r="I30" i="61" s="1"/>
  <c r="C46" i="53" l="1"/>
  <c r="C45" i="53"/>
  <c r="C43" i="53"/>
  <c r="C44" i="53"/>
  <c r="I41" i="53"/>
  <c r="D41" i="53"/>
  <c r="E41" i="53"/>
  <c r="H41" i="53"/>
  <c r="F41" i="53"/>
  <c r="G41" i="53"/>
  <c r="X75" i="64"/>
  <c r="X77" i="64"/>
  <c r="X76" i="64"/>
  <c r="X74" i="64"/>
  <c r="L62" i="62"/>
  <c r="L64" i="62"/>
  <c r="L65" i="62" s="1"/>
  <c r="L68" i="62"/>
  <c r="M30" i="61"/>
  <c r="M34" i="61" s="1"/>
  <c r="Y75" i="64" l="1"/>
  <c r="U77" i="64" s="1"/>
  <c r="U76" i="64"/>
  <c r="T76" i="64"/>
  <c r="Y74" i="64"/>
  <c r="T77" i="64" s="1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C73" i="64" l="1"/>
  <c r="C74" i="64"/>
  <c r="M525" i="3"/>
  <c r="M523" i="3"/>
  <c r="M524" i="3"/>
  <c r="M522" i="3"/>
  <c r="M520" i="3"/>
  <c r="M521" i="3"/>
  <c r="M519" i="3"/>
  <c r="M514" i="3"/>
  <c r="M518" i="3"/>
  <c r="M517" i="3"/>
  <c r="M515" i="3"/>
  <c r="M516" i="3"/>
  <c r="M513" i="3"/>
  <c r="M511" i="3"/>
  <c r="M512" i="3"/>
  <c r="M510" i="3"/>
  <c r="M506" i="3"/>
  <c r="M508" i="3"/>
  <c r="M509" i="3"/>
  <c r="M507" i="3"/>
  <c r="M505" i="3"/>
  <c r="M503" i="3"/>
  <c r="M504" i="3"/>
  <c r="M501" i="3"/>
  <c r="M502" i="3"/>
  <c r="E74" i="53" l="1"/>
  <c r="E73" i="53"/>
  <c r="AC70" i="53"/>
  <c r="AB70" i="53"/>
  <c r="AA70" i="53"/>
  <c r="Z70" i="53"/>
  <c r="S77" i="53" l="1"/>
  <c r="Y70" i="53"/>
  <c r="R70" i="53"/>
  <c r="T70" i="53"/>
  <c r="V70" i="53"/>
  <c r="X70" i="53"/>
  <c r="U70" i="53"/>
  <c r="W70" i="53"/>
  <c r="S70" i="53"/>
  <c r="C70" i="53" l="1"/>
  <c r="C71" i="53" s="1"/>
  <c r="S76" i="53" s="1"/>
  <c r="X77" i="53" s="1"/>
  <c r="F74" i="53" l="1"/>
  <c r="F73" i="53"/>
  <c r="X74" i="53"/>
  <c r="X75" i="53"/>
  <c r="X76" i="53"/>
  <c r="T76" i="53" l="1"/>
  <c r="Y74" i="53"/>
  <c r="T77" i="53" s="1"/>
  <c r="U76" i="53"/>
  <c r="Y75" i="53"/>
  <c r="U77" i="53" s="1"/>
  <c r="C74" i="53" l="1"/>
  <c r="C73" i="53"/>
  <c r="O525" i="3" l="1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P501" i="3" l="1"/>
  <c r="P509" i="3"/>
  <c r="P517" i="3"/>
  <c r="P525" i="3"/>
  <c r="P508" i="3"/>
  <c r="P516" i="3"/>
  <c r="P524" i="3"/>
  <c r="P507" i="3"/>
  <c r="P515" i="3"/>
  <c r="P523" i="3"/>
  <c r="P506" i="3"/>
  <c r="P514" i="3"/>
  <c r="P522" i="3"/>
  <c r="P504" i="3"/>
  <c r="P512" i="3"/>
  <c r="P520" i="3"/>
  <c r="P502" i="3"/>
  <c r="P510" i="3"/>
  <c r="P518" i="3"/>
  <c r="P521" i="3"/>
  <c r="P519" i="3"/>
  <c r="P505" i="3"/>
  <c r="P513" i="3"/>
  <c r="P511" i="3"/>
  <c r="P503" i="3"/>
</calcChain>
</file>

<file path=xl/sharedStrings.xml><?xml version="1.0" encoding="utf-8"?>
<sst xmlns="http://schemas.openxmlformats.org/spreadsheetml/2006/main" count="561" uniqueCount="328">
  <si>
    <t>треугольное</t>
  </si>
  <si>
    <t>Краткое обозначение</t>
  </si>
  <si>
    <t>Значение вх. величины</t>
  </si>
  <si>
    <t>Вид распр.</t>
  </si>
  <si>
    <t>прямоугольное</t>
  </si>
  <si>
    <t>№ п/п</t>
  </si>
  <si>
    <t>Знач. вх. вел.</t>
  </si>
  <si>
    <t>Станд. неопр.</t>
  </si>
  <si>
    <t>Результат</t>
  </si>
  <si>
    <t>Результат,y</t>
  </si>
  <si>
    <t>Виды распределения</t>
  </si>
  <si>
    <t>норм. p=0,95</t>
  </si>
  <si>
    <t>норм. p=0,99</t>
  </si>
  <si>
    <t>норм. p=0,997</t>
  </si>
  <si>
    <t>ст.откл.</t>
  </si>
  <si>
    <t>Наименование величины, xi, ед. изм.</t>
  </si>
  <si>
    <t>Тип оценивания</t>
  </si>
  <si>
    <t>А</t>
  </si>
  <si>
    <t>В</t>
  </si>
  <si>
    <t>Тип А/B</t>
  </si>
  <si>
    <t>Стандартная неопр. u(xi)</t>
  </si>
  <si>
    <t>Границы знач./погр.</t>
  </si>
  <si>
    <t>Ед. изм</t>
  </si>
  <si>
    <t>Ст. неопр. рез. u(y)</t>
  </si>
  <si>
    <t>Оценка неопределенности метод Монте-Карло</t>
  </si>
  <si>
    <t>Модель</t>
  </si>
  <si>
    <t>ц.д. шкалы</t>
  </si>
  <si>
    <t>повт. 2 опр</t>
  </si>
  <si>
    <t>Точка отбора</t>
  </si>
  <si>
    <t>Анализ</t>
  </si>
  <si>
    <t>Между целевыми</t>
  </si>
  <si>
    <t>Отн, %</t>
  </si>
  <si>
    <t>Да</t>
  </si>
  <si>
    <t>Нет</t>
  </si>
  <si>
    <t>Формула</t>
  </si>
  <si>
    <t>повт. 3 опр</t>
  </si>
  <si>
    <t>повт. 4 опр</t>
  </si>
  <si>
    <t>повт. 5 опр</t>
  </si>
  <si>
    <t>Результат, y</t>
  </si>
  <si>
    <t>константа</t>
  </si>
  <si>
    <t>X, калибранты</t>
  </si>
  <si>
    <t>Y, отклик прибора</t>
  </si>
  <si>
    <t>Итог формулы ЛИНЕЙН</t>
  </si>
  <si>
    <t>Вклад,%</t>
  </si>
  <si>
    <t>-</t>
  </si>
  <si>
    <t>2-й класс</t>
  </si>
  <si>
    <t>1-й класс</t>
  </si>
  <si>
    <t>коэф охвата k=2</t>
  </si>
  <si>
    <t>коэф охвата k=3</t>
  </si>
  <si>
    <t>Коэф чувств, сi</t>
  </si>
  <si>
    <t>Оценка неопределенности по типу А</t>
  </si>
  <si>
    <t>Кол-во измерений</t>
  </si>
  <si>
    <t>№п/п</t>
  </si>
  <si>
    <t>Xср</t>
  </si>
  <si>
    <t>uА=</t>
  </si>
  <si>
    <t>uА,%=</t>
  </si>
  <si>
    <t>Номинальная вместимость</t>
  </si>
  <si>
    <t>Допустимая погрешность</t>
  </si>
  <si>
    <t>Цилиндры</t>
  </si>
  <si>
    <t>Мензурки</t>
  </si>
  <si>
    <t>Колбы</t>
  </si>
  <si>
    <t>  </t>
  </si>
  <si>
    <t>1-го класса</t>
  </si>
  <si>
    <t>2-го класса</t>
  </si>
  <si>
    <t>Предел допускаемой погрешности</t>
  </si>
  <si>
    <t>±0,005</t>
  </si>
  <si>
    <t>±0,01</t>
  </si>
  <si>
    <t>±0,008</t>
  </si>
  <si>
    <t>±0,015</t>
  </si>
  <si>
    <t>±0,02</t>
  </si>
  <si>
    <t>±0,03</t>
  </si>
  <si>
    <t>±0,04</t>
  </si>
  <si>
    <t>±0,06</t>
  </si>
  <si>
    <t>±0,05</t>
  </si>
  <si>
    <t>±0,1</t>
  </si>
  <si>
    <t>±0,08</t>
  </si>
  <si>
    <t>±0,15</t>
  </si>
  <si>
    <t>±0,2</t>
  </si>
  <si>
    <t xml:space="preserve">ГОСТ 29169-91 (ИСО 648-77) Посуда лабораторная стеклянная </t>
  </si>
  <si>
    <t xml:space="preserve"> ПИПЕТКИ С ОДНОЙ ОТМЕТКОЙ</t>
  </si>
  <si>
    <t xml:space="preserve">ГОСТ 1770-74 (ИСО 1042-83, ИСО 4788-80) </t>
  </si>
  <si>
    <t xml:space="preserve">Посуда мерная лабораторная стеклянная </t>
  </si>
  <si>
    <t>ЦИЛИНДРЫ, МЕНЗУРКИ, КОЛБЫ, ПРОБИРКИ</t>
  </si>
  <si>
    <t>Цена наименьшего деления</t>
  </si>
  <si>
    <t>Предел погрешности для</t>
  </si>
  <si>
    <t>ГОСТ 29251-91 (ИСО 385-1-84) Посуда лабораторная стеклянная БЮРЕТКИ</t>
  </si>
  <si>
    <t>Бюретки</t>
  </si>
  <si>
    <t>Цена наименьшего деления шкалы</t>
  </si>
  <si>
    <t>Пределы допускаемой погрешности объема пипетки</t>
  </si>
  <si>
    <t>-  </t>
  </si>
  <si>
    <t>±0,006</t>
  </si>
  <si>
    <t xml:space="preserve">ГОСТ 29227-91 (ИСО 835-1-81) "Посуда лабораторная стеклянная. </t>
  </si>
  <si>
    <t>Пипетки градуированные.</t>
  </si>
  <si>
    <t>Жидкость</t>
  </si>
  <si>
    <r>
      <t>b×</t>
    </r>
    <r>
      <rPr>
        <b/>
        <sz val="12"/>
        <color rgb="FF000000"/>
        <rFont val="Calibri"/>
        <family val="2"/>
        <charset val="204"/>
        <scheme val="minor"/>
      </rPr>
      <t>10</t>
    </r>
    <r>
      <rPr>
        <b/>
        <vertAlign val="superscript"/>
        <sz val="12"/>
        <color rgb="FF000000"/>
        <rFont val="Calibri"/>
        <family val="2"/>
        <charset val="204"/>
        <scheme val="minor"/>
      </rPr>
      <t>-5</t>
    </r>
  </si>
  <si>
    <t>Анилин</t>
  </si>
  <si>
    <t>Ацетон</t>
  </si>
  <si>
    <t>Бензол</t>
  </si>
  <si>
    <t>Вода</t>
  </si>
  <si>
    <t>Глицерин</t>
  </si>
  <si>
    <t>м-Ксилол</t>
  </si>
  <si>
    <t>Метил йодистый</t>
  </si>
  <si>
    <t>н-Пентан</t>
  </si>
  <si>
    <t>Ртуть</t>
  </si>
  <si>
    <t>Сероуглерод</t>
  </si>
  <si>
    <t>Скипидар</t>
  </si>
  <si>
    <t>Спирт метиловый</t>
  </si>
  <si>
    <t>Спирт этиловый</t>
  </si>
  <si>
    <t>Толуол</t>
  </si>
  <si>
    <t>Уксусная кислота</t>
  </si>
  <si>
    <t>Фенол</t>
  </si>
  <si>
    <t>Хлороформ</t>
  </si>
  <si>
    <t>Четыреххлористый углерод</t>
  </si>
  <si>
    <t>Этил бромистый</t>
  </si>
  <si>
    <t>Эфир этиловый</t>
  </si>
  <si>
    <r>
      <t>H</t>
    </r>
    <r>
      <rPr>
        <vertAlign val="subscript"/>
        <sz val="12"/>
        <color rgb="FF000000"/>
        <rFont val="Calibri"/>
        <family val="2"/>
        <charset val="204"/>
        <scheme val="minor"/>
      </rPr>
      <t>2</t>
    </r>
    <r>
      <rPr>
        <sz val="12"/>
        <color rgb="FF000000"/>
        <rFont val="Calibri"/>
        <family val="2"/>
        <charset val="204"/>
        <scheme val="minor"/>
      </rPr>
      <t>SO</t>
    </r>
    <r>
      <rPr>
        <vertAlign val="subscript"/>
        <sz val="12"/>
        <color rgb="FF000000"/>
        <rFont val="Calibri"/>
        <family val="2"/>
        <charset val="204"/>
        <scheme val="minor"/>
      </rPr>
      <t>4</t>
    </r>
    <r>
      <rPr>
        <sz val="12"/>
        <color rgb="FF000000"/>
        <rFont val="Calibri"/>
        <family val="2"/>
        <charset val="204"/>
        <scheme val="minor"/>
      </rPr>
      <t>, 100%</t>
    </r>
  </si>
  <si>
    <r>
      <t xml:space="preserve">В таблице приведены значения 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Calibri"/>
        <family val="2"/>
        <charset val="204"/>
        <scheme val="minor"/>
      </rPr>
      <t xml:space="preserve"> = (1/V</t>
    </r>
    <r>
      <rPr>
        <vertAlign val="subscript"/>
        <sz val="12"/>
        <color rgb="FF000000"/>
        <rFont val="Calibri"/>
        <family val="2"/>
        <charset val="204"/>
        <scheme val="minor"/>
      </rPr>
      <t>t</t>
    </r>
    <r>
      <rPr>
        <sz val="12"/>
        <color rgb="FF000000"/>
        <rFont val="Calibri"/>
        <family val="2"/>
        <charset val="204"/>
        <scheme val="minor"/>
      </rPr>
      <t>) (dV</t>
    </r>
    <r>
      <rPr>
        <vertAlign val="subscript"/>
        <sz val="12"/>
        <color rgb="FF000000"/>
        <rFont val="Calibri"/>
        <family val="2"/>
        <charset val="204"/>
        <scheme val="minor"/>
      </rPr>
      <t>t</t>
    </r>
    <r>
      <rPr>
        <sz val="12"/>
        <color rgb="FF000000"/>
        <rFont val="Calibri"/>
        <family val="2"/>
        <charset val="204"/>
        <scheme val="minor"/>
      </rPr>
      <t>/dt) при t = 20°С.</t>
    </r>
  </si>
  <si>
    <t>КОЭФФИЦИЕНТЫ ОБЪЕМНОГО РАСШИРЕНИЯ ЖИДКОСТЕЙ</t>
  </si>
  <si>
    <t>Kaye G.W., Laby T.H. Таблицы химических и физических констант. Longmans, 1970. С. 63</t>
  </si>
  <si>
    <t>At No</t>
  </si>
  <si>
    <t>Symbol</t>
  </si>
  <si>
    <t>Name</t>
  </si>
  <si>
    <t>Minimum Atomic Wt</t>
  </si>
  <si>
    <t>Maximum Atomic Wt</t>
  </si>
  <si>
    <t>Diff</t>
  </si>
  <si>
    <t>H</t>
  </si>
  <si>
    <t>hydrogen</t>
  </si>
  <si>
    <t>Li</t>
  </si>
  <si>
    <t>lithium</t>
  </si>
  <si>
    <t>boron</t>
  </si>
  <si>
    <t>C</t>
  </si>
  <si>
    <t>carbon</t>
  </si>
  <si>
    <t>N</t>
  </si>
  <si>
    <t>nitrogen</t>
  </si>
  <si>
    <t>O</t>
  </si>
  <si>
    <t>oxygen</t>
  </si>
  <si>
    <t>Mg</t>
  </si>
  <si>
    <t>magnesium</t>
  </si>
  <si>
    <t>Si</t>
  </si>
  <si>
    <t>silicon</t>
  </si>
  <si>
    <t>S</t>
  </si>
  <si>
    <t>sulfur</t>
  </si>
  <si>
    <t>Cl</t>
  </si>
  <si>
    <t>chlorine</t>
  </si>
  <si>
    <t>Ar</t>
  </si>
  <si>
    <t>argon</t>
  </si>
  <si>
    <t>Br</t>
  </si>
  <si>
    <t>bromine</t>
  </si>
  <si>
    <t>Tl</t>
  </si>
  <si>
    <t>thallium</t>
  </si>
  <si>
    <t>Pb</t>
  </si>
  <si>
    <t>lead</t>
  </si>
  <si>
    <t>List of Elements with Range of Atomic Weights.</t>
  </si>
  <si>
    <t>https://iupac.qmul.ac.uk/AtWt</t>
  </si>
  <si>
    <t>Владелец ПО</t>
  </si>
  <si>
    <t>Степени свободы</t>
  </si>
  <si>
    <t>числ. знач.</t>
  </si>
  <si>
    <t>Число эффективных степеней свободы</t>
  </si>
  <si>
    <t>Коэффициент охвата, k для P=0,95</t>
  </si>
  <si>
    <t>Таблица критических значений t-критерия Стьюдента</t>
  </si>
  <si>
    <t>Число степеней свободы, f</t>
  </si>
  <si>
    <t>p=0,95</t>
  </si>
  <si>
    <t>p=0,99</t>
  </si>
  <si>
    <t>p=0,999</t>
  </si>
  <si>
    <t>Расш. неопр. рез U(y)</t>
  </si>
  <si>
    <t>Версия ПО</t>
  </si>
  <si>
    <t>Исходное</t>
  </si>
  <si>
    <t>2 знач</t>
  </si>
  <si>
    <t>1 знач</t>
  </si>
  <si>
    <t>зн. после зпт</t>
  </si>
  <si>
    <t>исх зн неопр 2</t>
  </si>
  <si>
    <t>исх зн неопр 1</t>
  </si>
  <si>
    <t>Результат c 2-мя зн</t>
  </si>
  <si>
    <t>Результат с 1-ой зн</t>
  </si>
  <si>
    <t>B</t>
  </si>
  <si>
    <t>±</t>
  </si>
  <si>
    <t>Расчеты УЭЛЧ</t>
  </si>
  <si>
    <t>Расчеты представление</t>
  </si>
  <si>
    <t>Формула Уэлча-Саттертуэйта расчета коэффициента охвата, k</t>
  </si>
  <si>
    <t>&gt;50</t>
  </si>
  <si>
    <t>Символ</t>
  </si>
  <si>
    <t>Процент. вклад</t>
  </si>
  <si>
    <t>u(y) отн,%</t>
  </si>
  <si>
    <t>Расш. неопр. рез U(y), k=2</t>
  </si>
  <si>
    <t>U(y) отн,%</t>
  </si>
  <si>
    <t>Y</t>
  </si>
  <si>
    <t>u(y,x)</t>
  </si>
  <si>
    <t>Для диаграммы</t>
  </si>
  <si>
    <t>u(y)2, u(y,x)2</t>
  </si>
  <si>
    <t>Vp2</t>
  </si>
  <si>
    <t>Vk2</t>
  </si>
  <si>
    <t>С1</t>
  </si>
  <si>
    <t>объем пипетки 1</t>
  </si>
  <si>
    <t>Vp1</t>
  </si>
  <si>
    <t>Объем пипетки 2</t>
  </si>
  <si>
    <t>Объем колбы1</t>
  </si>
  <si>
    <t>Vk1</t>
  </si>
  <si>
    <t>Объем колбы2</t>
  </si>
  <si>
    <t>Температурное расширение</t>
  </si>
  <si>
    <t>Tr</t>
  </si>
  <si>
    <t>Sy</t>
  </si>
  <si>
    <t>Fpovt</t>
  </si>
  <si>
    <t>SSE</t>
  </si>
  <si>
    <t>SSP</t>
  </si>
  <si>
    <t>Градуировочный (калибровочный) график</t>
  </si>
  <si>
    <t>Ед. изм, калибр</t>
  </si>
  <si>
    <t>Ед. изм, отклик</t>
  </si>
  <si>
    <t>мг</t>
  </si>
  <si>
    <t>опт. плотность</t>
  </si>
  <si>
    <t>Методика измерений:</t>
  </si>
  <si>
    <t>Средство измерений:</t>
  </si>
  <si>
    <t>Исполнитель:</t>
  </si>
  <si>
    <t>Срок действия:</t>
  </si>
  <si>
    <t>Остатки</t>
  </si>
  <si>
    <t>Постоянное СКО остатков</t>
  </si>
  <si>
    <t>Пропорц. СКО остатков (взв)</t>
  </si>
  <si>
    <t>Коэффициент регрессии,B1</t>
  </si>
  <si>
    <t>Коэффициент сдвига по Y,B0</t>
  </si>
  <si>
    <t>Кол-во калибрантов,N</t>
  </si>
  <si>
    <t>Кол-во паралл. опр.K</t>
  </si>
  <si>
    <t>Стандартная ошибка, сигма</t>
  </si>
  <si>
    <t>Проверка линейности</t>
  </si>
  <si>
    <t>Отношение F</t>
  </si>
  <si>
    <t>Табл. F 99%</t>
  </si>
  <si>
    <t>Табл. F 95%</t>
  </si>
  <si>
    <t>Линейн</t>
  </si>
  <si>
    <t>Оценка неопределенности EURACHEM</t>
  </si>
  <si>
    <t>Кол-во паралл. определений</t>
  </si>
  <si>
    <t>X</t>
  </si>
  <si>
    <t>X, расч</t>
  </si>
  <si>
    <t>№ паралл. опр.</t>
  </si>
  <si>
    <t>Станд. неопред, u(x)</t>
  </si>
  <si>
    <t>Станд. неопред, u(x), отн %</t>
  </si>
  <si>
    <t>Уравнение графика</t>
  </si>
  <si>
    <t>Контроль стабильности</t>
  </si>
  <si>
    <t>Дата</t>
  </si>
  <si>
    <t>UCL</t>
  </si>
  <si>
    <t>LCL</t>
  </si>
  <si>
    <t>UCL=</t>
  </si>
  <si>
    <t>LCL=</t>
  </si>
  <si>
    <t>№ контр изм</t>
  </si>
  <si>
    <t>t-расп=</t>
  </si>
  <si>
    <t>Контр. знач</t>
  </si>
  <si>
    <t>Заданные значения X</t>
  </si>
  <si>
    <t>Резуль-таты Y</t>
  </si>
  <si>
    <t>Рассч. знач. X</t>
  </si>
  <si>
    <t>Нелинейн</t>
  </si>
  <si>
    <t>Отбор проб</t>
  </si>
  <si>
    <t>%, отн</t>
  </si>
  <si>
    <t>%,отн</t>
  </si>
  <si>
    <t>мг/дм3</t>
  </si>
  <si>
    <t>f</t>
  </si>
  <si>
    <t>¥</t>
  </si>
  <si>
    <t>Критерий Фишера для P=0,99</t>
  </si>
  <si>
    <t>Критерий Фишера для P=0,95</t>
  </si>
  <si>
    <t>КФК</t>
  </si>
  <si>
    <t>Иванов</t>
  </si>
  <si>
    <t>концентрация СО сульфат иона, мг/дм3</t>
  </si>
  <si>
    <t>y=С1*Vp1*Vp2*50*Tr/(Vk1*Vk2)</t>
  </si>
  <si>
    <t>Дисперсия между анализами</t>
  </si>
  <si>
    <t>Дисперсия между пробами</t>
  </si>
  <si>
    <t>S2</t>
  </si>
  <si>
    <t>Дисперсия между объектами пробоотбора</t>
  </si>
  <si>
    <t>Номер объекта пробоотбора, i</t>
  </si>
  <si>
    <t>Номер пробы, j</t>
  </si>
  <si>
    <t>Дисперсия между анализами, SSe</t>
  </si>
  <si>
    <t>Дисперсия между пробами, SS1</t>
  </si>
  <si>
    <t>Дисперсия между объектами пробоотбора, SS0</t>
  </si>
  <si>
    <t>Дисперсионный анализ для трехфакторного полностью вложенного эксперимента</t>
  </si>
  <si>
    <r>
      <t>Результат измерений, y</t>
    </r>
    <r>
      <rPr>
        <b/>
        <vertAlign val="subscript"/>
        <sz val="11"/>
        <color theme="1"/>
        <rFont val="Calibri"/>
        <family val="2"/>
        <charset val="204"/>
        <scheme val="minor"/>
      </rPr>
      <t>ijk</t>
    </r>
  </si>
  <si>
    <t>Средний квадрат MSe</t>
  </si>
  <si>
    <t>Сумма квадратов SSe</t>
  </si>
  <si>
    <t>Сумма квадратов SS1</t>
  </si>
  <si>
    <t>Средний квадрат MS1</t>
  </si>
  <si>
    <t>Сумма квадратов SS0</t>
  </si>
  <si>
    <t>Средний квадрат MS0</t>
  </si>
  <si>
    <t>Среднее значение результатов, y</t>
  </si>
  <si>
    <t>Результаты анализа дисперсий ANOVA</t>
  </si>
  <si>
    <t>Среднее значение</t>
  </si>
  <si>
    <t>Экспериментальные данные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</si>
  <si>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ij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</si>
  <si>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ij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</si>
  <si>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u(пробоотбора)</t>
  </si>
  <si>
    <t>u,% отн</t>
  </si>
  <si>
    <t>u(измерений)</t>
  </si>
  <si>
    <t>u(анализа)</t>
  </si>
  <si>
    <r>
      <t>s(0)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</si>
  <si>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ср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</si>
  <si>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i </t>
    </r>
    <r>
      <rPr>
        <sz val="11"/>
        <color theme="1"/>
        <rFont val="Calibri"/>
        <family val="2"/>
        <charset val="204"/>
        <scheme val="minor"/>
      </rPr>
      <t>ср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</si>
  <si>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ij</t>
    </r>
    <r>
      <rPr>
        <sz val="11"/>
        <color theme="1"/>
        <rFont val="Calibri"/>
        <family val="2"/>
        <charset val="204"/>
        <scheme val="minor"/>
      </rPr>
      <t>ср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</si>
  <si>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</si>
  <si>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</si>
  <si>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u(между объектами)</t>
  </si>
  <si>
    <t>Оценка неопределенности стадии отбора проб (метод размахов)</t>
  </si>
  <si>
    <t>Число объектов пробоотбора, P=</t>
  </si>
  <si>
    <t>Шифр, наименование методики измерений</t>
  </si>
  <si>
    <t xml:space="preserve">Бюджет неопределенности </t>
  </si>
  <si>
    <t>Расчеты по методу последовательных приращений (метод Крагтена)</t>
  </si>
  <si>
    <t>Расчеты выполнил:</t>
  </si>
  <si>
    <t>Инженер Иванов И.И.</t>
  </si>
  <si>
    <t>Дата:</t>
  </si>
  <si>
    <t>Неопределенность стадии пробоотбора по ISO 5725-3</t>
  </si>
  <si>
    <t>ПНДФ 14.1:2.159-2000 Методика выполнения измерений массовой концентрации сульфат-ионов в пробах природных и сточных вод турбидиметрическим методом</t>
  </si>
  <si>
    <t>Содержание сульфат-ионов в аликвотной порции пробы, найд. по град. граф.</t>
  </si>
  <si>
    <t>V</t>
  </si>
  <si>
    <t>Коэффициент, учитывающий неопр. град. р-ров</t>
  </si>
  <si>
    <t>Fgrad</t>
  </si>
  <si>
    <t>Коэффициент, учитывающий повторяемость паралл. опр.</t>
  </si>
  <si>
    <t>Q</t>
  </si>
  <si>
    <t>Объем аликвотной порции пробы, см3</t>
  </si>
  <si>
    <t>Неопределенность приготовления минимальной АС=0,2 мг</t>
  </si>
  <si>
    <t>Коэффициент, учитывающий неопр. пробоотбора</t>
  </si>
  <si>
    <t>Fprobot</t>
  </si>
  <si>
    <t>y=1000*Q*Fpovt*Fgrad*Fprobot/V</t>
  </si>
  <si>
    <t xml:space="preserve">ПНДФ 14.1:2.159-2000 </t>
  </si>
  <si>
    <t>Сведения о программном обеспечении</t>
  </si>
  <si>
    <t>Серийный номер ПО</t>
  </si>
  <si>
    <t>Статус активации</t>
  </si>
  <si>
    <t>Активно</t>
  </si>
  <si>
    <t>Неопределенность макро. Редакция 3</t>
  </si>
  <si>
    <t>Fas</t>
  </si>
  <si>
    <t>Конфигурация 2. Версия 2.0</t>
  </si>
  <si>
    <t>"Саксина Ольга Юрьевна"</t>
  </si>
  <si>
    <t>Коэффициент, учитывающий неопр.  Приготовления рабочих растворов</t>
  </si>
  <si>
    <t>Коэффициент, учитывающий неопр. Выполнения процедур мви</t>
  </si>
  <si>
    <t>Frab r</t>
  </si>
  <si>
    <t>Fмви</t>
  </si>
  <si>
    <t>y=1000*Q*Fpovt*Fas*Frab r*Fмви/V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</si>
</sst>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"/>
    <numFmt numFmtId="165" formatCode="0.00000"/>
    <numFmt numFmtId="166" formatCode="0.000"/>
    <numFmt numFmtId="167" formatCode="0.000000"/>
    <numFmt numFmtId="168" formatCode="0.0000"/>
    <numFmt numFmtId="169" formatCode="0.0"/>
    <numFmt numFmtId="170" formatCode="0.00000000"/>
    <numFmt numFmtId="171" formatCode="0.000000000"/>
  </numFmts>
  <fonts count="5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9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0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rgb="FF000000"/>
      <name val="Symbol"/>
      <family val="1"/>
      <charset val="2"/>
    </font>
    <font>
      <b/>
      <vertAlign val="superscript"/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Calibri"/>
      <family val="2"/>
      <charset val="204"/>
      <scheme val="minor"/>
    </font>
    <font>
      <sz val="12"/>
      <color rgb="FF000000"/>
      <name val="Symbol"/>
      <family val="1"/>
      <charset val="2"/>
    </font>
    <font>
      <sz val="12"/>
      <color rgb="FF1F1532"/>
      <name val="Calibri"/>
      <family val="2"/>
      <charset val="204"/>
      <scheme val="minor"/>
    </font>
    <font>
      <sz val="10"/>
      <color theme="1"/>
      <name val="Symbol"/>
      <family val="1"/>
      <charset val="2"/>
    </font>
    <font>
      <sz val="12"/>
      <color rgb="FF222222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1"/>
      <color theme="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sz val="11"/>
      <color rgb="FF253443"/>
      <name val="Segoe UI"/>
      <family val="2"/>
      <charset val="204"/>
    </font>
    <font>
      <b/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0" fillId="0" borderId="0" applyNumberFormat="0" applyFont="0" applyFill="0" applyBorder="0" applyAlignment="0" applyProtection="0">
      <alignment vertical="top"/>
    </xf>
    <xf numFmtId="0" fontId="20" fillId="0" borderId="0" applyNumberFormat="0" applyFont="0" applyFill="0" applyBorder="0" applyAlignment="0" applyProtection="0">
      <alignment vertical="top"/>
    </xf>
    <xf numFmtId="0" fontId="20" fillId="0" borderId="0" applyNumberFormat="0" applyFont="0" applyFill="0" applyBorder="0" applyAlignment="0" applyProtection="0">
      <alignment vertical="top"/>
    </xf>
  </cellStyleXfs>
  <cellXfs count="29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wrapText="1" readingOrder="1"/>
    </xf>
    <xf numFmtId="0" fontId="0" fillId="3" borderId="2" xfId="0" applyFill="1" applyBorder="1"/>
    <xf numFmtId="0" fontId="0" fillId="3" borderId="0" xfId="0" applyFill="1"/>
    <xf numFmtId="0" fontId="13" fillId="0" borderId="0" xfId="0" applyFont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0" xfId="0" applyFont="1" applyAlignment="1">
      <alignment horizontal="right" wrapText="1"/>
    </xf>
    <xf numFmtId="165" fontId="13" fillId="0" borderId="0" xfId="0" applyNumberFormat="1" applyFont="1" applyAlignment="1">
      <alignment horizontal="right"/>
    </xf>
    <xf numFmtId="164" fontId="9" fillId="0" borderId="0" xfId="0" applyNumberFormat="1" applyFont="1"/>
    <xf numFmtId="167" fontId="0" fillId="0" borderId="0" xfId="0" applyNumberFormat="1"/>
    <xf numFmtId="0" fontId="0" fillId="4" borderId="1" xfId="0" applyFill="1" applyBorder="1" applyProtection="1">
      <protection locked="0"/>
    </xf>
    <xf numFmtId="0" fontId="0" fillId="0" borderId="1" xfId="0" applyBorder="1" applyProtection="1">
      <protection locked="0"/>
    </xf>
    <xf numFmtId="169" fontId="6" fillId="0" borderId="0" xfId="0" applyNumberFormat="1" applyFont="1"/>
    <xf numFmtId="169" fontId="0" fillId="0" borderId="0" xfId="0" applyNumberFormat="1"/>
    <xf numFmtId="169" fontId="2" fillId="0" borderId="0" xfId="0" applyNumberFormat="1" applyFont="1"/>
    <xf numFmtId="0" fontId="18" fillId="0" borderId="0" xfId="0" applyFont="1"/>
    <xf numFmtId="0" fontId="21" fillId="0" borderId="0" xfId="1" applyNumberFormat="1" applyFont="1" applyFill="1" applyBorder="1" applyAlignment="1" applyProtection="1">
      <alignment horizontal="left" vertical="center" indent="1"/>
    </xf>
    <xf numFmtId="0" fontId="21" fillId="0" borderId="0" xfId="1" applyNumberFormat="1" applyFont="1" applyFill="1" applyBorder="1" applyAlignment="1" applyProtection="1">
      <alignment horizontal="left" indent="1"/>
    </xf>
    <xf numFmtId="0" fontId="21" fillId="0" borderId="0" xfId="1" applyNumberFormat="1" applyFont="1" applyFill="1" applyBorder="1" applyAlignment="1" applyProtection="1">
      <alignment horizontal="left" vertical="top"/>
    </xf>
    <xf numFmtId="0" fontId="9" fillId="0" borderId="0" xfId="0" applyFont="1" applyAlignment="1">
      <alignment wrapText="1"/>
    </xf>
    <xf numFmtId="0" fontId="9" fillId="0" borderId="0" xfId="0" applyFont="1" applyAlignment="1" applyProtection="1">
      <alignment horizontal="left"/>
      <protection locked="0"/>
    </xf>
    <xf numFmtId="0" fontId="12" fillId="0" borderId="0" xfId="0" applyFont="1"/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14" fillId="0" borderId="0" xfId="0" applyFont="1"/>
    <xf numFmtId="0" fontId="22" fillId="0" borderId="0" xfId="0" applyFont="1"/>
    <xf numFmtId="0" fontId="23" fillId="0" borderId="1" xfId="0" applyFont="1" applyBorder="1" applyAlignment="1">
      <alignment horizontal="center" vertical="center" wrapText="1"/>
    </xf>
    <xf numFmtId="0" fontId="9" fillId="0" borderId="0" xfId="0" applyFont="1" applyAlignment="1" applyProtection="1">
      <alignment horizontal="left" vertical="top" wrapText="1"/>
      <protection locked="0"/>
    </xf>
    <xf numFmtId="0" fontId="25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vertical="top" wrapText="1"/>
    </xf>
    <xf numFmtId="0" fontId="0" fillId="0" borderId="18" xfId="0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0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1" fillId="0" borderId="0" xfId="1" applyNumberFormat="1" applyFont="1" applyFill="1" applyBorder="1" applyAlignment="1" applyProtection="1">
      <alignment wrapText="1"/>
    </xf>
    <xf numFmtId="0" fontId="19" fillId="0" borderId="0" xfId="0" applyFont="1" applyAlignment="1">
      <alignment horizontal="justify" vertical="center" wrapText="1" readingOrder="1"/>
    </xf>
    <xf numFmtId="0" fontId="24" fillId="0" borderId="0" xfId="0" applyFont="1" applyAlignment="1">
      <alignment vertical="center"/>
    </xf>
    <xf numFmtId="0" fontId="25" fillId="0" borderId="24" xfId="0" applyFont="1" applyBorder="1" applyAlignment="1">
      <alignment vertical="center" wrapText="1"/>
    </xf>
    <xf numFmtId="0" fontId="25" fillId="0" borderId="23" xfId="0" applyFont="1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6" fillId="0" borderId="0" xfId="1" applyNumberFormat="1" applyFont="1" applyFill="1" applyBorder="1" applyAlignment="1" applyProtection="1">
      <alignment vertical="center"/>
    </xf>
    <xf numFmtId="0" fontId="28" fillId="0" borderId="19" xfId="0" applyFont="1" applyBorder="1" applyAlignment="1">
      <alignment vertical="center" wrapText="1"/>
    </xf>
    <xf numFmtId="0" fontId="25" fillId="0" borderId="19" xfId="0" applyFont="1" applyBorder="1" applyAlignment="1">
      <alignment vertical="center" wrapText="1"/>
    </xf>
    <xf numFmtId="0" fontId="25" fillId="0" borderId="19" xfId="0" applyFont="1" applyBorder="1" applyAlignment="1">
      <alignment vertical="center"/>
    </xf>
    <xf numFmtId="0" fontId="32" fillId="0" borderId="19" xfId="0" applyFont="1" applyBorder="1" applyAlignment="1">
      <alignment vertical="center" wrapText="1"/>
    </xf>
    <xf numFmtId="0" fontId="32" fillId="0" borderId="21" xfId="0" applyFont="1" applyBorder="1" applyAlignment="1">
      <alignment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20" xfId="0" applyFont="1" applyBorder="1" applyAlignment="1">
      <alignment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18" xfId="0" applyFont="1" applyBorder="1" applyAlignment="1">
      <alignment vertical="center" wrapText="1"/>
    </xf>
    <xf numFmtId="0" fontId="25" fillId="0" borderId="0" xfId="0" applyFont="1" applyAlignment="1">
      <alignment horizontal="left" vertical="center" readingOrder="1"/>
    </xf>
    <xf numFmtId="0" fontId="6" fillId="0" borderId="1" xfId="0" applyFont="1" applyBorder="1" applyAlignment="1" applyProtection="1">
      <alignment vertical="center"/>
      <protection locked="0"/>
    </xf>
    <xf numFmtId="0" fontId="33" fillId="0" borderId="1" xfId="0" applyFont="1" applyBorder="1"/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center" wrapText="1"/>
      <protection locked="0"/>
    </xf>
    <xf numFmtId="2" fontId="6" fillId="0" borderId="1" xfId="0" applyNumberFormat="1" applyFont="1" applyBorder="1" applyAlignment="1" applyProtection="1">
      <alignment horizontal="center" vertical="center"/>
      <protection locked="0"/>
    </xf>
    <xf numFmtId="0" fontId="34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/>
    <xf numFmtId="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top" wrapText="1"/>
    </xf>
    <xf numFmtId="0" fontId="34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35" fillId="0" borderId="0" xfId="0" applyFont="1"/>
    <xf numFmtId="0" fontId="13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168" fontId="7" fillId="0" borderId="0" xfId="0" applyNumberFormat="1" applyFont="1"/>
    <xf numFmtId="0" fontId="9" fillId="0" borderId="0" xfId="0" applyFont="1" applyAlignment="1" applyProtection="1">
      <alignment horizontal="left" wrapText="1"/>
      <protection locked="0"/>
    </xf>
    <xf numFmtId="0" fontId="0" fillId="4" borderId="1" xfId="0" applyFill="1" applyBorder="1"/>
    <xf numFmtId="2" fontId="6" fillId="0" borderId="1" xfId="0" applyNumberFormat="1" applyFont="1" applyBorder="1" applyAlignment="1" applyProtection="1">
      <alignment vertical="center"/>
      <protection locked="0"/>
    </xf>
    <xf numFmtId="168" fontId="6" fillId="0" borderId="1" xfId="0" applyNumberFormat="1" applyFont="1" applyBorder="1" applyAlignment="1" applyProtection="1">
      <alignment horizontal="center" vertical="center"/>
      <protection locked="0"/>
    </xf>
    <xf numFmtId="166" fontId="6" fillId="0" borderId="1" xfId="0" applyNumberFormat="1" applyFont="1" applyBorder="1" applyAlignment="1" applyProtection="1">
      <alignment vertical="center"/>
      <protection locked="0"/>
    </xf>
    <xf numFmtId="167" fontId="6" fillId="0" borderId="1" xfId="0" applyNumberFormat="1" applyFont="1" applyBorder="1" applyAlignment="1" applyProtection="1">
      <alignment horizontal="center" vertical="center"/>
      <protection locked="0"/>
    </xf>
    <xf numFmtId="0" fontId="15" fillId="0" borderId="0" xfId="0" applyFont="1"/>
    <xf numFmtId="0" fontId="2" fillId="0" borderId="0" xfId="0" applyFont="1" applyAlignment="1">
      <alignment horizontal="left"/>
    </xf>
    <xf numFmtId="0" fontId="0" fillId="4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7" fillId="0" borderId="13" xfId="0" applyFont="1" applyBorder="1"/>
    <xf numFmtId="0" fontId="0" fillId="0" borderId="25" xfId="0" applyBorder="1"/>
    <xf numFmtId="0" fontId="37" fillId="0" borderId="15" xfId="0" applyFont="1" applyBorder="1"/>
    <xf numFmtId="0" fontId="36" fillId="0" borderId="16" xfId="0" applyFont="1" applyBorder="1"/>
    <xf numFmtId="0" fontId="38" fillId="0" borderId="15" xfId="0" applyFont="1" applyBorder="1"/>
    <xf numFmtId="0" fontId="38" fillId="0" borderId="16" xfId="0" applyFont="1" applyBorder="1"/>
    <xf numFmtId="0" fontId="38" fillId="0" borderId="17" xfId="0" applyFont="1" applyBorder="1"/>
    <xf numFmtId="0" fontId="13" fillId="0" borderId="26" xfId="0" applyFont="1" applyBorder="1"/>
    <xf numFmtId="0" fontId="38" fillId="0" borderId="18" xfId="0" applyFont="1" applyBorder="1"/>
    <xf numFmtId="0" fontId="36" fillId="0" borderId="0" xfId="0" applyFont="1"/>
    <xf numFmtId="0" fontId="38" fillId="0" borderId="0" xfId="0" applyFont="1"/>
    <xf numFmtId="0" fontId="38" fillId="4" borderId="1" xfId="0" applyFont="1" applyFill="1" applyBorder="1"/>
    <xf numFmtId="0" fontId="38" fillId="0" borderId="1" xfId="0" applyFont="1" applyBorder="1"/>
    <xf numFmtId="0" fontId="13" fillId="0" borderId="1" xfId="0" applyFont="1" applyBorder="1"/>
    <xf numFmtId="0" fontId="17" fillId="0" borderId="0" xfId="0" applyFont="1"/>
    <xf numFmtId="0" fontId="39" fillId="0" borderId="0" xfId="0" applyFont="1" applyAlignment="1">
      <alignment vertical="top" wrapText="1"/>
    </xf>
    <xf numFmtId="0" fontId="38" fillId="0" borderId="0" xfId="0" applyFont="1" applyAlignment="1">
      <alignment vertical="top"/>
    </xf>
    <xf numFmtId="0" fontId="38" fillId="0" borderId="0" xfId="0" applyFont="1" applyAlignment="1">
      <alignment horizontal="right" vertical="top"/>
    </xf>
    <xf numFmtId="0" fontId="16" fillId="0" borderId="0" xfId="0" applyFont="1" applyAlignment="1">
      <alignment horizontal="left"/>
    </xf>
    <xf numFmtId="168" fontId="16" fillId="0" borderId="0" xfId="0" applyNumberFormat="1" applyFont="1" applyAlignment="1">
      <alignment horizontal="righ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16" fillId="0" borderId="0" xfId="0" applyFont="1"/>
    <xf numFmtId="0" fontId="13" fillId="0" borderId="0" xfId="0" applyFont="1" applyAlignment="1">
      <alignment horizontal="left"/>
    </xf>
    <xf numFmtId="0" fontId="0" fillId="0" borderId="0" xfId="0" applyProtection="1">
      <protection locked="0"/>
    </xf>
    <xf numFmtId="0" fontId="13" fillId="0" borderId="1" xfId="0" applyFont="1" applyBorder="1" applyProtection="1">
      <protection locked="0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/>
    </xf>
    <xf numFmtId="14" fontId="0" fillId="0" borderId="1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/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1" xfId="0" applyBorder="1" applyAlignment="1">
      <alignment horizontal="center"/>
    </xf>
    <xf numFmtId="0" fontId="38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26" xfId="0" applyBorder="1"/>
    <xf numFmtId="0" fontId="0" fillId="0" borderId="15" xfId="0" applyBorder="1" applyAlignment="1">
      <alignment wrapText="1"/>
    </xf>
    <xf numFmtId="0" fontId="2" fillId="0" borderId="25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3" xfId="0" applyFont="1" applyBorder="1"/>
    <xf numFmtId="0" fontId="0" fillId="0" borderId="23" xfId="0" applyBorder="1"/>
    <xf numFmtId="0" fontId="0" fillId="0" borderId="22" xfId="0" applyBorder="1"/>
    <xf numFmtId="0" fontId="0" fillId="0" borderId="21" xfId="0" applyBorder="1"/>
    <xf numFmtId="0" fontId="21" fillId="0" borderId="0" xfId="2" applyNumberFormat="1" applyFont="1" applyFill="1" applyBorder="1" applyAlignment="1" applyProtection="1">
      <alignment horizontal="left" vertical="top"/>
    </xf>
    <xf numFmtId="0" fontId="21" fillId="0" borderId="0" xfId="2" applyNumberFormat="1" applyFont="1" applyFill="1" applyBorder="1" applyAlignment="1" applyProtection="1">
      <alignment horizontal="left"/>
    </xf>
    <xf numFmtId="0" fontId="2" fillId="0" borderId="30" xfId="0" applyFont="1" applyBorder="1" applyAlignment="1">
      <alignment horizontal="left" vertical="top" wrapText="1"/>
    </xf>
    <xf numFmtId="0" fontId="24" fillId="0" borderId="31" xfId="0" applyFont="1" applyBorder="1"/>
    <xf numFmtId="0" fontId="2" fillId="0" borderId="31" xfId="0" applyFont="1" applyBorder="1" applyAlignment="1">
      <alignment vertical="top" wrapText="1"/>
    </xf>
    <xf numFmtId="0" fontId="38" fillId="0" borderId="2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0" xfId="0" applyFont="1" applyBorder="1" applyAlignment="1">
      <alignment horizontal="left" vertical="top" wrapText="1"/>
    </xf>
    <xf numFmtId="0" fontId="41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center" wrapText="1"/>
    </xf>
    <xf numFmtId="0" fontId="0" fillId="0" borderId="5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center" wrapText="1" readingOrder="1"/>
      <protection locked="0"/>
    </xf>
    <xf numFmtId="0" fontId="0" fillId="0" borderId="10" xfId="0" applyBorder="1" applyAlignment="1" applyProtection="1">
      <alignment wrapText="1"/>
      <protection locked="0"/>
    </xf>
    <xf numFmtId="0" fontId="42" fillId="0" borderId="19" xfId="0" applyFont="1" applyBorder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0" fontId="43" fillId="0" borderId="21" xfId="0" applyFont="1" applyBorder="1" applyAlignment="1">
      <alignment vertical="center" wrapText="1"/>
    </xf>
    <xf numFmtId="0" fontId="42" fillId="0" borderId="20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3" fontId="0" fillId="0" borderId="18" xfId="0" applyNumberForma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43" fillId="0" borderId="20" xfId="0" applyFont="1" applyBorder="1" applyAlignment="1">
      <alignment vertical="center" wrapText="1"/>
    </xf>
    <xf numFmtId="0" fontId="40" fillId="0" borderId="19" xfId="0" applyFont="1" applyBorder="1" applyAlignment="1">
      <alignment vertical="center" wrapText="1"/>
    </xf>
    <xf numFmtId="0" fontId="40" fillId="0" borderId="21" xfId="0" applyFont="1" applyBorder="1" applyAlignment="1">
      <alignment vertical="center" wrapText="1"/>
    </xf>
    <xf numFmtId="0" fontId="44" fillId="0" borderId="21" xfId="0" applyFont="1" applyBorder="1" applyAlignment="1">
      <alignment vertical="center" wrapText="1"/>
    </xf>
    <xf numFmtId="0" fontId="40" fillId="0" borderId="20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44" fillId="0" borderId="20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top" wrapText="1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4" fillId="0" borderId="15" xfId="0" applyFont="1" applyBorder="1"/>
    <xf numFmtId="0" fontId="14" fillId="0" borderId="16" xfId="0" applyFont="1" applyBorder="1"/>
    <xf numFmtId="0" fontId="2" fillId="0" borderId="17" xfId="0" applyFont="1" applyBorder="1"/>
    <xf numFmtId="0" fontId="2" fillId="0" borderId="26" xfId="0" applyFont="1" applyBorder="1"/>
    <xf numFmtId="0" fontId="2" fillId="0" borderId="18" xfId="0" applyFont="1" applyBorder="1"/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center" wrapText="1" readingOrder="1"/>
      <protection locked="0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68" fontId="26" fillId="0" borderId="6" xfId="3" applyNumberFormat="1" applyFont="1" applyFill="1" applyBorder="1" applyAlignment="1" applyProtection="1">
      <alignment horizontal="center"/>
      <protection locked="0"/>
    </xf>
    <xf numFmtId="168" fontId="26" fillId="0" borderId="7" xfId="3" applyNumberFormat="1" applyFont="1" applyFill="1" applyBorder="1" applyAlignment="1" applyProtection="1">
      <alignment horizontal="center"/>
      <protection locked="0"/>
    </xf>
    <xf numFmtId="168" fontId="26" fillId="0" borderId="1" xfId="3" applyNumberFormat="1" applyFont="1" applyFill="1" applyBorder="1" applyAlignment="1" applyProtection="1">
      <alignment horizontal="center"/>
      <protection locked="0"/>
    </xf>
    <xf numFmtId="168" fontId="26" fillId="0" borderId="9" xfId="3" applyNumberFormat="1" applyFont="1" applyFill="1" applyBorder="1" applyAlignment="1" applyProtection="1">
      <alignment horizontal="center"/>
      <protection locked="0"/>
    </xf>
    <xf numFmtId="168" fontId="26" fillId="0" borderId="11" xfId="3" applyNumberFormat="1" applyFont="1" applyFill="1" applyBorder="1" applyAlignment="1" applyProtection="1">
      <alignment horizontal="center"/>
      <protection locked="0"/>
    </xf>
    <xf numFmtId="168" fontId="26" fillId="0" borderId="12" xfId="3" applyNumberFormat="1" applyFont="1" applyFill="1" applyBorder="1" applyAlignment="1" applyProtection="1">
      <alignment horizontal="center"/>
      <protection locked="0"/>
    </xf>
    <xf numFmtId="0" fontId="45" fillId="5" borderId="6" xfId="0" applyFont="1" applyFill="1" applyBorder="1" applyAlignment="1" applyProtection="1">
      <alignment horizontal="center" vertical="center" wrapText="1"/>
      <protection locked="0"/>
    </xf>
    <xf numFmtId="0" fontId="45" fillId="5" borderId="1" xfId="0" applyFont="1" applyFill="1" applyBorder="1" applyAlignment="1" applyProtection="1">
      <alignment horizontal="center" vertical="center" wrapText="1"/>
      <protection locked="0"/>
    </xf>
    <xf numFmtId="0" fontId="45" fillId="5" borderId="11" xfId="0" applyFont="1" applyFill="1" applyBorder="1" applyAlignment="1" applyProtection="1">
      <alignment horizontal="center" vertical="center" wrapText="1"/>
      <protection locked="0"/>
    </xf>
    <xf numFmtId="14" fontId="40" fillId="0" borderId="0" xfId="0" applyNumberFormat="1" applyFont="1" applyAlignment="1">
      <alignment horizontal="left"/>
    </xf>
    <xf numFmtId="0" fontId="2" fillId="0" borderId="0" xfId="0" applyFont="1" applyProtection="1">
      <protection locked="0"/>
    </xf>
    <xf numFmtId="14" fontId="40" fillId="0" borderId="0" xfId="0" applyNumberFormat="1" applyFont="1" applyAlignment="1" applyProtection="1">
      <alignment horizontal="left"/>
      <protection locked="0"/>
    </xf>
    <xf numFmtId="0" fontId="4" fillId="0" borderId="6" xfId="0" applyFont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 vertical="center" wrapText="1"/>
    </xf>
    <xf numFmtId="0" fontId="0" fillId="0" borderId="0" xfId="0" applyAlignment="1" applyProtection="1">
      <alignment horizontal="right"/>
      <protection locked="0"/>
    </xf>
    <xf numFmtId="0" fontId="0" fillId="0" borderId="23" xfId="0" applyBorder="1" applyAlignment="1" applyProtection="1">
      <alignment horizontal="left" vertical="top" wrapText="1"/>
      <protection locked="0"/>
    </xf>
    <xf numFmtId="0" fontId="0" fillId="0" borderId="22" xfId="0" applyBorder="1" applyAlignment="1" applyProtection="1">
      <alignment horizontal="left" vertical="top" wrapText="1"/>
      <protection locked="0"/>
    </xf>
    <xf numFmtId="0" fontId="0" fillId="0" borderId="21" xfId="0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 vertical="top" wrapText="1"/>
    </xf>
    <xf numFmtId="0" fontId="0" fillId="0" borderId="0" xfId="0" applyAlignment="1" applyProtection="1">
      <alignment horizontal="left"/>
      <protection locked="0"/>
    </xf>
    <xf numFmtId="0" fontId="0" fillId="0" borderId="23" xfId="0" applyBorder="1" applyAlignment="1" applyProtection="1">
      <alignment horizontal="left" vertical="top" wrapText="1"/>
      <protection locked="0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38" fillId="0" borderId="0" xfId="0" applyFont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6" fillId="0" borderId="25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71" fontId="0" fillId="0" borderId="35" xfId="0" applyNumberFormat="1" applyBorder="1" applyAlignment="1">
      <alignment horizontal="center" vertical="center"/>
    </xf>
    <xf numFmtId="171" fontId="0" fillId="0" borderId="36" xfId="0" applyNumberFormat="1" applyBorder="1" applyAlignment="1">
      <alignment horizontal="center" vertical="center"/>
    </xf>
    <xf numFmtId="171" fontId="0" fillId="0" borderId="40" xfId="0" applyNumberFormat="1" applyBorder="1" applyAlignment="1">
      <alignment horizontal="center" vertical="center"/>
    </xf>
    <xf numFmtId="171" fontId="0" fillId="0" borderId="39" xfId="0" applyNumberFormat="1" applyBorder="1" applyAlignment="1">
      <alignment horizontal="center" vertical="center"/>
    </xf>
    <xf numFmtId="170" fontId="1" fillId="0" borderId="35" xfId="0" applyNumberFormat="1" applyFont="1" applyBorder="1" applyAlignment="1">
      <alignment horizontal="center" vertical="center"/>
    </xf>
    <xf numFmtId="170" fontId="1" fillId="0" borderId="36" xfId="0" applyNumberFormat="1" applyFont="1" applyBorder="1" applyAlignment="1">
      <alignment horizontal="center" vertical="center"/>
    </xf>
    <xf numFmtId="170" fontId="1" fillId="0" borderId="40" xfId="0" applyNumberFormat="1" applyFont="1" applyBorder="1" applyAlignment="1">
      <alignment horizontal="center" vertical="center"/>
    </xf>
    <xf numFmtId="170" fontId="1" fillId="0" borderId="39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41" xfId="0" applyFont="1" applyBorder="1" applyAlignment="1">
      <alignment horizontal="center" vertical="top" wrapText="1"/>
    </xf>
    <xf numFmtId="0" fontId="2" fillId="0" borderId="4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45" fillId="5" borderId="8" xfId="0" applyFont="1" applyFill="1" applyBorder="1" applyAlignment="1" applyProtection="1">
      <alignment horizontal="center" vertical="center" wrapText="1"/>
      <protection locked="0"/>
    </xf>
    <xf numFmtId="0" fontId="45" fillId="5" borderId="10" xfId="0" applyFont="1" applyFill="1" applyBorder="1" applyAlignment="1" applyProtection="1">
      <alignment horizontal="center" vertical="center" wrapText="1"/>
      <protection locked="0"/>
    </xf>
    <xf numFmtId="0" fontId="2" fillId="0" borderId="27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45" fillId="5" borderId="5" xfId="0" applyFont="1" applyFill="1" applyBorder="1" applyAlignment="1" applyProtection="1">
      <alignment horizontal="center" vertical="center" wrapText="1"/>
      <protection locked="0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5" fillId="0" borderId="19" xfId="0" applyFont="1" applyBorder="1" applyAlignment="1">
      <alignment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</cellXfs>
  <cellStyles count="4">
    <cellStyle name="Обычный" xfId="0" builtinId="0"/>
    <cellStyle name="Обычный_Лист1" xfId="1" xr:uid="{00000000-0005-0000-0000-000001000000}"/>
    <cellStyle name="Обычный_Отбор эталон" xfId="3" xr:uid="{00000000-0005-0000-0000-000002000000}"/>
    <cellStyle name="Обычный_ОтборПроб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Вклады в сумм. неопределенность, абс</a:t>
            </a:r>
          </a:p>
        </c:rich>
      </c:tx>
      <c:layout>
        <c:manualLayout>
          <c:xMode val="edge"/>
          <c:yMode val="edge"/>
          <c:x val="0.2320415573053368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Крагтен!$B$51:$B$57</c:f>
              <c:strCache>
                <c:ptCount val="7"/>
                <c:pt idx="0">
                  <c:v>Q</c:v>
                </c:pt>
                <c:pt idx="1">
                  <c:v>V</c:v>
                </c:pt>
                <c:pt idx="2">
                  <c:v>Fas</c:v>
                </c:pt>
                <c:pt idx="3">
                  <c:v>Fpovt</c:v>
                </c:pt>
                <c:pt idx="4">
                  <c:v>Frab r</c:v>
                </c:pt>
                <c:pt idx="5">
                  <c:v>Fмви</c:v>
                </c:pt>
                <c:pt idx="6">
                  <c:v>Y</c:v>
                </c:pt>
              </c:strCache>
            </c:strRef>
          </c:cat>
          <c:val>
            <c:numRef>
              <c:f>Крагтен!$C$51:$C$57</c:f>
              <c:numCache>
                <c:formatCode>General</c:formatCode>
                <c:ptCount val="7"/>
                <c:pt idx="0">
                  <c:v>0.38551714073201993</c:v>
                </c:pt>
                <c:pt idx="1">
                  <c:v>1.2760631062917582E-2</c:v>
                </c:pt>
                <c:pt idx="2">
                  <c:v>9.798553621313566E-2</c:v>
                </c:pt>
                <c:pt idx="3">
                  <c:v>0.80007555211848747</c:v>
                </c:pt>
                <c:pt idx="4">
                  <c:v>0.10950681145113705</c:v>
                </c:pt>
                <c:pt idx="5">
                  <c:v>0.98295399802566408</c:v>
                </c:pt>
                <c:pt idx="6">
                  <c:v>1.3329286019501669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0-4264-8164-201AE8EEA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6126648"/>
        <c:axId val="686122384"/>
        <c:axId val="0"/>
      </c:bar3DChart>
      <c:catAx>
        <c:axId val="686126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122384"/>
        <c:crosses val="autoZero"/>
        <c:auto val="1"/>
        <c:lblAlgn val="ctr"/>
        <c:lblOffset val="100"/>
        <c:noMultiLvlLbl val="0"/>
      </c:catAx>
      <c:valAx>
        <c:axId val="6861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12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Вклады</a:t>
            </a:r>
            <a:r>
              <a:rPr lang="ru-RU" sz="1400" baseline="0"/>
              <a:t> в сумм. неопределенность, %</a:t>
            </a:r>
            <a:endParaRPr lang="ru-RU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D5-4654-87FC-991837AEE5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D5-4654-87FC-991837AEE5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D5-4654-87FC-991837AEE5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D5-4654-87FC-991837AEE5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ED5-4654-87FC-991837AEE5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26B-4EF0-B5A4-36F70E9D40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Крагтен!$C$5:$C$10</c:f>
              <c:strCache>
                <c:ptCount val="6"/>
                <c:pt idx="0">
                  <c:v>Q</c:v>
                </c:pt>
                <c:pt idx="1">
                  <c:v>V</c:v>
                </c:pt>
                <c:pt idx="2">
                  <c:v>Fas</c:v>
                </c:pt>
                <c:pt idx="3">
                  <c:v>Fpovt</c:v>
                </c:pt>
                <c:pt idx="4">
                  <c:v>Frab r</c:v>
                </c:pt>
                <c:pt idx="5">
                  <c:v>Fмви</c:v>
                </c:pt>
              </c:strCache>
            </c:strRef>
          </c:cat>
          <c:val>
            <c:numRef>
              <c:f>Крагтен!$I$5:$I$10</c:f>
              <c:numCache>
                <c:formatCode>0.00</c:formatCode>
                <c:ptCount val="6"/>
                <c:pt idx="0">
                  <c:v>8.3651476370295459</c:v>
                </c:pt>
                <c:pt idx="1">
                  <c:v>9.1649590885970553E-3</c:v>
                </c:pt>
                <c:pt idx="2">
                  <c:v>0.54039357008020339</c:v>
                </c:pt>
                <c:pt idx="3">
                  <c:v>36.028669591918757</c:v>
                </c:pt>
                <c:pt idx="4">
                  <c:v>0.67494516872040367</c:v>
                </c:pt>
                <c:pt idx="5">
                  <c:v>54.381679073162481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5-4654-87FC-991837AEE5E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Вклады в сумм. неопределенность, абс</a:t>
            </a:r>
          </a:p>
        </c:rich>
      </c:tx>
      <c:layout>
        <c:manualLayout>
          <c:xMode val="edge"/>
          <c:yMode val="edge"/>
          <c:x val="0.2320415573053368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'Крагтен АС'!$B$51:$B$57</c:f>
              <c:strCache>
                <c:ptCount val="7"/>
                <c:pt idx="0">
                  <c:v>С1</c:v>
                </c:pt>
                <c:pt idx="1">
                  <c:v>Vp1</c:v>
                </c:pt>
                <c:pt idx="2">
                  <c:v>Vp2</c:v>
                </c:pt>
                <c:pt idx="3">
                  <c:v>Vk1</c:v>
                </c:pt>
                <c:pt idx="4">
                  <c:v>Vk2</c:v>
                </c:pt>
                <c:pt idx="5">
                  <c:v>Tr</c:v>
                </c:pt>
                <c:pt idx="6">
                  <c:v>Y</c:v>
                </c:pt>
              </c:strCache>
            </c:strRef>
          </c:cat>
          <c:val>
            <c:numRef>
              <c:f>'Крагтен АС'!$C$51:$C$57</c:f>
              <c:numCache>
                <c:formatCode>General</c:formatCode>
                <c:ptCount val="7"/>
                <c:pt idx="0">
                  <c:v>1.0204081632652628E-3</c:v>
                </c:pt>
                <c:pt idx="1">
                  <c:v>4.8989794855663904E-4</c:v>
                </c:pt>
                <c:pt idx="2">
                  <c:v>8.1649658092769473E-4</c:v>
                </c:pt>
                <c:pt idx="3">
                  <c:v>1.9576736735932299E-4</c:v>
                </c:pt>
                <c:pt idx="4">
                  <c:v>1.9576736735932299E-4</c:v>
                </c:pt>
                <c:pt idx="5">
                  <c:v>4.8497422611928909E-4</c:v>
                </c:pt>
                <c:pt idx="6">
                  <c:v>1.503246224199685E-3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A-44D5-A556-ABEFC75D9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6126648"/>
        <c:axId val="686122384"/>
        <c:axId val="0"/>
      </c:bar3DChart>
      <c:catAx>
        <c:axId val="686126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122384"/>
        <c:crosses val="autoZero"/>
        <c:auto val="1"/>
        <c:lblAlgn val="ctr"/>
        <c:lblOffset val="100"/>
        <c:noMultiLvlLbl val="0"/>
      </c:catAx>
      <c:valAx>
        <c:axId val="6861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12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Вклады</a:t>
            </a:r>
            <a:r>
              <a:rPr lang="ru-RU" sz="1400" baseline="0"/>
              <a:t> в сумм. неопределенность, %</a:t>
            </a:r>
            <a:endParaRPr lang="ru-RU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846-43DE-85B6-AEE99F447D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846-43DE-85B6-AEE99F447D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846-43DE-85B6-AEE99F447D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846-43DE-85B6-AEE99F447D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846-43DE-85B6-AEE99F447D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846-43DE-85B6-AEE99F447D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'Крагтен АС'!$C$5:$C$10</c:f>
              <c:strCache>
                <c:ptCount val="6"/>
                <c:pt idx="0">
                  <c:v>С1</c:v>
                </c:pt>
                <c:pt idx="1">
                  <c:v>Vp1</c:v>
                </c:pt>
                <c:pt idx="2">
                  <c:v>Vp2</c:v>
                </c:pt>
                <c:pt idx="3">
                  <c:v>Vk1</c:v>
                </c:pt>
                <c:pt idx="4">
                  <c:v>Vk2</c:v>
                </c:pt>
                <c:pt idx="5">
                  <c:v>Tr</c:v>
                </c:pt>
              </c:strCache>
            </c:strRef>
          </c:cat>
          <c:val>
            <c:numRef>
              <c:f>'Крагтен АС'!$I$5:$I$10</c:f>
              <c:numCache>
                <c:formatCode>0.00</c:formatCode>
                <c:ptCount val="6"/>
                <c:pt idx="0">
                  <c:v>46.077361805802575</c:v>
                </c:pt>
                <c:pt idx="1">
                  <c:v>10.620647586791319</c:v>
                </c:pt>
                <c:pt idx="2">
                  <c:v>29.501798852195435</c:v>
                </c:pt>
                <c:pt idx="3">
                  <c:v>1.6959785600775892</c:v>
                </c:pt>
                <c:pt idx="4">
                  <c:v>1.6959785600775892</c:v>
                </c:pt>
                <c:pt idx="5">
                  <c:v>10.408234635055495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846-43DE-85B6-AEE99F447DD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</a:t>
            </a:r>
            <a:r>
              <a:rPr lang="ru-RU"/>
              <a:t>СКО</a:t>
            </a:r>
            <a:r>
              <a:rPr lang="en-US"/>
              <a:t> </a:t>
            </a:r>
            <a:r>
              <a:rPr lang="ru-RU"/>
              <a:t>(</a:t>
            </a:r>
            <a:r>
              <a:rPr lang="en-US"/>
              <a:t>Sy</a:t>
            </a:r>
            <a:r>
              <a:rPr lang="ru-RU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'Град граф'!$C$9:$L$9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'Град граф'!$C$16:$L$16</c:f>
              <c:numCache>
                <c:formatCode>General</c:formatCode>
                <c:ptCount val="10"/>
                <c:pt idx="0">
                  <c:v>7.7781745930520204E-3</c:v>
                </c:pt>
                <c:pt idx="1">
                  <c:v>5.069516742254635E-3</c:v>
                </c:pt>
                <c:pt idx="2">
                  <c:v>1.0188228501560032E-2</c:v>
                </c:pt>
                <c:pt idx="3">
                  <c:v>1.0862780491200225E-2</c:v>
                </c:pt>
                <c:pt idx="4">
                  <c:v>1.0261578825892251E-2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96-443D-A299-135945F34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215584"/>
        <c:axId val="659216240"/>
      </c:scatterChart>
      <c:valAx>
        <c:axId val="65921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216240"/>
        <c:crosses val="autoZero"/>
        <c:crossBetween val="midCat"/>
      </c:valAx>
      <c:valAx>
        <c:axId val="65921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21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остатков </a:t>
            </a:r>
            <a:endParaRPr lang="ru-RU"/>
          </a:p>
        </c:rich>
      </c:tx>
      <c:layout>
        <c:manualLayout>
          <c:xMode val="edge"/>
          <c:yMode val="edge"/>
          <c:x val="0.38308475986897605"/>
          <c:y val="3.2307154833523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'Град граф'!$R$20:$R$80</c:f>
              <c:numCache>
                <c:formatCode>General</c:formatCode>
                <c:ptCount val="6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'Град граф'!$U$20:$U$80</c:f>
              <c:numCache>
                <c:formatCode>General</c:formatCode>
                <c:ptCount val="61"/>
                <c:pt idx="0">
                  <c:v>1.5079999999999968E-2</c:v>
                </c:pt>
                <c:pt idx="1">
                  <c:v>4.0799999999999725E-3</c:v>
                </c:pt>
                <c:pt idx="2">
                  <c:v>-5.9200000000000225E-3</c:v>
                </c:pt>
                <c:pt idx="3">
                  <c:v>9.079999999999977E-3</c:v>
                </c:pt>
                <c:pt idx="4">
                  <c:v>3.0799999999999716E-3</c:v>
                </c:pt>
                <c:pt idx="5">
                  <c:v>3.9999999999956737E-5</c:v>
                </c:pt>
                <c:pt idx="6">
                  <c:v>3.0399999999999594E-3</c:v>
                </c:pt>
                <c:pt idx="7">
                  <c:v>-5.9600000000000486E-3</c:v>
                </c:pt>
                <c:pt idx="8">
                  <c:v>-9.9600000000000521E-3</c:v>
                </c:pt>
                <c:pt idx="9">
                  <c:v>-2.9600000000000459E-3</c:v>
                </c:pt>
                <c:pt idx="10">
                  <c:v>-1.6000000000000042E-2</c:v>
                </c:pt>
                <c:pt idx="11">
                  <c:v>-3.0000000000000304E-3</c:v>
                </c:pt>
                <c:pt idx="12">
                  <c:v>-4.0000000000000313E-3</c:v>
                </c:pt>
                <c:pt idx="13">
                  <c:v>-2.4000000000000049E-2</c:v>
                </c:pt>
                <c:pt idx="14">
                  <c:v>-2.7755575615628914E-17</c:v>
                </c:pt>
                <c:pt idx="15">
                  <c:v>2.0959999999999923E-2</c:v>
                </c:pt>
                <c:pt idx="16">
                  <c:v>1.695999999999992E-2</c:v>
                </c:pt>
                <c:pt idx="17">
                  <c:v>5.9599999999999098E-3</c:v>
                </c:pt>
                <c:pt idx="18">
                  <c:v>9.5999999999990537E-4</c:v>
                </c:pt>
                <c:pt idx="19">
                  <c:v>-5.0400000000001E-3</c:v>
                </c:pt>
                <c:pt idx="20">
                  <c:v>-4.0800000000000836E-3</c:v>
                </c:pt>
                <c:pt idx="21">
                  <c:v>6.9199999999999262E-3</c:v>
                </c:pt>
                <c:pt idx="22">
                  <c:v>-1.6080000000000094E-2</c:v>
                </c:pt>
                <c:pt idx="23">
                  <c:v>9.1999999999992088E-4</c:v>
                </c:pt>
                <c:pt idx="24">
                  <c:v>9.9199999999999289E-3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5-41D1-929E-BB5F78192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06304"/>
        <c:axId val="748901056"/>
      </c:scatterChart>
      <c:valAx>
        <c:axId val="7489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901056"/>
        <c:crosses val="autoZero"/>
        <c:crossBetween val="midCat"/>
      </c:valAx>
      <c:valAx>
        <c:axId val="7489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90630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Градуировочный</a:t>
            </a:r>
            <a:r>
              <a:rPr lang="ru-RU" baseline="0"/>
              <a:t> график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'Град граф'!$R$20:$R$80</c:f>
              <c:numCache>
                <c:formatCode>General</c:formatCode>
                <c:ptCount val="6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'Град граф'!$S$20:$S$80</c:f>
              <c:numCache>
                <c:formatCode>General</c:formatCode>
                <c:ptCount val="61"/>
                <c:pt idx="0">
                  <c:v>8.5999999999999993E-2</c:v>
                </c:pt>
                <c:pt idx="1">
                  <c:v>7.4999999999999997E-2</c:v>
                </c:pt>
                <c:pt idx="2">
                  <c:v>6.5000000000000002E-2</c:v>
                </c:pt>
                <c:pt idx="3">
                  <c:v>0.08</c:v>
                </c:pt>
                <c:pt idx="4">
                  <c:v>7.3999999999999996E-2</c:v>
                </c:pt>
                <c:pt idx="5">
                  <c:v>0.152</c:v>
                </c:pt>
                <c:pt idx="6">
                  <c:v>0.155</c:v>
                </c:pt>
                <c:pt idx="7">
                  <c:v>0.14599999999999999</c:v>
                </c:pt>
                <c:pt idx="8">
                  <c:v>0.14199999999999999</c:v>
                </c:pt>
                <c:pt idx="9">
                  <c:v>0.14899999999999999</c:v>
                </c:pt>
                <c:pt idx="10">
                  <c:v>0.217</c:v>
                </c:pt>
                <c:pt idx="11">
                  <c:v>0.23</c:v>
                </c:pt>
                <c:pt idx="12">
                  <c:v>0.22900000000000001</c:v>
                </c:pt>
                <c:pt idx="13">
                  <c:v>0.20899999999999999</c:v>
                </c:pt>
                <c:pt idx="14">
                  <c:v>0.23300000000000001</c:v>
                </c:pt>
                <c:pt idx="15">
                  <c:v>0.33500000000000002</c:v>
                </c:pt>
                <c:pt idx="16">
                  <c:v>0.33100000000000002</c:v>
                </c:pt>
                <c:pt idx="17">
                  <c:v>0.32</c:v>
                </c:pt>
                <c:pt idx="18">
                  <c:v>0.315</c:v>
                </c:pt>
                <c:pt idx="19">
                  <c:v>0.309</c:v>
                </c:pt>
                <c:pt idx="20">
                  <c:v>0.39100000000000001</c:v>
                </c:pt>
                <c:pt idx="21">
                  <c:v>0.40200000000000002</c:v>
                </c:pt>
                <c:pt idx="22">
                  <c:v>0.379</c:v>
                </c:pt>
                <c:pt idx="23">
                  <c:v>0.39600000000000002</c:v>
                </c:pt>
                <c:pt idx="24">
                  <c:v>0.40500000000000003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9-4338-9678-864DEF3E9F5C}"/>
            </c:ext>
          </c:extLst>
        </c:ser>
        <c:ser>
          <c:idx val="1"/>
          <c:order val="1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'Град граф'!$R$20:$R$80</c:f>
              <c:numCache>
                <c:formatCode>General</c:formatCode>
                <c:ptCount val="6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'Град граф'!$T$20:$T$80</c:f>
              <c:numCache>
                <c:formatCode>General</c:formatCode>
                <c:ptCount val="61"/>
                <c:pt idx="0">
                  <c:v>7.0920000000000025E-2</c:v>
                </c:pt>
                <c:pt idx="1">
                  <c:v>7.0920000000000025E-2</c:v>
                </c:pt>
                <c:pt idx="2">
                  <c:v>7.0920000000000025E-2</c:v>
                </c:pt>
                <c:pt idx="3">
                  <c:v>7.0920000000000025E-2</c:v>
                </c:pt>
                <c:pt idx="4">
                  <c:v>7.0920000000000025E-2</c:v>
                </c:pt>
                <c:pt idx="5">
                  <c:v>0.15196000000000004</c:v>
                </c:pt>
                <c:pt idx="6">
                  <c:v>0.15196000000000004</c:v>
                </c:pt>
                <c:pt idx="7">
                  <c:v>0.15196000000000004</c:v>
                </c:pt>
                <c:pt idx="8">
                  <c:v>0.15196000000000004</c:v>
                </c:pt>
                <c:pt idx="9">
                  <c:v>0.15196000000000004</c:v>
                </c:pt>
                <c:pt idx="10">
                  <c:v>0.23300000000000004</c:v>
                </c:pt>
                <c:pt idx="11">
                  <c:v>0.23300000000000004</c:v>
                </c:pt>
                <c:pt idx="12">
                  <c:v>0.23300000000000004</c:v>
                </c:pt>
                <c:pt idx="13">
                  <c:v>0.23300000000000004</c:v>
                </c:pt>
                <c:pt idx="14">
                  <c:v>0.23300000000000004</c:v>
                </c:pt>
                <c:pt idx="15">
                  <c:v>0.3140400000000001</c:v>
                </c:pt>
                <c:pt idx="16">
                  <c:v>0.3140400000000001</c:v>
                </c:pt>
                <c:pt idx="17">
                  <c:v>0.3140400000000001</c:v>
                </c:pt>
                <c:pt idx="18">
                  <c:v>0.3140400000000001</c:v>
                </c:pt>
                <c:pt idx="19">
                  <c:v>0.3140400000000001</c:v>
                </c:pt>
                <c:pt idx="20">
                  <c:v>0.3950800000000001</c:v>
                </c:pt>
                <c:pt idx="21">
                  <c:v>0.3950800000000001</c:v>
                </c:pt>
                <c:pt idx="22">
                  <c:v>0.3950800000000001</c:v>
                </c:pt>
                <c:pt idx="23">
                  <c:v>0.3950800000000001</c:v>
                </c:pt>
                <c:pt idx="24">
                  <c:v>0.3950800000000001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D9-4338-9678-864DEF3E9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579680"/>
        <c:axId val="843580008"/>
      </c:scatterChart>
      <c:valAx>
        <c:axId val="84357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3580008"/>
        <c:crosses val="autoZero"/>
        <c:crossBetween val="midCat"/>
      </c:valAx>
      <c:valAx>
        <c:axId val="84358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357968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остатков ВЗВ</a:t>
            </a:r>
          </a:p>
        </c:rich>
      </c:tx>
      <c:layout>
        <c:manualLayout>
          <c:xMode val="edge"/>
          <c:yMode val="edge"/>
          <c:x val="0.35588150091879345"/>
          <c:y val="2.4337241344948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'Град граф'!$X$20:$X$80</c:f>
              <c:numCache>
                <c:formatCode>General</c:formatCode>
                <c:ptCount val="6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1.6666666666666667</c:v>
                </c:pt>
                <c:pt idx="11">
                  <c:v>1.6666666666666667</c:v>
                </c:pt>
                <c:pt idx="12">
                  <c:v>1.6666666666666667</c:v>
                </c:pt>
                <c:pt idx="13">
                  <c:v>1.6666666666666667</c:v>
                </c:pt>
                <c:pt idx="14">
                  <c:v>1.6666666666666667</c:v>
                </c:pt>
                <c:pt idx="15">
                  <c:v>1.25</c:v>
                </c:pt>
                <c:pt idx="16">
                  <c:v>1.25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'Град граф'!$AA$20:$AA$80</c:f>
              <c:numCache>
                <c:formatCode>General</c:formatCode>
                <c:ptCount val="61"/>
                <c:pt idx="0">
                  <c:v>7.5399999999999801E-2</c:v>
                </c:pt>
                <c:pt idx="1">
                  <c:v>2.0399999999999807E-2</c:v>
                </c:pt>
                <c:pt idx="2">
                  <c:v>-2.9600000000000126E-2</c:v>
                </c:pt>
                <c:pt idx="3">
                  <c:v>4.5399999999999829E-2</c:v>
                </c:pt>
                <c:pt idx="4">
                  <c:v>1.5399999999999803E-2</c:v>
                </c:pt>
                <c:pt idx="5">
                  <c:v>9.9999999999877964E-5</c:v>
                </c:pt>
                <c:pt idx="6">
                  <c:v>7.5999999999998846E-3</c:v>
                </c:pt>
                <c:pt idx="7">
                  <c:v>-1.4900000000000135E-2</c:v>
                </c:pt>
                <c:pt idx="8">
                  <c:v>-2.4900000000000144E-2</c:v>
                </c:pt>
                <c:pt idx="9">
                  <c:v>-7.4000000000001287E-3</c:v>
                </c:pt>
                <c:pt idx="10">
                  <c:v>-2.6666666666666727E-2</c:v>
                </c:pt>
                <c:pt idx="11">
                  <c:v>-5.00000000000006E-3</c:v>
                </c:pt>
                <c:pt idx="12">
                  <c:v>-6.6666666666667096E-3</c:v>
                </c:pt>
                <c:pt idx="13">
                  <c:v>-4.0000000000000091E-2</c:v>
                </c:pt>
                <c:pt idx="14">
                  <c:v>-5.5511151231257827E-17</c:v>
                </c:pt>
                <c:pt idx="15">
                  <c:v>2.6199999999999946E-2</c:v>
                </c:pt>
                <c:pt idx="16">
                  <c:v>2.1199999999999941E-2</c:v>
                </c:pt>
                <c:pt idx="17">
                  <c:v>7.4499999999999011E-3</c:v>
                </c:pt>
                <c:pt idx="18">
                  <c:v>1.1999999999999234E-3</c:v>
                </c:pt>
                <c:pt idx="19">
                  <c:v>-6.3000000000000833E-3</c:v>
                </c:pt>
                <c:pt idx="20">
                  <c:v>-4.0800000000000836E-3</c:v>
                </c:pt>
                <c:pt idx="21">
                  <c:v>6.9199999999999262E-3</c:v>
                </c:pt>
                <c:pt idx="22">
                  <c:v>-1.6080000000000094E-2</c:v>
                </c:pt>
                <c:pt idx="23">
                  <c:v>9.1999999999992088E-4</c:v>
                </c:pt>
                <c:pt idx="24">
                  <c:v>9.9199999999999289E-3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2-48B0-8C90-05C3DE5DD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29112"/>
        <c:axId val="146835344"/>
      </c:scatterChart>
      <c:valAx>
        <c:axId val="14682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835344"/>
        <c:crosses val="autoZero"/>
        <c:crossBetween val="midCat"/>
      </c:valAx>
      <c:valAx>
        <c:axId val="1468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829112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Контрольная</a:t>
            </a:r>
            <a:r>
              <a:rPr lang="ru-RU" baseline="0"/>
              <a:t> карта стабильности ГХ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'Град граф'!$B$77:$B$96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</c:numCache>
            </c:numRef>
          </c:xVal>
          <c:yVal>
            <c:numRef>
              <c:f>'Град граф'!$G$77:$G$96</c:f>
              <c:numCache>
                <c:formatCode>General</c:formatCode>
                <c:ptCount val="20"/>
                <c:pt idx="0">
                  <c:v>3.4748272458045348E-2</c:v>
                </c:pt>
                <c:pt idx="1">
                  <c:v>-3.2082922013820458E-2</c:v>
                </c:pt>
                <c:pt idx="2">
                  <c:v>1.2142152023691954E-2</c:v>
                </c:pt>
                <c:pt idx="3">
                  <c:v>1.9940769990128254E-2</c:v>
                </c:pt>
                <c:pt idx="4">
                  <c:v>-4.442250740375131E-2</c:v>
                </c:pt>
                <c:pt idx="5">
                  <c:v>-7.6011846001975414E-3</c:v>
                </c:pt>
                <c:pt idx="6">
                  <c:v>2.4876604146100628E-2</c:v>
                </c:pt>
                <c:pt idx="7">
                  <c:v>-4.935834155972374E-2</c:v>
                </c:pt>
                <c:pt idx="8">
                  <c:v>-1.7472852912142178E-2</c:v>
                </c:pt>
                <c:pt idx="9">
                  <c:v>4.2152023692003854E-2</c:v>
                </c:pt>
                <c:pt idx="10">
                  <c:v>-1.9743336623889496E-2</c:v>
                </c:pt>
                <c:pt idx="11">
                  <c:v>1.7077986179664384E-2</c:v>
                </c:pt>
                <c:pt idx="12">
                  <c:v>3.2280355380059161E-2</c:v>
                </c:pt>
                <c:pt idx="13">
                  <c:v>-2.9615004935834244E-2</c:v>
                </c:pt>
                <c:pt idx="14">
                  <c:v>9.6742349457057397E-3</c:v>
                </c:pt>
                <c:pt idx="15">
                  <c:v>1.9940769990128254E-2</c:v>
                </c:pt>
                <c:pt idx="16">
                  <c:v>6.4165844027640695E-2</c:v>
                </c:pt>
                <c:pt idx="17">
                  <c:v>4.9160908193484509E-2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9-4537-BA75-DC6DA87E62F4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'Град граф'!$B$77:$B$96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</c:numCache>
            </c:numRef>
          </c:xVal>
          <c:yVal>
            <c:numRef>
              <c:f>'Град граф'!$H$77:$H$96</c:f>
              <c:numCache>
                <c:formatCode>General</c:formatCode>
                <c:ptCount val="20"/>
                <c:pt idx="0">
                  <c:v>5.4204823221106972E-2</c:v>
                </c:pt>
                <c:pt idx="1">
                  <c:v>5.4204823221106972E-2</c:v>
                </c:pt>
                <c:pt idx="2">
                  <c:v>5.4204823221106972E-2</c:v>
                </c:pt>
                <c:pt idx="3">
                  <c:v>5.4204823221106972E-2</c:v>
                </c:pt>
                <c:pt idx="4">
                  <c:v>5.4204823221106972E-2</c:v>
                </c:pt>
                <c:pt idx="5">
                  <c:v>5.4204823221106972E-2</c:v>
                </c:pt>
                <c:pt idx="6">
                  <c:v>5.4204823221106972E-2</c:v>
                </c:pt>
                <c:pt idx="7">
                  <c:v>5.4204823221106972E-2</c:v>
                </c:pt>
                <c:pt idx="8">
                  <c:v>5.4204823221106972E-2</c:v>
                </c:pt>
                <c:pt idx="9">
                  <c:v>5.4204823221106972E-2</c:v>
                </c:pt>
                <c:pt idx="10">
                  <c:v>5.4204823221106972E-2</c:v>
                </c:pt>
                <c:pt idx="11">
                  <c:v>5.4204823221106972E-2</c:v>
                </c:pt>
                <c:pt idx="12">
                  <c:v>5.4204823221106972E-2</c:v>
                </c:pt>
                <c:pt idx="13">
                  <c:v>5.4204823221106972E-2</c:v>
                </c:pt>
                <c:pt idx="14">
                  <c:v>5.4204823221106972E-2</c:v>
                </c:pt>
                <c:pt idx="15">
                  <c:v>5.4204823221106972E-2</c:v>
                </c:pt>
                <c:pt idx="16">
                  <c:v>5.4204823221106972E-2</c:v>
                </c:pt>
                <c:pt idx="17">
                  <c:v>5.4204823221106972E-2</c:v>
                </c:pt>
                <c:pt idx="18">
                  <c:v>5.4204823221106972E-2</c:v>
                </c:pt>
                <c:pt idx="19">
                  <c:v>5.4204823221106972E-2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69-4537-BA75-DC6DA87E62F4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'Град граф'!$B$77:$B$96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</c:numCache>
            </c:numRef>
          </c:xVal>
          <c:yVal>
            <c:numRef>
              <c:f>'Град граф'!$I$77:$I$96</c:f>
              <c:numCache>
                <c:formatCode>General</c:formatCode>
                <c:ptCount val="20"/>
                <c:pt idx="0">
                  <c:v>-5.4204823221106972E-2</c:v>
                </c:pt>
                <c:pt idx="1">
                  <c:v>-5.4204823221106972E-2</c:v>
                </c:pt>
                <c:pt idx="2">
                  <c:v>-5.4204823221106972E-2</c:v>
                </c:pt>
                <c:pt idx="3">
                  <c:v>-5.4204823221106972E-2</c:v>
                </c:pt>
                <c:pt idx="4">
                  <c:v>-5.4204823221106972E-2</c:v>
                </c:pt>
                <c:pt idx="5">
                  <c:v>-5.4204823221106972E-2</c:v>
                </c:pt>
                <c:pt idx="6">
                  <c:v>-5.4204823221106972E-2</c:v>
                </c:pt>
                <c:pt idx="7">
                  <c:v>-5.4204823221106972E-2</c:v>
                </c:pt>
                <c:pt idx="8">
                  <c:v>-5.4204823221106972E-2</c:v>
                </c:pt>
                <c:pt idx="9">
                  <c:v>-5.4204823221106972E-2</c:v>
                </c:pt>
                <c:pt idx="10">
                  <c:v>-5.4204823221106972E-2</c:v>
                </c:pt>
                <c:pt idx="11">
                  <c:v>-5.4204823221106972E-2</c:v>
                </c:pt>
                <c:pt idx="12">
                  <c:v>-5.4204823221106972E-2</c:v>
                </c:pt>
                <c:pt idx="13">
                  <c:v>-5.4204823221106972E-2</c:v>
                </c:pt>
                <c:pt idx="14">
                  <c:v>-5.4204823221106972E-2</c:v>
                </c:pt>
                <c:pt idx="15">
                  <c:v>-5.4204823221106972E-2</c:v>
                </c:pt>
                <c:pt idx="16">
                  <c:v>-5.4204823221106972E-2</c:v>
                </c:pt>
                <c:pt idx="17">
                  <c:v>-5.4204823221106972E-2</c:v>
                </c:pt>
                <c:pt idx="18">
                  <c:v>-5.4204823221106972E-2</c:v>
                </c:pt>
                <c:pt idx="19">
                  <c:v>-5.4204823221106972E-2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69-4537-BA75-DC6DA87E6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302952"/>
        <c:axId val="1020305576"/>
      </c:scatterChart>
      <c:valAx>
        <c:axId val="102030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0305576"/>
        <c:crosses val="autoZero"/>
        <c:crossBetween val="midCat"/>
        <c:majorUnit val="1"/>
        <c:minorUnit val="1"/>
      </c:valAx>
      <c:valAx>
        <c:axId val="102030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030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304800</xdr:colOff>
          <xdr:row>1</xdr:row>
          <xdr:rowOff>57150</xdr:rowOff>
        </xdr:from>
        <xdr:to>
          <xdr:col>7</xdr:col>
          <xdr:colOff>295275</xdr:colOff>
          <xdr:row>2</xdr:row>
          <xdr:rowOff>123825</xdr:rowOff>
        </xdr:to>
        <xdr:sp macro="" textlink="">
          <xdr:nvSpPr>
            <xdr:cNvPr id="166913" name="Rasc" hidden="1">
              <a:extLst>
                <a:ext uri="{63B3BB69-23CF-44E3-9099-C40C66FF867C}">
                  <a14:compatExt spid="_x0000_s166913"/>
                </a:ext>
                <a:ext uri="{FF2B5EF4-FFF2-40B4-BE49-F238E27FC236}">
                  <a16:creationId xmlns:a16="http://schemas.microsoft.com/office/drawing/2014/main" id="{00000000-0008-0000-0000-0000018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Расчет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685800</xdr:colOff>
          <xdr:row>1</xdr:row>
          <xdr:rowOff>57150</xdr:rowOff>
        </xdr:from>
        <xdr:to>
          <xdr:col>9</xdr:col>
          <xdr:colOff>47625</xdr:colOff>
          <xdr:row>2</xdr:row>
          <xdr:rowOff>123825</xdr:rowOff>
        </xdr:to>
        <xdr:sp macro="" textlink="">
          <xdr:nvSpPr>
            <xdr:cNvPr id="166914" name="ClearBut" hidden="1">
              <a:extLst>
                <a:ext uri="{63B3BB69-23CF-44E3-9099-C40C66FF867C}">
                  <a14:compatExt spid="_x0000_s166914"/>
                </a:ext>
                <a:ext uri="{FF2B5EF4-FFF2-40B4-BE49-F238E27FC236}">
                  <a16:creationId xmlns:a16="http://schemas.microsoft.com/office/drawing/2014/main" id="{00000000-0008-0000-0000-0000028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Очистить таб.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4762</xdr:colOff>
      <xdr:row>48</xdr:row>
      <xdr:rowOff>147636</xdr:rowOff>
    </xdr:from>
    <xdr:to>
      <xdr:col>5</xdr:col>
      <xdr:colOff>600075</xdr:colOff>
      <xdr:row>64</xdr:row>
      <xdr:rowOff>171449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76201</xdr:colOff>
      <xdr:row>48</xdr:row>
      <xdr:rowOff>190499</xdr:rowOff>
    </xdr:from>
    <xdr:to>
      <xdr:col>11</xdr:col>
      <xdr:colOff>28576</xdr:colOff>
      <xdr:row>64</xdr:row>
      <xdr:rowOff>142874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1</xdr:row>
          <xdr:rowOff>57150</xdr:rowOff>
        </xdr:from>
        <xdr:to>
          <xdr:col>10</xdr:col>
          <xdr:colOff>571500</xdr:colOff>
          <xdr:row>2</xdr:row>
          <xdr:rowOff>114300</xdr:rowOff>
        </xdr:to>
        <xdr:sp macro="" textlink="">
          <xdr:nvSpPr>
            <xdr:cNvPr id="166915" name="Button 3" hidden="1">
              <a:extLst>
                <a:ext uri="{63B3BB69-23CF-44E3-9099-C40C66FF867C}">
                  <a14:compatExt spid="_x0000_s166915"/>
                </a:ext>
                <a:ext uri="{FF2B5EF4-FFF2-40B4-BE49-F238E27FC236}">
                  <a16:creationId xmlns:a16="http://schemas.microsoft.com/office/drawing/2014/main" id="{00000000-0008-0000-0000-0000038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О программе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85725</xdr:colOff>
      <xdr:row>66</xdr:row>
      <xdr:rowOff>95251</xdr:rowOff>
    </xdr:from>
    <xdr:to>
      <xdr:col>8</xdr:col>
      <xdr:colOff>28575</xdr:colOff>
      <xdr:row>69</xdr:row>
      <xdr:rowOff>302199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18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238750" y="14992351"/>
              <a:ext cx="1924050" cy="787973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𝝂</m:t>
                        </m:r>
                      </m:e>
                      <m:sub>
                        <m:r>
                          <a:rPr lang="ru-RU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  <m: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𝒇𝒇</m:t>
                        </m:r>
                      </m:sub>
                    </m:sSub>
                    <m:r>
                      <a:rPr lang="ru-RU" sz="14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𝒖</m:t>
                            </m:r>
                          </m:e>
                          <m:sub>
                            <m:r>
                              <a:rPr lang="en-US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  <m:sup>
                            <m:r>
                              <a:rPr lang="ru-RU" sz="1400" b="1" i="0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p>
                        </m:sSubSup>
                        <m:d>
                          <m:dPr>
                            <m:ctrlP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</m:d>
                      </m:num>
                      <m:den>
                        <m:nary>
                          <m:naryPr>
                            <m:chr m:val="∑"/>
                            <m:limLoc m:val="undOvr"/>
                            <m:grow m:val="on"/>
                            <m:ctrlP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/>
                                <m:aln/>
                              </m:rPr>
                              <a:rPr lang="en-US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𝐢</m:t>
                            </m:r>
                            <m:r>
                              <a:rPr lang="ru-RU" sz="1400" b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  <m:sup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𝑵</m:t>
                            </m:r>
                          </m:sup>
                          <m:e>
                            <m:f>
                              <m:fPr>
                                <m:ctrlPr>
                                  <a:rPr lang="ru-RU" sz="14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𝒖</m:t>
                                    </m:r>
                                  </m:e>
                                  <m:sub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  <m:sup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𝟒</m:t>
                                    </m:r>
                                  </m:sup>
                                </m:sSubSup>
                                <m:d>
                                  <m:dPr>
                                    <m:ctrlP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𝒚</m:t>
                                    </m:r>
                                  </m:e>
                                </m:d>
                              </m:num>
                              <m:den>
                                <m:sSub>
                                  <m:sSubPr>
                                    <m:ctrlP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𝝂</m:t>
                                    </m:r>
                                  </m:e>
                                  <m:sub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7" name="TextBox 18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 txBox="1"/>
          </xdr:nvSpPr>
          <xdr:spPr>
            <a:xfrm>
              <a:off x="5238750" y="14992351"/>
              <a:ext cx="1924050" cy="787973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ru-RU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𝝂_ⅇ𝒇𝒇=(𝒖_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𝒄^</a:t>
              </a:r>
              <a:r>
                <a:rPr lang="ru-RU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𝟒 (𝒚))/(∑129_(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𝐢</a:t>
              </a:r>
              <a:r>
                <a:rPr lang="ru-RU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=𝟏)^𝑵▒(𝒖_𝒊^𝟒 (𝒚))/𝝂_𝒊 )</a:t>
              </a:r>
              <a:endParaRPr lang="ru-RU" sz="1400" b="1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304800</xdr:colOff>
          <xdr:row>1</xdr:row>
          <xdr:rowOff>57150</xdr:rowOff>
        </xdr:from>
        <xdr:to>
          <xdr:col>7</xdr:col>
          <xdr:colOff>295275</xdr:colOff>
          <xdr:row>2</xdr:row>
          <xdr:rowOff>123825</xdr:rowOff>
        </xdr:to>
        <xdr:sp macro="" textlink="">
          <xdr:nvSpPr>
            <xdr:cNvPr id="196609" name="Rasc" hidden="1">
              <a:extLst>
                <a:ext uri="{63B3BB69-23CF-44E3-9099-C40C66FF867C}">
                  <a14:compatExt spid="_x0000_s196609"/>
                </a:ext>
                <a:ext uri="{FF2B5EF4-FFF2-40B4-BE49-F238E27FC236}">
                  <a16:creationId xmlns:a16="http://schemas.microsoft.com/office/drawing/2014/main" id="{00000000-0008-0000-0100-0000010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Расчет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685800</xdr:colOff>
          <xdr:row>1</xdr:row>
          <xdr:rowOff>57150</xdr:rowOff>
        </xdr:from>
        <xdr:to>
          <xdr:col>9</xdr:col>
          <xdr:colOff>47625</xdr:colOff>
          <xdr:row>2</xdr:row>
          <xdr:rowOff>123825</xdr:rowOff>
        </xdr:to>
        <xdr:sp macro="" textlink="">
          <xdr:nvSpPr>
            <xdr:cNvPr id="196610" name="ClearBut" hidden="1">
              <a:extLst>
                <a:ext uri="{63B3BB69-23CF-44E3-9099-C40C66FF867C}">
                  <a14:compatExt spid="_x0000_s196610"/>
                </a:ext>
                <a:ext uri="{FF2B5EF4-FFF2-40B4-BE49-F238E27FC236}">
                  <a16:creationId xmlns:a16="http://schemas.microsoft.com/office/drawing/2014/main" id="{00000000-0008-0000-0100-0000020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Очистить таб.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4762</xdr:colOff>
      <xdr:row>48</xdr:row>
      <xdr:rowOff>147636</xdr:rowOff>
    </xdr:from>
    <xdr:to>
      <xdr:col>5</xdr:col>
      <xdr:colOff>600075</xdr:colOff>
      <xdr:row>64</xdr:row>
      <xdr:rowOff>171449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76201</xdr:colOff>
      <xdr:row>48</xdr:row>
      <xdr:rowOff>190499</xdr:rowOff>
    </xdr:from>
    <xdr:to>
      <xdr:col>11</xdr:col>
      <xdr:colOff>28576</xdr:colOff>
      <xdr:row>64</xdr:row>
      <xdr:rowOff>142874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1</xdr:row>
          <xdr:rowOff>57150</xdr:rowOff>
        </xdr:from>
        <xdr:to>
          <xdr:col>10</xdr:col>
          <xdr:colOff>571500</xdr:colOff>
          <xdr:row>2</xdr:row>
          <xdr:rowOff>114300</xdr:rowOff>
        </xdr:to>
        <xdr:sp macro="" textlink="">
          <xdr:nvSpPr>
            <xdr:cNvPr id="196611" name="Button 3" hidden="1">
              <a:extLst>
                <a:ext uri="{63B3BB69-23CF-44E3-9099-C40C66FF867C}">
                  <a14:compatExt spid="_x0000_s196611"/>
                </a:ext>
                <a:ext uri="{FF2B5EF4-FFF2-40B4-BE49-F238E27FC236}">
                  <a16:creationId xmlns:a16="http://schemas.microsoft.com/office/drawing/2014/main" id="{00000000-0008-0000-0100-0000030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О программе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85725</xdr:colOff>
      <xdr:row>66</xdr:row>
      <xdr:rowOff>95251</xdr:rowOff>
    </xdr:from>
    <xdr:to>
      <xdr:col>8</xdr:col>
      <xdr:colOff>28575</xdr:colOff>
      <xdr:row>69</xdr:row>
      <xdr:rowOff>302199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18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5238750" y="14954251"/>
              <a:ext cx="1924050" cy="787973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𝝂</m:t>
                        </m:r>
                      </m:e>
                      <m:sub>
                        <m:r>
                          <a:rPr lang="ru-RU" sz="14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  <m: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𝒇𝒇</m:t>
                        </m:r>
                      </m:sub>
                    </m:sSub>
                    <m:r>
                      <a:rPr lang="ru-RU" sz="14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𝒖</m:t>
                            </m:r>
                          </m:e>
                          <m:sub>
                            <m:r>
                              <a:rPr lang="en-US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  <m:sup>
                            <m:r>
                              <a:rPr lang="ru-RU" sz="1400" b="1" i="0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p>
                        </m:sSubSup>
                        <m:d>
                          <m:dPr>
                            <m:ctrlP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</m:d>
                      </m:num>
                      <m:den>
                        <m:nary>
                          <m:naryPr>
                            <m:chr m:val="∑"/>
                            <m:limLoc m:val="undOvr"/>
                            <m:grow m:val="on"/>
                            <m:ctrlP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/>
                                <m:aln/>
                              </m:rPr>
                              <a:rPr lang="en-US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𝐢</m:t>
                            </m:r>
                            <m:r>
                              <a:rPr lang="ru-RU" sz="1400" b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  <m:sup>
                            <m:r>
                              <a:rPr lang="ru-RU" sz="14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𝑵</m:t>
                            </m:r>
                          </m:sup>
                          <m:e>
                            <m:f>
                              <m:fPr>
                                <m:ctrlPr>
                                  <a:rPr lang="ru-RU" sz="14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𝒖</m:t>
                                    </m:r>
                                  </m:e>
                                  <m:sub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  <m:sup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𝟒</m:t>
                                    </m:r>
                                  </m:sup>
                                </m:sSubSup>
                                <m:d>
                                  <m:dPr>
                                    <m:ctrlP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𝒚</m:t>
                                    </m:r>
                                  </m:e>
                                </m:d>
                              </m:num>
                              <m:den>
                                <m:sSub>
                                  <m:sSubPr>
                                    <m:ctrlP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𝝂</m:t>
                                    </m:r>
                                  </m:e>
                                  <m:sub>
                                    <m:r>
                                      <a:rPr lang="ru-RU" sz="1400" b="1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7" name="TextBox 18">
              <a:extLst>
                <a:ext uri="{FF2B5EF4-FFF2-40B4-BE49-F238E27FC236}">
                  <a16:creationId xmlns:a16="http://schemas.microsoft.com/office/drawing/2014/main" id="{DDAF2980-45A7-44C9-A3C1-23F82C67C6B5}"/>
                </a:ext>
              </a:extLst>
            </xdr:cNvPr>
            <xdr:cNvSpPr txBox="1"/>
          </xdr:nvSpPr>
          <xdr:spPr>
            <a:xfrm>
              <a:off x="5238750" y="14954251"/>
              <a:ext cx="1924050" cy="787973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ru-RU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𝝂_ⅇ𝒇𝒇=(𝒖_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𝒄^</a:t>
              </a:r>
              <a:r>
                <a:rPr lang="ru-RU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𝟒 (𝒚))/(∑129_(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𝐢</a:t>
              </a:r>
              <a:r>
                <a:rPr lang="ru-RU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=𝟏)^𝑵▒(𝒖_𝒊^𝟒 (𝒚))/𝝂_𝒊 )</a:t>
              </a:r>
              <a:endParaRPr lang="ru-RU" sz="1400" b="1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142875</xdr:rowOff>
        </xdr:from>
        <xdr:to>
          <xdr:col>1</xdr:col>
          <xdr:colOff>933450</xdr:colOff>
          <xdr:row>1</xdr:row>
          <xdr:rowOff>257175</xdr:rowOff>
        </xdr:to>
        <xdr:sp macro="" textlink="">
          <xdr:nvSpPr>
            <xdr:cNvPr id="2054" name="RascMonte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Расчет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847725</xdr:colOff>
          <xdr:row>0</xdr:row>
          <xdr:rowOff>133350</xdr:rowOff>
        </xdr:from>
        <xdr:to>
          <xdr:col>8</xdr:col>
          <xdr:colOff>9525</xdr:colOff>
          <xdr:row>1</xdr:row>
          <xdr:rowOff>257175</xdr:rowOff>
        </xdr:to>
        <xdr:sp macro="" textlink="">
          <xdr:nvSpPr>
            <xdr:cNvPr id="2058" name="CopyKragt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Копировать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126724</xdr:colOff>
      <xdr:row>2</xdr:row>
      <xdr:rowOff>161925</xdr:rowOff>
    </xdr:from>
    <xdr:to>
      <xdr:col>17</xdr:col>
      <xdr:colOff>295275</xdr:colOff>
      <xdr:row>17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81170</xdr:colOff>
      <xdr:row>16</xdr:row>
      <xdr:rowOff>6625</xdr:rowOff>
    </xdr:from>
    <xdr:ext cx="120354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690770" y="3292750"/>
              <a:ext cx="12035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291F822-0059-43D5-91CD-E04ECF2922FD}"/>
                </a:ext>
              </a:extLst>
            </xdr:cNvPr>
            <xdr:cNvSpPr txBox="1"/>
          </xdr:nvSpPr>
          <xdr:spPr>
            <a:xfrm>
              <a:off x="690770" y="3292750"/>
              <a:ext cx="12035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7</xdr:col>
      <xdr:colOff>542925</xdr:colOff>
      <xdr:row>43</xdr:row>
      <xdr:rowOff>33959</xdr:rowOff>
    </xdr:from>
    <xdr:to>
      <xdr:col>16</xdr:col>
      <xdr:colOff>457614</xdr:colOff>
      <xdr:row>59</xdr:row>
      <xdr:rowOff>66675</xdr:rowOff>
    </xdr:to>
    <xdr:graphicFrame macro="">
      <xdr:nvGraphicFramePr>
        <xdr:cNvPr id="4" name="DiagOstPos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590550</xdr:colOff>
          <xdr:row>17</xdr:row>
          <xdr:rowOff>114300</xdr:rowOff>
        </xdr:from>
        <xdr:to>
          <xdr:col>2</xdr:col>
          <xdr:colOff>171450</xdr:colOff>
          <xdr:row>19</xdr:row>
          <xdr:rowOff>9525</xdr:rowOff>
        </xdr:to>
        <xdr:sp macro="" textlink="">
          <xdr:nvSpPr>
            <xdr:cNvPr id="183297" name="RascGradNewBut" hidden="1">
              <a:extLst>
                <a:ext uri="{63B3BB69-23CF-44E3-9099-C40C66FF867C}">
                  <a14:compatExt spid="_x0000_s183297"/>
                </a:ext>
                <a:ext uri="{FF2B5EF4-FFF2-40B4-BE49-F238E27FC236}">
                  <a16:creationId xmlns:a16="http://schemas.microsoft.com/office/drawing/2014/main" id="{00000000-0008-0000-0300-000001C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Расчет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561975</xdr:colOff>
      <xdr:row>20</xdr:row>
      <xdr:rowOff>19050</xdr:rowOff>
    </xdr:from>
    <xdr:to>
      <xdr:col>16</xdr:col>
      <xdr:colOff>428625</xdr:colOff>
      <xdr:row>42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142875</xdr:colOff>
      <xdr:row>43</xdr:row>
      <xdr:rowOff>80402</xdr:rowOff>
    </xdr:from>
    <xdr:to>
      <xdr:col>16</xdr:col>
      <xdr:colOff>376518</xdr:colOff>
      <xdr:row>62</xdr:row>
      <xdr:rowOff>54909</xdr:rowOff>
    </xdr:to>
    <xdr:graphicFrame macro="">
      <xdr:nvGraphicFramePr>
        <xdr:cNvPr id="7" name="DiagOstVZV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495300</xdr:colOff>
      <xdr:row>65</xdr:row>
      <xdr:rowOff>38100</xdr:rowOff>
    </xdr:from>
    <xdr:to>
      <xdr:col>10</xdr:col>
      <xdr:colOff>450988</xdr:colOff>
      <xdr:row>69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Прямоугольник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4133850" y="12744450"/>
              <a:ext cx="3965713" cy="800100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b="0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u</m:t>
                        </m:r>
                        <m:r>
                          <a:rPr lang="ru-RU" b="0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ru-RU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𝑝𝑟𝑒𝑑</m:t>
                        </m:r>
                      </m:sub>
                    </m:sSub>
                    <m:r>
                      <a:rPr lang="ru-RU" b="0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ru-RU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sSub>
                          <m:sSubPr>
                            <m:ctrlPr>
                              <a:rPr lang="ru-RU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lang="ru-RU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ru-RU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  <m:r>
                          <a:rPr lang="ru-RU" b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ru-RU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ru-RU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en-US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ru-RU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ru-RU" b="0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ru-RU" b="0" i="1">
                                            <a:solidFill>
                                              <a:srgbClr val="FF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b="0" i="1">
                                            <a:solidFill>
                                              <a:srgbClr val="FF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b="0" i="1">
                                            <a:solidFill>
                                              <a:srgbClr val="FF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𝑝𝑟𝑒𝑑</m:t>
                                        </m:r>
                                      </m:sub>
                                    </m:sSub>
                                    <m:r>
                                      <a:rPr lang="ru-RU" b="0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ru-RU" b="0" i="1">
                                            <a:solidFill>
                                              <a:srgbClr val="FF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ru-RU" b="0" i="1">
                                            <a:solidFill>
                                              <a:srgbClr val="FF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ru-RU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nary>
                              <m:naryPr>
                                <m:chr m:val="∑"/>
                                <m:ctrlPr>
                                  <a:rPr lang="en-US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b="0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b="0" i="1">
                                            <a:solidFill>
                                              <a:srgbClr val="FF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b="0" i="1">
                                                <a:solidFill>
                                                  <a:srgbClr val="FF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b="0" i="1">
                                                <a:solidFill>
                                                  <a:srgbClr val="FF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b="0" i="1">
                                                <a:solidFill>
                                                  <a:srgbClr val="FF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b="0" i="1">
                                            <a:solidFill>
                                              <a:srgbClr val="FF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en-US" b="0" i="1">
                                                <a:solidFill>
                                                  <a:srgbClr val="FF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US" b="0" i="1">
                                                <a:solidFill>
                                                  <a:srgbClr val="FF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</m:acc>
                                      </m:e>
                                    </m:d>
                                  </m:e>
                                  <m:sup>
                                    <m:r>
                                      <a:rPr lang="en-US" b="0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den>
                        </m:f>
                      </m:e>
                    </m:rad>
                  </m:oMath>
                </m:oMathPara>
              </a14:m>
              <a:endParaRPr lang="ru-RU" b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8" name="Прямоугольник 7">
              <a:extLst>
                <a:ext uri="{FF2B5EF4-FFF2-40B4-BE49-F238E27FC236}">
                  <a16:creationId xmlns:a16="http://schemas.microsoft.com/office/drawing/2014/main" id="{E5F1C936-5925-4EB8-95CE-3C6186E9D0DE}"/>
                </a:ext>
              </a:extLst>
            </xdr:cNvPr>
            <xdr:cNvSpPr/>
          </xdr:nvSpPr>
          <xdr:spPr>
            <a:xfrm>
              <a:off x="4133850" y="12744450"/>
              <a:ext cx="3965713" cy="800100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ru-RU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u</a:t>
              </a:r>
              <a:r>
                <a:rPr lang="ru-RU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(𝑥〗_𝑝𝑟𝑒𝑑)=</a:t>
              </a:r>
              <a:r>
                <a:rPr lang="en-US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𝑆</a:t>
              </a:r>
              <a:r>
                <a:rPr lang="ru-RU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𝑏</a:t>
              </a:r>
              <a:r>
                <a:rPr lang="ru-RU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 </a:t>
              </a:r>
              <a:r>
                <a:rPr lang="ru-RU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√(1/𝑝+1/𝑛</a:t>
              </a:r>
              <a:r>
                <a:rPr lang="en-US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+</a:t>
              </a:r>
              <a:r>
                <a:rPr lang="ru-RU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(𝑥_𝑝𝑟𝑒𝑑−𝑥 ̅ )^2</a:t>
              </a:r>
              <a:r>
                <a:rPr lang="en-US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/(∑_(𝑖=1)^𝑚▒(𝑥_𝑖−𝑥 ̅ )^2 )</a:t>
              </a:r>
              <a:r>
                <a:rPr lang="ru-RU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)</a:t>
              </a:r>
              <a:endParaRPr lang="ru-RU" b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9</xdr:col>
      <xdr:colOff>176212</xdr:colOff>
      <xdr:row>74</xdr:row>
      <xdr:rowOff>228599</xdr:rowOff>
    </xdr:from>
    <xdr:to>
      <xdr:col>16</xdr:col>
      <xdr:colOff>395287</xdr:colOff>
      <xdr:row>95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7</xdr:row>
      <xdr:rowOff>114301</xdr:rowOff>
    </xdr:from>
    <xdr:to>
      <xdr:col>11</xdr:col>
      <xdr:colOff>276225</xdr:colOff>
      <xdr:row>10</xdr:row>
      <xdr:rowOff>22425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1447801"/>
          <a:ext cx="4124325" cy="536774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9</xdr:row>
      <xdr:rowOff>200025</xdr:rowOff>
    </xdr:from>
    <xdr:to>
      <xdr:col>13</xdr:col>
      <xdr:colOff>381000</xdr:colOff>
      <xdr:row>18</xdr:row>
      <xdr:rowOff>110983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1952625"/>
          <a:ext cx="5591175" cy="1796908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18</xdr:row>
      <xdr:rowOff>95250</xdr:rowOff>
    </xdr:from>
    <xdr:to>
      <xdr:col>14</xdr:col>
      <xdr:colOff>685800</xdr:colOff>
      <xdr:row>23</xdr:row>
      <xdr:rowOff>159892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1450" y="3733800"/>
          <a:ext cx="6524625" cy="11219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</xdr:colOff>
      <xdr:row>4</xdr:row>
      <xdr:rowOff>161925</xdr:rowOff>
    </xdr:from>
    <xdr:ext cx="1033616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3205162" y="933450"/>
              <a:ext cx="1033616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DC95A7-9BCC-4DF9-9B0B-F2CF87A65078}"/>
                </a:ext>
              </a:extLst>
            </xdr:cNvPr>
            <xdr:cNvSpPr txBox="1"/>
          </xdr:nvSpPr>
          <xdr:spPr>
            <a:xfrm>
              <a:off x="3205162" y="933450"/>
              <a:ext cx="1033616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𝑅</a:t>
              </a:r>
              <a:r>
                <a:rPr lang="ru-RU" sz="900" b="0" i="0">
                  <a:latin typeface="Cambria Math" panose="02040503050406030204" pitchFamily="18" charset="0"/>
                </a:rPr>
                <a:t>_</a:t>
              </a:r>
              <a:r>
                <a:rPr lang="en-US" sz="900" b="0" i="0">
                  <a:latin typeface="Cambria Math" panose="02040503050406030204" pitchFamily="18" charset="0"/>
                </a:rPr>
                <a:t>1=|𝑆1𝐴1−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𝑆1𝐴2|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7</xdr:col>
      <xdr:colOff>57150</xdr:colOff>
      <xdr:row>4</xdr:row>
      <xdr:rowOff>66675</xdr:rowOff>
    </xdr:from>
    <xdr:ext cx="1036246" cy="2668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4305300" y="838200"/>
              <a:ext cx="1036246" cy="266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62F8AE0-06A0-4014-83EB-C13F32EE40FF}"/>
                </a:ext>
              </a:extLst>
            </xdr:cNvPr>
            <xdr:cNvSpPr txBox="1"/>
          </xdr:nvSpPr>
          <xdr:spPr>
            <a:xfrm>
              <a:off x="4305300" y="838200"/>
              <a:ext cx="1036246" cy="266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(𝑆1) ̅=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|𝑆1𝐴1−𝑆1𝐴2|/</a:t>
              </a:r>
              <a:r>
                <a:rPr lang="en-US" sz="900" b="0" i="0">
                  <a:latin typeface="Cambria Math" panose="02040503050406030204" pitchFamily="18" charset="0"/>
                </a:rPr>
                <a:t>2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10</xdr:col>
      <xdr:colOff>57150</xdr:colOff>
      <xdr:row>4</xdr:row>
      <xdr:rowOff>66675</xdr:rowOff>
    </xdr:from>
    <xdr:ext cx="1036246" cy="2668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7562850" y="838200"/>
              <a:ext cx="1036246" cy="266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9CB861-479F-4E0E-9A14-DC010EA0F65F}"/>
                </a:ext>
              </a:extLst>
            </xdr:cNvPr>
            <xdr:cNvSpPr txBox="1"/>
          </xdr:nvSpPr>
          <xdr:spPr>
            <a:xfrm>
              <a:off x="7562850" y="838200"/>
              <a:ext cx="1036246" cy="266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(𝑆2) ̅=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|𝑆2𝐴1−𝑆2𝐴2|/</a:t>
              </a:r>
              <a:r>
                <a:rPr lang="en-US" sz="900" b="0" i="0">
                  <a:latin typeface="Cambria Math" panose="02040503050406030204" pitchFamily="18" charset="0"/>
                </a:rPr>
                <a:t>2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9</xdr:col>
      <xdr:colOff>27843</xdr:colOff>
      <xdr:row>4</xdr:row>
      <xdr:rowOff>142875</xdr:rowOff>
    </xdr:from>
    <xdr:ext cx="1036309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6476268" y="914400"/>
              <a:ext cx="103630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633D451-CA50-4FC8-9EA5-E16AE9A0846D}"/>
                </a:ext>
              </a:extLst>
            </xdr:cNvPr>
            <xdr:cNvSpPr txBox="1"/>
          </xdr:nvSpPr>
          <xdr:spPr>
            <a:xfrm>
              <a:off x="6476268" y="914400"/>
              <a:ext cx="103630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𝑅</a:t>
              </a:r>
              <a:r>
                <a:rPr lang="ru-RU" sz="900" b="0" i="0">
                  <a:latin typeface="Cambria Math" panose="02040503050406030204" pitchFamily="18" charset="0"/>
                </a:rPr>
                <a:t>_</a:t>
              </a:r>
              <a:r>
                <a:rPr lang="en-US" sz="900" b="0" i="0">
                  <a:latin typeface="Cambria Math" panose="02040503050406030204" pitchFamily="18" charset="0"/>
                </a:rPr>
                <a:t>2=|𝑆2𝐴1−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𝑆2𝐴2|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8</xdr:col>
      <xdr:colOff>161925</xdr:colOff>
      <xdr:row>4</xdr:row>
      <xdr:rowOff>47625</xdr:rowOff>
    </xdr:from>
    <xdr:ext cx="670183" cy="26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5676900" y="819150"/>
              <a:ext cx="670183" cy="26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acc>
                          <m:accPr>
                            <m:chr m:val="̅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acc>
                      </m:den>
                    </m:f>
                    <m:r>
                      <a:rPr lang="en-US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ru-RU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A2D48D-4062-4A64-9913-14A10C73C949}"/>
                </a:ext>
              </a:extLst>
            </xdr:cNvPr>
            <xdr:cNvSpPr txBox="1"/>
          </xdr:nvSpPr>
          <xdr:spPr>
            <a:xfrm>
              <a:off x="5676900" y="819150"/>
              <a:ext cx="670183" cy="26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𝑟_1=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𝑅_1/(</a:t>
              </a:r>
              <a:r>
                <a:rPr lang="en-US" sz="900" b="0" i="0">
                  <a:latin typeface="Cambria Math" panose="02040503050406030204" pitchFamily="18" charset="0"/>
                </a:rPr>
                <a:t>𝑆1) ̅ 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ru-RU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100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11</xdr:col>
      <xdr:colOff>37686</xdr:colOff>
      <xdr:row>4</xdr:row>
      <xdr:rowOff>69988</xdr:rowOff>
    </xdr:from>
    <xdr:ext cx="729239" cy="26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8667336" y="841513"/>
              <a:ext cx="729239" cy="26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acc>
                          <m:accPr>
                            <m:chr m:val="̅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acc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03164B6-E573-4BC9-95E4-B0A3C09FAA2D}"/>
                </a:ext>
              </a:extLst>
            </xdr:cNvPr>
            <xdr:cNvSpPr txBox="1"/>
          </xdr:nvSpPr>
          <xdr:spPr>
            <a:xfrm>
              <a:off x="8667336" y="841513"/>
              <a:ext cx="729239" cy="26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𝑟_2=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𝑅_2/(</a:t>
              </a:r>
              <a:r>
                <a:rPr lang="en-US" sz="900" b="0" i="0">
                  <a:latin typeface="Cambria Math" panose="02040503050406030204" pitchFamily="18" charset="0"/>
                </a:rPr>
                <a:t>𝑆2) ̅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12</xdr:col>
      <xdr:colOff>82153</xdr:colOff>
      <xdr:row>4</xdr:row>
      <xdr:rowOff>30956</xdr:rowOff>
    </xdr:from>
    <xdr:ext cx="627415" cy="277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9521428" y="802481"/>
              <a:ext cx="627415" cy="277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</m:acc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acc>
                        <m:r>
                          <a:rPr lang="en-U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acc>
                          <m:accPr>
                            <m:chr m:val="̅"/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acc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527390D-4A46-4ECF-AE00-5DF14C31BE11}"/>
                </a:ext>
              </a:extLst>
            </xdr:cNvPr>
            <xdr:cNvSpPr txBox="1"/>
          </xdr:nvSpPr>
          <xdr:spPr>
            <a:xfrm>
              <a:off x="9521428" y="802481"/>
              <a:ext cx="627415" cy="277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 ̅</a:t>
              </a:r>
              <a:r>
                <a:rPr lang="en-US" sz="900" b="0" i="0">
                  <a:latin typeface="Cambria Math" panose="02040503050406030204" pitchFamily="18" charset="0"/>
                </a:rPr>
                <a:t>=(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(𝑆1) ̅+(𝑆2) ̅)/</a:t>
              </a:r>
              <a:r>
                <a:rPr lang="en-US" sz="900" b="0" i="0">
                  <a:latin typeface="Cambria Math" panose="02040503050406030204" pitchFamily="18" charset="0"/>
                </a:rPr>
                <a:t>2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13</xdr:col>
      <xdr:colOff>115639</xdr:colOff>
      <xdr:row>4</xdr:row>
      <xdr:rowOff>55111</xdr:rowOff>
    </xdr:from>
    <xdr:ext cx="1026563" cy="283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 txBox="1"/>
          </xdr:nvSpPr>
          <xdr:spPr>
            <a:xfrm>
              <a:off x="10488364" y="826636"/>
              <a:ext cx="1026563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acc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</m:acc>
                          </m:e>
                        </m:d>
                      </m:num>
                      <m:den>
                        <m:acc>
                          <m:accPr>
                            <m:chr m:val="̅"/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</m:acc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53487D5-F5C9-4273-B496-9764C4BEBE2E}"/>
                </a:ext>
              </a:extLst>
            </xdr:cNvPr>
            <xdr:cNvSpPr txBox="1"/>
          </xdr:nvSpPr>
          <xdr:spPr>
            <a:xfrm>
              <a:off x="10488364" y="826636"/>
              <a:ext cx="1026563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𝑟=|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(𝑆1) ̅−(𝑆2) ̅ |/𝑆 ̅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2</xdr:col>
      <xdr:colOff>101203</xdr:colOff>
      <xdr:row>4</xdr:row>
      <xdr:rowOff>113109</xdr:rowOff>
    </xdr:from>
    <xdr:ext cx="3520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 txBox="1"/>
          </xdr:nvSpPr>
          <xdr:spPr>
            <a:xfrm>
              <a:off x="1082278" y="884634"/>
              <a:ext cx="352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55182BE-888F-425E-AF3D-0F29F246FBF3}"/>
                </a:ext>
              </a:extLst>
            </xdr:cNvPr>
            <xdr:cNvSpPr txBox="1"/>
          </xdr:nvSpPr>
          <xdr:spPr>
            <a:xfrm>
              <a:off x="1082278" y="884634"/>
              <a:ext cx="352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𝑆1𝐴1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116681</xdr:colOff>
      <xdr:row>4</xdr:row>
      <xdr:rowOff>104775</xdr:rowOff>
    </xdr:from>
    <xdr:ext cx="3520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 txBox="1"/>
          </xdr:nvSpPr>
          <xdr:spPr>
            <a:xfrm>
              <a:off x="1650206" y="876300"/>
              <a:ext cx="352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AB67E88-80A0-49DB-829A-5DF0610DA595}"/>
                </a:ext>
              </a:extLst>
            </xdr:cNvPr>
            <xdr:cNvSpPr txBox="1"/>
          </xdr:nvSpPr>
          <xdr:spPr>
            <a:xfrm>
              <a:off x="1650206" y="876300"/>
              <a:ext cx="352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𝑆1𝐴2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83344</xdr:colOff>
      <xdr:row>4</xdr:row>
      <xdr:rowOff>125016</xdr:rowOff>
    </xdr:from>
    <xdr:ext cx="3520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>
            <a:xfrm>
              <a:off x="2731294" y="896541"/>
              <a:ext cx="352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282B1E5-D2B0-435A-ADB0-983574518E49}"/>
                </a:ext>
              </a:extLst>
            </xdr:cNvPr>
            <xdr:cNvSpPr txBox="1"/>
          </xdr:nvSpPr>
          <xdr:spPr>
            <a:xfrm>
              <a:off x="2731294" y="896541"/>
              <a:ext cx="3520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𝑆2𝐴2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136922</xdr:colOff>
      <xdr:row>4</xdr:row>
      <xdr:rowOff>119062</xdr:rowOff>
    </xdr:from>
    <xdr:ext cx="3148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2203847" y="890587"/>
              <a:ext cx="3148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</m:t>
                  </m:r>
                </m:oMath>
              </a14:m>
              <a:r>
                <a:rPr lang="en-US" sz="1100"/>
                <a:t>1</a:t>
              </a:r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C14C756-180C-4FBF-909B-1B4CAD59F3C3}"/>
                </a:ext>
              </a:extLst>
            </xdr:cNvPr>
            <xdr:cNvSpPr txBox="1"/>
          </xdr:nvSpPr>
          <xdr:spPr>
            <a:xfrm>
              <a:off x="2203847" y="890587"/>
              <a:ext cx="3148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𝑆2𝐴</a:t>
              </a:r>
              <a:r>
                <a:rPr lang="en-US" sz="1100"/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801886</xdr:colOff>
      <xdr:row>21</xdr:row>
      <xdr:rowOff>194666</xdr:rowOff>
    </xdr:from>
    <xdr:ext cx="455188" cy="3726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 txBox="1"/>
          </xdr:nvSpPr>
          <xdr:spPr>
            <a:xfrm>
              <a:off x="5050036" y="4442816"/>
              <a:ext cx="455188" cy="3726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0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ru-RU" sz="10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4F9496E-0E95-45E5-86A9-183A79E1950C}"/>
                </a:ext>
              </a:extLst>
            </xdr:cNvPr>
            <xdr:cNvSpPr txBox="1"/>
          </xdr:nvSpPr>
          <xdr:spPr>
            <a:xfrm>
              <a:off x="5050036" y="4442816"/>
              <a:ext cx="455188" cy="3726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000" i="0">
                  <a:latin typeface="Cambria Math" panose="02040503050406030204" pitchFamily="18" charset="0"/>
                </a:rPr>
                <a:t>∑</a:t>
              </a:r>
              <a:r>
                <a:rPr lang="en-US" sz="1000" b="0" i="0">
                  <a:latin typeface="Cambria Math" panose="02040503050406030204" pitchFamily="18" charset="0"/>
                </a:rPr>
                <a:t>▒</a:t>
              </a:r>
              <a:r>
                <a:rPr lang="ru-RU" sz="1000" b="0" i="0">
                  <a:latin typeface="Cambria Math" panose="02040503050406030204" pitchFamily="18" charset="0"/>
                </a:rPr>
                <a:t>〖</a:t>
              </a:r>
              <a:r>
                <a:rPr lang="en-US" sz="1000" b="0" i="0">
                  <a:latin typeface="Cambria Math" panose="02040503050406030204" pitchFamily="18" charset="0"/>
                </a:rPr>
                <a:t>𝑟</a:t>
              </a:r>
              <a:r>
                <a:rPr lang="ru-RU" sz="1000" b="0" i="0">
                  <a:latin typeface="Cambria Math" panose="02040503050406030204" pitchFamily="18" charset="0"/>
                </a:rPr>
                <a:t>_</a:t>
              </a:r>
              <a:r>
                <a:rPr lang="en-US" sz="1000" b="0" i="0">
                  <a:latin typeface="Cambria Math" panose="02040503050406030204" pitchFamily="18" charset="0"/>
                </a:rPr>
                <a:t>1=</a:t>
              </a:r>
              <a:r>
                <a:rPr lang="ru-RU" sz="1000" b="0" i="0">
                  <a:latin typeface="Cambria Math" panose="02040503050406030204" pitchFamily="18" charset="0"/>
                </a:rPr>
                <a:t>〗</a:t>
              </a:r>
              <a:endParaRPr lang="ru-RU" sz="1000"/>
            </a:p>
          </xdr:txBody>
        </xdr:sp>
      </mc:Fallback>
    </mc:AlternateContent>
    <xdr:clientData/>
  </xdr:oneCellAnchor>
  <xdr:oneCellAnchor>
    <xdr:from>
      <xdr:col>7</xdr:col>
      <xdr:colOff>799504</xdr:colOff>
      <xdr:row>22</xdr:row>
      <xdr:rowOff>281581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5047654" y="47297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233592</xdr:colOff>
      <xdr:row>23</xdr:row>
      <xdr:rowOff>71942</xdr:rowOff>
    </xdr:from>
    <xdr:ext cx="362279" cy="1840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 txBox="1"/>
          </xdr:nvSpPr>
          <xdr:spPr>
            <a:xfrm>
              <a:off x="5748567" y="4843967"/>
              <a:ext cx="362279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A611510-3692-43AE-90D7-FDF1B50327FE}"/>
                </a:ext>
              </a:extLst>
            </xdr:cNvPr>
            <xdr:cNvSpPr txBox="1"/>
          </xdr:nvSpPr>
          <xdr:spPr>
            <a:xfrm>
              <a:off x="5748567" y="4843967"/>
              <a:ext cx="362279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577864</xdr:colOff>
      <xdr:row>21</xdr:row>
      <xdr:rowOff>173051</xdr:rowOff>
    </xdr:from>
    <xdr:ext cx="458139" cy="3726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 txBox="1"/>
          </xdr:nvSpPr>
          <xdr:spPr>
            <a:xfrm>
              <a:off x="8083564" y="4421201"/>
              <a:ext cx="458139" cy="3726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0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ru-RU" sz="10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0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353D20A-E891-46E7-9139-643B9E211355}"/>
                </a:ext>
              </a:extLst>
            </xdr:cNvPr>
            <xdr:cNvSpPr txBox="1"/>
          </xdr:nvSpPr>
          <xdr:spPr>
            <a:xfrm>
              <a:off x="8083564" y="4421201"/>
              <a:ext cx="458139" cy="3726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000" i="0">
                  <a:latin typeface="Cambria Math" panose="02040503050406030204" pitchFamily="18" charset="0"/>
                </a:rPr>
                <a:t>∑</a:t>
              </a:r>
              <a:r>
                <a:rPr lang="en-US" sz="1000" b="0" i="0">
                  <a:latin typeface="Cambria Math" panose="02040503050406030204" pitchFamily="18" charset="0"/>
                </a:rPr>
                <a:t>▒</a:t>
              </a:r>
              <a:r>
                <a:rPr lang="ru-RU" sz="1000" b="0" i="0">
                  <a:latin typeface="Cambria Math" panose="02040503050406030204" pitchFamily="18" charset="0"/>
                </a:rPr>
                <a:t>〖</a:t>
              </a:r>
              <a:r>
                <a:rPr lang="en-US" sz="1000" b="0" i="0">
                  <a:latin typeface="Cambria Math" panose="02040503050406030204" pitchFamily="18" charset="0"/>
                </a:rPr>
                <a:t>𝑟</a:t>
              </a:r>
              <a:r>
                <a:rPr lang="ru-RU" sz="1000" b="0" i="0">
                  <a:latin typeface="Cambria Math" panose="02040503050406030204" pitchFamily="18" charset="0"/>
                </a:rPr>
                <a:t>_</a:t>
              </a:r>
              <a:r>
                <a:rPr lang="en-US" sz="1000" b="0" i="0">
                  <a:latin typeface="Cambria Math" panose="02040503050406030204" pitchFamily="18" charset="0"/>
                </a:rPr>
                <a:t>2=</a:t>
              </a:r>
              <a:r>
                <a:rPr lang="ru-RU" sz="1000" b="0" i="0">
                  <a:latin typeface="Cambria Math" panose="02040503050406030204" pitchFamily="18" charset="0"/>
                </a:rPr>
                <a:t>〗</a:t>
              </a:r>
              <a:endParaRPr lang="ru-RU" sz="1000"/>
            </a:p>
          </xdr:txBody>
        </xdr:sp>
      </mc:Fallback>
    </mc:AlternateContent>
    <xdr:clientData/>
  </xdr:oneCellAnchor>
  <xdr:oneCellAnchor>
    <xdr:from>
      <xdr:col>11</xdr:col>
      <xdr:colOff>283873</xdr:colOff>
      <xdr:row>23</xdr:row>
      <xdr:rowOff>74141</xdr:rowOff>
    </xdr:from>
    <xdr:ext cx="362279" cy="1840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SpPr txBox="1"/>
          </xdr:nvSpPr>
          <xdr:spPr>
            <a:xfrm>
              <a:off x="8913523" y="4846166"/>
              <a:ext cx="362279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7C343F4-C185-48D9-ADFC-F8AB4B304109}"/>
                </a:ext>
              </a:extLst>
            </xdr:cNvPr>
            <xdr:cNvSpPr txBox="1"/>
          </xdr:nvSpPr>
          <xdr:spPr>
            <a:xfrm>
              <a:off x="8913523" y="4846166"/>
              <a:ext cx="362279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8801</xdr:colOff>
      <xdr:row>21</xdr:row>
      <xdr:rowOff>171605</xdr:rowOff>
    </xdr:from>
    <xdr:ext cx="422167" cy="3726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SpPr txBox="1"/>
          </xdr:nvSpPr>
          <xdr:spPr>
            <a:xfrm>
              <a:off x="9450975" y="4420583"/>
              <a:ext cx="422167" cy="3726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0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acc>
                          <m:accPr>
                            <m:chr m:val="̅"/>
                            <m:ctrlPr>
                              <a:rPr lang="ru-RU" sz="10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</m:acc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0594C72-C213-4B80-BD43-DCD47B8155A4}"/>
                </a:ext>
              </a:extLst>
            </xdr:cNvPr>
            <xdr:cNvSpPr txBox="1"/>
          </xdr:nvSpPr>
          <xdr:spPr>
            <a:xfrm>
              <a:off x="9450975" y="4420583"/>
              <a:ext cx="422167" cy="3726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000" i="0">
                  <a:latin typeface="Cambria Math" panose="02040503050406030204" pitchFamily="18" charset="0"/>
                </a:rPr>
                <a:t>∑</a:t>
              </a:r>
              <a:r>
                <a:rPr lang="en-US" sz="1000" b="0" i="0">
                  <a:latin typeface="Cambria Math" panose="02040503050406030204" pitchFamily="18" charset="0"/>
                </a:rPr>
                <a:t>▒</a:t>
              </a:r>
              <a:r>
                <a:rPr lang="ru-RU" sz="1000" b="0" i="0">
                  <a:latin typeface="Cambria Math" panose="02040503050406030204" pitchFamily="18" charset="0"/>
                </a:rPr>
                <a:t>〖</a:t>
              </a:r>
              <a:r>
                <a:rPr lang="en-US" sz="1000" b="0" i="0">
                  <a:latin typeface="Cambria Math" panose="02040503050406030204" pitchFamily="18" charset="0"/>
                </a:rPr>
                <a:t>𝑆</a:t>
              </a:r>
              <a:r>
                <a:rPr lang="ru-RU" sz="1000" b="0" i="0">
                  <a:latin typeface="Cambria Math" panose="02040503050406030204" pitchFamily="18" charset="0"/>
                </a:rPr>
                <a:t> ̅</a:t>
              </a:r>
              <a:r>
                <a:rPr lang="en-US" sz="1000" b="0" i="0">
                  <a:latin typeface="Cambria Math" panose="02040503050406030204" pitchFamily="18" charset="0"/>
                </a:rPr>
                <a:t>=</a:t>
              </a:r>
              <a:r>
                <a:rPr lang="ru-RU" sz="1000" b="0" i="0">
                  <a:latin typeface="Cambria Math" panose="02040503050406030204" pitchFamily="18" charset="0"/>
                </a:rPr>
                <a:t>〗</a:t>
              </a:r>
              <a:endParaRPr lang="ru-RU" sz="1000"/>
            </a:p>
          </xdr:txBody>
        </xdr:sp>
      </mc:Fallback>
    </mc:AlternateContent>
    <xdr:clientData/>
  </xdr:oneCellAnchor>
  <xdr:oneCellAnchor>
    <xdr:from>
      <xdr:col>12</xdr:col>
      <xdr:colOff>416719</xdr:colOff>
      <xdr:row>23</xdr:row>
      <xdr:rowOff>76933</xdr:rowOff>
    </xdr:from>
    <xdr:ext cx="3209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SpPr txBox="1"/>
          </xdr:nvSpPr>
          <xdr:spPr>
            <a:xfrm>
              <a:off x="9855994" y="4848958"/>
              <a:ext cx="3209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694E544-377B-4392-9479-1431F504FBB5}"/>
                </a:ext>
              </a:extLst>
            </xdr:cNvPr>
            <xdr:cNvSpPr txBox="1"/>
          </xdr:nvSpPr>
          <xdr:spPr>
            <a:xfrm>
              <a:off x="9855994" y="4848958"/>
              <a:ext cx="3209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14148</xdr:colOff>
      <xdr:row>21</xdr:row>
      <xdr:rowOff>188621</xdr:rowOff>
    </xdr:from>
    <xdr:ext cx="457176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SpPr txBox="1"/>
          </xdr:nvSpPr>
          <xdr:spPr>
            <a:xfrm>
              <a:off x="10386873" y="4436771"/>
              <a:ext cx="45717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5255D25-0546-450F-A7E7-3CFA81B82823}"/>
                </a:ext>
              </a:extLst>
            </xdr:cNvPr>
            <xdr:cNvSpPr txBox="1"/>
          </xdr:nvSpPr>
          <xdr:spPr>
            <a:xfrm>
              <a:off x="10386873" y="4436771"/>
              <a:ext cx="45717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▒</a:t>
              </a:r>
              <a:r>
                <a:rPr lang="ru-RU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r>
                <a:rPr lang="ru-RU" sz="1100" b="0" i="0">
                  <a:latin typeface="Cambria Math" panose="02040503050406030204" pitchFamily="18" charset="0"/>
                </a:rPr>
                <a:t>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329711</xdr:colOff>
      <xdr:row>23</xdr:row>
      <xdr:rowOff>80596</xdr:rowOff>
    </xdr:from>
    <xdr:ext cx="3209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SpPr txBox="1"/>
          </xdr:nvSpPr>
          <xdr:spPr>
            <a:xfrm>
              <a:off x="11159636" y="4852621"/>
              <a:ext cx="3209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58A07AF-BA20-4757-A1B8-32C879608377}"/>
                </a:ext>
              </a:extLst>
            </xdr:cNvPr>
            <xdr:cNvSpPr txBox="1"/>
          </xdr:nvSpPr>
          <xdr:spPr>
            <a:xfrm>
              <a:off x="11159636" y="4852621"/>
              <a:ext cx="3209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600808</xdr:colOff>
      <xdr:row>24</xdr:row>
      <xdr:rowOff>112604</xdr:rowOff>
    </xdr:from>
    <xdr:ext cx="1282212" cy="410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 txBox="1"/>
          </xdr:nvSpPr>
          <xdr:spPr>
            <a:xfrm>
              <a:off x="791308" y="5218004"/>
              <a:ext cx="1282212" cy="410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ru-RU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ru-RU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ru-RU" sz="12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nary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sSub>
                              <m:sSubPr>
                                <m:ctrlPr>
                                  <a:rPr lang="ru-RU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sSub>
                              <m:sSubPr>
                                <m:ctrlPr>
                                  <a:rPr lang="ru-RU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7809FD1-F1B4-43AA-87BD-0B6FA39A4DB9}"/>
                </a:ext>
              </a:extLst>
            </xdr:cNvPr>
            <xdr:cNvSpPr txBox="1"/>
          </xdr:nvSpPr>
          <xdr:spPr>
            <a:xfrm>
              <a:off x="791308" y="5218004"/>
              <a:ext cx="1282212" cy="410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𝑟</a:t>
              </a:r>
              <a:r>
                <a:rPr lang="ru-RU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</a:rPr>
                <a:t>𝐴=(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▒𝑟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)/(𝑛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+𝑛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200" b="0" i="0">
                  <a:latin typeface="Cambria Math" panose="02040503050406030204" pitchFamily="18" charset="0"/>
                </a:rPr>
                <a:t>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1148861</xdr:colOff>
      <xdr:row>24</xdr:row>
      <xdr:rowOff>133120</xdr:rowOff>
    </xdr:from>
    <xdr:ext cx="1282212" cy="335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 txBox="1"/>
          </xdr:nvSpPr>
          <xdr:spPr>
            <a:xfrm>
              <a:off x="4244486" y="5238520"/>
              <a:ext cx="1282212" cy="335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𝐶𝑉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1,128</m:t>
                        </m:r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FA58144-0DE0-44BF-8D28-5C84291C2B88}"/>
                </a:ext>
              </a:extLst>
            </xdr:cNvPr>
            <xdr:cNvSpPr txBox="1"/>
          </xdr:nvSpPr>
          <xdr:spPr>
            <a:xfrm>
              <a:off x="4244486" y="5238520"/>
              <a:ext cx="1282212" cy="335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latin typeface="Cambria Math" panose="02040503050406030204" pitchFamily="18" charset="0"/>
                </a:rPr>
                <a:t>𝐶𝑉</a:t>
              </a:r>
              <a:r>
                <a:rPr lang="ru-RU" sz="1200" b="0" i="0"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latin typeface="Cambria Math" panose="02040503050406030204" pitchFamily="18" charset="0"/>
                </a:rPr>
                <a:t>𝐴=𝑟_𝐴/1,128=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666751</xdr:colOff>
      <xdr:row>28</xdr:row>
      <xdr:rowOff>68643</xdr:rowOff>
    </xdr:from>
    <xdr:ext cx="1282212" cy="387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 txBox="1"/>
          </xdr:nvSpPr>
          <xdr:spPr>
            <a:xfrm>
              <a:off x="857251" y="5955093"/>
              <a:ext cx="1282212" cy="387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C38AFBC-B242-4A2A-B414-1DE1B2F298D7}"/>
                </a:ext>
              </a:extLst>
            </xdr:cNvPr>
            <xdr:cNvSpPr txBox="1"/>
          </xdr:nvSpPr>
          <xdr:spPr>
            <a:xfrm>
              <a:off x="857251" y="5955093"/>
              <a:ext cx="1282212" cy="387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𝑟</a:t>
              </a:r>
              <a:r>
                <a:rPr lang="ru-RU" sz="1200" b="0" i="0">
                  <a:latin typeface="Cambria Math" panose="02040503050406030204" pitchFamily="18" charset="0"/>
                </a:rPr>
                <a:t>_(</a:t>
              </a:r>
              <a:r>
                <a:rPr lang="en-US" sz="1200" b="0" i="0">
                  <a:latin typeface="Cambria Math" panose="02040503050406030204" pitchFamily="18" charset="0"/>
                </a:rPr>
                <a:t>𝑆+𝐴</a:t>
              </a:r>
              <a:r>
                <a:rPr lang="ru-RU" sz="1200" b="0" i="0">
                  <a:latin typeface="Cambria Math" panose="02040503050406030204" pitchFamily="18" charset="0"/>
                </a:rPr>
                <a:t>)</a:t>
              </a:r>
              <a:r>
                <a:rPr lang="en-US" sz="1200" b="0" i="0">
                  <a:latin typeface="Cambria Math" panose="02040503050406030204" pitchFamily="18" charset="0"/>
                </a:rPr>
                <a:t>=(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▒𝑟)/𝑛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 </a:t>
              </a:r>
              <a:r>
                <a:rPr lang="en-US" sz="1200" b="0" i="0">
                  <a:latin typeface="Cambria Math" panose="02040503050406030204" pitchFamily="18" charset="0"/>
                </a:rPr>
                <a:t>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665286</xdr:colOff>
      <xdr:row>33</xdr:row>
      <xdr:rowOff>23216</xdr:rowOff>
    </xdr:from>
    <xdr:ext cx="1282212" cy="41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SpPr txBox="1"/>
          </xdr:nvSpPr>
          <xdr:spPr>
            <a:xfrm>
              <a:off x="855786" y="6881216"/>
              <a:ext cx="1282212" cy="41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acc>
                              <m:accPr>
                                <m:chr m:val="̅"/>
                                <m:ctrlPr>
                                  <a:rPr lang="ru-RU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</m:acc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F89C817A-CCFD-4043-8989-109174DF9E62}"/>
                </a:ext>
              </a:extLst>
            </xdr:cNvPr>
            <xdr:cNvSpPr txBox="1"/>
          </xdr:nvSpPr>
          <xdr:spPr>
            <a:xfrm>
              <a:off x="855786" y="6881216"/>
              <a:ext cx="1282212" cy="41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𝑆</a:t>
              </a:r>
              <a:r>
                <a:rPr lang="ru-RU" sz="1200" b="0" i="0">
                  <a:latin typeface="Cambria Math" panose="02040503050406030204" pitchFamily="18" charset="0"/>
                </a:rPr>
                <a:t>_(</a:t>
              </a:r>
              <a:r>
                <a:rPr lang="en-US" sz="1200" b="0" i="0">
                  <a:latin typeface="Cambria Math" panose="02040503050406030204" pitchFamily="18" charset="0"/>
                </a:rPr>
                <a:t>𝑇+𝑆+𝐴</a:t>
              </a:r>
              <a:r>
                <a:rPr lang="ru-RU" sz="1200" b="0" i="0">
                  <a:latin typeface="Cambria Math" panose="02040503050406030204" pitchFamily="18" charset="0"/>
                </a:rPr>
                <a:t>)</a:t>
              </a:r>
              <a:r>
                <a:rPr lang="en-US" sz="1200" b="0" i="0">
                  <a:latin typeface="Cambria Math" panose="02040503050406030204" pitchFamily="18" charset="0"/>
                </a:rPr>
                <a:t>=(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▒𝑆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)/𝑛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 </a:t>
              </a:r>
              <a:r>
                <a:rPr lang="en-US" sz="1200" b="0" i="0">
                  <a:latin typeface="Cambria Math" panose="02040503050406030204" pitchFamily="18" charset="0"/>
                </a:rPr>
                <a:t>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1170841</xdr:colOff>
      <xdr:row>28</xdr:row>
      <xdr:rowOff>111139</xdr:rowOff>
    </xdr:from>
    <xdr:ext cx="1282212" cy="335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500-00001B000000}"/>
                </a:ext>
              </a:extLst>
            </xdr:cNvPr>
            <xdr:cNvSpPr txBox="1"/>
          </xdr:nvSpPr>
          <xdr:spPr>
            <a:xfrm>
              <a:off x="4247416" y="5997589"/>
              <a:ext cx="1282212" cy="335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𝐶𝑉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1,128</m:t>
                        </m:r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9B8C1C5-0A03-447D-8BCF-71D3F59D9956}"/>
                </a:ext>
              </a:extLst>
            </xdr:cNvPr>
            <xdr:cNvSpPr txBox="1"/>
          </xdr:nvSpPr>
          <xdr:spPr>
            <a:xfrm>
              <a:off x="4247416" y="5997589"/>
              <a:ext cx="1282212" cy="335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latin typeface="Cambria Math" panose="02040503050406030204" pitchFamily="18" charset="0"/>
                </a:rPr>
                <a:t>𝐶𝑉</a:t>
              </a:r>
              <a:r>
                <a:rPr lang="ru-RU" sz="1200" b="0" i="0">
                  <a:latin typeface="Cambria Math" panose="02040503050406030204" pitchFamily="18" charset="0"/>
                </a:rPr>
                <a:t>〗_(</a:t>
              </a:r>
              <a:r>
                <a:rPr lang="en-US" sz="1200" b="0" i="0">
                  <a:latin typeface="Cambria Math" panose="02040503050406030204" pitchFamily="18" charset="0"/>
                </a:rPr>
                <a:t>𝑆+𝐴</a:t>
              </a:r>
              <a:r>
                <a:rPr lang="ru-RU" sz="1200" b="0" i="0">
                  <a:latin typeface="Cambria Math" panose="02040503050406030204" pitchFamily="18" charset="0"/>
                </a:rPr>
                <a:t>)</a:t>
              </a:r>
              <a:r>
                <a:rPr lang="en-US" sz="1200" b="0" i="0">
                  <a:latin typeface="Cambria Math" panose="02040503050406030204" pitchFamily="18" charset="0"/>
                </a:rPr>
                <a:t>=𝑟_(𝑆+𝐴)/1,128=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1154722</xdr:colOff>
      <xdr:row>33</xdr:row>
      <xdr:rowOff>131655</xdr:rowOff>
    </xdr:from>
    <xdr:ext cx="1282212" cy="194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500-00001C000000}"/>
                </a:ext>
              </a:extLst>
            </xdr:cNvPr>
            <xdr:cNvSpPr txBox="1"/>
          </xdr:nvSpPr>
          <xdr:spPr>
            <a:xfrm>
              <a:off x="4250347" y="6989655"/>
              <a:ext cx="1282212" cy="194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D99A14-7768-4931-865F-990CAA3F5095}"/>
                </a:ext>
              </a:extLst>
            </xdr:cNvPr>
            <xdr:cNvSpPr txBox="1"/>
          </xdr:nvSpPr>
          <xdr:spPr>
            <a:xfrm>
              <a:off x="4250347" y="6989655"/>
              <a:ext cx="1282212" cy="194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𝑠</a:t>
              </a:r>
              <a:r>
                <a:rPr lang="ru-RU" sz="1200" b="0" i="0">
                  <a:latin typeface="Cambria Math" panose="02040503050406030204" pitchFamily="18" charset="0"/>
                </a:rPr>
                <a:t>_(</a:t>
              </a:r>
              <a:r>
                <a:rPr lang="en-US" sz="1200" b="0" i="0">
                  <a:latin typeface="Cambria Math" panose="02040503050406030204" pitchFamily="18" charset="0"/>
                </a:rPr>
                <a:t>𝑇+𝑆+𝐴</a:t>
              </a:r>
              <a:r>
                <a:rPr lang="ru-RU" sz="1200" b="0" i="0">
                  <a:latin typeface="Cambria Math" panose="02040503050406030204" pitchFamily="18" charset="0"/>
                </a:rPr>
                <a:t>)</a:t>
              </a:r>
              <a:r>
                <a:rPr lang="en-US" sz="1200" b="0" i="0">
                  <a:latin typeface="Cambria Math" panose="02040503050406030204" pitchFamily="18" charset="0"/>
                </a:rPr>
                <a:t>=𝑠_𝑠 ̅ 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10</xdr:col>
      <xdr:colOff>80595</xdr:colOff>
      <xdr:row>28</xdr:row>
      <xdr:rowOff>0</xdr:rowOff>
    </xdr:from>
    <xdr:ext cx="1926981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:cNvPr>
            <xdr:cNvSpPr txBox="1"/>
          </xdr:nvSpPr>
          <xdr:spPr>
            <a:xfrm>
              <a:off x="7586295" y="5886450"/>
              <a:ext cx="1926981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𝐶𝑉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𝐶𝑉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sub>
                            </m:sSub>
                          </m:e>
                          <m:sup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  <m:t>𝐶𝑉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rad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41922E1-2820-47B7-BD31-C2EFB8C5BF88}"/>
                </a:ext>
              </a:extLst>
            </xdr:cNvPr>
            <xdr:cNvSpPr txBox="1"/>
          </xdr:nvSpPr>
          <xdr:spPr>
            <a:xfrm>
              <a:off x="7586295" y="5886450"/>
              <a:ext cx="1926981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latin typeface="Cambria Math" panose="02040503050406030204" pitchFamily="18" charset="0"/>
                </a:rPr>
                <a:t>𝐶𝑉</a:t>
              </a:r>
              <a:r>
                <a:rPr lang="ru-RU" sz="1200" b="0" i="0"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latin typeface="Cambria Math" panose="02040503050406030204" pitchFamily="18" charset="0"/>
                </a:rPr>
                <a:t>𝑆=√(〖〖𝐶𝑉〗_(𝑆+𝐴)〗^2−〖〖𝐶𝑉〗_𝐴〗^2/2)=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899745</xdr:colOff>
      <xdr:row>33</xdr:row>
      <xdr:rowOff>203688</xdr:rowOff>
    </xdr:from>
    <xdr:ext cx="211162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:cNvPr>
            <xdr:cNvSpPr txBox="1"/>
          </xdr:nvSpPr>
          <xdr:spPr>
            <a:xfrm>
              <a:off x="7348170" y="7061688"/>
              <a:ext cx="211162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𝐶𝑉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𝐶𝑉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sub>
                            </m:sSub>
                          </m:e>
                          <m:sup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  <m:t>𝐶𝑉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rad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412B73CC-63B4-43FD-B52C-41D4ADE931F4}"/>
                </a:ext>
              </a:extLst>
            </xdr:cNvPr>
            <xdr:cNvSpPr txBox="1"/>
          </xdr:nvSpPr>
          <xdr:spPr>
            <a:xfrm>
              <a:off x="7348170" y="7061688"/>
              <a:ext cx="211162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latin typeface="Cambria Math" panose="02040503050406030204" pitchFamily="18" charset="0"/>
                </a:rPr>
                <a:t>𝐶𝑉</a:t>
              </a:r>
              <a:r>
                <a:rPr lang="ru-RU" sz="1200" b="0" i="0"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latin typeface="Cambria Math" panose="02040503050406030204" pitchFamily="18" charset="0"/>
                </a:rPr>
                <a:t>𝑇=√(〖〖𝐶𝑉〗_(𝑇+𝑆+𝐴)〗^2−〖〖𝐶𝑉〗_(𝑆+𝐴)〗^2/2)=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996461</xdr:colOff>
      <xdr:row>32</xdr:row>
      <xdr:rowOff>21981</xdr:rowOff>
    </xdr:from>
    <xdr:ext cx="2111620" cy="3463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SpPr txBox="1"/>
          </xdr:nvSpPr>
          <xdr:spPr>
            <a:xfrm>
              <a:off x="7444886" y="6689481"/>
              <a:ext cx="2111620" cy="346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𝐶𝑉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∙100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359DC97-404E-4CFE-A526-73E554F0518F}"/>
                </a:ext>
              </a:extLst>
            </xdr:cNvPr>
            <xdr:cNvSpPr txBox="1"/>
          </xdr:nvSpPr>
          <xdr:spPr>
            <a:xfrm>
              <a:off x="7444886" y="6689481"/>
              <a:ext cx="2111620" cy="3463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latin typeface="Cambria Math" panose="02040503050406030204" pitchFamily="18" charset="0"/>
                </a:rPr>
                <a:t>𝐶𝑉</a:t>
              </a:r>
              <a:r>
                <a:rPr lang="ru-RU" sz="1200" b="0" i="0">
                  <a:latin typeface="Cambria Math" panose="02040503050406030204" pitchFamily="18" charset="0"/>
                </a:rPr>
                <a:t>〗_(</a:t>
              </a:r>
              <a:r>
                <a:rPr lang="en-US" sz="1200" b="0" i="0">
                  <a:latin typeface="Cambria Math" panose="02040503050406030204" pitchFamily="18" charset="0"/>
                </a:rPr>
                <a:t>𝑇+𝑆+𝐴</a:t>
              </a:r>
              <a:r>
                <a:rPr lang="ru-RU" sz="1200" b="0" i="0">
                  <a:latin typeface="Cambria Math" panose="02040503050406030204" pitchFamily="18" charset="0"/>
                </a:rPr>
                <a:t>)</a:t>
              </a:r>
              <a:r>
                <a:rPr lang="en-US" sz="1200" b="0" i="0">
                  <a:latin typeface="Cambria Math" panose="02040503050406030204" pitchFamily="18" charset="0"/>
                </a:rPr>
                <a:t>=𝑠_(𝑇+𝑆+𝐴)/𝑆_(𝑇+𝑆+𝐴) 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∙100</a:t>
              </a:r>
              <a:r>
                <a:rPr lang="en-US" sz="1200" b="0" i="0">
                  <a:latin typeface="Cambria Math" panose="02040503050406030204" pitchFamily="18" charset="0"/>
                </a:rPr>
                <a:t>=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4</xdr:row>
          <xdr:rowOff>28575</xdr:rowOff>
        </xdr:from>
        <xdr:to>
          <xdr:col>1</xdr:col>
          <xdr:colOff>1304925</xdr:colOff>
          <xdr:row>5</xdr:row>
          <xdr:rowOff>76200</xdr:rowOff>
        </xdr:to>
        <xdr:sp macro="" textlink="">
          <xdr:nvSpPr>
            <xdr:cNvPr id="119809" name="GenerateTableTypeA" hidden="1">
              <a:extLst>
                <a:ext uri="{63B3BB69-23CF-44E3-9099-C40C66FF867C}">
                  <a14:compatExt spid="_x0000_s119809"/>
                </a:ext>
                <a:ext uri="{FF2B5EF4-FFF2-40B4-BE49-F238E27FC236}">
                  <a16:creationId xmlns:a16="http://schemas.microsoft.com/office/drawing/2014/main" id="{00000000-0008-0000-0600-000001D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Таблица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7</xdr:row>
          <xdr:rowOff>104775</xdr:rowOff>
        </xdr:from>
        <xdr:to>
          <xdr:col>0</xdr:col>
          <xdr:colOff>1571625</xdr:colOff>
          <xdr:row>9</xdr:row>
          <xdr:rowOff>66675</xdr:rowOff>
        </xdr:to>
        <xdr:sp macro="" textlink="">
          <xdr:nvSpPr>
            <xdr:cNvPr id="212993" name="Button 1" hidden="1">
              <a:extLst>
                <a:ext uri="{63B3BB69-23CF-44E3-9099-C40C66FF867C}">
                  <a14:compatExt spid="_x0000_s212993"/>
                </a:ext>
                <a:ext uri="{FF2B5EF4-FFF2-40B4-BE49-F238E27FC236}">
                  <a16:creationId xmlns:a16="http://schemas.microsoft.com/office/drawing/2014/main" id="{00000000-0008-0000-0900-0000014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Активировать ПО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1971675</xdr:colOff>
          <xdr:row>7</xdr:row>
          <xdr:rowOff>95250</xdr:rowOff>
        </xdr:from>
        <xdr:to>
          <xdr:col>1</xdr:col>
          <xdr:colOff>1304925</xdr:colOff>
          <xdr:row>9</xdr:row>
          <xdr:rowOff>76200</xdr:rowOff>
        </xdr:to>
        <xdr:sp macro="" textlink="">
          <xdr:nvSpPr>
            <xdr:cNvPr id="212994" name="Button 2" hidden="1">
              <a:extLst>
                <a:ext uri="{63B3BB69-23CF-44E3-9099-C40C66FF867C}">
                  <a14:compatExt spid="_x0000_s212994"/>
                </a:ext>
                <a:ext uri="{FF2B5EF4-FFF2-40B4-BE49-F238E27FC236}">
                  <a16:creationId xmlns:a16="http://schemas.microsoft.com/office/drawing/2014/main" id="{00000000-0008-0000-0900-0000024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Проверить активацию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/>
  <dimension ref="A1:AC79"/>
  <sheetViews>
    <sheetView tabSelected="1" zoomScaleNormal="100" workbookViewId="0">
      <selection activeCell="R67" sqref="R67"/>
    </sheetView>
  </sheetViews>
  <sheetFormatPr defaultRowHeight="15" x14ac:dyDescent="0.25"/>
  <cols>
    <col min="1" max="1" width="5.28515625" customWidth="1"/>
    <col min="2" max="2" width="23.28515625" customWidth="1"/>
    <col min="3" max="3" width="14.85546875" customWidth="1"/>
    <col min="4" max="4" width="10.7109375" customWidth="1"/>
    <col min="5" max="5" width="11.42578125" customWidth="1"/>
    <col min="6" max="6" width="11.7109375" customWidth="1"/>
    <col min="7" max="7" width="14.140625" customWidth="1"/>
    <col min="8" max="8" width="15.5703125" customWidth="1"/>
    <col min="9" max="9" width="8" customWidth="1"/>
    <col min="10" max="10" width="10.42578125" customWidth="1"/>
    <col min="17" max="43" width="11.42578125" customWidth="1"/>
  </cols>
  <sheetData>
    <row r="1" spans="1:22" ht="35.25" customHeight="1" thickBot="1" x14ac:dyDescent="0.3">
      <c r="A1" s="248" t="s">
        <v>295</v>
      </c>
      <c r="B1" s="248"/>
      <c r="C1" s="244" t="s">
        <v>302</v>
      </c>
      <c r="D1" s="245"/>
      <c r="E1" s="245"/>
      <c r="F1" s="245"/>
      <c r="G1" s="245"/>
      <c r="H1" s="245"/>
      <c r="I1" s="245"/>
      <c r="J1" s="245"/>
      <c r="K1" s="246"/>
    </row>
    <row r="2" spans="1:22" ht="20.25" customHeight="1" x14ac:dyDescent="0.25">
      <c r="K2" s="39"/>
    </row>
    <row r="3" spans="1:22" ht="15.75" x14ac:dyDescent="0.25">
      <c r="A3" s="17" t="s">
        <v>296</v>
      </c>
    </row>
    <row r="4" spans="1:22" ht="36" customHeight="1" x14ac:dyDescent="0.25">
      <c r="A4" s="83" t="s">
        <v>5</v>
      </c>
      <c r="B4" s="84" t="s">
        <v>15</v>
      </c>
      <c r="C4" s="84" t="s">
        <v>1</v>
      </c>
      <c r="D4" s="84" t="s">
        <v>19</v>
      </c>
      <c r="E4" s="84" t="s">
        <v>2</v>
      </c>
      <c r="F4" s="84" t="s">
        <v>21</v>
      </c>
      <c r="G4" s="84" t="s">
        <v>3</v>
      </c>
      <c r="H4" s="85" t="s">
        <v>20</v>
      </c>
      <c r="I4" s="84" t="s">
        <v>43</v>
      </c>
      <c r="J4" s="84" t="s">
        <v>49</v>
      </c>
      <c r="K4" s="84" t="s">
        <v>155</v>
      </c>
    </row>
    <row r="5" spans="1:22" ht="51" x14ac:dyDescent="0.25">
      <c r="A5" s="46">
        <v>1</v>
      </c>
      <c r="B5" s="106" t="s">
        <v>303</v>
      </c>
      <c r="C5" s="46" t="s">
        <v>308</v>
      </c>
      <c r="D5" s="46" t="s">
        <v>17</v>
      </c>
      <c r="E5" s="81">
        <f>'Град граф'!D67</f>
        <v>0.65182625863770971</v>
      </c>
      <c r="F5" s="81">
        <f>'Град граф'!D69</f>
        <v>1.9275857036600997E-2</v>
      </c>
      <c r="G5" s="48" t="s">
        <v>14</v>
      </c>
      <c r="H5" s="113">
        <f>$F$5</f>
        <v>1.9275857036600997E-2</v>
      </c>
      <c r="I5" s="86">
        <v>8.3651476370295459</v>
      </c>
      <c r="J5" s="111">
        <v>19.999999999999996</v>
      </c>
      <c r="K5" s="46">
        <v>23</v>
      </c>
      <c r="R5" s="18"/>
      <c r="S5" s="19"/>
      <c r="T5" s="19"/>
      <c r="U5" s="19"/>
      <c r="V5" s="19"/>
    </row>
    <row r="6" spans="1:22" ht="25.5" x14ac:dyDescent="0.25">
      <c r="A6" s="46">
        <v>2</v>
      </c>
      <c r="B6" s="106" t="s">
        <v>309</v>
      </c>
      <c r="C6" s="46" t="s">
        <v>304</v>
      </c>
      <c r="D6" s="46" t="s">
        <v>18</v>
      </c>
      <c r="E6" s="81">
        <v>50</v>
      </c>
      <c r="F6" s="81">
        <v>0.12</v>
      </c>
      <c r="G6" s="48" t="s">
        <v>0</v>
      </c>
      <c r="H6" s="113">
        <f>$F$6/SQRT(6)</f>
        <v>4.8989794855663564E-2</v>
      </c>
      <c r="I6" s="86">
        <v>9.1649590885970553E-3</v>
      </c>
      <c r="J6" s="111">
        <v>0.26047529083380844</v>
      </c>
      <c r="K6" s="46"/>
      <c r="R6" s="18"/>
      <c r="S6" s="19"/>
      <c r="T6" s="19"/>
      <c r="U6" s="19"/>
      <c r="V6" s="19"/>
    </row>
    <row r="7" spans="1:22" ht="38.25" x14ac:dyDescent="0.25">
      <c r="A7" s="46">
        <v>3</v>
      </c>
      <c r="B7" s="106" t="s">
        <v>305</v>
      </c>
      <c r="C7" s="48" t="s">
        <v>320</v>
      </c>
      <c r="D7" s="46" t="s">
        <v>18</v>
      </c>
      <c r="E7" s="205">
        <v>1</v>
      </c>
      <c r="F7" s="81">
        <f>'Крагтен АС'!C44*0.01</f>
        <v>7.5162311209984248E-3</v>
      </c>
      <c r="G7" s="48" t="s">
        <v>14</v>
      </c>
      <c r="H7" s="113">
        <f>$F$7</f>
        <v>7.5162311209984248E-3</v>
      </c>
      <c r="I7" s="86">
        <v>0.54039357008020339</v>
      </c>
      <c r="J7" s="111">
        <v>13.036525172754354</v>
      </c>
      <c r="K7" s="46"/>
      <c r="R7" s="18"/>
      <c r="S7" s="19"/>
      <c r="T7" s="19"/>
      <c r="U7" s="19"/>
      <c r="V7" s="19"/>
    </row>
    <row r="8" spans="1:22" ht="51" x14ac:dyDescent="0.25">
      <c r="A8" s="46">
        <v>4</v>
      </c>
      <c r="B8" s="106" t="s">
        <v>307</v>
      </c>
      <c r="C8" s="48" t="s">
        <v>201</v>
      </c>
      <c r="D8" s="46" t="s">
        <v>18</v>
      </c>
      <c r="E8" s="81">
        <v>1</v>
      </c>
      <c r="F8" s="243">
        <v>0.17</v>
      </c>
      <c r="G8" s="48" t="s">
        <v>27</v>
      </c>
      <c r="H8" s="113">
        <f>$F$8/(2.77)</f>
        <v>6.1371841155234662E-2</v>
      </c>
      <c r="I8" s="86">
        <v>36.028669591918757</v>
      </c>
      <c r="J8" s="111">
        <v>13.036525172754175</v>
      </c>
      <c r="K8" s="46"/>
    </row>
    <row r="9" spans="1:22" ht="51" x14ac:dyDescent="0.25">
      <c r="A9" s="46">
        <v>5</v>
      </c>
      <c r="B9" s="106" t="s">
        <v>323</v>
      </c>
      <c r="C9" s="48" t="s">
        <v>325</v>
      </c>
      <c r="D9" s="46" t="s">
        <v>18</v>
      </c>
      <c r="E9" s="81">
        <v>1</v>
      </c>
      <c r="F9" s="81">
        <v>8.3999999999999995E-3</v>
      </c>
      <c r="G9" s="48" t="s">
        <v>14</v>
      </c>
      <c r="H9" s="113">
        <f>$F$9</f>
        <v>8.3999999999999995E-3</v>
      </c>
      <c r="I9" s="86">
        <v>0.67494516872040367</v>
      </c>
      <c r="J9" s="111">
        <v>13.036525172754413</v>
      </c>
      <c r="K9" s="46">
        <v>31</v>
      </c>
    </row>
    <row r="10" spans="1:22" ht="38.25" x14ac:dyDescent="0.25">
      <c r="A10" s="46">
        <v>6</v>
      </c>
      <c r="B10" s="106" t="s">
        <v>324</v>
      </c>
      <c r="C10" s="48" t="s">
        <v>326</v>
      </c>
      <c r="D10" s="46" t="s">
        <v>18</v>
      </c>
      <c r="E10" s="81">
        <v>1</v>
      </c>
      <c r="F10" s="81">
        <v>7.5399999999999995E-2</v>
      </c>
      <c r="G10" s="48" t="s">
        <v>14</v>
      </c>
      <c r="H10" s="113">
        <f>$F$10</f>
        <v>7.5399999999999995E-2</v>
      </c>
      <c r="I10" s="86">
        <v>54.381679073162481</v>
      </c>
      <c r="J10" s="111">
        <v>13.036525172754166</v>
      </c>
      <c r="K10" s="46"/>
    </row>
    <row r="11" spans="1:22" x14ac:dyDescent="0.25">
      <c r="A11" s="46"/>
      <c r="B11" s="106"/>
      <c r="C11" s="46"/>
      <c r="D11" s="46"/>
      <c r="E11" s="205"/>
      <c r="F11" s="112"/>
      <c r="G11" s="48"/>
      <c r="H11" s="113"/>
      <c r="I11" s="86"/>
      <c r="J11" s="111"/>
      <c r="K11" s="46"/>
    </row>
    <row r="12" spans="1:22" x14ac:dyDescent="0.25">
      <c r="A12" s="46"/>
      <c r="B12" s="106"/>
      <c r="C12" s="48"/>
      <c r="D12" s="46"/>
      <c r="E12" s="207"/>
      <c r="F12" s="81"/>
      <c r="G12" s="48"/>
      <c r="H12" s="113"/>
      <c r="I12" s="110"/>
      <c r="J12" s="111"/>
      <c r="K12" s="46"/>
    </row>
    <row r="13" spans="1:22" x14ac:dyDescent="0.25">
      <c r="A13" s="46"/>
      <c r="B13" s="47"/>
      <c r="C13" s="48"/>
      <c r="D13" s="46"/>
      <c r="E13" s="46"/>
      <c r="F13" s="46"/>
      <c r="G13" s="48"/>
      <c r="H13" s="113"/>
      <c r="I13" s="86"/>
      <c r="J13" s="111"/>
      <c r="K13" s="46"/>
    </row>
    <row r="14" spans="1:22" x14ac:dyDescent="0.25">
      <c r="A14" s="46"/>
      <c r="B14" s="47"/>
      <c r="C14" s="46"/>
      <c r="D14" s="46"/>
      <c r="E14" s="46"/>
      <c r="F14" s="46"/>
      <c r="G14" s="48"/>
      <c r="H14" s="113"/>
      <c r="I14" s="86"/>
      <c r="J14" s="111"/>
      <c r="K14" s="46"/>
    </row>
    <row r="15" spans="1:22" x14ac:dyDescent="0.25">
      <c r="A15" s="46"/>
      <c r="B15" s="94"/>
      <c r="C15" s="46"/>
      <c r="D15" s="46"/>
      <c r="E15" s="46"/>
      <c r="F15" s="46"/>
      <c r="G15" s="46"/>
      <c r="H15" s="113"/>
      <c r="I15" s="86"/>
      <c r="J15" s="111"/>
      <c r="K15" s="46"/>
    </row>
    <row r="16" spans="1:22" x14ac:dyDescent="0.25">
      <c r="A16" s="46"/>
      <c r="B16" s="47"/>
      <c r="C16" s="46"/>
      <c r="D16" s="46"/>
      <c r="E16" s="46"/>
      <c r="F16" s="46"/>
      <c r="G16" s="46"/>
      <c r="H16" s="113"/>
      <c r="I16" s="86"/>
      <c r="J16" s="111"/>
      <c r="K16" s="46"/>
    </row>
    <row r="17" spans="1:14" ht="16.5" customHeight="1" x14ac:dyDescent="0.25">
      <c r="A17" s="10"/>
      <c r="B17" s="10"/>
      <c r="C17" s="15" t="s">
        <v>9</v>
      </c>
      <c r="D17" s="16"/>
      <c r="E17" s="108">
        <f>1000*E5*E8*E7*E9*E10/E6</f>
        <v>13.036525172754192</v>
      </c>
      <c r="F17" s="45" t="s">
        <v>327</v>
      </c>
      <c r="G17" s="45"/>
      <c r="H17" s="10"/>
      <c r="I17" s="10"/>
      <c r="J17" s="10"/>
      <c r="K17" s="10"/>
    </row>
    <row r="18" spans="1:14" ht="15.75" x14ac:dyDescent="0.25">
      <c r="A18" s="10"/>
      <c r="B18" s="10"/>
      <c r="C18" s="15" t="s">
        <v>22</v>
      </c>
      <c r="D18" s="16"/>
      <c r="E18" s="44" t="s">
        <v>250</v>
      </c>
      <c r="F18" s="10"/>
      <c r="G18" s="10"/>
      <c r="H18" s="10"/>
      <c r="I18" s="10"/>
      <c r="J18" s="10"/>
      <c r="K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4" ht="15.75" x14ac:dyDescent="0.25">
      <c r="A20" s="10"/>
      <c r="B20" s="17" t="s">
        <v>297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4" x14ac:dyDescent="0.25">
      <c r="A21" s="10"/>
      <c r="B21" s="10"/>
      <c r="C21" s="10"/>
      <c r="D21" s="8" t="s">
        <v>308</v>
      </c>
      <c r="E21" s="8" t="s">
        <v>304</v>
      </c>
      <c r="F21" s="8" t="s">
        <v>320</v>
      </c>
      <c r="G21" s="8" t="s">
        <v>201</v>
      </c>
      <c r="H21" s="8" t="s">
        <v>325</v>
      </c>
      <c r="I21" s="8" t="s">
        <v>326</v>
      </c>
      <c r="J21" s="8"/>
      <c r="K21" s="8"/>
      <c r="L21" s="2"/>
      <c r="M21" s="2"/>
      <c r="N21" s="2"/>
    </row>
    <row r="22" spans="1:14" x14ac:dyDescent="0.25">
      <c r="A22" s="10"/>
      <c r="B22" s="10"/>
      <c r="C22" s="11" t="s">
        <v>6</v>
      </c>
      <c r="D22" s="10">
        <v>0.65182625863770971</v>
      </c>
      <c r="E22" s="10">
        <v>50</v>
      </c>
      <c r="F22" s="10">
        <v>1</v>
      </c>
      <c r="G22" s="10">
        <v>1</v>
      </c>
      <c r="H22" s="10">
        <v>1</v>
      </c>
      <c r="I22" s="10">
        <v>1</v>
      </c>
      <c r="J22" s="10"/>
      <c r="K22" s="10"/>
    </row>
    <row r="23" spans="1:14" x14ac:dyDescent="0.25">
      <c r="A23" s="10"/>
      <c r="B23" s="10"/>
      <c r="C23" s="11" t="s">
        <v>7</v>
      </c>
      <c r="D23" s="10">
        <v>1.9275857036600997E-2</v>
      </c>
      <c r="E23" s="10">
        <v>4.8989794855663564E-2</v>
      </c>
      <c r="F23" s="10">
        <v>7.5162311209984248E-3</v>
      </c>
      <c r="G23" s="10">
        <v>6.1371841155234662E-2</v>
      </c>
      <c r="H23" s="10">
        <v>8.3999999999999995E-3</v>
      </c>
      <c r="I23" s="10">
        <v>7.5399999999999995E-2</v>
      </c>
      <c r="J23" s="10"/>
      <c r="K23" s="10"/>
    </row>
    <row r="24" spans="1:14" ht="16.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4" ht="16.5" customHeight="1" x14ac:dyDescent="0.25">
      <c r="A25" s="12"/>
      <c r="B25" s="13" t="s">
        <v>308</v>
      </c>
      <c r="C25" s="12">
        <v>0.65182625863770971</v>
      </c>
      <c r="D25" s="12">
        <f>$D$23+$D$22</f>
        <v>0.67110211567431066</v>
      </c>
      <c r="E25" s="12">
        <v>0.65182625863770971</v>
      </c>
      <c r="F25" s="12">
        <v>0.65182625863770971</v>
      </c>
      <c r="G25" s="12">
        <v>0.65182625863770971</v>
      </c>
      <c r="H25" s="12">
        <v>0.65182625863770971</v>
      </c>
      <c r="I25" s="12">
        <v>0.65182625863770971</v>
      </c>
      <c r="J25" s="12"/>
      <c r="K25" s="12"/>
    </row>
    <row r="26" spans="1:14" ht="16.5" customHeight="1" x14ac:dyDescent="0.25">
      <c r="A26" s="12"/>
      <c r="B26" s="13" t="s">
        <v>304</v>
      </c>
      <c r="C26" s="12">
        <v>50</v>
      </c>
      <c r="D26" s="12">
        <v>50</v>
      </c>
      <c r="E26" s="12">
        <f>$E$23+$E$22</f>
        <v>50.048989794855665</v>
      </c>
      <c r="F26" s="12">
        <v>50</v>
      </c>
      <c r="G26" s="12">
        <v>50</v>
      </c>
      <c r="H26" s="12">
        <v>50</v>
      </c>
      <c r="I26" s="12">
        <v>50</v>
      </c>
      <c r="J26" s="12"/>
      <c r="K26" s="12"/>
    </row>
    <row r="27" spans="1:14" ht="16.5" customHeight="1" x14ac:dyDescent="0.25">
      <c r="A27" s="12"/>
      <c r="B27" s="13" t="s">
        <v>320</v>
      </c>
      <c r="C27" s="12">
        <v>1</v>
      </c>
      <c r="D27" s="12">
        <v>1</v>
      </c>
      <c r="E27" s="12">
        <v>1</v>
      </c>
      <c r="F27" s="12">
        <f>$F$23+$F$22</f>
        <v>1.0075162311209984</v>
      </c>
      <c r="G27" s="12">
        <v>1</v>
      </c>
      <c r="H27" s="12">
        <v>1</v>
      </c>
      <c r="I27" s="12">
        <v>1</v>
      </c>
      <c r="J27" s="12"/>
      <c r="K27" s="12"/>
    </row>
    <row r="28" spans="1:14" ht="16.5" customHeight="1" x14ac:dyDescent="0.25">
      <c r="A28" s="12"/>
      <c r="B28" s="13" t="s">
        <v>201</v>
      </c>
      <c r="C28" s="12">
        <v>1</v>
      </c>
      <c r="D28" s="12">
        <v>1</v>
      </c>
      <c r="E28" s="12">
        <v>1</v>
      </c>
      <c r="F28" s="12">
        <v>1</v>
      </c>
      <c r="G28" s="12">
        <f>$G$23+$G$22</f>
        <v>1.0613718411552346</v>
      </c>
      <c r="H28" s="12">
        <v>1</v>
      </c>
      <c r="I28" s="12">
        <v>1</v>
      </c>
      <c r="J28" s="12"/>
      <c r="K28" s="12"/>
    </row>
    <row r="29" spans="1:14" ht="16.5" customHeight="1" x14ac:dyDescent="0.25">
      <c r="A29" s="12"/>
      <c r="B29" s="13" t="s">
        <v>325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2">
        <f>$H$23+$H$22</f>
        <v>1.0084</v>
      </c>
      <c r="I29" s="12">
        <v>1</v>
      </c>
      <c r="J29" s="12"/>
      <c r="K29" s="12"/>
    </row>
    <row r="30" spans="1:14" ht="16.5" customHeight="1" x14ac:dyDescent="0.25">
      <c r="A30" s="12"/>
      <c r="B30" s="13" t="s">
        <v>326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f>$I$23+$I$22</f>
        <v>1.0753999999999999</v>
      </c>
      <c r="J30" s="12"/>
      <c r="K30" s="12"/>
    </row>
    <row r="31" spans="1:14" ht="16.5" customHeight="1" x14ac:dyDescent="0.25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</row>
    <row r="32" spans="1:14" ht="16.5" customHeight="1" x14ac:dyDescent="0.25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6.5" customHeight="1" x14ac:dyDescent="0.25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6.5" customHeight="1" x14ac:dyDescent="0.25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6.5" customHeight="1" x14ac:dyDescent="0.25">
      <c r="A35" s="12"/>
      <c r="B35" s="13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6.5" customHeight="1" x14ac:dyDescent="0.25">
      <c r="A36" s="12"/>
      <c r="B36" s="13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2"/>
      <c r="B37" s="12" t="s">
        <v>8</v>
      </c>
      <c r="C37" s="12">
        <f t="shared" ref="C37:I37" si="0">1000*C25*C28*C27*C29*C30/C26</f>
        <v>13.036525172754192</v>
      </c>
      <c r="D37" s="12">
        <f t="shared" si="0"/>
        <v>13.422042313486212</v>
      </c>
      <c r="E37" s="12">
        <f t="shared" si="0"/>
        <v>13.023764541691275</v>
      </c>
      <c r="F37" s="12">
        <f t="shared" si="0"/>
        <v>13.134510708967328</v>
      </c>
      <c r="G37" s="12">
        <f t="shared" si="0"/>
        <v>13.83660072487268</v>
      </c>
      <c r="H37" s="12">
        <f t="shared" si="0"/>
        <v>13.146031984205329</v>
      </c>
      <c r="I37" s="12">
        <f t="shared" si="0"/>
        <v>14.019479170779857</v>
      </c>
      <c r="J37" s="12"/>
      <c r="K37" s="12"/>
    </row>
    <row r="38" spans="1:11" x14ac:dyDescent="0.25">
      <c r="A38" s="12"/>
      <c r="B38" s="12" t="s">
        <v>186</v>
      </c>
      <c r="C38" s="12"/>
      <c r="D38" s="107">
        <f>$D$37-$E$17</f>
        <v>0.38551714073201993</v>
      </c>
      <c r="E38" s="107">
        <f>$E$37-$E$17</f>
        <v>-1.2760631062917582E-2</v>
      </c>
      <c r="F38" s="107">
        <f>$F$37-$E$17</f>
        <v>9.798553621313566E-2</v>
      </c>
      <c r="G38" s="107">
        <f>$G$37-$E$17</f>
        <v>0.80007555211848747</v>
      </c>
      <c r="H38" s="107">
        <f>$H$37-$E$17</f>
        <v>0.10950681145113705</v>
      </c>
      <c r="I38" s="107">
        <f>$I$37-$E$17</f>
        <v>0.98295399802566408</v>
      </c>
      <c r="J38" s="107"/>
      <c r="K38" s="12"/>
    </row>
    <row r="39" spans="1:11" x14ac:dyDescent="0.25">
      <c r="A39" s="12"/>
      <c r="B39" s="12" t="s">
        <v>187</v>
      </c>
      <c r="C39" s="12"/>
      <c r="D39" s="12">
        <f>ABS($D$37-$E$17)</f>
        <v>0.38551714073201993</v>
      </c>
      <c r="E39" s="12">
        <f>ABS($E$37-$E$17)</f>
        <v>1.2760631062917582E-2</v>
      </c>
      <c r="F39" s="12">
        <f>ABS($F$37-$E$17)</f>
        <v>9.798553621313566E-2</v>
      </c>
      <c r="G39" s="12">
        <f>ABS($G$37-$E$17)</f>
        <v>0.80007555211848747</v>
      </c>
      <c r="H39" s="12">
        <f>ABS($H$37-$E$17)</f>
        <v>0.10950681145113705</v>
      </c>
      <c r="I39" s="12">
        <f>ABS($I$37-$E$17)</f>
        <v>0.98295399802566408</v>
      </c>
      <c r="J39" s="12"/>
      <c r="K39" s="12"/>
    </row>
    <row r="40" spans="1:11" x14ac:dyDescent="0.25">
      <c r="A40" s="12"/>
      <c r="B40" s="12" t="s">
        <v>188</v>
      </c>
      <c r="C40" s="12">
        <f>SUM($D$40:$I$40)</f>
        <v>1.7766986578968265</v>
      </c>
      <c r="D40" s="12">
        <f>($D$37-$E$17)^2</f>
        <v>0.14862346579819205</v>
      </c>
      <c r="E40" s="12">
        <f>($E$37-$E$17)^2</f>
        <v>1.628337051238971E-4</v>
      </c>
      <c r="F40" s="12">
        <f>($F$37-$E$17)^2</f>
        <v>9.6011653069757192E-3</v>
      </c>
      <c r="G40" s="12">
        <f>($G$37-$E$17)^2</f>
        <v>0.64012088909770259</v>
      </c>
      <c r="H40" s="12">
        <f>($H$37-$E$17)^2</f>
        <v>1.1991741754194882E-2</v>
      </c>
      <c r="I40" s="12">
        <f>($I$37-$E$17)^2</f>
        <v>0.96619856223463718</v>
      </c>
      <c r="J40" s="12"/>
      <c r="K40" s="12"/>
    </row>
    <row r="41" spans="1:11" x14ac:dyDescent="0.25">
      <c r="A41" s="10"/>
      <c r="B41" s="10" t="s">
        <v>181</v>
      </c>
      <c r="C41" s="10"/>
      <c r="D41" s="10">
        <f>100*(($D$37 - $E$17)^2)/$C$40</f>
        <v>8.3651476370295459</v>
      </c>
      <c r="E41" s="10">
        <f>100*(($E$37 - $E$17)^2)/$C$40</f>
        <v>9.1649590885970553E-3</v>
      </c>
      <c r="F41" s="10">
        <f>100*(($F$37 - $E$17)^2)/$C$40</f>
        <v>0.54039357008020339</v>
      </c>
      <c r="G41" s="10">
        <f>100*(($G$37 - $E$17)^2)/$C$40</f>
        <v>36.028669591918757</v>
      </c>
      <c r="H41" s="10">
        <f>100*(($H$37 - $E$17)^2)/$C$40</f>
        <v>0.67494516872040367</v>
      </c>
      <c r="I41" s="10">
        <f>100*(($I$37 - $E$17)^2)/$C$40</f>
        <v>54.381679073162481</v>
      </c>
      <c r="J41" s="10"/>
      <c r="K41" s="10"/>
    </row>
    <row r="42" spans="1:11" ht="15.75" x14ac:dyDescent="0.25">
      <c r="A42" s="10"/>
      <c r="B42" s="15"/>
      <c r="C42" s="15"/>
      <c r="D42" s="15"/>
      <c r="E42" s="10"/>
      <c r="F42" s="10"/>
      <c r="G42" s="10"/>
      <c r="H42" s="10"/>
      <c r="I42" s="10"/>
      <c r="J42" s="10"/>
      <c r="K42" s="10"/>
    </row>
    <row r="43" spans="1:11" ht="15.75" x14ac:dyDescent="0.25">
      <c r="A43" s="10"/>
      <c r="B43" s="43" t="s">
        <v>23</v>
      </c>
      <c r="C43" s="32">
        <f>SQRT($C$40)</f>
        <v>1.3329286019501669</v>
      </c>
      <c r="D43" s="49" t="s">
        <v>250</v>
      </c>
      <c r="E43" s="10"/>
      <c r="F43" s="10"/>
      <c r="G43" s="10"/>
      <c r="H43" s="10"/>
      <c r="I43" s="10"/>
      <c r="J43" s="10"/>
      <c r="K43" s="10"/>
    </row>
    <row r="44" spans="1:11" ht="15.75" x14ac:dyDescent="0.25">
      <c r="A44" s="10"/>
      <c r="B44" s="15" t="s">
        <v>182</v>
      </c>
      <c r="C44" s="15">
        <f>100*SQRT($C$40)/($E$17)</f>
        <v>10.224569693893073</v>
      </c>
      <c r="D44" s="15"/>
      <c r="E44" s="10"/>
      <c r="F44" s="10"/>
      <c r="G44" s="10"/>
      <c r="H44" s="10"/>
      <c r="I44" s="10"/>
      <c r="J44" s="10"/>
      <c r="K44" s="10"/>
    </row>
    <row r="45" spans="1:11" ht="31.5" x14ac:dyDescent="0.25">
      <c r="A45" s="10"/>
      <c r="B45" s="43" t="s">
        <v>183</v>
      </c>
      <c r="C45" s="15">
        <f>2*SQRT($C$40)</f>
        <v>2.6658572039003339</v>
      </c>
      <c r="D45" s="50" t="s">
        <v>250</v>
      </c>
      <c r="E45" s="10"/>
      <c r="F45" s="10"/>
      <c r="G45" s="10"/>
      <c r="H45" s="10"/>
      <c r="I45" s="10"/>
      <c r="J45" s="10"/>
      <c r="K45" s="10"/>
    </row>
    <row r="46" spans="1:11" ht="15.75" x14ac:dyDescent="0.25">
      <c r="A46" s="10"/>
      <c r="B46" s="15" t="s">
        <v>184</v>
      </c>
      <c r="C46" s="15">
        <f>2*100*SQRT($C$40)/($E$17)</f>
        <v>20.449139387786147</v>
      </c>
      <c r="D46" s="50"/>
      <c r="E46" s="10"/>
      <c r="F46" s="10"/>
      <c r="G46" s="10"/>
      <c r="H46" s="10"/>
      <c r="I46" s="10"/>
      <c r="J46" s="10"/>
      <c r="K46" s="10"/>
    </row>
    <row r="51" spans="2:10" x14ac:dyDescent="0.25">
      <c r="B51" t="s">
        <v>308</v>
      </c>
      <c r="C51">
        <v>0.38551714073201993</v>
      </c>
      <c r="D51" s="37"/>
      <c r="H51" s="14"/>
      <c r="I51" s="12"/>
      <c r="J51" s="36"/>
    </row>
    <row r="52" spans="2:10" x14ac:dyDescent="0.25">
      <c r="B52" t="s">
        <v>304</v>
      </c>
      <c r="C52">
        <v>1.2760631062917582E-2</v>
      </c>
      <c r="D52" s="37"/>
      <c r="H52" s="14"/>
      <c r="I52" s="12"/>
      <c r="J52" s="36"/>
    </row>
    <row r="53" spans="2:10" x14ac:dyDescent="0.25">
      <c r="B53" t="s">
        <v>320</v>
      </c>
      <c r="C53">
        <v>9.798553621313566E-2</v>
      </c>
      <c r="D53" s="37"/>
      <c r="H53" s="14"/>
      <c r="I53" s="12"/>
      <c r="J53" s="36"/>
    </row>
    <row r="54" spans="2:10" x14ac:dyDescent="0.25">
      <c r="B54" t="s">
        <v>201</v>
      </c>
      <c r="C54">
        <v>0.80007555211848747</v>
      </c>
      <c r="D54" s="37"/>
      <c r="H54" s="14"/>
      <c r="I54" s="12"/>
      <c r="J54" s="36"/>
    </row>
    <row r="55" spans="2:10" x14ac:dyDescent="0.25">
      <c r="B55" t="s">
        <v>325</v>
      </c>
      <c r="C55">
        <v>0.10950681145113705</v>
      </c>
      <c r="D55" s="38"/>
      <c r="E55" s="2"/>
      <c r="F55" s="2"/>
      <c r="H55" s="14"/>
      <c r="I55" s="12"/>
      <c r="J55" s="36"/>
    </row>
    <row r="56" spans="2:10" x14ac:dyDescent="0.25">
      <c r="B56" t="s">
        <v>326</v>
      </c>
      <c r="C56">
        <v>0.98295399802566408</v>
      </c>
      <c r="D56" s="37"/>
      <c r="H56" s="14"/>
      <c r="I56" s="12"/>
      <c r="J56" s="36"/>
    </row>
    <row r="57" spans="2:10" x14ac:dyDescent="0.25">
      <c r="B57" t="s">
        <v>185</v>
      </c>
      <c r="C57">
        <v>1.3329286019501669</v>
      </c>
      <c r="D57" s="37"/>
      <c r="H57" s="14"/>
      <c r="I57" s="12"/>
      <c r="J57" s="36"/>
    </row>
    <row r="58" spans="2:10" x14ac:dyDescent="0.25">
      <c r="D58" s="37"/>
    </row>
    <row r="59" spans="2:10" x14ac:dyDescent="0.25">
      <c r="C59" s="1"/>
    </row>
    <row r="60" spans="2:10" x14ac:dyDescent="0.25">
      <c r="C60" s="1"/>
    </row>
    <row r="61" spans="2:10" x14ac:dyDescent="0.25">
      <c r="C61" s="1"/>
    </row>
    <row r="62" spans="2:10" x14ac:dyDescent="0.25">
      <c r="C62" s="1"/>
    </row>
    <row r="63" spans="2:10" x14ac:dyDescent="0.25">
      <c r="C63" s="1"/>
      <c r="D63" s="1"/>
      <c r="E63" s="1"/>
      <c r="F63" s="1"/>
    </row>
    <row r="66" spans="2:29" ht="15.75" x14ac:dyDescent="0.25">
      <c r="B66" s="15"/>
      <c r="C66" s="3"/>
    </row>
    <row r="68" spans="2:29" ht="15.75" x14ac:dyDescent="0.25">
      <c r="B68" s="15" t="s">
        <v>178</v>
      </c>
    </row>
    <row r="69" spans="2:29" x14ac:dyDescent="0.25">
      <c r="B69" s="49"/>
      <c r="R69" t="s">
        <v>176</v>
      </c>
    </row>
    <row r="70" spans="2:29" ht="31.5" x14ac:dyDescent="0.25">
      <c r="B70" s="91" t="s">
        <v>157</v>
      </c>
      <c r="C70" s="89" t="str">
        <f>IF(C43^4/SUM(Крагтен!R70:AC70)&gt;50,"&gt;50",C43^4/(SUM(Крагтен!R70:AC70)))</f>
        <v>&gt;50</v>
      </c>
      <c r="R70" s="96">
        <f>IF(Крагтен!K5&lt;&gt;0,Крагтен!D39^4/Крагтен!K5,Крагтен!D39^4/10^8)</f>
        <v>9.6038846025505928E-4</v>
      </c>
      <c r="S70" s="96">
        <f>IF(Крагтен!K6&lt;&gt;0,Крагтен!E39^4/Крагтен!K6,Крагтен!E39^4/10^8)</f>
        <v>2.6514815524376272E-16</v>
      </c>
      <c r="T70" s="96">
        <f>IF(Крагтен!K7&lt;&gt;0,Крагтен!F39^4/Крагтен!K7,Крагтен!F39^4/10^8)</f>
        <v>9.2182375251874169E-13</v>
      </c>
      <c r="U70" s="96">
        <f>IF(Крагтен!K8&lt;&gt;0,Крагтен!G39^4/Крагтен!K8,Крагтен!G39^4/10^8)</f>
        <v>4.0975475265923324E-9</v>
      </c>
      <c r="V70" s="96">
        <f>IF(Крагтен!K9&lt;&gt;0,Крагтен!H39^4/Крагтен!K9,Крагтен!H39^4/10^8)</f>
        <v>4.6387700096548694E-6</v>
      </c>
      <c r="W70" s="96">
        <f>IF(Крагтен!K10&lt;&gt;0,Крагтен!I39^4/Крагтен!K10,Крагтен!I39^4/10^8)</f>
        <v>9.3353966166428007E-9</v>
      </c>
      <c r="X70" s="96">
        <f>IF(Крагтен!K11&lt;&gt;0,Крагтен!J39^4/Крагтен!K11,Крагтен!J39^4/10^8)</f>
        <v>0</v>
      </c>
      <c r="Y70" s="96">
        <f>IF(Крагтен!K12&lt;&gt;0,Крагтен!K39^4/Крагтен!K12,Крагтен!K39^4/10^8)</f>
        <v>0</v>
      </c>
      <c r="Z70" s="96">
        <f>IF(Крагтен!K13&gt;0,Крагтен!L39^4/Крагтен!K13,Крагтен!L39^4/10^8)</f>
        <v>0</v>
      </c>
      <c r="AA70" s="96">
        <f>IF(Крагтен!K14&lt;&gt;0,Крагтен!M39^4/Крагтен!K14,Крагтен!M39^4/10^8)</f>
        <v>0</v>
      </c>
      <c r="AB70" s="96">
        <f>IF(Крагтен!K15&lt;&gt;0,Крагтен!N39^4/Крагтен!K15,Крагтен!N39^4/10^8)</f>
        <v>0</v>
      </c>
      <c r="AC70" s="96">
        <f>IF(Крагтен!K16&lt;&gt;0,Крагтен!O39^4/Крагтен!K16,Крагтен!O39^4/10^8)</f>
        <v>0</v>
      </c>
    </row>
    <row r="71" spans="2:29" ht="31.5" x14ac:dyDescent="0.25">
      <c r="B71" s="91" t="s">
        <v>158</v>
      </c>
      <c r="C71" s="90">
        <f>INDEX(Справочник!C58:C107,MATCH(Крагтен!C70,Справочник!B58:B107))</f>
        <v>2.0089999999999999</v>
      </c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</row>
    <row r="72" spans="2:29" ht="15.75" x14ac:dyDescent="0.25">
      <c r="J72" s="93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</row>
    <row r="73" spans="2:29" ht="15.75" x14ac:dyDescent="0.25">
      <c r="B73" s="15" t="s">
        <v>172</v>
      </c>
      <c r="C73" s="247" t="str">
        <f>Крагтен!T77&amp;" " &amp;Крагтен!S78&amp;" "&amp;Крагтен!T76</f>
        <v>13,0 ± 2,7</v>
      </c>
      <c r="D73" s="247"/>
      <c r="E73" s="15" t="str">
        <f>E18</f>
        <v>мг/дм3</v>
      </c>
      <c r="F73" s="15" t="str">
        <f>"k="&amp;ROUND(C71,1)</f>
        <v>k=2</v>
      </c>
      <c r="R73" s="96" t="s">
        <v>177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</row>
    <row r="74" spans="2:29" ht="15.75" x14ac:dyDescent="0.25">
      <c r="B74" s="15" t="s">
        <v>173</v>
      </c>
      <c r="C74" s="247" t="str">
        <f>Крагтен!U77&amp;" " &amp;Крагтен!S78&amp;" "&amp;Крагтен!U76</f>
        <v>13 ± 3</v>
      </c>
      <c r="D74" s="247"/>
      <c r="E74" s="15" t="str">
        <f>E18</f>
        <v>мг/дм3</v>
      </c>
      <c r="F74" s="15" t="str">
        <f>"k="&amp;ROUND(C71,1)</f>
        <v>k=2</v>
      </c>
      <c r="R74" s="99"/>
      <c r="S74" s="100"/>
      <c r="T74" s="96"/>
      <c r="U74" s="96"/>
      <c r="V74" s="96"/>
      <c r="W74" s="97" t="s">
        <v>170</v>
      </c>
      <c r="X74" s="101">
        <f>ROUND(S76,2-(1+INT(LOG10((ABS(S76))))))</f>
        <v>2.7</v>
      </c>
      <c r="Y74" s="96">
        <f>ROUND(S77,X76)</f>
        <v>13</v>
      </c>
      <c r="Z74" s="96"/>
      <c r="AA74" s="96"/>
      <c r="AB74" s="96"/>
      <c r="AC74" s="96"/>
    </row>
    <row r="75" spans="2:29" ht="15.75" x14ac:dyDescent="0.25">
      <c r="R75" s="98"/>
      <c r="S75" s="102" t="s">
        <v>166</v>
      </c>
      <c r="T75" s="102" t="s">
        <v>167</v>
      </c>
      <c r="U75" s="102" t="s">
        <v>168</v>
      </c>
      <c r="V75" s="96"/>
      <c r="W75" s="97" t="s">
        <v>171</v>
      </c>
      <c r="X75" s="101">
        <f>ROUND(S76,1-(1+INT(LOG10((ABS(S76))))))</f>
        <v>3</v>
      </c>
      <c r="Y75" s="96">
        <f>ROUND(S77,X77)</f>
        <v>13</v>
      </c>
      <c r="Z75" s="96"/>
      <c r="AA75" s="96"/>
      <c r="AB75" s="96"/>
      <c r="AC75" s="96"/>
    </row>
    <row r="76" spans="2:29" ht="15.75" x14ac:dyDescent="0.25">
      <c r="B76" s="2" t="s">
        <v>298</v>
      </c>
      <c r="C76" s="237" t="s">
        <v>299</v>
      </c>
      <c r="R76" s="99" t="s">
        <v>164</v>
      </c>
      <c r="S76" s="103">
        <f>Крагтен!C71*Крагтен!C43</f>
        <v>2.6778535613178853</v>
      </c>
      <c r="T76" s="104" t="str">
        <f>IF(X76=-3,TEXT(X74,"0000"),IF(X76=-2,TEXT(X74,"000"),IF(X76=-1,TEXT(X74,"00"),IF(X76=0,TEXT(X74,"0"),IF(X76=1,TEXT(X74,"0,0"),IF(X76=2,TEXT(X74,"0,00"),IF(X76=3,TEXT(X74,"0,000"),IF(X76=4,TEXT(X74,"0,0000"),IF(X76=5,TEXT(X74,"0,00000"),IF(X76=6,TEXT(X74,"0,000000")))))))))))</f>
        <v>2,7</v>
      </c>
      <c r="U76" s="104" t="str">
        <f>IF(X77=-3,TEXT(X75,"0000"),IF(X77=-2,TEXT(X75,"000"),IF(X77=-1,TEXT(X75,"00"),IF(X77=0,TEXT(X75,"0"),IF(X77=1,TEXT(X75,"0,0"),IF(X77=2,TEXT(X75,"0,00"),IF(X77=3,TEXT(X75,"0,000"),IF(X77=4,TEXT(X75,"0,0000"),IF(X77=5,TEXT(X75,"0,00000"),IF(X77=6,TEXT(X75,"0,000000")))))))))))</f>
        <v>3</v>
      </c>
      <c r="V76" s="96"/>
      <c r="W76" s="28" t="s">
        <v>169</v>
      </c>
      <c r="X76" s="101">
        <f>2-(1+INT(LOG10((ABS(S76)))))</f>
        <v>1</v>
      </c>
      <c r="Y76" s="96"/>
      <c r="Z76" s="96"/>
      <c r="AA76" s="96"/>
      <c r="AB76" s="96"/>
      <c r="AC76" s="96"/>
    </row>
    <row r="77" spans="2:29" ht="15.75" x14ac:dyDescent="0.25">
      <c r="B77" s="2" t="s">
        <v>300</v>
      </c>
      <c r="C77" s="238">
        <v>44727</v>
      </c>
      <c r="R77" s="99" t="s">
        <v>8</v>
      </c>
      <c r="S77" s="104">
        <f>Крагтен!E17</f>
        <v>13.036525172754192</v>
      </c>
      <c r="T77" s="104" t="str">
        <f>IF(X76=-3,TEXT(Y74,"0000"),IF(X76=-2,TEXT(Y74,"000"),IF(X76=-1,TEXT(Y74,"00"),IF(X76=0,TEXT(Y74,"0"),IF(X76=1,TEXT(Y74,"0,0"),IF(X76=2,TEXT(Y74,"0,00"),IF(X76=3,TEXT(Y74,"0,000"),IF(X76=4,TEXT(Y74,"0,0000"),IF(X76=5,TEXT(Y74,"0,00000"),IF(X76=6,TEXT(Y74,"0,000000")))))))))))</f>
        <v>13,0</v>
      </c>
      <c r="U77" s="104" t="str">
        <f>IF(X77=-3,TEXT(Y75,"0000"),IF(X77=-2,TEXT(Y75,"000"),IF(X77=-1,TEXT(Y75,"00"),IF(X77=0,TEXT(Y75,"0"),IF(X77=1,TEXT(Y75,"0,0"),IF(X77=2,TEXT(Y75,"0,00"),IF(X77=3,TEXT(Y75,"0,000"),IF(X77=4,TEXT(Y75,"0,0000"),IF(X77=5,TEXT(Y75,"0,00000"),IF(X77=6,TEXT(Y75,"0,000000")))))))))))</f>
        <v>13</v>
      </c>
      <c r="V77" s="96"/>
      <c r="W77" s="28" t="s">
        <v>169</v>
      </c>
      <c r="X77" s="101">
        <f>1-(1+INT(LOG10((ABS(S76)))))</f>
        <v>0</v>
      </c>
      <c r="Y77" s="96"/>
      <c r="Z77" s="96"/>
      <c r="AA77" s="96"/>
      <c r="AB77" s="96"/>
      <c r="AC77" s="96"/>
    </row>
    <row r="78" spans="2:29" ht="15.75" x14ac:dyDescent="0.25">
      <c r="B78" s="2"/>
      <c r="C78" s="2"/>
      <c r="R78" s="99" t="s">
        <v>180</v>
      </c>
      <c r="S78" s="95" t="s">
        <v>175</v>
      </c>
    </row>
    <row r="79" spans="2:29" x14ac:dyDescent="0.25">
      <c r="B79" s="2"/>
      <c r="C79" s="236"/>
    </row>
  </sheetData>
  <dataConsolidate/>
  <mergeCells count="4">
    <mergeCell ref="C1:K1"/>
    <mergeCell ref="C73:D73"/>
    <mergeCell ref="C74:D74"/>
    <mergeCell ref="A1:B1"/>
  </mergeCells>
  <dataValidations count="5">
    <dataValidation type="decimal" allowBlank="1" showInputMessage="1" showErrorMessage="1" sqref="E12:E16" xr:uid="{00000000-0002-0000-0000-000000000000}">
      <formula1>0</formula1>
      <formula2>10000000</formula2>
    </dataValidation>
    <dataValidation type="decimal" allowBlank="1" showInputMessage="1" showErrorMessage="1" sqref="F12:F16" xr:uid="{00000000-0002-0000-0000-000001000000}">
      <formula1>0</formula1>
      <formula2>100000000</formula2>
    </dataValidation>
    <dataValidation type="whole" allowBlank="1" showInputMessage="1" showErrorMessage="1" sqref="K5:K16" xr:uid="{00000000-0002-0000-0000-000002000000}">
      <formula1>1</formula1>
      <formula2>1000</formula2>
    </dataValidation>
    <dataValidation type="list" allowBlank="1" showInputMessage="1" showErrorMessage="1" sqref="G5:G16" xr:uid="{00000000-0002-0000-0000-000003000000}">
      <formula1>ВидРаспределения</formula1>
    </dataValidation>
    <dataValidation type="list" allowBlank="1" showInputMessage="1" showErrorMessage="1" sqref="D5:D16" xr:uid="{00000000-0002-0000-0000-000004000000}">
      <formula1>Тип_оценивания</formula1>
    </dataValidation>
  </dataValidations>
  <pageMargins left="0.7" right="0.7" top="0.75" bottom="0.75" header="0.3" footer="0.3"/>
  <pageSetup paperSize="9" scale="80" orientation="landscape" r:id="rId1"/>
  <rowBreaks count="1" manualBreakCount="1">
    <brk id="3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6913" r:id="rId4" name="Rasc">
              <controlPr defaultSize="0" print="0" disabled="1" autoFill="0" autoPict="0" macro="[0]!Rasc_Щелчок">
                <anchor>
                  <from>
                    <xdr:col>6</xdr:col>
                    <xdr:colOff>304800</xdr:colOff>
                    <xdr:row>1</xdr:row>
                    <xdr:rowOff>57150</xdr:rowOff>
                  </from>
                  <to>
                    <xdr:col>7</xdr:col>
                    <xdr:colOff>295275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14" r:id="rId5" name="ClearBut">
              <controlPr defaultSize="0" print="0" autoFill="0" autoPict="0" macro="[0]!ClearBut_Щелчок">
                <anchor>
                  <from>
                    <xdr:col>7</xdr:col>
                    <xdr:colOff>685800</xdr:colOff>
                    <xdr:row>1</xdr:row>
                    <xdr:rowOff>57150</xdr:rowOff>
                  </from>
                  <to>
                    <xdr:col>9</xdr:col>
                    <xdr:colOff>47625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15" r:id="rId6" name="Button 3">
              <controlPr defaultSize="0" print="0" autoFill="0" autoPict="0" macro="[0]!Кнопка4_Щелчок">
                <anchor moveWithCells="1" sizeWithCells="1">
                  <from>
                    <xdr:col>9</xdr:col>
                    <xdr:colOff>333375</xdr:colOff>
                    <xdr:row>1</xdr:row>
                    <xdr:rowOff>57150</xdr:rowOff>
                  </from>
                  <to>
                    <xdr:col>10</xdr:col>
                    <xdr:colOff>571500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5000000}">
          <x14:formula1>
            <xm:f>Списки!$B$2:$B$3</xm:f>
          </x14:formula1>
          <xm:sqref>T5:T7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/>
  <dimension ref="A1:AC79"/>
  <sheetViews>
    <sheetView topLeftCell="E53" zoomScaleNormal="100" workbookViewId="0">
      <selection activeCell="Q1" sqref="Q1:AD1048576"/>
    </sheetView>
  </sheetViews>
  <sheetFormatPr defaultRowHeight="15" x14ac:dyDescent="0.25"/>
  <cols>
    <col min="1" max="1" width="5.28515625" customWidth="1"/>
    <col min="2" max="2" width="23.28515625" customWidth="1"/>
    <col min="3" max="3" width="14.85546875" customWidth="1"/>
    <col min="4" max="4" width="10.7109375" customWidth="1"/>
    <col min="5" max="5" width="11.42578125" customWidth="1"/>
    <col min="6" max="6" width="11.7109375" customWidth="1"/>
    <col min="7" max="7" width="14.140625" customWidth="1"/>
    <col min="8" max="8" width="15.5703125" customWidth="1"/>
    <col min="9" max="9" width="8" customWidth="1"/>
    <col min="10" max="10" width="10.42578125" customWidth="1"/>
    <col min="17" max="30" width="11" customWidth="1"/>
  </cols>
  <sheetData>
    <row r="1" spans="1:22" ht="35.25" customHeight="1" thickBot="1" x14ac:dyDescent="0.3">
      <c r="A1" s="247" t="s">
        <v>295</v>
      </c>
      <c r="B1" s="247"/>
      <c r="C1" s="249" t="s">
        <v>310</v>
      </c>
      <c r="D1" s="244"/>
      <c r="E1" s="244"/>
      <c r="F1" s="244"/>
      <c r="G1" s="244"/>
      <c r="H1" s="244"/>
      <c r="I1" s="244"/>
      <c r="J1" s="244"/>
      <c r="K1" s="245"/>
    </row>
    <row r="2" spans="1:22" ht="20.25" customHeight="1" x14ac:dyDescent="0.25">
      <c r="K2" s="39"/>
    </row>
    <row r="3" spans="1:22" ht="15.75" x14ac:dyDescent="0.25">
      <c r="A3" s="17" t="s">
        <v>296</v>
      </c>
    </row>
    <row r="4" spans="1:22" ht="36" customHeight="1" x14ac:dyDescent="0.25">
      <c r="A4" s="83" t="s">
        <v>5</v>
      </c>
      <c r="B4" s="84" t="s">
        <v>15</v>
      </c>
      <c r="C4" s="84" t="s">
        <v>1</v>
      </c>
      <c r="D4" s="84" t="s">
        <v>19</v>
      </c>
      <c r="E4" s="84" t="s">
        <v>2</v>
      </c>
      <c r="F4" s="84" t="s">
        <v>21</v>
      </c>
      <c r="G4" s="84" t="s">
        <v>3</v>
      </c>
      <c r="H4" s="85" t="s">
        <v>20</v>
      </c>
      <c r="I4" s="84" t="s">
        <v>43</v>
      </c>
      <c r="J4" s="84" t="s">
        <v>49</v>
      </c>
      <c r="K4" s="84" t="s">
        <v>155</v>
      </c>
    </row>
    <row r="5" spans="1:22" ht="25.5" x14ac:dyDescent="0.25">
      <c r="A5" s="46">
        <v>1</v>
      </c>
      <c r="B5" s="205" t="s">
        <v>257</v>
      </c>
      <c r="C5" s="46" t="s">
        <v>191</v>
      </c>
      <c r="D5" s="46" t="s">
        <v>174</v>
      </c>
      <c r="E5" s="81">
        <v>1</v>
      </c>
      <c r="F5" s="81">
        <v>0.01</v>
      </c>
      <c r="G5" s="48" t="s">
        <v>11</v>
      </c>
      <c r="H5" s="113">
        <f>$F$5/1.96</f>
        <v>5.1020408163265311E-3</v>
      </c>
      <c r="I5" s="86">
        <v>46.077361805802575</v>
      </c>
      <c r="J5" s="111">
        <v>0.19999999999999149</v>
      </c>
      <c r="K5" s="46"/>
      <c r="R5" s="18"/>
      <c r="S5" s="19"/>
      <c r="T5" s="19"/>
      <c r="U5" s="19"/>
      <c r="V5" s="19"/>
    </row>
    <row r="6" spans="1:22" x14ac:dyDescent="0.25">
      <c r="A6" s="46">
        <v>2</v>
      </c>
      <c r="B6" s="205" t="s">
        <v>192</v>
      </c>
      <c r="C6" s="48" t="s">
        <v>193</v>
      </c>
      <c r="D6" s="46" t="s">
        <v>174</v>
      </c>
      <c r="E6" s="81">
        <v>5</v>
      </c>
      <c r="F6" s="81">
        <v>0.03</v>
      </c>
      <c r="G6" s="48" t="s">
        <v>0</v>
      </c>
      <c r="H6" s="113">
        <f>$F$6/SQRT(6)</f>
        <v>1.2247448713915891E-2</v>
      </c>
      <c r="I6" s="86">
        <v>10.620647586791319</v>
      </c>
      <c r="J6" s="111">
        <v>4.0000000000000278E-2</v>
      </c>
      <c r="K6" s="46"/>
      <c r="R6" s="18"/>
      <c r="S6" s="19"/>
      <c r="T6" s="19"/>
      <c r="U6" s="19"/>
      <c r="V6" s="19"/>
    </row>
    <row r="7" spans="1:22" x14ac:dyDescent="0.25">
      <c r="A7" s="46">
        <v>3</v>
      </c>
      <c r="B7" s="205" t="s">
        <v>194</v>
      </c>
      <c r="C7" s="46" t="s">
        <v>189</v>
      </c>
      <c r="D7" s="46" t="s">
        <v>174</v>
      </c>
      <c r="E7" s="205">
        <v>2</v>
      </c>
      <c r="F7" s="81">
        <v>0.02</v>
      </c>
      <c r="G7" s="48" t="s">
        <v>0</v>
      </c>
      <c r="H7" s="113">
        <f>$F$7/SQRT(6)</f>
        <v>8.1649658092772612E-3</v>
      </c>
      <c r="I7" s="86">
        <v>29.501798852195435</v>
      </c>
      <c r="J7" s="111">
        <v>9.9999999999996161E-2</v>
      </c>
      <c r="K7" s="46"/>
      <c r="R7" s="18"/>
      <c r="S7" s="19"/>
      <c r="T7" s="19"/>
      <c r="U7" s="19"/>
      <c r="V7" s="19"/>
    </row>
    <row r="8" spans="1:22" x14ac:dyDescent="0.25">
      <c r="A8" s="46">
        <v>4</v>
      </c>
      <c r="B8" s="205" t="s">
        <v>195</v>
      </c>
      <c r="C8" s="48" t="s">
        <v>196</v>
      </c>
      <c r="D8" s="105" t="s">
        <v>174</v>
      </c>
      <c r="E8" s="206">
        <v>50</v>
      </c>
      <c r="F8" s="81">
        <v>0.12</v>
      </c>
      <c r="G8" s="48" t="s">
        <v>0</v>
      </c>
      <c r="H8" s="113">
        <f>$F$8/SQRT(6)</f>
        <v>4.8989794855663564E-2</v>
      </c>
      <c r="I8" s="86">
        <v>1.6959785600775892</v>
      </c>
      <c r="J8" s="111">
        <v>3.9960846526527326E-3</v>
      </c>
      <c r="K8" s="46"/>
    </row>
    <row r="9" spans="1:22" x14ac:dyDescent="0.25">
      <c r="A9" s="46">
        <v>5</v>
      </c>
      <c r="B9" s="205" t="s">
        <v>197</v>
      </c>
      <c r="C9" s="48" t="s">
        <v>190</v>
      </c>
      <c r="D9" s="46" t="s">
        <v>18</v>
      </c>
      <c r="E9" s="81">
        <v>50</v>
      </c>
      <c r="F9" s="81">
        <v>0.12</v>
      </c>
      <c r="G9" s="48" t="s">
        <v>0</v>
      </c>
      <c r="H9" s="113">
        <f>$F$9/SQRT(6)</f>
        <v>4.8989794855663564E-2</v>
      </c>
      <c r="I9" s="86">
        <v>1.6959785600775892</v>
      </c>
      <c r="J9" s="111">
        <v>3.9960846526527326E-3</v>
      </c>
      <c r="K9" s="46"/>
    </row>
    <row r="10" spans="1:22" ht="25.5" x14ac:dyDescent="0.25">
      <c r="A10" s="46">
        <v>6</v>
      </c>
      <c r="B10" s="205" t="s">
        <v>198</v>
      </c>
      <c r="C10" s="48" t="s">
        <v>199</v>
      </c>
      <c r="D10" s="46" t="s">
        <v>18</v>
      </c>
      <c r="E10" s="207">
        <v>1</v>
      </c>
      <c r="F10" s="81">
        <f>5*4*0.00021</f>
        <v>4.2000000000000006E-3</v>
      </c>
      <c r="G10" s="48" t="s">
        <v>4</v>
      </c>
      <c r="H10" s="113">
        <f>$F$10/SQRT(3)</f>
        <v>2.4248711305964285E-3</v>
      </c>
      <c r="I10" s="86">
        <v>10.408234635055495</v>
      </c>
      <c r="J10" s="111">
        <v>0.2000000000000014</v>
      </c>
      <c r="K10" s="46"/>
    </row>
    <row r="11" spans="1:22" x14ac:dyDescent="0.25">
      <c r="A11" s="46"/>
      <c r="B11" s="106"/>
      <c r="C11" s="46"/>
      <c r="D11" s="46"/>
      <c r="E11" s="205"/>
      <c r="F11" s="112"/>
      <c r="G11" s="48"/>
      <c r="H11" s="113"/>
      <c r="I11" s="86"/>
      <c r="J11" s="111"/>
      <c r="K11" s="46"/>
    </row>
    <row r="12" spans="1:22" x14ac:dyDescent="0.25">
      <c r="A12" s="46"/>
      <c r="B12" s="106"/>
      <c r="C12" s="48"/>
      <c r="D12" s="46"/>
      <c r="E12" s="207"/>
      <c r="F12" s="81"/>
      <c r="G12" s="48"/>
      <c r="H12" s="113"/>
      <c r="I12" s="110"/>
      <c r="J12" s="111"/>
      <c r="K12" s="46"/>
    </row>
    <row r="13" spans="1:22" x14ac:dyDescent="0.25">
      <c r="A13" s="46"/>
      <c r="B13" s="47"/>
      <c r="C13" s="48"/>
      <c r="D13" s="46"/>
      <c r="E13" s="46"/>
      <c r="F13" s="46"/>
      <c r="G13" s="48"/>
      <c r="H13" s="113"/>
      <c r="I13" s="86"/>
      <c r="J13" s="111"/>
      <c r="K13" s="46"/>
    </row>
    <row r="14" spans="1:22" x14ac:dyDescent="0.25">
      <c r="A14" s="46"/>
      <c r="B14" s="47"/>
      <c r="C14" s="46"/>
      <c r="D14" s="46"/>
      <c r="E14" s="46"/>
      <c r="F14" s="46"/>
      <c r="G14" s="48"/>
      <c r="H14" s="113"/>
      <c r="I14" s="86"/>
      <c r="J14" s="111"/>
      <c r="K14" s="46"/>
    </row>
    <row r="15" spans="1:22" x14ac:dyDescent="0.25">
      <c r="A15" s="46"/>
      <c r="B15" s="94"/>
      <c r="C15" s="46"/>
      <c r="D15" s="46"/>
      <c r="E15" s="46"/>
      <c r="F15" s="46"/>
      <c r="G15" s="46"/>
      <c r="H15" s="113"/>
      <c r="I15" s="86"/>
      <c r="J15" s="111"/>
      <c r="K15" s="46"/>
    </row>
    <row r="16" spans="1:22" x14ac:dyDescent="0.25">
      <c r="A16" s="46"/>
      <c r="B16" s="47"/>
      <c r="C16" s="46"/>
      <c r="D16" s="46"/>
      <c r="E16" s="46"/>
      <c r="F16" s="46"/>
      <c r="G16" s="46"/>
      <c r="H16" s="113"/>
      <c r="I16" s="86"/>
      <c r="J16" s="111"/>
      <c r="K16" s="46"/>
    </row>
    <row r="17" spans="1:14" ht="16.5" customHeight="1" x14ac:dyDescent="0.25">
      <c r="A17" s="10"/>
      <c r="B17" s="10"/>
      <c r="C17" s="15" t="s">
        <v>9</v>
      </c>
      <c r="D17" s="16"/>
      <c r="E17" s="108">
        <f>E5*E6*E7*50*E10/(E8*E9)</f>
        <v>0.2</v>
      </c>
      <c r="F17" s="45" t="s">
        <v>258</v>
      </c>
      <c r="G17" s="45"/>
      <c r="H17" s="10"/>
      <c r="I17" s="10"/>
      <c r="J17" s="10"/>
      <c r="K17" s="10"/>
    </row>
    <row r="18" spans="1:14" ht="15.75" x14ac:dyDescent="0.25">
      <c r="A18" s="10"/>
      <c r="B18" s="10"/>
      <c r="C18" s="15" t="s">
        <v>22</v>
      </c>
      <c r="D18" s="16"/>
      <c r="E18" s="44" t="s">
        <v>207</v>
      </c>
      <c r="F18" s="10"/>
      <c r="G18" s="10"/>
      <c r="H18" s="10"/>
      <c r="I18" s="10"/>
      <c r="J18" s="10"/>
      <c r="K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4" ht="15.75" x14ac:dyDescent="0.25">
      <c r="A20" s="10"/>
      <c r="B20" s="17" t="s">
        <v>297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4" x14ac:dyDescent="0.25">
      <c r="A21" s="10"/>
      <c r="B21" s="10"/>
      <c r="C21" s="10"/>
      <c r="D21" s="8" t="s">
        <v>191</v>
      </c>
      <c r="E21" s="8" t="s">
        <v>193</v>
      </c>
      <c r="F21" s="8" t="s">
        <v>189</v>
      </c>
      <c r="G21" s="8" t="s">
        <v>196</v>
      </c>
      <c r="H21" s="8" t="s">
        <v>190</v>
      </c>
      <c r="I21" s="8" t="s">
        <v>199</v>
      </c>
      <c r="J21" s="8"/>
      <c r="K21" s="8"/>
      <c r="L21" s="2"/>
      <c r="M21" s="2"/>
      <c r="N21" s="2"/>
    </row>
    <row r="22" spans="1:14" x14ac:dyDescent="0.25">
      <c r="A22" s="10"/>
      <c r="B22" s="10"/>
      <c r="C22" s="11" t="s">
        <v>6</v>
      </c>
      <c r="D22" s="10">
        <v>1</v>
      </c>
      <c r="E22" s="10">
        <v>5</v>
      </c>
      <c r="F22" s="10">
        <v>2</v>
      </c>
      <c r="G22" s="10">
        <v>50</v>
      </c>
      <c r="H22" s="10">
        <v>50</v>
      </c>
      <c r="I22" s="10">
        <v>1</v>
      </c>
      <c r="J22" s="10"/>
      <c r="K22" s="10"/>
    </row>
    <row r="23" spans="1:14" x14ac:dyDescent="0.25">
      <c r="A23" s="10"/>
      <c r="B23" s="10"/>
      <c r="C23" s="11" t="s">
        <v>7</v>
      </c>
      <c r="D23" s="10">
        <v>5.1020408163265311E-3</v>
      </c>
      <c r="E23" s="10">
        <v>1.2247448713915891E-2</v>
      </c>
      <c r="F23" s="10">
        <v>8.1649658092772612E-3</v>
      </c>
      <c r="G23" s="10">
        <v>4.8989794855663564E-2</v>
      </c>
      <c r="H23" s="10">
        <v>4.8989794855663564E-2</v>
      </c>
      <c r="I23" s="10">
        <v>2.4248711305964285E-3</v>
      </c>
      <c r="J23" s="10"/>
      <c r="K23" s="10"/>
    </row>
    <row r="24" spans="1:14" ht="16.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4" ht="16.5" customHeight="1" x14ac:dyDescent="0.25">
      <c r="A25" s="12"/>
      <c r="B25" s="13" t="s">
        <v>191</v>
      </c>
      <c r="C25" s="12">
        <v>1</v>
      </c>
      <c r="D25" s="12">
        <f>$D$23+$D$22</f>
        <v>1.0051020408163265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/>
      <c r="K25" s="12"/>
    </row>
    <row r="26" spans="1:14" ht="16.5" customHeight="1" x14ac:dyDescent="0.25">
      <c r="A26" s="12"/>
      <c r="B26" s="13" t="s">
        <v>193</v>
      </c>
      <c r="C26" s="12">
        <v>5</v>
      </c>
      <c r="D26" s="12">
        <v>5</v>
      </c>
      <c r="E26" s="12">
        <f>$E$23+$E$22</f>
        <v>5.0122474487139161</v>
      </c>
      <c r="F26" s="12">
        <v>5</v>
      </c>
      <c r="G26" s="12">
        <v>5</v>
      </c>
      <c r="H26" s="12">
        <v>5</v>
      </c>
      <c r="I26" s="12">
        <v>5</v>
      </c>
      <c r="J26" s="12"/>
      <c r="K26" s="12"/>
    </row>
    <row r="27" spans="1:14" ht="16.5" customHeight="1" x14ac:dyDescent="0.25">
      <c r="A27" s="12"/>
      <c r="B27" s="13" t="s">
        <v>189</v>
      </c>
      <c r="C27" s="12">
        <v>2</v>
      </c>
      <c r="D27" s="12">
        <v>2</v>
      </c>
      <c r="E27" s="12">
        <v>2</v>
      </c>
      <c r="F27" s="12">
        <f>$F$23+$F$22</f>
        <v>2.0081649658092773</v>
      </c>
      <c r="G27" s="12">
        <v>2</v>
      </c>
      <c r="H27" s="12">
        <v>2</v>
      </c>
      <c r="I27" s="12">
        <v>2</v>
      </c>
      <c r="J27" s="12"/>
      <c r="K27" s="12"/>
    </row>
    <row r="28" spans="1:14" ht="16.5" customHeight="1" x14ac:dyDescent="0.25">
      <c r="A28" s="12"/>
      <c r="B28" s="13" t="s">
        <v>196</v>
      </c>
      <c r="C28" s="12">
        <v>50</v>
      </c>
      <c r="D28" s="12">
        <v>50</v>
      </c>
      <c r="E28" s="12">
        <v>50</v>
      </c>
      <c r="F28" s="12">
        <v>50</v>
      </c>
      <c r="G28" s="12">
        <f>$G$23+$G$22</f>
        <v>50.048989794855665</v>
      </c>
      <c r="H28" s="12">
        <v>50</v>
      </c>
      <c r="I28" s="12">
        <v>50</v>
      </c>
      <c r="J28" s="12"/>
      <c r="K28" s="12"/>
    </row>
    <row r="29" spans="1:14" ht="16.5" customHeight="1" x14ac:dyDescent="0.25">
      <c r="A29" s="12"/>
      <c r="B29" s="13" t="s">
        <v>190</v>
      </c>
      <c r="C29" s="12">
        <v>50</v>
      </c>
      <c r="D29" s="12">
        <v>50</v>
      </c>
      <c r="E29" s="12">
        <v>50</v>
      </c>
      <c r="F29" s="12">
        <v>50</v>
      </c>
      <c r="G29" s="12">
        <v>50</v>
      </c>
      <c r="H29" s="12">
        <f>$H$23+$H$22</f>
        <v>50.048989794855665</v>
      </c>
      <c r="I29" s="12">
        <v>50</v>
      </c>
      <c r="J29" s="12"/>
      <c r="K29" s="12"/>
    </row>
    <row r="30" spans="1:14" ht="16.5" customHeight="1" x14ac:dyDescent="0.25">
      <c r="A30" s="12"/>
      <c r="B30" s="13" t="s">
        <v>199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f>$I$23+$I$22</f>
        <v>1.0024248711305965</v>
      </c>
      <c r="J30" s="12"/>
      <c r="K30" s="12"/>
    </row>
    <row r="31" spans="1:14" ht="16.5" customHeight="1" x14ac:dyDescent="0.25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</row>
    <row r="32" spans="1:14" ht="16.5" customHeight="1" x14ac:dyDescent="0.25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6.5" customHeight="1" x14ac:dyDescent="0.25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6.5" customHeight="1" x14ac:dyDescent="0.25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6.5" customHeight="1" x14ac:dyDescent="0.25">
      <c r="A35" s="12"/>
      <c r="B35" s="13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6.5" customHeight="1" x14ac:dyDescent="0.25">
      <c r="A36" s="12"/>
      <c r="B36" s="13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2"/>
      <c r="B37" s="12" t="s">
        <v>8</v>
      </c>
      <c r="C37" s="12">
        <f t="shared" ref="C37:I37" si="0">C25*C26*C27*50*C30/(C28*C29)</f>
        <v>0.2</v>
      </c>
      <c r="D37" s="12">
        <f t="shared" si="0"/>
        <v>0.20102040816326527</v>
      </c>
      <c r="E37" s="12">
        <f t="shared" si="0"/>
        <v>0.20048989794855665</v>
      </c>
      <c r="F37" s="12">
        <f t="shared" si="0"/>
        <v>0.20081649658092771</v>
      </c>
      <c r="G37" s="12">
        <f t="shared" si="0"/>
        <v>0.19980423263264069</v>
      </c>
      <c r="H37" s="12">
        <f t="shared" si="0"/>
        <v>0.19980423263264069</v>
      </c>
      <c r="I37" s="12">
        <f t="shared" si="0"/>
        <v>0.2004849742261193</v>
      </c>
      <c r="J37" s="12"/>
      <c r="K37" s="12"/>
    </row>
    <row r="38" spans="1:11" x14ac:dyDescent="0.25">
      <c r="A38" s="12"/>
      <c r="B38" s="12" t="s">
        <v>186</v>
      </c>
      <c r="C38" s="12"/>
      <c r="D38" s="107">
        <f>$D$37-$E$17</f>
        <v>1.0204081632652628E-3</v>
      </c>
      <c r="E38" s="107">
        <f>$E$37-$E$17</f>
        <v>4.8989794855663904E-4</v>
      </c>
      <c r="F38" s="107">
        <f>$F$37-$E$17</f>
        <v>8.1649658092769473E-4</v>
      </c>
      <c r="G38" s="107">
        <f>$G$37-$E$17</f>
        <v>-1.9576736735932299E-4</v>
      </c>
      <c r="H38" s="107">
        <f>$H$37-$E$17</f>
        <v>-1.9576736735932299E-4</v>
      </c>
      <c r="I38" s="107">
        <f>$I$37-$E$17</f>
        <v>4.8497422611928909E-4</v>
      </c>
      <c r="J38" s="107"/>
      <c r="K38" s="12"/>
    </row>
    <row r="39" spans="1:11" x14ac:dyDescent="0.25">
      <c r="A39" s="12"/>
      <c r="B39" s="12" t="s">
        <v>187</v>
      </c>
      <c r="C39" s="12"/>
      <c r="D39" s="12">
        <f>ABS($D$37-$E$17)</f>
        <v>1.0204081632652628E-3</v>
      </c>
      <c r="E39" s="12">
        <f>ABS($E$37-$E$17)</f>
        <v>4.8989794855663904E-4</v>
      </c>
      <c r="F39" s="12">
        <f>ABS($F$37-$E$17)</f>
        <v>8.1649658092769473E-4</v>
      </c>
      <c r="G39" s="12">
        <f>ABS($G$37-$E$17)</f>
        <v>1.9576736735932299E-4</v>
      </c>
      <c r="H39" s="12">
        <f>ABS($H$37-$E$17)</f>
        <v>1.9576736735932299E-4</v>
      </c>
      <c r="I39" s="12">
        <f>ABS($I$37-$E$17)</f>
        <v>4.8497422611928909E-4</v>
      </c>
      <c r="J39" s="12"/>
      <c r="K39" s="12"/>
    </row>
    <row r="40" spans="1:11" x14ac:dyDescent="0.25">
      <c r="A40" s="12"/>
      <c r="B40" s="12" t="s">
        <v>188</v>
      </c>
      <c r="C40" s="12">
        <f>SUM($D$40:$I$40)</f>
        <v>2.2597492105706098E-6</v>
      </c>
      <c r="D40" s="12">
        <f>($D$37-$E$17)^2</f>
        <v>1.0412328196583873E-6</v>
      </c>
      <c r="E40" s="12">
        <f>($E$37-$E$17)^2</f>
        <v>2.4000000000000337E-7</v>
      </c>
      <c r="F40" s="12">
        <f>($F$37-$E$17)^2</f>
        <v>6.6666666666661557E-7</v>
      </c>
      <c r="G40" s="12">
        <f>($G$37-$E$17)^2</f>
        <v>3.832486212280012E-8</v>
      </c>
      <c r="H40" s="12">
        <f>($H$37-$E$17)^2</f>
        <v>3.832486212280012E-8</v>
      </c>
      <c r="I40" s="12">
        <f>($I$37-$E$17)^2</f>
        <v>2.3520000000000335E-7</v>
      </c>
      <c r="J40" s="12"/>
      <c r="K40" s="12"/>
    </row>
    <row r="41" spans="1:11" x14ac:dyDescent="0.25">
      <c r="A41" s="10"/>
      <c r="B41" s="10" t="s">
        <v>181</v>
      </c>
      <c r="C41" s="10"/>
      <c r="D41" s="10">
        <f>100*(($D$37 - $E$17)^2)/$C$40</f>
        <v>46.077361805802575</v>
      </c>
      <c r="E41" s="10">
        <f>100*(($E$37 - $E$17)^2)/$C$40</f>
        <v>10.620647586791319</v>
      </c>
      <c r="F41" s="10">
        <f>100*(($F$37 - $E$17)^2)/$C$40</f>
        <v>29.501798852195435</v>
      </c>
      <c r="G41" s="10">
        <f>100*(($G$37 - $E$17)^2)/$C$40</f>
        <v>1.6959785600775892</v>
      </c>
      <c r="H41" s="10">
        <f>100*(($H$37 - $E$17)^2)/$C$40</f>
        <v>1.6959785600775892</v>
      </c>
      <c r="I41" s="10">
        <f>100*(($I$37 - $E$17)^2)/$C$40</f>
        <v>10.408234635055495</v>
      </c>
      <c r="J41" s="10"/>
      <c r="K41" s="10"/>
    </row>
    <row r="42" spans="1:11" ht="15.75" x14ac:dyDescent="0.25">
      <c r="A42" s="10"/>
      <c r="B42" s="15"/>
      <c r="C42" s="15"/>
      <c r="D42" s="15"/>
      <c r="E42" s="10"/>
      <c r="F42" s="10"/>
      <c r="G42" s="10"/>
      <c r="H42" s="10"/>
      <c r="I42" s="10"/>
      <c r="J42" s="10"/>
      <c r="K42" s="10"/>
    </row>
    <row r="43" spans="1:11" ht="15.75" x14ac:dyDescent="0.25">
      <c r="A43" s="10"/>
      <c r="B43" s="43" t="s">
        <v>23</v>
      </c>
      <c r="C43" s="32">
        <f>SQRT($C$40)</f>
        <v>1.503246224199685E-3</v>
      </c>
      <c r="D43" s="49" t="s">
        <v>207</v>
      </c>
      <c r="E43" s="10"/>
      <c r="F43" s="10"/>
      <c r="G43" s="10"/>
      <c r="H43" s="10"/>
      <c r="I43" s="10"/>
      <c r="J43" s="10"/>
      <c r="K43" s="10"/>
    </row>
    <row r="44" spans="1:11" ht="15.75" x14ac:dyDescent="0.25">
      <c r="A44" s="10"/>
      <c r="B44" s="15" t="s">
        <v>182</v>
      </c>
      <c r="C44" s="15">
        <f>100*SQRT($C$40)/($E$17)</f>
        <v>0.75162311209984245</v>
      </c>
      <c r="D44" s="15"/>
      <c r="E44" s="10"/>
      <c r="F44" s="10"/>
      <c r="G44" s="10"/>
      <c r="H44" s="10"/>
      <c r="I44" s="10"/>
      <c r="J44" s="10"/>
      <c r="K44" s="10"/>
    </row>
    <row r="45" spans="1:11" ht="31.5" x14ac:dyDescent="0.25">
      <c r="A45" s="10"/>
      <c r="B45" s="43" t="s">
        <v>183</v>
      </c>
      <c r="C45" s="15">
        <f>2*SQRT($C$40)</f>
        <v>3.0064924483993701E-3</v>
      </c>
      <c r="D45" s="50" t="s">
        <v>207</v>
      </c>
      <c r="E45" s="10"/>
      <c r="F45" s="10"/>
      <c r="G45" s="10"/>
      <c r="H45" s="10"/>
      <c r="I45" s="10"/>
      <c r="J45" s="10"/>
      <c r="K45" s="10"/>
    </row>
    <row r="46" spans="1:11" ht="15.75" x14ac:dyDescent="0.25">
      <c r="A46" s="10"/>
      <c r="B46" s="15" t="s">
        <v>184</v>
      </c>
      <c r="C46" s="15">
        <f>2*100*SQRT($C$40)/($E$17)</f>
        <v>1.5032462241996849</v>
      </c>
      <c r="D46" s="50"/>
      <c r="E46" s="10"/>
      <c r="F46" s="10"/>
      <c r="G46" s="10"/>
      <c r="H46" s="10"/>
      <c r="I46" s="10"/>
      <c r="J46" s="10"/>
      <c r="K46" s="10"/>
    </row>
    <row r="51" spans="2:10" x14ac:dyDescent="0.25">
      <c r="B51" t="s">
        <v>191</v>
      </c>
      <c r="C51">
        <v>1.0204081632652628E-3</v>
      </c>
      <c r="D51" s="37"/>
      <c r="H51" s="14"/>
      <c r="I51" s="12"/>
      <c r="J51" s="36"/>
    </row>
    <row r="52" spans="2:10" x14ac:dyDescent="0.25">
      <c r="B52" t="s">
        <v>193</v>
      </c>
      <c r="C52">
        <v>4.8989794855663904E-4</v>
      </c>
      <c r="D52" s="37"/>
      <c r="H52" s="14"/>
      <c r="I52" s="12"/>
      <c r="J52" s="36"/>
    </row>
    <row r="53" spans="2:10" x14ac:dyDescent="0.25">
      <c r="B53" t="s">
        <v>189</v>
      </c>
      <c r="C53">
        <v>8.1649658092769473E-4</v>
      </c>
      <c r="D53" s="37"/>
      <c r="H53" s="14"/>
      <c r="I53" s="12"/>
      <c r="J53" s="36"/>
    </row>
    <row r="54" spans="2:10" x14ac:dyDescent="0.25">
      <c r="B54" t="s">
        <v>196</v>
      </c>
      <c r="C54">
        <v>1.9576736735932299E-4</v>
      </c>
      <c r="D54" s="37"/>
      <c r="H54" s="14"/>
      <c r="I54" s="12"/>
      <c r="J54" s="36"/>
    </row>
    <row r="55" spans="2:10" x14ac:dyDescent="0.25">
      <c r="B55" t="s">
        <v>190</v>
      </c>
      <c r="C55">
        <v>1.9576736735932299E-4</v>
      </c>
      <c r="D55" s="38"/>
      <c r="E55" s="2"/>
      <c r="F55" s="2"/>
      <c r="H55" s="14"/>
      <c r="I55" s="12"/>
      <c r="J55" s="36"/>
    </row>
    <row r="56" spans="2:10" x14ac:dyDescent="0.25">
      <c r="B56" t="s">
        <v>199</v>
      </c>
      <c r="C56">
        <v>4.8497422611928909E-4</v>
      </c>
      <c r="D56" s="37"/>
      <c r="H56" s="14"/>
      <c r="I56" s="12"/>
      <c r="J56" s="36"/>
    </row>
    <row r="57" spans="2:10" x14ac:dyDescent="0.25">
      <c r="B57" t="s">
        <v>185</v>
      </c>
      <c r="C57">
        <v>1.503246224199685E-3</v>
      </c>
      <c r="D57" s="37"/>
      <c r="H57" s="14"/>
      <c r="I57" s="12"/>
      <c r="J57" s="36"/>
    </row>
    <row r="58" spans="2:10" x14ac:dyDescent="0.25">
      <c r="D58" s="37"/>
    </row>
    <row r="59" spans="2:10" x14ac:dyDescent="0.25">
      <c r="C59" s="1"/>
    </row>
    <row r="60" spans="2:10" x14ac:dyDescent="0.25">
      <c r="C60" s="1"/>
    </row>
    <row r="61" spans="2:10" x14ac:dyDescent="0.25">
      <c r="C61" s="1"/>
    </row>
    <row r="62" spans="2:10" x14ac:dyDescent="0.25">
      <c r="C62" s="1"/>
    </row>
    <row r="63" spans="2:10" x14ac:dyDescent="0.25">
      <c r="C63" s="1"/>
      <c r="D63" s="1"/>
      <c r="E63" s="1"/>
      <c r="F63" s="1"/>
    </row>
    <row r="66" spans="2:29" ht="15.75" x14ac:dyDescent="0.25">
      <c r="B66" s="15"/>
      <c r="C66" s="3"/>
    </row>
    <row r="68" spans="2:29" ht="15.75" x14ac:dyDescent="0.25">
      <c r="B68" s="15" t="s">
        <v>178</v>
      </c>
    </row>
    <row r="69" spans="2:29" x14ac:dyDescent="0.25">
      <c r="B69" s="49"/>
      <c r="R69" t="s">
        <v>176</v>
      </c>
    </row>
    <row r="70" spans="2:29" ht="31.5" x14ac:dyDescent="0.25">
      <c r="B70" s="91" t="s">
        <v>157</v>
      </c>
      <c r="C70" s="89" t="str">
        <f>IF(C43^4/SUM('Крагтен АС'!R70:AC70)&gt;50,"&gt;50",C43^4/(SUM('Крагтен АС'!R70:AC70)))</f>
        <v>&gt;50</v>
      </c>
      <c r="R70" s="96">
        <f>IF('Крагтен АС'!K5&lt;&gt;0,'Крагтен АС'!D39^4/'Крагтен АС'!K5,'Крагтен АС'!D39^4/10^8)</f>
        <v>1.0841657847337558E-20</v>
      </c>
      <c r="S70" s="96">
        <f>IF('Крагтен АС'!K6&lt;&gt;0,'Крагтен АС'!E39^4/'Крагтен АС'!K6,'Крагтен АС'!E39^4/10^8)</f>
        <v>5.7600000000001614E-22</v>
      </c>
      <c r="T70" s="96">
        <f>IF('Крагтен АС'!K7&lt;&gt;0,'Крагтен АС'!F39^4/'Крагтен АС'!K7,'Крагтен АС'!F39^4/10^8)</f>
        <v>4.444444444443763E-21</v>
      </c>
      <c r="U70" s="96">
        <f>IF('Крагтен АС'!K8&lt;&gt;0,'Крагтен АС'!G39^4/'Крагтен АС'!K8,'Крагтен АС'!G39^4/10^8)</f>
        <v>1.4687950567316393E-23</v>
      </c>
      <c r="V70" s="96">
        <f>IF('Крагтен АС'!K9&lt;&gt;0,'Крагтен АС'!H39^4/'Крагтен АС'!K9,'Крагтен АС'!H39^4/10^8)</f>
        <v>1.4687950567316393E-23</v>
      </c>
      <c r="W70" s="96">
        <f>IF('Крагтен АС'!K10&lt;&gt;0,'Крагтен АС'!I39^4/'Крагтен АС'!K10,'Крагтен АС'!I39^4/10^8)</f>
        <v>5.5319040000001576E-22</v>
      </c>
      <c r="X70" s="96">
        <f>IF('Крагтен АС'!K11&lt;&gt;0,'Крагтен АС'!J39^4/'Крагтен АС'!K11,'Крагтен АС'!J39^4/10^8)</f>
        <v>0</v>
      </c>
      <c r="Y70" s="96">
        <f>IF('Крагтен АС'!K12&lt;&gt;0,'Крагтен АС'!K39^4/'Крагтен АС'!K12,'Крагтен АС'!K39^4/10^8)</f>
        <v>0</v>
      </c>
      <c r="Z70" s="96">
        <f>IF('Крагтен АС'!K13&gt;0,'Крагтен АС'!L39^4/'Крагтен АС'!K13,'Крагтен АС'!L39^4/10^8)</f>
        <v>0</v>
      </c>
      <c r="AA70" s="96">
        <f>IF('Крагтен АС'!K14&lt;&gt;0,'Крагтен АС'!M39^4/'Крагтен АС'!K14,'Крагтен АС'!M39^4/10^8)</f>
        <v>0</v>
      </c>
      <c r="AB70" s="96">
        <f>IF('Крагтен АС'!K15&lt;&gt;0,'Крагтен АС'!N39^4/'Крагтен АС'!K15,'Крагтен АС'!N39^4/10^8)</f>
        <v>0</v>
      </c>
      <c r="AC70" s="96">
        <f>IF('Крагтен АС'!K16&lt;&gt;0,'Крагтен АС'!O39^4/'Крагтен АС'!K16,'Крагтен АС'!O39^4/10^8)</f>
        <v>0</v>
      </c>
    </row>
    <row r="71" spans="2:29" ht="31.5" x14ac:dyDescent="0.25">
      <c r="B71" s="91" t="s">
        <v>158</v>
      </c>
      <c r="C71" s="90">
        <f>INDEX(Справочник!C58:C107,MATCH('Крагтен АС'!C70,Справочник!B58:B107))</f>
        <v>2.0089999999999999</v>
      </c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</row>
    <row r="72" spans="2:29" ht="15.75" x14ac:dyDescent="0.25">
      <c r="J72" s="93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</row>
    <row r="73" spans="2:29" ht="15.75" x14ac:dyDescent="0.25">
      <c r="B73" s="15" t="s">
        <v>172</v>
      </c>
      <c r="C73" s="246" t="str">
        <f>'Крагтен АС'!T77&amp;" " &amp;'Крагтен АС'!S78&amp;" "&amp;'Крагтен АС'!T76</f>
        <v>0,2000 ± 0,0030</v>
      </c>
      <c r="D73" s="246"/>
      <c r="E73" s="15" t="str">
        <f>E18</f>
        <v>мг</v>
      </c>
      <c r="F73" s="15" t="str">
        <f>"k="&amp;ROUND(C71,1)</f>
        <v>k=2</v>
      </c>
      <c r="R73" s="96" t="s">
        <v>177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</row>
    <row r="74" spans="2:29" ht="15.75" x14ac:dyDescent="0.25">
      <c r="B74" s="15" t="s">
        <v>173</v>
      </c>
      <c r="C74" s="246" t="str">
        <f>'Крагтен АС'!U77&amp;" " &amp;'Крагтен АС'!S78&amp;" "&amp;'Крагтен АС'!U76</f>
        <v>0,200 ± 0,003</v>
      </c>
      <c r="D74" s="246"/>
      <c r="E74" s="15" t="str">
        <f>E18</f>
        <v>мг</v>
      </c>
      <c r="F74" s="15" t="str">
        <f>"k="&amp;ROUND(C71,1)</f>
        <v>k=2</v>
      </c>
      <c r="R74" s="99"/>
      <c r="S74" s="100"/>
      <c r="T74" s="96"/>
      <c r="U74" s="96"/>
      <c r="V74" s="96"/>
      <c r="W74" s="97" t="s">
        <v>170</v>
      </c>
      <c r="X74" s="101">
        <f>ROUND(S76,2-(1+INT(LOG10((ABS(S76))))))</f>
        <v>3.0000000000000001E-3</v>
      </c>
      <c r="Y74" s="96">
        <f>ROUND(S77,X76)</f>
        <v>0.2</v>
      </c>
      <c r="Z74" s="96"/>
      <c r="AA74" s="96"/>
      <c r="AB74" s="96"/>
      <c r="AC74" s="96"/>
    </row>
    <row r="75" spans="2:29" ht="15.75" x14ac:dyDescent="0.25">
      <c r="R75" s="98"/>
      <c r="S75" s="102" t="s">
        <v>166</v>
      </c>
      <c r="T75" s="102" t="s">
        <v>167</v>
      </c>
      <c r="U75" s="102" t="s">
        <v>168</v>
      </c>
      <c r="V75" s="96"/>
      <c r="W75" s="97" t="s">
        <v>171</v>
      </c>
      <c r="X75" s="101">
        <f>ROUND(S76,1-(1+INT(LOG10((ABS(S76))))))</f>
        <v>3.0000000000000001E-3</v>
      </c>
      <c r="Y75" s="96">
        <f>ROUND(S77,X77)</f>
        <v>0.2</v>
      </c>
      <c r="Z75" s="96"/>
      <c r="AA75" s="96"/>
      <c r="AB75" s="96"/>
      <c r="AC75" s="96"/>
    </row>
    <row r="76" spans="2:29" ht="15.75" x14ac:dyDescent="0.25">
      <c r="B76" s="2" t="s">
        <v>298</v>
      </c>
      <c r="C76" s="237" t="s">
        <v>299</v>
      </c>
      <c r="R76" s="99" t="s">
        <v>164</v>
      </c>
      <c r="S76" s="103">
        <f>'Крагтен АС'!C71*'Крагтен АС'!C43</f>
        <v>3.020021664417167E-3</v>
      </c>
      <c r="T76" s="104" t="str">
        <f>IF(X76=-3,TEXT(X74,"0000"),IF(X76=-2,TEXT(X74,"000"),IF(X76=-1,TEXT(X74,"00"),IF(X76=0,TEXT(X74,"0"),IF(X76=1,TEXT(X74,"0,0"),IF(X76=2,TEXT(X74,"0,00"),IF(X76=3,TEXT(X74,"0,000"),IF(X76=4,TEXT(X74,"0,0000"),IF(X76=5,TEXT(X74,"0,00000"),IF(X76=6,TEXT(X74,"0,000000")))))))))))</f>
        <v>0,0030</v>
      </c>
      <c r="U76" s="104" t="str">
        <f>IF(X77=-3,TEXT(X75,"0000"),IF(X77=-2,TEXT(X75,"000"),IF(X77=-1,TEXT(X75,"00"),IF(X77=0,TEXT(X75,"0"),IF(X77=1,TEXT(X75,"0,0"),IF(X77=2,TEXT(X75,"0,00"),IF(X77=3,TEXT(X75,"0,000"),IF(X77=4,TEXT(X75,"0,0000"),IF(X77=5,TEXT(X75,"0,00000"),IF(X77=6,TEXT(X75,"0,000000")))))))))))</f>
        <v>0,003</v>
      </c>
      <c r="V76" s="96"/>
      <c r="W76" s="28" t="s">
        <v>169</v>
      </c>
      <c r="X76" s="101">
        <f>2-(1+INT(LOG10((ABS(S76)))))</f>
        <v>4</v>
      </c>
      <c r="Y76" s="96"/>
      <c r="Z76" s="96"/>
      <c r="AA76" s="96"/>
      <c r="AB76" s="96"/>
      <c r="AC76" s="96"/>
    </row>
    <row r="77" spans="2:29" ht="15.75" x14ac:dyDescent="0.25">
      <c r="B77" s="2" t="s">
        <v>300</v>
      </c>
      <c r="C77" s="238">
        <v>44727</v>
      </c>
      <c r="R77" s="99" t="s">
        <v>8</v>
      </c>
      <c r="S77" s="104">
        <f>'Крагтен АС'!E17</f>
        <v>0.2</v>
      </c>
      <c r="T77" s="104" t="str">
        <f>IF(X76=-3,TEXT(Y74,"0000"),IF(X76=-2,TEXT(Y74,"000"),IF(X76=-1,TEXT(Y74,"00"),IF(X76=0,TEXT(Y74,"0"),IF(X76=1,TEXT(Y74,"0,0"),IF(X76=2,TEXT(Y74,"0,00"),IF(X76=3,TEXT(Y74,"0,000"),IF(X76=4,TEXT(Y74,"0,0000"),IF(X76=5,TEXT(Y74,"0,00000"),IF(X76=6,TEXT(Y74,"0,000000")))))))))))</f>
        <v>0,2000</v>
      </c>
      <c r="U77" s="104" t="str">
        <f>IF(X77=-3,TEXT(Y75,"0000"),IF(X77=-2,TEXT(Y75,"000"),IF(X77=-1,TEXT(Y75,"00"),IF(X77=0,TEXT(Y75,"0"),IF(X77=1,TEXT(Y75,"0,0"),IF(X77=2,TEXT(Y75,"0,00"),IF(X77=3,TEXT(Y75,"0,000"),IF(X77=4,TEXT(Y75,"0,0000"),IF(X77=5,TEXT(Y75,"0,00000"),IF(X77=6,TEXT(Y75,"0,000000")))))))))))</f>
        <v>0,200</v>
      </c>
      <c r="V77" s="96"/>
      <c r="W77" s="28" t="s">
        <v>169</v>
      </c>
      <c r="X77" s="101">
        <f>1-(1+INT(LOG10((ABS(S76)))))</f>
        <v>3</v>
      </c>
      <c r="Y77" s="96"/>
      <c r="Z77" s="96"/>
      <c r="AA77" s="96"/>
      <c r="AB77" s="96"/>
      <c r="AC77" s="96"/>
    </row>
    <row r="78" spans="2:29" ht="15.75" x14ac:dyDescent="0.25">
      <c r="B78" s="2"/>
      <c r="C78" s="2"/>
      <c r="R78" s="99" t="s">
        <v>180</v>
      </c>
      <c r="S78" s="95" t="s">
        <v>175</v>
      </c>
    </row>
    <row r="79" spans="2:29" x14ac:dyDescent="0.25">
      <c r="B79" s="2"/>
      <c r="C79" s="236"/>
    </row>
  </sheetData>
  <dataConsolidate/>
  <mergeCells count="4">
    <mergeCell ref="A1:B1"/>
    <mergeCell ref="C1:K1"/>
    <mergeCell ref="C73:D73"/>
    <mergeCell ref="C74:D74"/>
  </mergeCells>
  <dataValidations count="5">
    <dataValidation type="list" allowBlank="1" showInputMessage="1" showErrorMessage="1" sqref="D5:D16" xr:uid="{00000000-0002-0000-0100-000000000000}">
      <formula1>Тип_оценивания</formula1>
    </dataValidation>
    <dataValidation type="list" allowBlank="1" showInputMessage="1" showErrorMessage="1" sqref="G5:G16" xr:uid="{00000000-0002-0000-0100-000001000000}">
      <formula1>ВидРаспределения</formula1>
    </dataValidation>
    <dataValidation type="whole" allowBlank="1" showInputMessage="1" showErrorMessage="1" sqref="K5:K16" xr:uid="{00000000-0002-0000-0100-000002000000}">
      <formula1>1</formula1>
      <formula2>1000</formula2>
    </dataValidation>
    <dataValidation type="decimal" allowBlank="1" showInputMessage="1" showErrorMessage="1" sqref="F12:F16" xr:uid="{00000000-0002-0000-0100-000003000000}">
      <formula1>0</formula1>
      <formula2>100000000</formula2>
    </dataValidation>
    <dataValidation type="decimal" allowBlank="1" showInputMessage="1" showErrorMessage="1" sqref="E12:E16" xr:uid="{00000000-0002-0000-0100-000004000000}">
      <formula1>0</formula1>
      <formula2>10000000</formula2>
    </dataValidation>
  </dataValidations>
  <pageMargins left="0.7" right="0.7" top="0.75" bottom="0.75" header="0.3" footer="0.3"/>
  <pageSetup paperSize="9" scale="80" orientation="landscape" r:id="rId1"/>
  <rowBreaks count="1" manualBreakCount="1">
    <brk id="3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6609" r:id="rId4" name="Rasc">
              <controlPr defaultSize="0" print="0" autoFill="0" autoPict="0" macro="[0]!Rasc_Щелчок">
                <anchor>
                  <from>
                    <xdr:col>6</xdr:col>
                    <xdr:colOff>304800</xdr:colOff>
                    <xdr:row>1</xdr:row>
                    <xdr:rowOff>57150</xdr:rowOff>
                  </from>
                  <to>
                    <xdr:col>7</xdr:col>
                    <xdr:colOff>295275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10" r:id="rId5" name="ClearBut">
              <controlPr defaultSize="0" print="0" autoFill="0" autoPict="0" macro="[0]!ClearBut_Щелчок">
                <anchor>
                  <from>
                    <xdr:col>7</xdr:col>
                    <xdr:colOff>685800</xdr:colOff>
                    <xdr:row>1</xdr:row>
                    <xdr:rowOff>57150</xdr:rowOff>
                  </from>
                  <to>
                    <xdr:col>9</xdr:col>
                    <xdr:colOff>47625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11" r:id="rId6" name="Button 3">
              <controlPr defaultSize="0" print="0" autoFill="0" autoPict="0" macro="[0]!Кнопка4_Щелчок">
                <anchor moveWithCells="1" sizeWithCells="1">
                  <from>
                    <xdr:col>9</xdr:col>
                    <xdr:colOff>333375</xdr:colOff>
                    <xdr:row>1</xdr:row>
                    <xdr:rowOff>57150</xdr:rowOff>
                  </from>
                  <to>
                    <xdr:col>10</xdr:col>
                    <xdr:colOff>571500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5000000}">
          <x14:formula1>
            <xm:f>Списки!$B$2:$B$3</xm:f>
          </x14:formula1>
          <xm:sqref>T5:T7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P525"/>
  <sheetViews>
    <sheetView zoomScale="85" zoomScaleNormal="85" workbookViewId="0">
      <selection activeCell="G23" sqref="G23"/>
    </sheetView>
  </sheetViews>
  <sheetFormatPr defaultRowHeight="15" x14ac:dyDescent="0.25"/>
  <cols>
    <col min="1" max="1" width="7.140625" style="28" customWidth="1"/>
    <col min="2" max="2" width="17.28515625" style="28" customWidth="1"/>
    <col min="3" max="3" width="13.42578125" style="28" customWidth="1"/>
    <col min="4" max="4" width="16.28515625" style="28" customWidth="1"/>
    <col min="5" max="5" width="11.85546875" style="28" customWidth="1"/>
    <col min="6" max="6" width="13.140625" style="28" customWidth="1"/>
    <col min="7" max="7" width="14" style="28" customWidth="1"/>
    <col min="8" max="8" width="15.85546875" style="28" customWidth="1"/>
    <col min="9" max="9" width="10.140625" style="28" customWidth="1"/>
    <col min="10" max="10" width="9.28515625" style="28" bestFit="1" customWidth="1"/>
    <col min="11" max="11" width="9.140625" style="28"/>
    <col min="12" max="12" width="9.28515625" style="28" bestFit="1" customWidth="1"/>
    <col min="13" max="13" width="9.140625" style="28"/>
    <col min="16" max="16" width="11.5703125" customWidth="1"/>
  </cols>
  <sheetData>
    <row r="1" spans="1:9" customFormat="1" x14ac:dyDescent="0.25"/>
    <row r="2" spans="1:9" customFormat="1" ht="21" x14ac:dyDescent="0.35">
      <c r="C2" s="4" t="s">
        <v>24</v>
      </c>
    </row>
    <row r="3" spans="1:9" customFormat="1" x14ac:dyDescent="0.25"/>
    <row r="4" spans="1:9" customFormat="1" ht="39" x14ac:dyDescent="0.25">
      <c r="A4" s="8" t="s">
        <v>5</v>
      </c>
      <c r="B4" s="9" t="s">
        <v>15</v>
      </c>
      <c r="C4" s="9" t="s">
        <v>1</v>
      </c>
      <c r="D4" s="9" t="s">
        <v>19</v>
      </c>
      <c r="E4" s="9" t="s">
        <v>2</v>
      </c>
      <c r="F4" s="9" t="s">
        <v>21</v>
      </c>
      <c r="G4" s="9" t="s">
        <v>3</v>
      </c>
      <c r="H4" s="9" t="s">
        <v>20</v>
      </c>
      <c r="I4" s="11"/>
    </row>
    <row r="5" spans="1:9" customFormat="1" ht="63.75" x14ac:dyDescent="0.25">
      <c r="A5" s="46">
        <v>1</v>
      </c>
      <c r="B5" s="47" t="s">
        <v>303</v>
      </c>
      <c r="C5" s="46" t="s">
        <v>308</v>
      </c>
      <c r="D5" s="46" t="s">
        <v>17</v>
      </c>
      <c r="E5" s="46">
        <v>0.65182625863770971</v>
      </c>
      <c r="F5" s="46">
        <v>1.9275857036600997E-2</v>
      </c>
      <c r="G5" s="48" t="s">
        <v>14</v>
      </c>
      <c r="H5" s="46">
        <v>1.9275857036600997E-2</v>
      </c>
      <c r="I5" s="20"/>
    </row>
    <row r="6" spans="1:9" customFormat="1" ht="25.5" x14ac:dyDescent="0.25">
      <c r="A6" s="46">
        <v>2</v>
      </c>
      <c r="B6" s="47" t="s">
        <v>309</v>
      </c>
      <c r="C6" s="48" t="s">
        <v>304</v>
      </c>
      <c r="D6" s="46" t="s">
        <v>18</v>
      </c>
      <c r="E6" s="46">
        <v>10</v>
      </c>
      <c r="F6" s="46">
        <v>0.4</v>
      </c>
      <c r="G6" s="48" t="s">
        <v>0</v>
      </c>
      <c r="H6" s="46">
        <v>0.16329931618554522</v>
      </c>
      <c r="I6" s="20"/>
    </row>
    <row r="7" spans="1:9" customFormat="1" ht="38.25" x14ac:dyDescent="0.25">
      <c r="A7" s="46">
        <v>3</v>
      </c>
      <c r="B7" s="47" t="s">
        <v>305</v>
      </c>
      <c r="C7" s="46" t="s">
        <v>306</v>
      </c>
      <c r="D7" s="46" t="s">
        <v>18</v>
      </c>
      <c r="E7" s="46">
        <v>1</v>
      </c>
      <c r="F7" s="46">
        <v>1.4999999999999999E-2</v>
      </c>
      <c r="G7" s="48" t="s">
        <v>14</v>
      </c>
      <c r="H7" s="46">
        <v>1.4999999999999999E-2</v>
      </c>
      <c r="I7" s="20"/>
    </row>
    <row r="8" spans="1:9" customFormat="1" ht="51" x14ac:dyDescent="0.25">
      <c r="A8" s="46">
        <v>4</v>
      </c>
      <c r="B8" s="47" t="s">
        <v>307</v>
      </c>
      <c r="C8" s="48" t="s">
        <v>201</v>
      </c>
      <c r="D8" s="46" t="s">
        <v>18</v>
      </c>
      <c r="E8" s="46">
        <v>1</v>
      </c>
      <c r="F8" s="46">
        <v>0.04</v>
      </c>
      <c r="G8" s="48" t="s">
        <v>14</v>
      </c>
      <c r="H8" s="46">
        <v>0.04</v>
      </c>
      <c r="I8" s="20"/>
    </row>
    <row r="9" spans="1:9" customFormat="1" ht="51" x14ac:dyDescent="0.25">
      <c r="A9" s="46">
        <v>5</v>
      </c>
      <c r="B9" s="47" t="s">
        <v>311</v>
      </c>
      <c r="C9" s="46" t="s">
        <v>312</v>
      </c>
      <c r="D9" s="46" t="s">
        <v>17</v>
      </c>
      <c r="E9" s="46">
        <v>1</v>
      </c>
      <c r="F9" s="46">
        <v>3.1099999999999999E-2</v>
      </c>
      <c r="G9" s="46" t="s">
        <v>14</v>
      </c>
      <c r="H9" s="46">
        <v>3.1099999999999999E-2</v>
      </c>
      <c r="I9" s="20"/>
    </row>
    <row r="10" spans="1:9" customFormat="1" x14ac:dyDescent="0.25">
      <c r="A10" s="46"/>
      <c r="B10" s="47"/>
      <c r="C10" s="46"/>
      <c r="D10" s="46"/>
      <c r="E10" s="48"/>
      <c r="F10" s="46"/>
      <c r="G10" s="48"/>
      <c r="H10" s="46"/>
      <c r="I10" s="20"/>
    </row>
    <row r="11" spans="1:9" customFormat="1" x14ac:dyDescent="0.25">
      <c r="A11" s="46"/>
      <c r="B11" s="47"/>
      <c r="C11" s="46"/>
      <c r="D11" s="46"/>
      <c r="E11" s="48"/>
      <c r="F11" s="46"/>
      <c r="G11" s="48"/>
      <c r="H11" s="46"/>
      <c r="I11" s="20"/>
    </row>
    <row r="12" spans="1:9" customFormat="1" x14ac:dyDescent="0.25">
      <c r="A12" s="46"/>
      <c r="B12" s="47"/>
      <c r="C12" s="46"/>
      <c r="D12" s="46"/>
      <c r="E12" s="46"/>
      <c r="F12" s="46"/>
      <c r="G12" s="48"/>
      <c r="H12" s="46"/>
      <c r="I12" s="20"/>
    </row>
    <row r="13" spans="1:9" customFormat="1" x14ac:dyDescent="0.25">
      <c r="A13" s="46"/>
      <c r="B13" s="47"/>
      <c r="C13" s="48"/>
      <c r="D13" s="46"/>
      <c r="E13" s="46"/>
      <c r="F13" s="46"/>
      <c r="G13" s="48"/>
      <c r="H13" s="46"/>
      <c r="I13" s="20"/>
    </row>
    <row r="14" spans="1:9" customFormat="1" x14ac:dyDescent="0.25">
      <c r="A14" s="46"/>
      <c r="B14" s="47"/>
      <c r="C14" s="48"/>
      <c r="D14" s="46"/>
      <c r="E14" s="46"/>
      <c r="F14" s="46"/>
      <c r="G14" s="48"/>
      <c r="H14" s="46"/>
      <c r="I14" s="20"/>
    </row>
    <row r="15" spans="1:9" customFormat="1" x14ac:dyDescent="0.25">
      <c r="A15" s="46"/>
      <c r="B15" s="47"/>
      <c r="C15" s="46"/>
      <c r="D15" s="46"/>
      <c r="E15" s="46"/>
      <c r="F15" s="46"/>
      <c r="G15" s="46"/>
      <c r="H15" s="46"/>
      <c r="I15" s="20"/>
    </row>
    <row r="16" spans="1:9" customFormat="1" x14ac:dyDescent="0.25">
      <c r="A16" s="46"/>
      <c r="B16" s="47"/>
      <c r="C16" s="46"/>
      <c r="D16" s="46"/>
      <c r="E16" s="46"/>
      <c r="F16" s="46"/>
      <c r="G16" s="46"/>
      <c r="H16" s="46"/>
      <c r="I16" s="20"/>
    </row>
    <row r="17" spans="1:16" ht="15.75" x14ac:dyDescent="0.25">
      <c r="A17" s="10"/>
      <c r="B17" s="10"/>
      <c r="C17" s="15" t="s">
        <v>9</v>
      </c>
      <c r="D17" s="16"/>
      <c r="E17" s="52">
        <f>1000*E5*E8*E7*E9/E6</f>
        <v>65.182625863770966</v>
      </c>
      <c r="F17" s="45" t="s">
        <v>313</v>
      </c>
      <c r="G17" s="45"/>
      <c r="H17" s="10"/>
      <c r="I17" s="10"/>
      <c r="J17"/>
      <c r="K17"/>
      <c r="L17"/>
      <c r="M17"/>
    </row>
    <row r="18" spans="1:16" ht="15.75" x14ac:dyDescent="0.25">
      <c r="A18" s="10"/>
      <c r="B18" s="10"/>
      <c r="C18" s="15" t="s">
        <v>22</v>
      </c>
      <c r="D18" s="16"/>
      <c r="E18" s="44" t="s">
        <v>250</v>
      </c>
      <c r="F18" s="10"/>
      <c r="G18" s="10"/>
      <c r="H18" s="10"/>
      <c r="I18" s="10"/>
      <c r="J18"/>
      <c r="K18"/>
      <c r="L18"/>
      <c r="M18"/>
    </row>
    <row r="19" spans="1:16" ht="15.75" x14ac:dyDescent="0.25">
      <c r="A19"/>
      <c r="B19"/>
      <c r="C19" s="15" t="s">
        <v>23</v>
      </c>
      <c r="D19" s="1"/>
      <c r="E19" s="93">
        <f ca="1">STDEV($J$25:$J$526)</f>
        <v>3.9725841956802226</v>
      </c>
      <c r="F19"/>
      <c r="G19"/>
      <c r="H19"/>
      <c r="I19"/>
      <c r="J19"/>
      <c r="K19"/>
      <c r="L19"/>
      <c r="M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6" x14ac:dyDescent="0.25">
      <c r="D21" s="29" t="s">
        <v>308</v>
      </c>
      <c r="E21" s="29" t="s">
        <v>304</v>
      </c>
      <c r="F21" s="29" t="s">
        <v>306</v>
      </c>
      <c r="G21" s="29" t="s">
        <v>201</v>
      </c>
      <c r="H21" s="29" t="s">
        <v>312</v>
      </c>
      <c r="I21" s="29"/>
      <c r="J21" s="29" t="s">
        <v>38</v>
      </c>
      <c r="K21" s="29"/>
      <c r="L21" s="29"/>
      <c r="M21" s="29"/>
      <c r="N21" s="5"/>
      <c r="O21" s="5"/>
    </row>
    <row r="22" spans="1:16" x14ac:dyDescent="0.25">
      <c r="C22" s="29" t="s">
        <v>6</v>
      </c>
      <c r="D22" s="28">
        <v>0.65182625863770971</v>
      </c>
      <c r="E22" s="28">
        <v>10</v>
      </c>
      <c r="F22" s="28">
        <v>1</v>
      </c>
      <c r="G22" s="28">
        <v>1</v>
      </c>
      <c r="H22" s="28">
        <v>1</v>
      </c>
      <c r="J22" s="28">
        <f>1000*D22*G22*F22*H22/E22</f>
        <v>65.182625863770966</v>
      </c>
    </row>
    <row r="23" spans="1:16" x14ac:dyDescent="0.25">
      <c r="C23" s="29" t="s">
        <v>7</v>
      </c>
      <c r="D23" s="28">
        <v>1.9275857036600997E-2</v>
      </c>
      <c r="E23" s="28">
        <v>0.16329931618554522</v>
      </c>
      <c r="F23" s="28">
        <v>1.4999999999999999E-2</v>
      </c>
      <c r="G23" s="28">
        <v>0.04</v>
      </c>
      <c r="H23" s="28">
        <v>3.1099999999999999E-2</v>
      </c>
      <c r="J23" s="28">
        <f ca="1">STDEV($J$25:$J$526)</f>
        <v>3.9725841956802226</v>
      </c>
      <c r="P23" s="33"/>
    </row>
    <row r="25" spans="1:16" ht="15" customHeight="1" x14ac:dyDescent="0.25">
      <c r="C25" s="28" t="s">
        <v>25</v>
      </c>
      <c r="D25" s="28">
        <f t="shared" ref="D25:D88" ca="1" si="0">NORMINV(RAND(),$D$22,$D$23)</f>
        <v>0.65013279645608091</v>
      </c>
      <c r="E25" s="28">
        <f t="shared" ref="E25:E88" ca="1" si="1">$E$22+$E$23*SQRT(6)*(RAND()-RAND())</f>
        <v>9.8910478695520467</v>
      </c>
      <c r="F25" s="28">
        <f t="shared" ref="F25:F88" ca="1" si="2">NORMINV(RAND(),$F$22,$F$23)</f>
        <v>0.99075408948873001</v>
      </c>
      <c r="G25" s="28">
        <f t="shared" ref="G25:G88" ca="1" si="3">NORMINV(RAND(),$G$22,$G$23)</f>
        <v>0.95275120525987989</v>
      </c>
      <c r="H25" s="28">
        <f t="shared" ref="H25:H88" ca="1" si="4">NORMINV(RAND(),$H$22,$H$23)</f>
        <v>0.97679083683808599</v>
      </c>
      <c r="J25" s="28">
        <f t="shared" ref="J25:J88" ca="1" si="5">1000*D25*G25*F25*H25/E25</f>
        <v>60.604758999466085</v>
      </c>
    </row>
    <row r="26" spans="1:16" x14ac:dyDescent="0.25">
      <c r="D26" s="28">
        <f t="shared" ca="1" si="0"/>
        <v>0.65201716831630974</v>
      </c>
      <c r="E26" s="28">
        <f t="shared" ca="1" si="1"/>
        <v>10.17382812852526</v>
      </c>
      <c r="F26" s="28">
        <f t="shared" ca="1" si="2"/>
        <v>1.0252639325575879</v>
      </c>
      <c r="G26" s="28">
        <f t="shared" ca="1" si="3"/>
        <v>1.0132185621529415</v>
      </c>
      <c r="H26" s="28">
        <f t="shared" ca="1" si="4"/>
        <v>0.96696049099509052</v>
      </c>
      <c r="J26" s="28">
        <f t="shared" ca="1" si="5"/>
        <v>64.375732178551175</v>
      </c>
    </row>
    <row r="27" spans="1:16" x14ac:dyDescent="0.25">
      <c r="D27" s="28">
        <f t="shared" ca="1" si="0"/>
        <v>0.65024255744581738</v>
      </c>
      <c r="E27" s="28">
        <f t="shared" ca="1" si="1"/>
        <v>9.6999870344062415</v>
      </c>
      <c r="F27" s="28">
        <f t="shared" ca="1" si="2"/>
        <v>1.0014923679866832</v>
      </c>
      <c r="G27" s="28">
        <f t="shared" ca="1" si="3"/>
        <v>1.006000929345088</v>
      </c>
      <c r="H27" s="28">
        <f t="shared" ca="1" si="4"/>
        <v>1.0193331946159867</v>
      </c>
      <c r="J27" s="28">
        <f t="shared" ca="1" si="5"/>
        <v>68.844052876970579</v>
      </c>
    </row>
    <row r="28" spans="1:16" x14ac:dyDescent="0.25">
      <c r="D28" s="28">
        <f t="shared" ca="1" si="0"/>
        <v>0.67386876279035479</v>
      </c>
      <c r="E28" s="28">
        <f t="shared" ca="1" si="1"/>
        <v>10.175009510675183</v>
      </c>
      <c r="F28" s="28">
        <f t="shared" ca="1" si="2"/>
        <v>0.9966339653981352</v>
      </c>
      <c r="G28" s="28">
        <f t="shared" ca="1" si="3"/>
        <v>1.0244948114828112</v>
      </c>
      <c r="H28" s="28">
        <f t="shared" ca="1" si="4"/>
        <v>1.0447004310694152</v>
      </c>
      <c r="J28" s="28">
        <f t="shared" ca="1" si="5"/>
        <v>70.644396978750009</v>
      </c>
    </row>
    <row r="29" spans="1:16" x14ac:dyDescent="0.25">
      <c r="D29" s="28">
        <f t="shared" ca="1" si="0"/>
        <v>0.69292957956602896</v>
      </c>
      <c r="E29" s="28">
        <f t="shared" ca="1" si="1"/>
        <v>10.036672280496544</v>
      </c>
      <c r="F29" s="28">
        <f t="shared" ca="1" si="2"/>
        <v>0.99630645945250507</v>
      </c>
      <c r="G29" s="28">
        <f t="shared" ca="1" si="3"/>
        <v>1.038198024639222</v>
      </c>
      <c r="H29" s="28">
        <f t="shared" ca="1" si="4"/>
        <v>0.98316275160341893</v>
      </c>
      <c r="J29" s="28">
        <f t="shared" ca="1" si="5"/>
        <v>70.20982938720276</v>
      </c>
    </row>
    <row r="30" spans="1:16" x14ac:dyDescent="0.25">
      <c r="D30" s="28">
        <f t="shared" ca="1" si="0"/>
        <v>0.65384378686709521</v>
      </c>
      <c r="E30" s="28">
        <f t="shared" ca="1" si="1"/>
        <v>9.9000121796454454</v>
      </c>
      <c r="F30" s="28">
        <f t="shared" ca="1" si="2"/>
        <v>1.0133655054333537</v>
      </c>
      <c r="G30" s="28">
        <f t="shared" ca="1" si="3"/>
        <v>0.98847602730801054</v>
      </c>
      <c r="H30" s="28">
        <f t="shared" ca="1" si="4"/>
        <v>1.0323501934773043</v>
      </c>
      <c r="J30" s="28">
        <f t="shared" ca="1" si="5"/>
        <v>68.296362574254758</v>
      </c>
    </row>
    <row r="31" spans="1:16" x14ac:dyDescent="0.25">
      <c r="D31" s="28">
        <f t="shared" ca="1" si="0"/>
        <v>0.63216633371418007</v>
      </c>
      <c r="E31" s="28">
        <f t="shared" ca="1" si="1"/>
        <v>10.098982592416661</v>
      </c>
      <c r="F31" s="28">
        <f t="shared" ca="1" si="2"/>
        <v>1.0140005704845549</v>
      </c>
      <c r="G31" s="28">
        <f t="shared" ca="1" si="3"/>
        <v>1.0278412184431711</v>
      </c>
      <c r="H31" s="28">
        <f t="shared" ca="1" si="4"/>
        <v>0.97753454984391119</v>
      </c>
      <c r="J31" s="28">
        <f t="shared" ca="1" si="5"/>
        <v>63.774943869954086</v>
      </c>
    </row>
    <row r="32" spans="1:16" x14ac:dyDescent="0.25">
      <c r="D32" s="28">
        <f t="shared" ca="1" si="0"/>
        <v>0.67212934321243478</v>
      </c>
      <c r="E32" s="28">
        <f t="shared" ca="1" si="1"/>
        <v>9.8789193288945061</v>
      </c>
      <c r="F32" s="28">
        <f t="shared" ca="1" si="2"/>
        <v>0.99835955106770369</v>
      </c>
      <c r="G32" s="28">
        <f t="shared" ca="1" si="3"/>
        <v>0.94181370171362766</v>
      </c>
      <c r="H32" s="28">
        <f t="shared" ca="1" si="4"/>
        <v>1.0008953369209292</v>
      </c>
      <c r="J32" s="28">
        <f t="shared" ca="1" si="5"/>
        <v>64.030082914868387</v>
      </c>
    </row>
    <row r="33" spans="4:10" x14ac:dyDescent="0.25">
      <c r="D33" s="28">
        <f t="shared" ca="1" si="0"/>
        <v>0.64323835176765631</v>
      </c>
      <c r="E33" s="28">
        <f t="shared" ca="1" si="1"/>
        <v>9.757404792639635</v>
      </c>
      <c r="F33" s="28">
        <f t="shared" ca="1" si="2"/>
        <v>0.99097458777982883</v>
      </c>
      <c r="G33" s="28">
        <f t="shared" ca="1" si="3"/>
        <v>0.92998219039680829</v>
      </c>
      <c r="H33" s="28">
        <f t="shared" ca="1" si="4"/>
        <v>0.99247621707003164</v>
      </c>
      <c r="J33" s="28">
        <f t="shared" ca="1" si="5"/>
        <v>60.296883517861204</v>
      </c>
    </row>
    <row r="34" spans="4:10" x14ac:dyDescent="0.25">
      <c r="D34" s="28">
        <f t="shared" ca="1" si="0"/>
        <v>0.65674583251554108</v>
      </c>
      <c r="E34" s="28">
        <f t="shared" ca="1" si="1"/>
        <v>10.023571893168446</v>
      </c>
      <c r="F34" s="28">
        <f t="shared" ca="1" si="2"/>
        <v>1.0031025955750472</v>
      </c>
      <c r="G34" s="28">
        <f t="shared" ca="1" si="3"/>
        <v>0.97919038055058527</v>
      </c>
      <c r="H34" s="28">
        <f t="shared" ca="1" si="4"/>
        <v>1.0023775298456259</v>
      </c>
      <c r="J34" s="28">
        <f t="shared" ca="1" si="5"/>
        <v>64.508750664981747</v>
      </c>
    </row>
    <row r="35" spans="4:10" x14ac:dyDescent="0.25">
      <c r="D35" s="28">
        <f t="shared" ca="1" si="0"/>
        <v>0.63925819466507272</v>
      </c>
      <c r="E35" s="28">
        <f t="shared" ca="1" si="1"/>
        <v>10.133164295522207</v>
      </c>
      <c r="F35" s="28">
        <f t="shared" ca="1" si="2"/>
        <v>1.0147865316585929</v>
      </c>
      <c r="G35" s="28">
        <f t="shared" ca="1" si="3"/>
        <v>0.98703624804980294</v>
      </c>
      <c r="H35" s="28">
        <f t="shared" ca="1" si="4"/>
        <v>0.93454743816503627</v>
      </c>
      <c r="J35" s="28">
        <f t="shared" ca="1" si="5"/>
        <v>59.05278274738491</v>
      </c>
    </row>
    <row r="36" spans="4:10" x14ac:dyDescent="0.25">
      <c r="D36" s="28">
        <f t="shared" ca="1" si="0"/>
        <v>0.63848052576551362</v>
      </c>
      <c r="E36" s="28">
        <f t="shared" ca="1" si="1"/>
        <v>10.038772622646331</v>
      </c>
      <c r="F36" s="28">
        <f t="shared" ca="1" si="2"/>
        <v>0.99517500021620453</v>
      </c>
      <c r="G36" s="28">
        <f t="shared" ca="1" si="3"/>
        <v>1.0630354346265662</v>
      </c>
      <c r="H36" s="28">
        <f t="shared" ca="1" si="4"/>
        <v>1.0523313193038553</v>
      </c>
      <c r="J36" s="28">
        <f t="shared" ca="1" si="5"/>
        <v>70.805457403339631</v>
      </c>
    </row>
    <row r="37" spans="4:10" x14ac:dyDescent="0.25">
      <c r="D37" s="28">
        <f t="shared" ca="1" si="0"/>
        <v>0.65935978797687289</v>
      </c>
      <c r="E37" s="28">
        <f t="shared" ca="1" si="1"/>
        <v>9.9066759824122652</v>
      </c>
      <c r="F37" s="28">
        <f t="shared" ca="1" si="2"/>
        <v>0.99307425543693373</v>
      </c>
      <c r="G37" s="28">
        <f t="shared" ca="1" si="3"/>
        <v>0.99653485074025028</v>
      </c>
      <c r="H37" s="28">
        <f t="shared" ca="1" si="4"/>
        <v>1.049320856891804</v>
      </c>
      <c r="J37" s="28">
        <f t="shared" ca="1" si="5"/>
        <v>69.115748995487479</v>
      </c>
    </row>
    <row r="38" spans="4:10" x14ac:dyDescent="0.25">
      <c r="D38" s="28">
        <f t="shared" ca="1" si="0"/>
        <v>0.63567625264458272</v>
      </c>
      <c r="E38" s="28">
        <f t="shared" ca="1" si="1"/>
        <v>10.129479967469985</v>
      </c>
      <c r="F38" s="28">
        <f t="shared" ca="1" si="2"/>
        <v>0.99607954502477525</v>
      </c>
      <c r="G38" s="28">
        <f t="shared" ca="1" si="3"/>
        <v>0.99316869512438166</v>
      </c>
      <c r="H38" s="28">
        <f t="shared" ca="1" si="4"/>
        <v>0.93228786064676106</v>
      </c>
      <c r="J38" s="28">
        <f t="shared" ca="1" si="5"/>
        <v>57.878319212929213</v>
      </c>
    </row>
    <row r="39" spans="4:10" x14ac:dyDescent="0.25">
      <c r="D39" s="28">
        <f t="shared" ca="1" si="0"/>
        <v>0.63074042242296735</v>
      </c>
      <c r="E39" s="28">
        <f t="shared" ca="1" si="1"/>
        <v>9.9291734124232374</v>
      </c>
      <c r="F39" s="28">
        <f t="shared" ca="1" si="2"/>
        <v>1.0287313959059923</v>
      </c>
      <c r="G39" s="28">
        <f t="shared" ca="1" si="3"/>
        <v>0.98779834465030769</v>
      </c>
      <c r="H39" s="28">
        <f t="shared" ca="1" si="4"/>
        <v>1.0142610922992268</v>
      </c>
      <c r="J39" s="28">
        <f t="shared" ca="1" si="5"/>
        <v>65.472303856601755</v>
      </c>
    </row>
    <row r="40" spans="4:10" x14ac:dyDescent="0.25">
      <c r="D40" s="28">
        <f t="shared" ca="1" si="0"/>
        <v>0.65357587020085073</v>
      </c>
      <c r="E40" s="28">
        <f t="shared" ca="1" si="1"/>
        <v>9.9154020165191294</v>
      </c>
      <c r="F40" s="28">
        <f t="shared" ca="1" si="2"/>
        <v>0.99911251945232193</v>
      </c>
      <c r="G40" s="28">
        <f t="shared" ca="1" si="3"/>
        <v>0.99297348067846791</v>
      </c>
      <c r="H40" s="28">
        <f t="shared" ca="1" si="4"/>
        <v>1.0277923506440962</v>
      </c>
      <c r="J40" s="28">
        <f t="shared" ca="1" si="5"/>
        <v>67.211426754525249</v>
      </c>
    </row>
    <row r="41" spans="4:10" x14ac:dyDescent="0.25">
      <c r="D41" s="28">
        <f t="shared" ca="1" si="0"/>
        <v>0.65665935104426076</v>
      </c>
      <c r="E41" s="28">
        <f t="shared" ca="1" si="1"/>
        <v>9.6232996712907557</v>
      </c>
      <c r="F41" s="28">
        <f t="shared" ca="1" si="2"/>
        <v>0.98969720193268396</v>
      </c>
      <c r="G41" s="28">
        <f t="shared" ca="1" si="3"/>
        <v>1.072146535138284</v>
      </c>
      <c r="H41" s="28">
        <f t="shared" ca="1" si="4"/>
        <v>0.95096188076889065</v>
      </c>
      <c r="J41" s="28">
        <f t="shared" ca="1" si="5"/>
        <v>68.855037729090697</v>
      </c>
    </row>
    <row r="42" spans="4:10" x14ac:dyDescent="0.25">
      <c r="D42" s="28">
        <f t="shared" ca="1" si="0"/>
        <v>0.64377486108074145</v>
      </c>
      <c r="E42" s="28">
        <f t="shared" ca="1" si="1"/>
        <v>10.112787389252492</v>
      </c>
      <c r="F42" s="28">
        <f t="shared" ca="1" si="2"/>
        <v>0.99862785861442371</v>
      </c>
      <c r="G42" s="28">
        <f t="shared" ca="1" si="3"/>
        <v>0.99761690269268821</v>
      </c>
      <c r="H42" s="28">
        <f t="shared" ca="1" si="4"/>
        <v>0.98160626038598298</v>
      </c>
      <c r="J42" s="28">
        <f t="shared" ca="1" si="5"/>
        <v>62.254096243649016</v>
      </c>
    </row>
    <row r="43" spans="4:10" x14ac:dyDescent="0.25">
      <c r="D43" s="28">
        <f t="shared" ca="1" si="0"/>
        <v>0.6528650117865672</v>
      </c>
      <c r="E43" s="28">
        <f t="shared" ca="1" si="1"/>
        <v>9.7453201304449539</v>
      </c>
      <c r="F43" s="28">
        <f t="shared" ca="1" si="2"/>
        <v>1.0040254606765766</v>
      </c>
      <c r="G43" s="28">
        <f t="shared" ca="1" si="3"/>
        <v>0.99807057572400015</v>
      </c>
      <c r="H43" s="28">
        <f t="shared" ca="1" si="4"/>
        <v>1.0096922934168548</v>
      </c>
      <c r="J43" s="28">
        <f t="shared" ca="1" si="5"/>
        <v>67.783236918941697</v>
      </c>
    </row>
    <row r="44" spans="4:10" x14ac:dyDescent="0.25">
      <c r="D44" s="28">
        <f t="shared" ca="1" si="0"/>
        <v>0.64510938505471538</v>
      </c>
      <c r="E44" s="28">
        <f t="shared" ca="1" si="1"/>
        <v>9.9614906647927697</v>
      </c>
      <c r="F44" s="28">
        <f t="shared" ca="1" si="2"/>
        <v>0.99519820175032858</v>
      </c>
      <c r="G44" s="28">
        <f t="shared" ca="1" si="3"/>
        <v>1.0297425405311618</v>
      </c>
      <c r="H44" s="28">
        <f t="shared" ca="1" si="4"/>
        <v>0.9866913013830928</v>
      </c>
      <c r="J44" s="28">
        <f t="shared" ca="1" si="5"/>
        <v>65.482999511577901</v>
      </c>
    </row>
    <row r="45" spans="4:10" x14ac:dyDescent="0.25">
      <c r="D45" s="28">
        <f t="shared" ca="1" si="0"/>
        <v>0.64974942484619713</v>
      </c>
      <c r="E45" s="28">
        <f t="shared" ca="1" si="1"/>
        <v>10.017632137422549</v>
      </c>
      <c r="F45" s="28">
        <f t="shared" ca="1" si="2"/>
        <v>1.0045725865459347</v>
      </c>
      <c r="G45" s="28">
        <f t="shared" ca="1" si="3"/>
        <v>1.0082816280926006</v>
      </c>
      <c r="H45" s="28">
        <f t="shared" ca="1" si="4"/>
        <v>0.9876842928988252</v>
      </c>
      <c r="J45" s="28">
        <f t="shared" ca="1" si="5"/>
        <v>64.88766525464581</v>
      </c>
    </row>
    <row r="46" spans="4:10" x14ac:dyDescent="0.25">
      <c r="D46" s="28">
        <f t="shared" ca="1" si="0"/>
        <v>0.62883148727607152</v>
      </c>
      <c r="E46" s="28">
        <f t="shared" ca="1" si="1"/>
        <v>10.050438913554482</v>
      </c>
      <c r="F46" s="28">
        <f t="shared" ca="1" si="2"/>
        <v>0.99844138813681804</v>
      </c>
      <c r="G46" s="28">
        <f t="shared" ca="1" si="3"/>
        <v>1.0315282571747624</v>
      </c>
      <c r="H46" s="28">
        <f t="shared" ca="1" si="4"/>
        <v>0.99973067917213765</v>
      </c>
      <c r="J46" s="28">
        <f t="shared" ca="1" si="5"/>
        <v>64.422262930559711</v>
      </c>
    </row>
    <row r="47" spans="4:10" x14ac:dyDescent="0.25">
      <c r="D47" s="28">
        <f t="shared" ca="1" si="0"/>
        <v>0.6411561353227071</v>
      </c>
      <c r="E47" s="28">
        <f t="shared" ca="1" si="1"/>
        <v>10.0485643276687</v>
      </c>
      <c r="F47" s="28">
        <f t="shared" ca="1" si="2"/>
        <v>1.0040395853383717</v>
      </c>
      <c r="G47" s="28">
        <f t="shared" ca="1" si="3"/>
        <v>1.0172352965606701</v>
      </c>
      <c r="H47" s="28">
        <f t="shared" ca="1" si="4"/>
        <v>0.93087313181556564</v>
      </c>
      <c r="J47" s="28">
        <f t="shared" ca="1" si="5"/>
        <v>60.662811926553125</v>
      </c>
    </row>
    <row r="48" spans="4:10" ht="15" customHeight="1" x14ac:dyDescent="0.25">
      <c r="D48" s="28">
        <f t="shared" ca="1" si="0"/>
        <v>0.66132355330914228</v>
      </c>
      <c r="E48" s="28">
        <f t="shared" ca="1" si="1"/>
        <v>9.8006769171082677</v>
      </c>
      <c r="F48" s="28">
        <f t="shared" ca="1" si="2"/>
        <v>0.99288947185647181</v>
      </c>
      <c r="G48" s="28">
        <f t="shared" ca="1" si="3"/>
        <v>1.0179820059519109</v>
      </c>
      <c r="H48" s="28">
        <f t="shared" ca="1" si="4"/>
        <v>1.0016710368194135</v>
      </c>
      <c r="J48" s="28">
        <f t="shared" ca="1" si="5"/>
        <v>68.316253477153367</v>
      </c>
    </row>
    <row r="49" spans="1:10" ht="18" customHeight="1" x14ac:dyDescent="0.25">
      <c r="A49" s="30"/>
      <c r="D49" s="28">
        <f t="shared" ca="1" si="0"/>
        <v>0.66897508775559544</v>
      </c>
      <c r="E49" s="28">
        <f t="shared" ca="1" si="1"/>
        <v>10.082987007384872</v>
      </c>
      <c r="F49" s="31">
        <f t="shared" ca="1" si="2"/>
        <v>0.98421821321612946</v>
      </c>
      <c r="G49" s="28">
        <f t="shared" ca="1" si="3"/>
        <v>1.0033794816791075</v>
      </c>
      <c r="H49" s="31">
        <f t="shared" ca="1" si="4"/>
        <v>0.94296362315367721</v>
      </c>
      <c r="I49" s="31"/>
      <c r="J49" s="28">
        <f t="shared" ca="1" si="5"/>
        <v>61.783469122402785</v>
      </c>
    </row>
    <row r="50" spans="1:10" x14ac:dyDescent="0.25">
      <c r="D50" s="28">
        <f t="shared" ca="1" si="0"/>
        <v>0.65970704430172278</v>
      </c>
      <c r="E50" s="28">
        <f t="shared" ca="1" si="1"/>
        <v>10.028669836903664</v>
      </c>
      <c r="F50" s="28">
        <f t="shared" ca="1" si="2"/>
        <v>1.0038821818251322</v>
      </c>
      <c r="G50" s="28">
        <f t="shared" ca="1" si="3"/>
        <v>1.045207042174495</v>
      </c>
      <c r="H50" s="28">
        <f t="shared" ca="1" si="4"/>
        <v>0.99851451571951466</v>
      </c>
      <c r="J50" s="28">
        <f t="shared" ca="1" si="5"/>
        <v>68.920313379817003</v>
      </c>
    </row>
    <row r="51" spans="1:10" x14ac:dyDescent="0.25">
      <c r="D51" s="28">
        <f t="shared" ca="1" si="0"/>
        <v>0.65445178016422556</v>
      </c>
      <c r="E51" s="28">
        <f t="shared" ca="1" si="1"/>
        <v>9.71833144473106</v>
      </c>
      <c r="F51" s="28">
        <f t="shared" ca="1" si="2"/>
        <v>1.0063394010266333</v>
      </c>
      <c r="G51" s="28">
        <f t="shared" ca="1" si="3"/>
        <v>1.0243510702037424</v>
      </c>
      <c r="H51" s="28">
        <f t="shared" ca="1" si="4"/>
        <v>0.95557774980555643</v>
      </c>
      <c r="J51" s="28">
        <f t="shared" ca="1" si="5"/>
        <v>66.335388649974519</v>
      </c>
    </row>
    <row r="52" spans="1:10" x14ac:dyDescent="0.25">
      <c r="D52" s="28">
        <f t="shared" ca="1" si="0"/>
        <v>0.62117934195070923</v>
      </c>
      <c r="E52" s="28">
        <f t="shared" ca="1" si="1"/>
        <v>10.004636197160352</v>
      </c>
      <c r="F52" s="28">
        <f t="shared" ca="1" si="2"/>
        <v>1.0185746793248265</v>
      </c>
      <c r="G52" s="28">
        <f t="shared" ca="1" si="3"/>
        <v>1.0627522656813355</v>
      </c>
      <c r="H52" s="28">
        <f t="shared" ca="1" si="4"/>
        <v>0.95983547661384927</v>
      </c>
      <c r="J52" s="28">
        <f t="shared" ca="1" si="5"/>
        <v>64.51154110484336</v>
      </c>
    </row>
    <row r="53" spans="1:10" x14ac:dyDescent="0.25">
      <c r="D53" s="28">
        <f t="shared" ca="1" si="0"/>
        <v>0.66727251918863806</v>
      </c>
      <c r="E53" s="28">
        <f t="shared" ca="1" si="1"/>
        <v>10.069744848860321</v>
      </c>
      <c r="F53" s="28">
        <f t="shared" ca="1" si="2"/>
        <v>1.0186546880910043</v>
      </c>
      <c r="G53" s="28">
        <f t="shared" ca="1" si="3"/>
        <v>1.0240289000133822</v>
      </c>
      <c r="H53" s="28">
        <f t="shared" ca="1" si="4"/>
        <v>1.0209709392542921</v>
      </c>
      <c r="J53" s="28">
        <f t="shared" ca="1" si="5"/>
        <v>70.572801079992431</v>
      </c>
    </row>
    <row r="54" spans="1:10" x14ac:dyDescent="0.25">
      <c r="D54" s="28">
        <f t="shared" ca="1" si="0"/>
        <v>0.64751673633219475</v>
      </c>
      <c r="E54" s="28">
        <f t="shared" ca="1" si="1"/>
        <v>9.9695903751417987</v>
      </c>
      <c r="F54" s="28">
        <f t="shared" ca="1" si="2"/>
        <v>0.99859219735825033</v>
      </c>
      <c r="G54" s="28">
        <f t="shared" ca="1" si="3"/>
        <v>1.0162480257058553</v>
      </c>
      <c r="H54" s="28">
        <f t="shared" ca="1" si="4"/>
        <v>0.97840765906146387</v>
      </c>
      <c r="J54" s="28">
        <f t="shared" ca="1" si="5"/>
        <v>64.488371556735316</v>
      </c>
    </row>
    <row r="55" spans="1:10" x14ac:dyDescent="0.25">
      <c r="D55" s="28">
        <f t="shared" ca="1" si="0"/>
        <v>0.65768449280319241</v>
      </c>
      <c r="E55" s="28">
        <f t="shared" ca="1" si="1"/>
        <v>9.6869451317813748</v>
      </c>
      <c r="F55" s="28">
        <f t="shared" ca="1" si="2"/>
        <v>1.0051545483510544</v>
      </c>
      <c r="G55" s="28">
        <f t="shared" ca="1" si="3"/>
        <v>0.97021552400250322</v>
      </c>
      <c r="H55" s="28">
        <f t="shared" ca="1" si="4"/>
        <v>0.97633621303204077</v>
      </c>
      <c r="J55" s="28">
        <f t="shared" ca="1" si="5"/>
        <v>64.644446539788049</v>
      </c>
    </row>
    <row r="56" spans="1:10" x14ac:dyDescent="0.25">
      <c r="D56" s="28">
        <f t="shared" ca="1" si="0"/>
        <v>0.66575173691766321</v>
      </c>
      <c r="E56" s="28">
        <f t="shared" ca="1" si="1"/>
        <v>10.089961001922006</v>
      </c>
      <c r="F56" s="28">
        <f t="shared" ca="1" si="2"/>
        <v>0.99500265417578126</v>
      </c>
      <c r="G56" s="28">
        <f t="shared" ca="1" si="3"/>
        <v>0.91150741696599047</v>
      </c>
      <c r="H56" s="28">
        <f t="shared" ca="1" si="4"/>
        <v>1.0375415261738219</v>
      </c>
      <c r="J56" s="28">
        <f t="shared" ca="1" si="5"/>
        <v>62.088726819152001</v>
      </c>
    </row>
    <row r="57" spans="1:10" x14ac:dyDescent="0.25">
      <c r="D57" s="28">
        <f t="shared" ca="1" si="0"/>
        <v>0.66239742711840277</v>
      </c>
      <c r="E57" s="28">
        <f t="shared" ca="1" si="1"/>
        <v>10.035291364635574</v>
      </c>
      <c r="F57" s="28">
        <f t="shared" ca="1" si="2"/>
        <v>0.99776406303144072</v>
      </c>
      <c r="G57" s="28">
        <f t="shared" ca="1" si="3"/>
        <v>1.0304940101734403</v>
      </c>
      <c r="H57" s="28">
        <f t="shared" ca="1" si="4"/>
        <v>1.0233663497482233</v>
      </c>
      <c r="J57" s="28">
        <f t="shared" ca="1" si="5"/>
        <v>69.453336277648901</v>
      </c>
    </row>
    <row r="58" spans="1:10" x14ac:dyDescent="0.25">
      <c r="D58" s="28">
        <f t="shared" ca="1" si="0"/>
        <v>0.65965684003530189</v>
      </c>
      <c r="E58" s="28">
        <f t="shared" ca="1" si="1"/>
        <v>10.319995374902785</v>
      </c>
      <c r="F58" s="28">
        <f t="shared" ca="1" si="2"/>
        <v>1.0129947084833886</v>
      </c>
      <c r="G58" s="28">
        <f t="shared" ca="1" si="3"/>
        <v>1.03019105220806</v>
      </c>
      <c r="H58" s="28">
        <f t="shared" ca="1" si="4"/>
        <v>0.97861774923444655</v>
      </c>
      <c r="J58" s="28">
        <f t="shared" ca="1" si="5"/>
        <v>65.279467922594094</v>
      </c>
    </row>
    <row r="59" spans="1:10" x14ac:dyDescent="0.25">
      <c r="D59" s="28">
        <f t="shared" ca="1" si="0"/>
        <v>0.65689515267180665</v>
      </c>
      <c r="E59" s="28">
        <f t="shared" ca="1" si="1"/>
        <v>9.7513094913775173</v>
      </c>
      <c r="F59" s="28">
        <f t="shared" ca="1" si="2"/>
        <v>0.98812390778131276</v>
      </c>
      <c r="G59" s="28">
        <f t="shared" ca="1" si="3"/>
        <v>1.0305309163228396</v>
      </c>
      <c r="H59" s="28">
        <f t="shared" ca="1" si="4"/>
        <v>0.98049768546221494</v>
      </c>
      <c r="J59" s="28">
        <f t="shared" ca="1" si="5"/>
        <v>67.259265764565569</v>
      </c>
    </row>
    <row r="60" spans="1:10" x14ac:dyDescent="0.25">
      <c r="D60" s="28">
        <f t="shared" ca="1" si="0"/>
        <v>0.67357771062766048</v>
      </c>
      <c r="E60" s="28">
        <f t="shared" ca="1" si="1"/>
        <v>9.9749638598937178</v>
      </c>
      <c r="F60" s="28">
        <f t="shared" ca="1" si="2"/>
        <v>0.99043786866456529</v>
      </c>
      <c r="G60" s="28">
        <f t="shared" ca="1" si="3"/>
        <v>0.95627223148589624</v>
      </c>
      <c r="H60" s="28">
        <f t="shared" ca="1" si="4"/>
        <v>1.0412141010428986</v>
      </c>
      <c r="J60" s="28">
        <f t="shared" ca="1" si="5"/>
        <v>66.592481602139259</v>
      </c>
    </row>
    <row r="61" spans="1:10" x14ac:dyDescent="0.25">
      <c r="D61" s="28">
        <f t="shared" ca="1" si="0"/>
        <v>0.66852819356718274</v>
      </c>
      <c r="E61" s="28">
        <f t="shared" ca="1" si="1"/>
        <v>9.9014787066862358</v>
      </c>
      <c r="F61" s="28">
        <f t="shared" ca="1" si="2"/>
        <v>1.0257290979787892</v>
      </c>
      <c r="G61" s="28">
        <f t="shared" ca="1" si="3"/>
        <v>1.0710822538607385</v>
      </c>
      <c r="H61" s="28">
        <f t="shared" ca="1" si="4"/>
        <v>1.0445578761684631</v>
      </c>
      <c r="J61" s="28">
        <f t="shared" ca="1" si="5"/>
        <v>77.4832229565164</v>
      </c>
    </row>
    <row r="62" spans="1:10" x14ac:dyDescent="0.25">
      <c r="D62" s="28">
        <f t="shared" ca="1" si="0"/>
        <v>0.62395932165814205</v>
      </c>
      <c r="E62" s="28">
        <f t="shared" ca="1" si="1"/>
        <v>10.010017183622505</v>
      </c>
      <c r="F62" s="28">
        <f t="shared" ca="1" si="2"/>
        <v>1.009583784543735</v>
      </c>
      <c r="G62" s="28">
        <f t="shared" ca="1" si="3"/>
        <v>1.0331201061188189</v>
      </c>
      <c r="H62" s="28">
        <f t="shared" ca="1" si="4"/>
        <v>1.0466812225137501</v>
      </c>
      <c r="J62" s="28">
        <f t="shared" ca="1" si="5"/>
        <v>68.050146958322358</v>
      </c>
    </row>
    <row r="63" spans="1:10" x14ac:dyDescent="0.25">
      <c r="D63" s="28">
        <f t="shared" ca="1" si="0"/>
        <v>0.6234814720664198</v>
      </c>
      <c r="E63" s="28">
        <f t="shared" ca="1" si="1"/>
        <v>9.9735140695206113</v>
      </c>
      <c r="F63" s="28">
        <f t="shared" ca="1" si="2"/>
        <v>0.99909572887094855</v>
      </c>
      <c r="G63" s="28">
        <f t="shared" ca="1" si="3"/>
        <v>0.96285538589978459</v>
      </c>
      <c r="H63" s="28">
        <f t="shared" ca="1" si="4"/>
        <v>0.969786806318374</v>
      </c>
      <c r="J63" s="28">
        <f t="shared" ca="1" si="5"/>
        <v>58.32030482259642</v>
      </c>
    </row>
    <row r="64" spans="1:10" x14ac:dyDescent="0.25">
      <c r="D64" s="28">
        <f t="shared" ca="1" si="0"/>
        <v>0.62783894024178177</v>
      </c>
      <c r="E64" s="28">
        <f t="shared" ca="1" si="1"/>
        <v>10.107592048656569</v>
      </c>
      <c r="F64" s="28">
        <f t="shared" ca="1" si="2"/>
        <v>1.0126632659055186</v>
      </c>
      <c r="G64" s="28">
        <f t="shared" ca="1" si="3"/>
        <v>0.97036233424910334</v>
      </c>
      <c r="H64" s="28">
        <f t="shared" ca="1" si="4"/>
        <v>0.89271519002945321</v>
      </c>
      <c r="J64" s="28">
        <f t="shared" ca="1" si="5"/>
        <v>54.489453813071613</v>
      </c>
    </row>
    <row r="65" spans="4:10" x14ac:dyDescent="0.25">
      <c r="D65" s="28">
        <f t="shared" ca="1" si="0"/>
        <v>0.6677884625071514</v>
      </c>
      <c r="E65" s="28">
        <f t="shared" ca="1" si="1"/>
        <v>10.002522621415931</v>
      </c>
      <c r="F65" s="28">
        <f t="shared" ca="1" si="2"/>
        <v>1.03213265676132</v>
      </c>
      <c r="G65" s="28">
        <f t="shared" ca="1" si="3"/>
        <v>0.96587486422997504</v>
      </c>
      <c r="H65" s="28">
        <f t="shared" ca="1" si="4"/>
        <v>1.0054082076957342</v>
      </c>
      <c r="J65" s="28">
        <f t="shared" ca="1" si="5"/>
        <v>66.915723666365437</v>
      </c>
    </row>
    <row r="66" spans="4:10" x14ac:dyDescent="0.25">
      <c r="D66" s="28">
        <f t="shared" ca="1" si="0"/>
        <v>0.6505234706078119</v>
      </c>
      <c r="E66" s="28">
        <f t="shared" ca="1" si="1"/>
        <v>9.7548223285605999</v>
      </c>
      <c r="F66" s="28">
        <f t="shared" ca="1" si="2"/>
        <v>1.024993369038844</v>
      </c>
      <c r="G66" s="28">
        <f t="shared" ca="1" si="3"/>
        <v>1.0394542110749612</v>
      </c>
      <c r="H66" s="28">
        <f t="shared" ca="1" si="4"/>
        <v>0.96806467873117219</v>
      </c>
      <c r="J66" s="28">
        <f t="shared" ca="1" si="5"/>
        <v>68.781936683674317</v>
      </c>
    </row>
    <row r="67" spans="4:10" x14ac:dyDescent="0.25">
      <c r="D67" s="28">
        <f t="shared" ca="1" si="0"/>
        <v>0.62904650285748986</v>
      </c>
      <c r="E67" s="28">
        <f t="shared" ca="1" si="1"/>
        <v>10.206158496894213</v>
      </c>
      <c r="F67" s="28">
        <f t="shared" ca="1" si="2"/>
        <v>0.99327998805930107</v>
      </c>
      <c r="G67" s="28">
        <f t="shared" ca="1" si="3"/>
        <v>0.97067553607211632</v>
      </c>
      <c r="H67" s="28">
        <f t="shared" ca="1" si="4"/>
        <v>1.0238253072666363</v>
      </c>
      <c r="J67" s="28">
        <f t="shared" ca="1" si="5"/>
        <v>60.840401883248191</v>
      </c>
    </row>
    <row r="68" spans="4:10" x14ac:dyDescent="0.25">
      <c r="D68" s="28">
        <f t="shared" ca="1" si="0"/>
        <v>0.66496852178278609</v>
      </c>
      <c r="E68" s="28">
        <f t="shared" ca="1" si="1"/>
        <v>10.138867238883899</v>
      </c>
      <c r="F68" s="28">
        <f t="shared" ca="1" si="2"/>
        <v>0.97951583323802816</v>
      </c>
      <c r="G68" s="28">
        <f t="shared" ca="1" si="3"/>
        <v>1.0220727110292231</v>
      </c>
      <c r="H68" s="28">
        <f t="shared" ca="1" si="4"/>
        <v>0.95458159199631387</v>
      </c>
      <c r="J68" s="28">
        <f t="shared" ca="1" si="5"/>
        <v>62.678408354890266</v>
      </c>
    </row>
    <row r="69" spans="4:10" x14ac:dyDescent="0.25">
      <c r="D69" s="28">
        <f t="shared" ca="1" si="0"/>
        <v>0.68232882625570179</v>
      </c>
      <c r="E69" s="28">
        <f t="shared" ca="1" si="1"/>
        <v>9.9199494899462728</v>
      </c>
      <c r="F69" s="28">
        <f t="shared" ca="1" si="2"/>
        <v>0.993572713671807</v>
      </c>
      <c r="G69" s="28">
        <f t="shared" ca="1" si="3"/>
        <v>1.0065343613175817</v>
      </c>
      <c r="H69" s="28">
        <f t="shared" ca="1" si="4"/>
        <v>1.0070267729687987</v>
      </c>
      <c r="J69" s="28">
        <f t="shared" ca="1" si="5"/>
        <v>69.271331722118177</v>
      </c>
    </row>
    <row r="70" spans="4:10" x14ac:dyDescent="0.25">
      <c r="D70" s="28">
        <f t="shared" ca="1" si="0"/>
        <v>0.66802945271224701</v>
      </c>
      <c r="E70" s="28">
        <f t="shared" ca="1" si="1"/>
        <v>9.8620714218399517</v>
      </c>
      <c r="F70" s="28">
        <f t="shared" ca="1" si="2"/>
        <v>1.0041367979501989</v>
      </c>
      <c r="G70" s="28">
        <f t="shared" ca="1" si="3"/>
        <v>0.96036082039801929</v>
      </c>
      <c r="H70" s="28">
        <f t="shared" ca="1" si="4"/>
        <v>0.91517332874378199</v>
      </c>
      <c r="J70" s="28">
        <f t="shared" ca="1" si="5"/>
        <v>59.780306656704177</v>
      </c>
    </row>
    <row r="71" spans="4:10" x14ac:dyDescent="0.25">
      <c r="D71" s="28">
        <f t="shared" ca="1" si="0"/>
        <v>0.66894317341105336</v>
      </c>
      <c r="E71" s="28">
        <f t="shared" ca="1" si="1"/>
        <v>9.9459962585773951</v>
      </c>
      <c r="F71" s="28">
        <f t="shared" ca="1" si="2"/>
        <v>1.0066094484823962</v>
      </c>
      <c r="G71" s="28">
        <f t="shared" ca="1" si="3"/>
        <v>1.0353340077942748</v>
      </c>
      <c r="H71" s="28">
        <f t="shared" ca="1" si="4"/>
        <v>1.0305411151590873</v>
      </c>
      <c r="J71" s="28">
        <f t="shared" ca="1" si="5"/>
        <v>72.235010474015979</v>
      </c>
    </row>
    <row r="72" spans="4:10" x14ac:dyDescent="0.25">
      <c r="D72" s="28">
        <f t="shared" ca="1" si="0"/>
        <v>0.63336969930908327</v>
      </c>
      <c r="E72" s="28">
        <f t="shared" ca="1" si="1"/>
        <v>10.084876538192011</v>
      </c>
      <c r="F72" s="28">
        <f t="shared" ca="1" si="2"/>
        <v>0.99954097952527587</v>
      </c>
      <c r="G72" s="28">
        <f t="shared" ca="1" si="3"/>
        <v>0.9404529684326518</v>
      </c>
      <c r="H72" s="28">
        <f t="shared" ca="1" si="4"/>
        <v>1.017240740582525</v>
      </c>
      <c r="J72" s="28">
        <f t="shared" ca="1" si="5"/>
        <v>60.054855730693525</v>
      </c>
    </row>
    <row r="73" spans="4:10" x14ac:dyDescent="0.25">
      <c r="D73" s="28">
        <f t="shared" ca="1" si="0"/>
        <v>0.65761759179702706</v>
      </c>
      <c r="E73" s="28">
        <f t="shared" ca="1" si="1"/>
        <v>10.131187565676651</v>
      </c>
      <c r="F73" s="28">
        <f t="shared" ca="1" si="2"/>
        <v>1.0064646592431026</v>
      </c>
      <c r="G73" s="28">
        <f t="shared" ca="1" si="3"/>
        <v>1.0046534266344984</v>
      </c>
      <c r="H73" s="28">
        <f t="shared" ca="1" si="4"/>
        <v>0.97862101343121199</v>
      </c>
      <c r="J73" s="28">
        <f t="shared" ca="1" si="5"/>
        <v>64.230662739102286</v>
      </c>
    </row>
    <row r="74" spans="4:10" x14ac:dyDescent="0.25">
      <c r="D74" s="28">
        <f t="shared" ca="1" si="0"/>
        <v>0.65255164971536816</v>
      </c>
      <c r="E74" s="28">
        <f t="shared" ca="1" si="1"/>
        <v>10.178451192833318</v>
      </c>
      <c r="F74" s="28">
        <f t="shared" ca="1" si="2"/>
        <v>1.0115761411487474</v>
      </c>
      <c r="G74" s="28">
        <f t="shared" ca="1" si="3"/>
        <v>1.0218161937184211</v>
      </c>
      <c r="H74" s="28">
        <f t="shared" ca="1" si="4"/>
        <v>0.99296621330769785</v>
      </c>
      <c r="J74" s="28">
        <f t="shared" ca="1" si="5"/>
        <v>65.801989355035772</v>
      </c>
    </row>
    <row r="75" spans="4:10" x14ac:dyDescent="0.25">
      <c r="D75" s="28">
        <f t="shared" ca="1" si="0"/>
        <v>0.62590005875961552</v>
      </c>
      <c r="E75" s="28">
        <f t="shared" ca="1" si="1"/>
        <v>9.9400211389828499</v>
      </c>
      <c r="F75" s="28">
        <f t="shared" ca="1" si="2"/>
        <v>1.0255249725332298</v>
      </c>
      <c r="G75" s="28">
        <f t="shared" ca="1" si="3"/>
        <v>1.0531962553602341</v>
      </c>
      <c r="H75" s="28">
        <f t="shared" ca="1" si="4"/>
        <v>1.0035939262064852</v>
      </c>
      <c r="J75" s="28">
        <f t="shared" ca="1" si="5"/>
        <v>68.254494605328006</v>
      </c>
    </row>
    <row r="76" spans="4:10" x14ac:dyDescent="0.25">
      <c r="D76" s="28">
        <f t="shared" ca="1" si="0"/>
        <v>0.62738044598041409</v>
      </c>
      <c r="E76" s="28">
        <f t="shared" ca="1" si="1"/>
        <v>9.9726783596342727</v>
      </c>
      <c r="F76" s="28">
        <f t="shared" ca="1" si="2"/>
        <v>1.0142130150437043</v>
      </c>
      <c r="G76" s="28">
        <f t="shared" ca="1" si="3"/>
        <v>1.0243782859169042</v>
      </c>
      <c r="H76" s="28">
        <f t="shared" ca="1" si="4"/>
        <v>1.0484260275401505</v>
      </c>
      <c r="J76" s="28">
        <f t="shared" ca="1" si="5"/>
        <v>68.524599131422605</v>
      </c>
    </row>
    <row r="77" spans="4:10" x14ac:dyDescent="0.25">
      <c r="D77" s="28">
        <f t="shared" ca="1" si="0"/>
        <v>0.67224936419136649</v>
      </c>
      <c r="E77" s="28">
        <f t="shared" ca="1" si="1"/>
        <v>9.7965620007503489</v>
      </c>
      <c r="F77" s="28">
        <f t="shared" ca="1" si="2"/>
        <v>0.98756680845745681</v>
      </c>
      <c r="G77" s="28">
        <f t="shared" ca="1" si="3"/>
        <v>1.0035887293415433</v>
      </c>
      <c r="H77" s="28">
        <f t="shared" ca="1" si="4"/>
        <v>1.0581209356521852</v>
      </c>
      <c r="J77" s="28">
        <f t="shared" ca="1" si="5"/>
        <v>71.963831257244976</v>
      </c>
    </row>
    <row r="78" spans="4:10" x14ac:dyDescent="0.25">
      <c r="D78" s="28">
        <f t="shared" ca="1" si="0"/>
        <v>0.63110387675405533</v>
      </c>
      <c r="E78" s="28">
        <f t="shared" ca="1" si="1"/>
        <v>10.114852868461108</v>
      </c>
      <c r="F78" s="28">
        <f t="shared" ca="1" si="2"/>
        <v>1.0112879280753164</v>
      </c>
      <c r="G78" s="28">
        <f t="shared" ca="1" si="3"/>
        <v>0.95226310684181137</v>
      </c>
      <c r="H78" s="28">
        <f t="shared" ca="1" si="4"/>
        <v>1.0110785950235477</v>
      </c>
      <c r="J78" s="28">
        <f t="shared" ca="1" si="5"/>
        <v>60.751635815631609</v>
      </c>
    </row>
    <row r="79" spans="4:10" x14ac:dyDescent="0.25">
      <c r="D79" s="28">
        <f t="shared" ca="1" si="0"/>
        <v>0.66769809468073482</v>
      </c>
      <c r="E79" s="28">
        <f t="shared" ca="1" si="1"/>
        <v>9.9272599333159768</v>
      </c>
      <c r="F79" s="28">
        <f t="shared" ca="1" si="2"/>
        <v>1.0037347680387663</v>
      </c>
      <c r="G79" s="28">
        <f t="shared" ca="1" si="3"/>
        <v>0.98660613734892866</v>
      </c>
      <c r="H79" s="28">
        <f t="shared" ca="1" si="4"/>
        <v>0.99026799892938178</v>
      </c>
      <c r="J79" s="28">
        <f t="shared" ca="1" si="5"/>
        <v>65.957816297397798</v>
      </c>
    </row>
    <row r="80" spans="4:10" x14ac:dyDescent="0.25">
      <c r="D80" s="28">
        <f t="shared" ca="1" si="0"/>
        <v>0.64364779956760632</v>
      </c>
      <c r="E80" s="28">
        <f t="shared" ca="1" si="1"/>
        <v>10.068538529809477</v>
      </c>
      <c r="F80" s="28">
        <f t="shared" ca="1" si="2"/>
        <v>1.0196712218213142</v>
      </c>
      <c r="G80" s="28">
        <f t="shared" ca="1" si="3"/>
        <v>1.0197315963550908</v>
      </c>
      <c r="H80" s="28">
        <f t="shared" ca="1" si="4"/>
        <v>0.97387910820104717</v>
      </c>
      <c r="J80" s="28">
        <f t="shared" ca="1" si="5"/>
        <v>64.734074070179659</v>
      </c>
    </row>
    <row r="81" spans="4:10" x14ac:dyDescent="0.25">
      <c r="D81" s="28">
        <f t="shared" ca="1" si="0"/>
        <v>0.66697378520108219</v>
      </c>
      <c r="E81" s="28">
        <f t="shared" ca="1" si="1"/>
        <v>9.7397071194449651</v>
      </c>
      <c r="F81" s="28">
        <f t="shared" ca="1" si="2"/>
        <v>0.99585116668474527</v>
      </c>
      <c r="G81" s="28">
        <f t="shared" ca="1" si="3"/>
        <v>0.9699654055712944</v>
      </c>
      <c r="H81" s="28">
        <f t="shared" ca="1" si="4"/>
        <v>1.0020641156373165</v>
      </c>
      <c r="J81" s="28">
        <f t="shared" ca="1" si="5"/>
        <v>66.284053470855469</v>
      </c>
    </row>
    <row r="82" spans="4:10" x14ac:dyDescent="0.25">
      <c r="D82" s="28">
        <f t="shared" ca="1" si="0"/>
        <v>0.6825866697833044</v>
      </c>
      <c r="E82" s="28">
        <f t="shared" ca="1" si="1"/>
        <v>10.050625991752371</v>
      </c>
      <c r="F82" s="28">
        <f t="shared" ca="1" si="2"/>
        <v>0.99357014438142222</v>
      </c>
      <c r="G82" s="28">
        <f t="shared" ca="1" si="3"/>
        <v>0.95832231318921868</v>
      </c>
      <c r="H82" s="28">
        <f t="shared" ca="1" si="4"/>
        <v>1.0042934184257652</v>
      </c>
      <c r="J82" s="28">
        <f t="shared" ca="1" si="5"/>
        <v>64.94346261319042</v>
      </c>
    </row>
    <row r="83" spans="4:10" x14ac:dyDescent="0.25">
      <c r="D83" s="28">
        <f t="shared" ca="1" si="0"/>
        <v>0.65444090135944866</v>
      </c>
      <c r="E83" s="28">
        <f t="shared" ca="1" si="1"/>
        <v>9.9815920928858421</v>
      </c>
      <c r="F83" s="28">
        <f t="shared" ca="1" si="2"/>
        <v>0.95766134159854832</v>
      </c>
      <c r="G83" s="28">
        <f t="shared" ca="1" si="3"/>
        <v>0.98815827898494235</v>
      </c>
      <c r="H83" s="28">
        <f t="shared" ca="1" si="4"/>
        <v>1.012537048769514</v>
      </c>
      <c r="J83" s="28">
        <f t="shared" ca="1" si="5"/>
        <v>62.823193488913851</v>
      </c>
    </row>
    <row r="84" spans="4:10" x14ac:dyDescent="0.25">
      <c r="D84" s="28">
        <f t="shared" ca="1" si="0"/>
        <v>0.67186214030498803</v>
      </c>
      <c r="E84" s="28">
        <f t="shared" ca="1" si="1"/>
        <v>10.090365597882876</v>
      </c>
      <c r="F84" s="28">
        <f t="shared" ca="1" si="2"/>
        <v>0.99874555089357564</v>
      </c>
      <c r="G84" s="28">
        <f t="shared" ca="1" si="3"/>
        <v>0.97711507658150576</v>
      </c>
      <c r="H84" s="28">
        <f t="shared" ca="1" si="4"/>
        <v>1.050506545274478</v>
      </c>
      <c r="J84" s="28">
        <f t="shared" ca="1" si="5"/>
        <v>68.260993009319463</v>
      </c>
    </row>
    <row r="85" spans="4:10" x14ac:dyDescent="0.25">
      <c r="D85" s="28">
        <f t="shared" ca="1" si="0"/>
        <v>0.64501030139376248</v>
      </c>
      <c r="E85" s="28">
        <f t="shared" ca="1" si="1"/>
        <v>10.233250261943166</v>
      </c>
      <c r="F85" s="28">
        <f t="shared" ca="1" si="2"/>
        <v>1.0131900578814801</v>
      </c>
      <c r="G85" s="28">
        <f t="shared" ca="1" si="3"/>
        <v>1.0055104734428553</v>
      </c>
      <c r="H85" s="28">
        <f t="shared" ca="1" si="4"/>
        <v>1.0238470598993128</v>
      </c>
      <c r="J85" s="28">
        <f t="shared" ca="1" si="5"/>
        <v>65.745443770166148</v>
      </c>
    </row>
    <row r="86" spans="4:10" x14ac:dyDescent="0.25">
      <c r="D86" s="28">
        <f t="shared" ca="1" si="0"/>
        <v>0.64605617542676064</v>
      </c>
      <c r="E86" s="28">
        <f t="shared" ca="1" si="1"/>
        <v>10.259426187603001</v>
      </c>
      <c r="F86" s="28">
        <f t="shared" ca="1" si="2"/>
        <v>1.0168110461270126</v>
      </c>
      <c r="G86" s="28">
        <f t="shared" ca="1" si="3"/>
        <v>0.98202408268426689</v>
      </c>
      <c r="H86" s="28">
        <f t="shared" ca="1" si="4"/>
        <v>0.98319376798155944</v>
      </c>
      <c r="J86" s="28">
        <f t="shared" ca="1" si="5"/>
        <v>61.82280727934095</v>
      </c>
    </row>
    <row r="87" spans="4:10" x14ac:dyDescent="0.25">
      <c r="D87" s="28">
        <f t="shared" ca="1" si="0"/>
        <v>0.6337075225583767</v>
      </c>
      <c r="E87" s="28">
        <f t="shared" ca="1" si="1"/>
        <v>10.122477720413602</v>
      </c>
      <c r="F87" s="28">
        <f t="shared" ca="1" si="2"/>
        <v>1.001332282206792</v>
      </c>
      <c r="G87" s="28">
        <f t="shared" ca="1" si="3"/>
        <v>1.0033373405043176</v>
      </c>
      <c r="H87" s="28">
        <f t="shared" ca="1" si="4"/>
        <v>0.99681649936489625</v>
      </c>
      <c r="J87" s="28">
        <f t="shared" ca="1" si="5"/>
        <v>62.696376812233382</v>
      </c>
    </row>
    <row r="88" spans="4:10" x14ac:dyDescent="0.25">
      <c r="D88" s="28">
        <f t="shared" ca="1" si="0"/>
        <v>0.6334784901003423</v>
      </c>
      <c r="E88" s="28">
        <f t="shared" ca="1" si="1"/>
        <v>9.9801697775406932</v>
      </c>
      <c r="F88" s="28">
        <f t="shared" ca="1" si="2"/>
        <v>1.0183009229232858</v>
      </c>
      <c r="G88" s="28">
        <f t="shared" ca="1" si="3"/>
        <v>1.007304736112127</v>
      </c>
      <c r="H88" s="28">
        <f t="shared" ca="1" si="4"/>
        <v>1.0335356421795432</v>
      </c>
      <c r="J88" s="28">
        <f t="shared" ca="1" si="5"/>
        <v>67.290912098942016</v>
      </c>
    </row>
    <row r="89" spans="4:10" x14ac:dyDescent="0.25">
      <c r="D89" s="28">
        <f t="shared" ref="D89:D152" ca="1" si="6">NORMINV(RAND(),$D$22,$D$23)</f>
        <v>0.6620293556560507</v>
      </c>
      <c r="E89" s="28">
        <f t="shared" ref="E89:E152" ca="1" si="7">$E$22+$E$23*SQRT(6)*(RAND()-RAND())</f>
        <v>10.030445811013983</v>
      </c>
      <c r="F89" s="28">
        <f t="shared" ref="F89:F152" ca="1" si="8">NORMINV(RAND(),$F$22,$F$23)</f>
        <v>1.0076118451183611</v>
      </c>
      <c r="G89" s="28">
        <f t="shared" ref="G89:G152" ca="1" si="9">NORMINV(RAND(),$G$22,$G$23)</f>
        <v>1.0190154836248773</v>
      </c>
      <c r="H89" s="28">
        <f t="shared" ref="H89:H152" ca="1" si="10">NORMINV(RAND(),$H$22,$H$23)</f>
        <v>1.0006469848490145</v>
      </c>
      <c r="J89" s="28">
        <f t="shared" ref="J89:J152" ca="1" si="11">1000*D89*G89*F89*H89/E89</f>
        <v>67.812842607175284</v>
      </c>
    </row>
    <row r="90" spans="4:10" x14ac:dyDescent="0.25">
      <c r="D90" s="28">
        <f t="shared" ca="1" si="6"/>
        <v>0.66796174728891211</v>
      </c>
      <c r="E90" s="28">
        <f t="shared" ca="1" si="7"/>
        <v>9.6726944875219178</v>
      </c>
      <c r="F90" s="28">
        <f t="shared" ca="1" si="8"/>
        <v>1.0031523670076905</v>
      </c>
      <c r="G90" s="28">
        <f t="shared" ca="1" si="9"/>
        <v>0.99717559204080009</v>
      </c>
      <c r="H90" s="28">
        <f t="shared" ca="1" si="10"/>
        <v>0.9697179578073043</v>
      </c>
      <c r="J90" s="28">
        <f t="shared" ca="1" si="11"/>
        <v>66.986625655474541</v>
      </c>
    </row>
    <row r="91" spans="4:10" x14ac:dyDescent="0.25">
      <c r="D91" s="28">
        <f t="shared" ca="1" si="6"/>
        <v>0.64597564915409744</v>
      </c>
      <c r="E91" s="28">
        <f t="shared" ca="1" si="7"/>
        <v>9.817566596000816</v>
      </c>
      <c r="F91" s="28">
        <f t="shared" ca="1" si="8"/>
        <v>0.99022889688651428</v>
      </c>
      <c r="G91" s="28">
        <f t="shared" ca="1" si="9"/>
        <v>0.98348430603629655</v>
      </c>
      <c r="H91" s="28">
        <f t="shared" ca="1" si="10"/>
        <v>1.0473143201885651</v>
      </c>
      <c r="J91" s="28">
        <f t="shared" ca="1" si="11"/>
        <v>67.110791785083833</v>
      </c>
    </row>
    <row r="92" spans="4:10" x14ac:dyDescent="0.25">
      <c r="D92" s="28">
        <f t="shared" ca="1" si="6"/>
        <v>0.65251779533413723</v>
      </c>
      <c r="E92" s="28">
        <f t="shared" ca="1" si="7"/>
        <v>9.9421171911394168</v>
      </c>
      <c r="F92" s="28">
        <f t="shared" ca="1" si="8"/>
        <v>1.0169998187953213</v>
      </c>
      <c r="G92" s="28">
        <f t="shared" ca="1" si="9"/>
        <v>1.0332051287371629</v>
      </c>
      <c r="H92" s="28">
        <f t="shared" ca="1" si="10"/>
        <v>0.99007816625258316</v>
      </c>
      <c r="J92" s="28">
        <f t="shared" ca="1" si="11"/>
        <v>68.27950976842564</v>
      </c>
    </row>
    <row r="93" spans="4:10" x14ac:dyDescent="0.25">
      <c r="D93" s="28">
        <f t="shared" ca="1" si="6"/>
        <v>0.63799957321215794</v>
      </c>
      <c r="E93" s="28">
        <f t="shared" ca="1" si="7"/>
        <v>10.260348093334921</v>
      </c>
      <c r="F93" s="28">
        <f t="shared" ca="1" si="8"/>
        <v>1.0091850963469831</v>
      </c>
      <c r="G93" s="28">
        <f t="shared" ca="1" si="9"/>
        <v>1.053665226849263</v>
      </c>
      <c r="H93" s="28">
        <f t="shared" ca="1" si="10"/>
        <v>0.95515568378109206</v>
      </c>
      <c r="J93" s="28">
        <f t="shared" ca="1" si="11"/>
        <v>63.154737378423881</v>
      </c>
    </row>
    <row r="94" spans="4:10" x14ac:dyDescent="0.25">
      <c r="D94" s="28">
        <f t="shared" ca="1" si="6"/>
        <v>0.64188772083634127</v>
      </c>
      <c r="E94" s="28">
        <f t="shared" ca="1" si="7"/>
        <v>9.9825911054915988</v>
      </c>
      <c r="F94" s="28">
        <f t="shared" ca="1" si="8"/>
        <v>0.99689034250511288</v>
      </c>
      <c r="G94" s="28">
        <f t="shared" ca="1" si="9"/>
        <v>1.0149875292519157</v>
      </c>
      <c r="H94" s="28">
        <f t="shared" ca="1" si="10"/>
        <v>1.0028468808190094</v>
      </c>
      <c r="J94" s="28">
        <f t="shared" ca="1" si="11"/>
        <v>65.246693583340416</v>
      </c>
    </row>
    <row r="95" spans="4:10" x14ac:dyDescent="0.25">
      <c r="D95" s="28">
        <f t="shared" ca="1" si="6"/>
        <v>0.65618862336386796</v>
      </c>
      <c r="E95" s="28">
        <f t="shared" ca="1" si="7"/>
        <v>10.217502013343729</v>
      </c>
      <c r="F95" s="28">
        <f t="shared" ca="1" si="8"/>
        <v>1.0010274061986002</v>
      </c>
      <c r="G95" s="28">
        <f t="shared" ca="1" si="9"/>
        <v>0.98520063195399799</v>
      </c>
      <c r="H95" s="28">
        <f t="shared" ca="1" si="10"/>
        <v>0.99262703648839246</v>
      </c>
      <c r="J95" s="28">
        <f t="shared" ca="1" si="11"/>
        <v>62.869602453451641</v>
      </c>
    </row>
    <row r="96" spans="4:10" x14ac:dyDescent="0.25">
      <c r="D96" s="28">
        <f t="shared" ca="1" si="6"/>
        <v>0.65806382931895402</v>
      </c>
      <c r="E96" s="28">
        <f t="shared" ca="1" si="7"/>
        <v>10.198113725666564</v>
      </c>
      <c r="F96" s="28">
        <f t="shared" ca="1" si="8"/>
        <v>0.9911329907944707</v>
      </c>
      <c r="G96" s="28">
        <f t="shared" ca="1" si="9"/>
        <v>0.91817175371997695</v>
      </c>
      <c r="H96" s="28">
        <f t="shared" ca="1" si="10"/>
        <v>1.0423575566025927</v>
      </c>
      <c r="J96" s="28">
        <f t="shared" ca="1" si="11"/>
        <v>61.209770223680948</v>
      </c>
    </row>
    <row r="97" spans="4:10" x14ac:dyDescent="0.25">
      <c r="D97" s="28">
        <f t="shared" ca="1" si="6"/>
        <v>0.65456822981708818</v>
      </c>
      <c r="E97" s="28">
        <f t="shared" ca="1" si="7"/>
        <v>10.302445573875746</v>
      </c>
      <c r="F97" s="28">
        <f t="shared" ca="1" si="8"/>
        <v>1.0149379443799798</v>
      </c>
      <c r="G97" s="28">
        <f t="shared" ca="1" si="9"/>
        <v>1.0426203870172408</v>
      </c>
      <c r="H97" s="28">
        <f t="shared" ca="1" si="10"/>
        <v>0.98309889343892676</v>
      </c>
      <c r="J97" s="28">
        <f t="shared" ca="1" si="11"/>
        <v>66.096353889299124</v>
      </c>
    </row>
    <row r="98" spans="4:10" x14ac:dyDescent="0.25">
      <c r="D98" s="28">
        <f t="shared" ca="1" si="6"/>
        <v>0.63899505056907624</v>
      </c>
      <c r="E98" s="28">
        <f t="shared" ca="1" si="7"/>
        <v>10.240730527853735</v>
      </c>
      <c r="F98" s="28">
        <f t="shared" ca="1" si="8"/>
        <v>1.0180861423994456</v>
      </c>
      <c r="G98" s="28">
        <f t="shared" ca="1" si="9"/>
        <v>1.0193858926750508</v>
      </c>
      <c r="H98" s="28">
        <f t="shared" ca="1" si="10"/>
        <v>1.0085092644330964</v>
      </c>
      <c r="J98" s="28">
        <f t="shared" ca="1" si="11"/>
        <v>65.308482583164036</v>
      </c>
    </row>
    <row r="99" spans="4:10" x14ac:dyDescent="0.25">
      <c r="D99" s="28">
        <f t="shared" ca="1" si="6"/>
        <v>0.63009528035712192</v>
      </c>
      <c r="E99" s="28">
        <f t="shared" ca="1" si="7"/>
        <v>10.092595343981003</v>
      </c>
      <c r="F99" s="28">
        <f t="shared" ca="1" si="8"/>
        <v>1.0307087248838955</v>
      </c>
      <c r="G99" s="28">
        <f t="shared" ca="1" si="9"/>
        <v>0.99127474494493928</v>
      </c>
      <c r="H99" s="28">
        <f t="shared" ca="1" si="10"/>
        <v>0.93404991065390885</v>
      </c>
      <c r="J99" s="28">
        <f t="shared" ca="1" si="11"/>
        <v>59.580403895751218</v>
      </c>
    </row>
    <row r="100" spans="4:10" x14ac:dyDescent="0.25">
      <c r="D100" s="28">
        <f t="shared" ca="1" si="6"/>
        <v>0.66712234134983806</v>
      </c>
      <c r="E100" s="28">
        <f t="shared" ca="1" si="7"/>
        <v>9.9447498907252516</v>
      </c>
      <c r="F100" s="28">
        <f t="shared" ca="1" si="8"/>
        <v>1.017742059016749</v>
      </c>
      <c r="G100" s="28">
        <f t="shared" ca="1" si="9"/>
        <v>0.99160154572935988</v>
      </c>
      <c r="H100" s="28">
        <f t="shared" ca="1" si="10"/>
        <v>1.0238835799690635</v>
      </c>
      <c r="J100" s="28">
        <f t="shared" ca="1" si="11"/>
        <v>69.316578201237988</v>
      </c>
    </row>
    <row r="101" spans="4:10" x14ac:dyDescent="0.25">
      <c r="D101" s="28">
        <f t="shared" ca="1" si="6"/>
        <v>0.62184653188220784</v>
      </c>
      <c r="E101" s="28">
        <f t="shared" ca="1" si="7"/>
        <v>9.9608043235909385</v>
      </c>
      <c r="F101" s="28">
        <f t="shared" ca="1" si="8"/>
        <v>1.0005916494980585</v>
      </c>
      <c r="G101" s="28">
        <f t="shared" ca="1" si="9"/>
        <v>0.94603367449074915</v>
      </c>
      <c r="H101" s="28">
        <f t="shared" ca="1" si="10"/>
        <v>1.0063929393872606</v>
      </c>
      <c r="J101" s="28">
        <f t="shared" ca="1" si="11"/>
        <v>59.473001733090406</v>
      </c>
    </row>
    <row r="102" spans="4:10" x14ac:dyDescent="0.25">
      <c r="D102" s="28">
        <f t="shared" ca="1" si="6"/>
        <v>0.62526618240179843</v>
      </c>
      <c r="E102" s="28">
        <f t="shared" ca="1" si="7"/>
        <v>10.057590585871342</v>
      </c>
      <c r="F102" s="28">
        <f t="shared" ca="1" si="8"/>
        <v>1.0114784033355333</v>
      </c>
      <c r="G102" s="28">
        <f t="shared" ca="1" si="9"/>
        <v>0.99832801943167815</v>
      </c>
      <c r="H102" s="28">
        <f t="shared" ca="1" si="10"/>
        <v>0.99884305686627084</v>
      </c>
      <c r="J102" s="28">
        <f t="shared" ca="1" si="11"/>
        <v>62.704414558259927</v>
      </c>
    </row>
    <row r="103" spans="4:10" x14ac:dyDescent="0.25">
      <c r="D103" s="28">
        <f t="shared" ca="1" si="6"/>
        <v>0.63669310097578669</v>
      </c>
      <c r="E103" s="28">
        <f t="shared" ca="1" si="7"/>
        <v>10.239469800685837</v>
      </c>
      <c r="F103" s="28">
        <f t="shared" ca="1" si="8"/>
        <v>0.99330259490682127</v>
      </c>
      <c r="G103" s="28">
        <f t="shared" ca="1" si="9"/>
        <v>0.93501091271755088</v>
      </c>
      <c r="H103" s="28">
        <f t="shared" ca="1" si="10"/>
        <v>0.97875442830378334</v>
      </c>
      <c r="J103" s="28">
        <f t="shared" ca="1" si="11"/>
        <v>56.522929708640852</v>
      </c>
    </row>
    <row r="104" spans="4:10" x14ac:dyDescent="0.25">
      <c r="D104" s="28">
        <f t="shared" ca="1" si="6"/>
        <v>0.66029789056261035</v>
      </c>
      <c r="E104" s="28">
        <f t="shared" ca="1" si="7"/>
        <v>10.004432895445817</v>
      </c>
      <c r="F104" s="28">
        <f t="shared" ca="1" si="8"/>
        <v>0.98850040555724672</v>
      </c>
      <c r="G104" s="28">
        <f t="shared" ca="1" si="9"/>
        <v>0.98833034027967481</v>
      </c>
      <c r="H104" s="28">
        <f t="shared" ca="1" si="10"/>
        <v>1.0183403674403615</v>
      </c>
      <c r="J104" s="28">
        <f t="shared" ca="1" si="11"/>
        <v>65.66279631143783</v>
      </c>
    </row>
    <row r="105" spans="4:10" x14ac:dyDescent="0.25">
      <c r="D105" s="28">
        <f t="shared" ca="1" si="6"/>
        <v>0.64581179069674566</v>
      </c>
      <c r="E105" s="28">
        <f t="shared" ca="1" si="7"/>
        <v>9.7353036799365871</v>
      </c>
      <c r="F105" s="28">
        <f t="shared" ca="1" si="8"/>
        <v>0.98850927691752755</v>
      </c>
      <c r="G105" s="28">
        <f t="shared" ca="1" si="9"/>
        <v>0.94417765489609728</v>
      </c>
      <c r="H105" s="28">
        <f t="shared" ca="1" si="10"/>
        <v>0.97026938512013494</v>
      </c>
      <c r="J105" s="28">
        <f t="shared" ca="1" si="11"/>
        <v>60.073545196902302</v>
      </c>
    </row>
    <row r="106" spans="4:10" x14ac:dyDescent="0.25">
      <c r="D106" s="28">
        <f t="shared" ca="1" si="6"/>
        <v>0.65140414400927638</v>
      </c>
      <c r="E106" s="28">
        <f t="shared" ca="1" si="7"/>
        <v>10.018537188250132</v>
      </c>
      <c r="F106" s="28">
        <f t="shared" ca="1" si="8"/>
        <v>0.97852071016905828</v>
      </c>
      <c r="G106" s="28">
        <f t="shared" ca="1" si="9"/>
        <v>0.94112968278348397</v>
      </c>
      <c r="H106" s="28">
        <f t="shared" ca="1" si="10"/>
        <v>0.99982960730291293</v>
      </c>
      <c r="J106" s="28">
        <f t="shared" ca="1" si="11"/>
        <v>59.867577967421227</v>
      </c>
    </row>
    <row r="107" spans="4:10" x14ac:dyDescent="0.25">
      <c r="D107" s="28">
        <f t="shared" ca="1" si="6"/>
        <v>0.66950887679060866</v>
      </c>
      <c r="E107" s="28">
        <f t="shared" ca="1" si="7"/>
        <v>10.080238666900945</v>
      </c>
      <c r="F107" s="28">
        <f t="shared" ca="1" si="8"/>
        <v>0.99988457939647801</v>
      </c>
      <c r="G107" s="28">
        <f t="shared" ca="1" si="9"/>
        <v>0.96411233914851324</v>
      </c>
      <c r="H107" s="28">
        <f t="shared" ca="1" si="10"/>
        <v>1.003984896527415</v>
      </c>
      <c r="J107" s="28">
        <f t="shared" ca="1" si="11"/>
        <v>64.282123665799134</v>
      </c>
    </row>
    <row r="108" spans="4:10" x14ac:dyDescent="0.25">
      <c r="D108" s="28">
        <f t="shared" ca="1" si="6"/>
        <v>0.65533928077082504</v>
      </c>
      <c r="E108" s="28">
        <f t="shared" ca="1" si="7"/>
        <v>9.6911725432668678</v>
      </c>
      <c r="F108" s="28">
        <f t="shared" ca="1" si="8"/>
        <v>0.98806466349495592</v>
      </c>
      <c r="G108" s="28">
        <f t="shared" ca="1" si="9"/>
        <v>1.0282917561477314</v>
      </c>
      <c r="H108" s="28">
        <f t="shared" ca="1" si="10"/>
        <v>0.97798968517229323</v>
      </c>
      <c r="J108" s="28">
        <f t="shared" ca="1" si="11"/>
        <v>67.19328448323688</v>
      </c>
    </row>
    <row r="109" spans="4:10" x14ac:dyDescent="0.25">
      <c r="D109" s="28">
        <f t="shared" ca="1" si="6"/>
        <v>0.64691441452312226</v>
      </c>
      <c r="E109" s="28">
        <f t="shared" ca="1" si="7"/>
        <v>9.8323303080422999</v>
      </c>
      <c r="F109" s="28">
        <f t="shared" ca="1" si="8"/>
        <v>1.0090099034374334</v>
      </c>
      <c r="G109" s="28">
        <f t="shared" ca="1" si="9"/>
        <v>1.0052438326473496</v>
      </c>
      <c r="H109" s="28">
        <f t="shared" ca="1" si="10"/>
        <v>0.99136368642390915</v>
      </c>
      <c r="J109" s="28">
        <f t="shared" ca="1" si="11"/>
        <v>66.159196362833299</v>
      </c>
    </row>
    <row r="110" spans="4:10" x14ac:dyDescent="0.25">
      <c r="D110" s="28">
        <f t="shared" ca="1" si="6"/>
        <v>0.68893589562715196</v>
      </c>
      <c r="E110" s="28">
        <f t="shared" ca="1" si="7"/>
        <v>10.054039026699471</v>
      </c>
      <c r="F110" s="28">
        <f t="shared" ca="1" si="8"/>
        <v>1.0127532800459094</v>
      </c>
      <c r="G110" s="28">
        <f t="shared" ca="1" si="9"/>
        <v>1.0178091862156327</v>
      </c>
      <c r="H110" s="28">
        <f t="shared" ca="1" si="10"/>
        <v>1.0875280940736742</v>
      </c>
      <c r="J110" s="28">
        <f t="shared" ca="1" si="11"/>
        <v>76.815481341226146</v>
      </c>
    </row>
    <row r="111" spans="4:10" x14ac:dyDescent="0.25">
      <c r="D111" s="28">
        <f t="shared" ca="1" si="6"/>
        <v>0.68032779728231463</v>
      </c>
      <c r="E111" s="28">
        <f t="shared" ca="1" si="7"/>
        <v>9.7716611805474312</v>
      </c>
      <c r="F111" s="28">
        <f t="shared" ca="1" si="8"/>
        <v>0.98412012194308296</v>
      </c>
      <c r="G111" s="28">
        <f t="shared" ca="1" si="9"/>
        <v>0.93724090500344492</v>
      </c>
      <c r="H111" s="28">
        <f t="shared" ca="1" si="10"/>
        <v>1.0882468502948894</v>
      </c>
      <c r="J111" s="28">
        <f t="shared" ca="1" si="11"/>
        <v>69.883811139661802</v>
      </c>
    </row>
    <row r="112" spans="4:10" x14ac:dyDescent="0.25">
      <c r="D112" s="28">
        <f t="shared" ca="1" si="6"/>
        <v>0.63659711041681677</v>
      </c>
      <c r="E112" s="28">
        <f t="shared" ca="1" si="7"/>
        <v>9.9361908598903099</v>
      </c>
      <c r="F112" s="28">
        <f t="shared" ca="1" si="8"/>
        <v>1.0084789186331855</v>
      </c>
      <c r="G112" s="28">
        <f t="shared" ca="1" si="9"/>
        <v>1.0172480117618741</v>
      </c>
      <c r="H112" s="28">
        <f t="shared" ca="1" si="10"/>
        <v>1.0233804018389072</v>
      </c>
      <c r="J112" s="28">
        <f t="shared" ca="1" si="11"/>
        <v>67.262887570372229</v>
      </c>
    </row>
    <row r="113" spans="4:10" x14ac:dyDescent="0.25">
      <c r="D113" s="28">
        <f t="shared" ca="1" si="6"/>
        <v>0.65047189031504837</v>
      </c>
      <c r="E113" s="28">
        <f t="shared" ca="1" si="7"/>
        <v>10.060015070670113</v>
      </c>
      <c r="F113" s="28">
        <f t="shared" ca="1" si="8"/>
        <v>1.0071190041495968</v>
      </c>
      <c r="G113" s="28">
        <f t="shared" ca="1" si="9"/>
        <v>1.0244042032415119</v>
      </c>
      <c r="H113" s="28">
        <f t="shared" ca="1" si="10"/>
        <v>0.96057637924303385</v>
      </c>
      <c r="J113" s="28">
        <f t="shared" ca="1" si="11"/>
        <v>64.078737736774258</v>
      </c>
    </row>
    <row r="114" spans="4:10" x14ac:dyDescent="0.25">
      <c r="D114" s="28">
        <f t="shared" ca="1" si="6"/>
        <v>0.68011453780072695</v>
      </c>
      <c r="E114" s="28">
        <f t="shared" ca="1" si="7"/>
        <v>10.005155230181497</v>
      </c>
      <c r="F114" s="28">
        <f t="shared" ca="1" si="8"/>
        <v>0.99932757334757016</v>
      </c>
      <c r="G114" s="28">
        <f t="shared" ca="1" si="9"/>
        <v>0.98450192223386346</v>
      </c>
      <c r="H114" s="28">
        <f t="shared" ca="1" si="10"/>
        <v>1.0067878031325006</v>
      </c>
      <c r="J114" s="28">
        <f t="shared" ca="1" si="11"/>
        <v>67.331859994858291</v>
      </c>
    </row>
    <row r="115" spans="4:10" x14ac:dyDescent="0.25">
      <c r="D115" s="28">
        <f t="shared" ca="1" si="6"/>
        <v>0.61144265097520645</v>
      </c>
      <c r="E115" s="28">
        <f t="shared" ca="1" si="7"/>
        <v>10.196212598291558</v>
      </c>
      <c r="F115" s="28">
        <f t="shared" ca="1" si="8"/>
        <v>0.96081747307091281</v>
      </c>
      <c r="G115" s="28">
        <f t="shared" ca="1" si="9"/>
        <v>1.0145605372832325</v>
      </c>
      <c r="H115" s="28">
        <f t="shared" ca="1" si="10"/>
        <v>1.0165942657094158</v>
      </c>
      <c r="J115" s="28">
        <f t="shared" ca="1" si="11"/>
        <v>59.426939030275399</v>
      </c>
    </row>
    <row r="116" spans="4:10" x14ac:dyDescent="0.25">
      <c r="D116" s="28">
        <f t="shared" ca="1" si="6"/>
        <v>0.64739778796320635</v>
      </c>
      <c r="E116" s="28">
        <f t="shared" ca="1" si="7"/>
        <v>9.9164201556577929</v>
      </c>
      <c r="F116" s="28">
        <f t="shared" ca="1" si="8"/>
        <v>1.0035686463177556</v>
      </c>
      <c r="G116" s="28">
        <f t="shared" ca="1" si="9"/>
        <v>1.0093421054320109</v>
      </c>
      <c r="H116" s="28">
        <f t="shared" ca="1" si="10"/>
        <v>0.97201664416915901</v>
      </c>
      <c r="J116" s="28">
        <f t="shared" ca="1" si="11"/>
        <v>64.279940841704672</v>
      </c>
    </row>
    <row r="117" spans="4:10" x14ac:dyDescent="0.25">
      <c r="D117" s="28">
        <f t="shared" ca="1" si="6"/>
        <v>0.63807259912515879</v>
      </c>
      <c r="E117" s="28">
        <f t="shared" ca="1" si="7"/>
        <v>9.8385029189532656</v>
      </c>
      <c r="F117" s="28">
        <f t="shared" ca="1" si="8"/>
        <v>0.99715946049388182</v>
      </c>
      <c r="G117" s="28">
        <f t="shared" ca="1" si="9"/>
        <v>1.0203372927096319</v>
      </c>
      <c r="H117" s="28">
        <f t="shared" ca="1" si="10"/>
        <v>1.0354421157496749</v>
      </c>
      <c r="J117" s="28">
        <f t="shared" ca="1" si="11"/>
        <v>68.324313366774788</v>
      </c>
    </row>
    <row r="118" spans="4:10" x14ac:dyDescent="0.25">
      <c r="D118" s="28">
        <f t="shared" ca="1" si="6"/>
        <v>0.64149628545027859</v>
      </c>
      <c r="E118" s="28">
        <f t="shared" ca="1" si="7"/>
        <v>9.7743986677521359</v>
      </c>
      <c r="F118" s="28">
        <f t="shared" ca="1" si="8"/>
        <v>1.0084179429903488</v>
      </c>
      <c r="G118" s="28">
        <f t="shared" ca="1" si="9"/>
        <v>0.96654228141421095</v>
      </c>
      <c r="H118" s="28">
        <f t="shared" ca="1" si="10"/>
        <v>0.98402156867173207</v>
      </c>
      <c r="J118" s="28">
        <f t="shared" ca="1" si="11"/>
        <v>62.946289778304703</v>
      </c>
    </row>
    <row r="119" spans="4:10" x14ac:dyDescent="0.25">
      <c r="D119" s="28">
        <f t="shared" ca="1" si="6"/>
        <v>0.66064264099286341</v>
      </c>
      <c r="E119" s="28">
        <f t="shared" ca="1" si="7"/>
        <v>10.154464848993369</v>
      </c>
      <c r="F119" s="28">
        <f t="shared" ca="1" si="8"/>
        <v>1.0004381907569109</v>
      </c>
      <c r="G119" s="28">
        <f t="shared" ca="1" si="9"/>
        <v>0.97546296009473976</v>
      </c>
      <c r="H119" s="28">
        <f t="shared" ca="1" si="10"/>
        <v>1.0052219102823685</v>
      </c>
      <c r="J119" s="28">
        <f t="shared" ca="1" si="11"/>
        <v>63.82231491426991</v>
      </c>
    </row>
    <row r="120" spans="4:10" x14ac:dyDescent="0.25">
      <c r="D120" s="28">
        <f t="shared" ca="1" si="6"/>
        <v>0.66233478493585529</v>
      </c>
      <c r="E120" s="28">
        <f t="shared" ca="1" si="7"/>
        <v>9.8143826505367215</v>
      </c>
      <c r="F120" s="28">
        <f t="shared" ca="1" si="8"/>
        <v>1.0254681659657903</v>
      </c>
      <c r="G120" s="28">
        <f t="shared" ca="1" si="9"/>
        <v>0.98123877813780913</v>
      </c>
      <c r="H120" s="28">
        <f t="shared" ca="1" si="10"/>
        <v>1.0095177114220202</v>
      </c>
      <c r="J120" s="28">
        <f t="shared" ca="1" si="11"/>
        <v>68.552832891334958</v>
      </c>
    </row>
    <row r="121" spans="4:10" x14ac:dyDescent="0.25">
      <c r="D121" s="28">
        <f t="shared" ca="1" si="6"/>
        <v>0.65082339568194914</v>
      </c>
      <c r="E121" s="28">
        <f t="shared" ca="1" si="7"/>
        <v>10.182105774378096</v>
      </c>
      <c r="F121" s="28">
        <f t="shared" ca="1" si="8"/>
        <v>0.98840208805847629</v>
      </c>
      <c r="G121" s="28">
        <f t="shared" ca="1" si="9"/>
        <v>1.0716913284588412</v>
      </c>
      <c r="H121" s="28">
        <f t="shared" ca="1" si="10"/>
        <v>0.97910022849587519</v>
      </c>
      <c r="J121" s="28">
        <f t="shared" ca="1" si="11"/>
        <v>66.291229659256118</v>
      </c>
    </row>
    <row r="122" spans="4:10" x14ac:dyDescent="0.25">
      <c r="D122" s="28">
        <f t="shared" ca="1" si="6"/>
        <v>0.6542688896598805</v>
      </c>
      <c r="E122" s="28">
        <f t="shared" ca="1" si="7"/>
        <v>9.898642555064681</v>
      </c>
      <c r="F122" s="28">
        <f t="shared" ca="1" si="8"/>
        <v>1.000213768898762</v>
      </c>
      <c r="G122" s="28">
        <f t="shared" ca="1" si="9"/>
        <v>0.99815442889806871</v>
      </c>
      <c r="H122" s="28">
        <f t="shared" ca="1" si="10"/>
        <v>0.98503005807941912</v>
      </c>
      <c r="J122" s="28">
        <f t="shared" ca="1" si="11"/>
        <v>65.001095816390276</v>
      </c>
    </row>
    <row r="123" spans="4:10" x14ac:dyDescent="0.25">
      <c r="D123" s="28">
        <f t="shared" ca="1" si="6"/>
        <v>0.65680631864400751</v>
      </c>
      <c r="E123" s="28">
        <f t="shared" ca="1" si="7"/>
        <v>9.706509272074376</v>
      </c>
      <c r="F123" s="28">
        <f t="shared" ca="1" si="8"/>
        <v>0.99363874876767999</v>
      </c>
      <c r="G123" s="28">
        <f t="shared" ca="1" si="9"/>
        <v>1.0506911879794889</v>
      </c>
      <c r="H123" s="28">
        <f t="shared" ca="1" si="10"/>
        <v>0.99659278525794548</v>
      </c>
      <c r="J123" s="28">
        <f t="shared" ca="1" si="11"/>
        <v>70.403718273730561</v>
      </c>
    </row>
    <row r="124" spans="4:10" x14ac:dyDescent="0.25">
      <c r="D124" s="28">
        <f t="shared" ca="1" si="6"/>
        <v>0.62220812877900367</v>
      </c>
      <c r="E124" s="28">
        <f t="shared" ca="1" si="7"/>
        <v>10.004316451218887</v>
      </c>
      <c r="F124" s="28">
        <f t="shared" ca="1" si="8"/>
        <v>1.0179502754231873</v>
      </c>
      <c r="G124" s="28">
        <f t="shared" ca="1" si="9"/>
        <v>0.98491241340283964</v>
      </c>
      <c r="H124" s="28">
        <f t="shared" ca="1" si="10"/>
        <v>0.96824366593371014</v>
      </c>
      <c r="J124" s="28">
        <f t="shared" ca="1" si="11"/>
        <v>60.374993903890001</v>
      </c>
    </row>
    <row r="125" spans="4:10" x14ac:dyDescent="0.25">
      <c r="D125" s="28">
        <f t="shared" ca="1" si="6"/>
        <v>0.66394187005801875</v>
      </c>
      <c r="E125" s="28">
        <f t="shared" ca="1" si="7"/>
        <v>10.224944061615821</v>
      </c>
      <c r="F125" s="28">
        <f t="shared" ca="1" si="8"/>
        <v>0.98632187140796002</v>
      </c>
      <c r="G125" s="28">
        <f t="shared" ca="1" si="9"/>
        <v>1.0447772959713986</v>
      </c>
      <c r="H125" s="28">
        <f t="shared" ca="1" si="10"/>
        <v>1.003403807501652</v>
      </c>
      <c r="J125" s="28">
        <f t="shared" ca="1" si="11"/>
        <v>67.140914334491512</v>
      </c>
    </row>
    <row r="126" spans="4:10" x14ac:dyDescent="0.25">
      <c r="D126" s="28">
        <f t="shared" ca="1" si="6"/>
        <v>0.6173529889071917</v>
      </c>
      <c r="E126" s="28">
        <f t="shared" ca="1" si="7"/>
        <v>9.9488806234552847</v>
      </c>
      <c r="F126" s="28">
        <f t="shared" ca="1" si="8"/>
        <v>0.99570261649018199</v>
      </c>
      <c r="G126" s="28">
        <f t="shared" ca="1" si="9"/>
        <v>0.98830296865043643</v>
      </c>
      <c r="H126" s="28">
        <f t="shared" ca="1" si="10"/>
        <v>0.99669283686652055</v>
      </c>
      <c r="J126" s="28">
        <f t="shared" ca="1" si="11"/>
        <v>60.861187320922653</v>
      </c>
    </row>
    <row r="127" spans="4:10" x14ac:dyDescent="0.25">
      <c r="D127" s="28">
        <f t="shared" ca="1" si="6"/>
        <v>0.61379278237986434</v>
      </c>
      <c r="E127" s="28">
        <f t="shared" ca="1" si="7"/>
        <v>9.9511254786535339</v>
      </c>
      <c r="F127" s="28">
        <f t="shared" ca="1" si="8"/>
        <v>1.0077512474824528</v>
      </c>
      <c r="G127" s="28">
        <f t="shared" ca="1" si="9"/>
        <v>0.96788349672959717</v>
      </c>
      <c r="H127" s="28">
        <f t="shared" ca="1" si="10"/>
        <v>0.99082833909713475</v>
      </c>
      <c r="J127" s="28">
        <f t="shared" ca="1" si="11"/>
        <v>59.610727697365512</v>
      </c>
    </row>
    <row r="128" spans="4:10" x14ac:dyDescent="0.25">
      <c r="D128" s="28">
        <f t="shared" ca="1" si="6"/>
        <v>0.63515843454303023</v>
      </c>
      <c r="E128" s="28">
        <f t="shared" ca="1" si="7"/>
        <v>10.193347098036432</v>
      </c>
      <c r="F128" s="28">
        <f t="shared" ca="1" si="8"/>
        <v>0.99600823978556419</v>
      </c>
      <c r="G128" s="28">
        <f t="shared" ca="1" si="9"/>
        <v>0.94062281370187206</v>
      </c>
      <c r="H128" s="28">
        <f t="shared" ca="1" si="10"/>
        <v>1.0194499101979733</v>
      </c>
      <c r="J128" s="28">
        <f t="shared" ca="1" si="11"/>
        <v>59.512690943763729</v>
      </c>
    </row>
    <row r="129" spans="4:10" x14ac:dyDescent="0.25">
      <c r="D129" s="28">
        <f t="shared" ca="1" si="6"/>
        <v>0.65626035223176138</v>
      </c>
      <c r="E129" s="28">
        <f t="shared" ca="1" si="7"/>
        <v>9.7641390801937149</v>
      </c>
      <c r="F129" s="28">
        <f t="shared" ca="1" si="8"/>
        <v>0.97156150473316505</v>
      </c>
      <c r="G129" s="28">
        <f t="shared" ca="1" si="9"/>
        <v>1.0089211755183316</v>
      </c>
      <c r="H129" s="28">
        <f t="shared" ca="1" si="10"/>
        <v>0.98071091543300914</v>
      </c>
      <c r="J129" s="28">
        <f t="shared" ca="1" si="11"/>
        <v>64.611638648825632</v>
      </c>
    </row>
    <row r="130" spans="4:10" x14ac:dyDescent="0.25">
      <c r="D130" s="28">
        <f t="shared" ca="1" si="6"/>
        <v>0.66165574540384042</v>
      </c>
      <c r="E130" s="28">
        <f t="shared" ca="1" si="7"/>
        <v>10.121187522848754</v>
      </c>
      <c r="F130" s="28">
        <f t="shared" ca="1" si="8"/>
        <v>1.0045992863362738</v>
      </c>
      <c r="G130" s="28">
        <f t="shared" ca="1" si="9"/>
        <v>1.0516391392461781</v>
      </c>
      <c r="H130" s="28">
        <f t="shared" ca="1" si="10"/>
        <v>0.98931522547362893</v>
      </c>
      <c r="J130" s="28">
        <f t="shared" ca="1" si="11"/>
        <v>68.327403233362887</v>
      </c>
    </row>
    <row r="131" spans="4:10" x14ac:dyDescent="0.25">
      <c r="D131" s="28">
        <f t="shared" ca="1" si="6"/>
        <v>0.6621836761762131</v>
      </c>
      <c r="E131" s="28">
        <f t="shared" ca="1" si="7"/>
        <v>9.7081681791504835</v>
      </c>
      <c r="F131" s="28">
        <f t="shared" ca="1" si="8"/>
        <v>0.96845079133518586</v>
      </c>
      <c r="G131" s="28">
        <f t="shared" ca="1" si="9"/>
        <v>1.013886827167457</v>
      </c>
      <c r="H131" s="28">
        <f t="shared" ca="1" si="10"/>
        <v>1.0312350526954421</v>
      </c>
      <c r="J131" s="28">
        <f t="shared" ca="1" si="11"/>
        <v>69.066251369379458</v>
      </c>
    </row>
    <row r="132" spans="4:10" x14ac:dyDescent="0.25">
      <c r="D132" s="28">
        <f t="shared" ca="1" si="6"/>
        <v>0.67277121023714137</v>
      </c>
      <c r="E132" s="28">
        <f t="shared" ca="1" si="7"/>
        <v>9.9847465073476211</v>
      </c>
      <c r="F132" s="28">
        <f t="shared" ca="1" si="8"/>
        <v>1.019213618749057</v>
      </c>
      <c r="G132" s="28">
        <f t="shared" ca="1" si="9"/>
        <v>0.98080773345767025</v>
      </c>
      <c r="H132" s="28">
        <f t="shared" ca="1" si="10"/>
        <v>1.0226719995417273</v>
      </c>
      <c r="J132" s="28">
        <f t="shared" ca="1" si="11"/>
        <v>68.883597414823072</v>
      </c>
    </row>
    <row r="133" spans="4:10" x14ac:dyDescent="0.25">
      <c r="D133" s="28">
        <f t="shared" ca="1" si="6"/>
        <v>0.69416144369745192</v>
      </c>
      <c r="E133" s="28">
        <f t="shared" ca="1" si="7"/>
        <v>9.8831476714228792</v>
      </c>
      <c r="F133" s="28">
        <f t="shared" ca="1" si="8"/>
        <v>0.98933708405751941</v>
      </c>
      <c r="G133" s="28">
        <f t="shared" ca="1" si="9"/>
        <v>1.0451802762082949</v>
      </c>
      <c r="H133" s="28">
        <f t="shared" ca="1" si="10"/>
        <v>0.97948395500547891</v>
      </c>
      <c r="J133" s="28">
        <f t="shared" ca="1" si="11"/>
        <v>71.137405742938583</v>
      </c>
    </row>
    <row r="134" spans="4:10" x14ac:dyDescent="0.25">
      <c r="D134" s="28">
        <f t="shared" ca="1" si="6"/>
        <v>0.67769860921320735</v>
      </c>
      <c r="E134" s="28">
        <f t="shared" ca="1" si="7"/>
        <v>10.184703170005774</v>
      </c>
      <c r="F134" s="28">
        <f t="shared" ca="1" si="8"/>
        <v>1.0246258755827173</v>
      </c>
      <c r="G134" s="28">
        <f t="shared" ca="1" si="9"/>
        <v>0.97519441963318954</v>
      </c>
      <c r="H134" s="28">
        <f t="shared" ca="1" si="10"/>
        <v>0.96886953632289885</v>
      </c>
      <c r="J134" s="28">
        <f t="shared" ca="1" si="11"/>
        <v>64.418416603646534</v>
      </c>
    </row>
    <row r="135" spans="4:10" x14ac:dyDescent="0.25">
      <c r="D135" s="28">
        <f t="shared" ca="1" si="6"/>
        <v>0.69565225487342919</v>
      </c>
      <c r="E135" s="28">
        <f t="shared" ca="1" si="7"/>
        <v>10.076946266371232</v>
      </c>
      <c r="F135" s="28">
        <f t="shared" ca="1" si="8"/>
        <v>1.0001945469002389</v>
      </c>
      <c r="G135" s="28">
        <f t="shared" ca="1" si="9"/>
        <v>1.0257236106760783</v>
      </c>
      <c r="H135" s="28">
        <f t="shared" ca="1" si="10"/>
        <v>1.0111041117909001</v>
      </c>
      <c r="J135" s="28">
        <f t="shared" ca="1" si="11"/>
        <v>71.610048162244894</v>
      </c>
    </row>
    <row r="136" spans="4:10" x14ac:dyDescent="0.25">
      <c r="D136" s="28">
        <f t="shared" ca="1" si="6"/>
        <v>0.64819996489477627</v>
      </c>
      <c r="E136" s="28">
        <f t="shared" ca="1" si="7"/>
        <v>9.8207650202258829</v>
      </c>
      <c r="F136" s="28">
        <f t="shared" ca="1" si="8"/>
        <v>0.99047316870083901</v>
      </c>
      <c r="G136" s="28">
        <f t="shared" ca="1" si="9"/>
        <v>1.0001772786679093</v>
      </c>
      <c r="H136" s="28">
        <f t="shared" ca="1" si="10"/>
        <v>1.0389834528398021</v>
      </c>
      <c r="J136" s="28">
        <f t="shared" ca="1" si="11"/>
        <v>67.934755046613375</v>
      </c>
    </row>
    <row r="137" spans="4:10" x14ac:dyDescent="0.25">
      <c r="D137" s="28">
        <f t="shared" ca="1" si="6"/>
        <v>0.67791330455910415</v>
      </c>
      <c r="E137" s="28">
        <f t="shared" ca="1" si="7"/>
        <v>10.066553908480962</v>
      </c>
      <c r="F137" s="28">
        <f t="shared" ca="1" si="8"/>
        <v>1.005336798549695</v>
      </c>
      <c r="G137" s="28">
        <f t="shared" ca="1" si="9"/>
        <v>0.94974616884737262</v>
      </c>
      <c r="H137" s="28">
        <f t="shared" ca="1" si="10"/>
        <v>1.0272257228525288</v>
      </c>
      <c r="J137" s="28">
        <f t="shared" ca="1" si="11"/>
        <v>66.050840676205439</v>
      </c>
    </row>
    <row r="138" spans="4:10" x14ac:dyDescent="0.25">
      <c r="D138" s="28">
        <f t="shared" ca="1" si="6"/>
        <v>0.65859138572797726</v>
      </c>
      <c r="E138" s="28">
        <f t="shared" ca="1" si="7"/>
        <v>10.157167599738235</v>
      </c>
      <c r="F138" s="28">
        <f t="shared" ca="1" si="8"/>
        <v>1.0389410604032696</v>
      </c>
      <c r="G138" s="28">
        <f t="shared" ca="1" si="9"/>
        <v>0.99842750504167743</v>
      </c>
      <c r="H138" s="28">
        <f t="shared" ca="1" si="10"/>
        <v>0.98350763347043524</v>
      </c>
      <c r="J138" s="28">
        <f t="shared" ca="1" si="11"/>
        <v>66.149811267230604</v>
      </c>
    </row>
    <row r="139" spans="4:10" x14ac:dyDescent="0.25">
      <c r="D139" s="28">
        <f t="shared" ca="1" si="6"/>
        <v>0.61021445634882021</v>
      </c>
      <c r="E139" s="28">
        <f t="shared" ca="1" si="7"/>
        <v>10.25365376822778</v>
      </c>
      <c r="F139" s="28">
        <f t="shared" ca="1" si="8"/>
        <v>1.0181206060964925</v>
      </c>
      <c r="G139" s="28">
        <f t="shared" ca="1" si="9"/>
        <v>0.90147402696536671</v>
      </c>
      <c r="H139" s="28">
        <f t="shared" ca="1" si="10"/>
        <v>0.94798512217936437</v>
      </c>
      <c r="J139" s="28">
        <f t="shared" ca="1" si="11"/>
        <v>51.77949503618153</v>
      </c>
    </row>
    <row r="140" spans="4:10" x14ac:dyDescent="0.25">
      <c r="D140" s="28">
        <f t="shared" ca="1" si="6"/>
        <v>0.67615092373512997</v>
      </c>
      <c r="E140" s="28">
        <f t="shared" ca="1" si="7"/>
        <v>9.7245242645348355</v>
      </c>
      <c r="F140" s="28">
        <f t="shared" ca="1" si="8"/>
        <v>0.98461074600462895</v>
      </c>
      <c r="G140" s="28">
        <f t="shared" ca="1" si="9"/>
        <v>0.97550103330097893</v>
      </c>
      <c r="H140" s="28">
        <f t="shared" ca="1" si="10"/>
        <v>1.0217706793208785</v>
      </c>
      <c r="J140" s="28">
        <f t="shared" ca="1" si="11"/>
        <v>68.237172430757624</v>
      </c>
    </row>
    <row r="141" spans="4:10" x14ac:dyDescent="0.25">
      <c r="D141" s="28">
        <f t="shared" ca="1" si="6"/>
        <v>0.6344066989481254</v>
      </c>
      <c r="E141" s="28">
        <f t="shared" ca="1" si="7"/>
        <v>10.087829965420303</v>
      </c>
      <c r="F141" s="28">
        <f t="shared" ca="1" si="8"/>
        <v>0.9919546101115716</v>
      </c>
      <c r="G141" s="28">
        <f t="shared" ca="1" si="9"/>
        <v>1.0589580181475458</v>
      </c>
      <c r="H141" s="28">
        <f t="shared" ca="1" si="10"/>
        <v>0.97903641819293619</v>
      </c>
      <c r="J141" s="28">
        <f t="shared" ca="1" si="11"/>
        <v>64.675440747192113</v>
      </c>
    </row>
    <row r="142" spans="4:10" x14ac:dyDescent="0.25">
      <c r="D142" s="28">
        <f t="shared" ca="1" si="6"/>
        <v>0.65601259175721915</v>
      </c>
      <c r="E142" s="28">
        <f t="shared" ca="1" si="7"/>
        <v>9.8204387226785119</v>
      </c>
      <c r="F142" s="28">
        <f t="shared" ca="1" si="8"/>
        <v>1.0107648580861992</v>
      </c>
      <c r="G142" s="28">
        <f t="shared" ca="1" si="9"/>
        <v>1.0435218631223946</v>
      </c>
      <c r="H142" s="28">
        <f t="shared" ca="1" si="10"/>
        <v>1.0079648591309003</v>
      </c>
      <c r="J142" s="28">
        <f t="shared" ca="1" si="11"/>
        <v>71.019623153401412</v>
      </c>
    </row>
    <row r="143" spans="4:10" x14ac:dyDescent="0.25">
      <c r="D143" s="28">
        <f t="shared" ca="1" si="6"/>
        <v>0.65757676597325365</v>
      </c>
      <c r="E143" s="28">
        <f t="shared" ca="1" si="7"/>
        <v>10.020902141209872</v>
      </c>
      <c r="F143" s="28">
        <f t="shared" ca="1" si="8"/>
        <v>0.99373704905043303</v>
      </c>
      <c r="G143" s="28">
        <f t="shared" ca="1" si="9"/>
        <v>1.0315078153151949</v>
      </c>
      <c r="H143" s="28">
        <f t="shared" ca="1" si="10"/>
        <v>0.92145266601368947</v>
      </c>
      <c r="J143" s="28">
        <f t="shared" ca="1" si="11"/>
        <v>61.980728193378354</v>
      </c>
    </row>
    <row r="144" spans="4:10" x14ac:dyDescent="0.25">
      <c r="D144" s="28">
        <f t="shared" ca="1" si="6"/>
        <v>0.66553161261408522</v>
      </c>
      <c r="E144" s="28">
        <f t="shared" ca="1" si="7"/>
        <v>9.7554646798494264</v>
      </c>
      <c r="F144" s="28">
        <f t="shared" ca="1" si="8"/>
        <v>0.98045942586260126</v>
      </c>
      <c r="G144" s="28">
        <f t="shared" ca="1" si="9"/>
        <v>1.0801547470716928</v>
      </c>
      <c r="H144" s="28">
        <f t="shared" ca="1" si="10"/>
        <v>1.0209273521428004</v>
      </c>
      <c r="J144" s="28">
        <f t="shared" ca="1" si="11"/>
        <v>73.761743299232805</v>
      </c>
    </row>
    <row r="145" spans="4:10" x14ac:dyDescent="0.25">
      <c r="D145" s="28">
        <f t="shared" ca="1" si="6"/>
        <v>0.64035485154956329</v>
      </c>
      <c r="E145" s="28">
        <f t="shared" ca="1" si="7"/>
        <v>10.234602658653639</v>
      </c>
      <c r="F145" s="28">
        <f t="shared" ca="1" si="8"/>
        <v>1.0205016338298678</v>
      </c>
      <c r="G145" s="28">
        <f t="shared" ca="1" si="9"/>
        <v>1.0682543906075133</v>
      </c>
      <c r="H145" s="28">
        <f t="shared" ca="1" si="10"/>
        <v>0.93646162698544033</v>
      </c>
      <c r="J145" s="28">
        <f t="shared" ca="1" si="11"/>
        <v>63.874585467142488</v>
      </c>
    </row>
    <row r="146" spans="4:10" x14ac:dyDescent="0.25">
      <c r="D146" s="28">
        <f t="shared" ca="1" si="6"/>
        <v>0.65192494868374873</v>
      </c>
      <c r="E146" s="28">
        <f t="shared" ca="1" si="7"/>
        <v>9.8645933984106833</v>
      </c>
      <c r="F146" s="28">
        <f t="shared" ca="1" si="8"/>
        <v>0.98495165705746712</v>
      </c>
      <c r="G146" s="28">
        <f t="shared" ca="1" si="9"/>
        <v>0.97768513143942715</v>
      </c>
      <c r="H146" s="28">
        <f t="shared" ca="1" si="10"/>
        <v>0.98110644523165125</v>
      </c>
      <c r="J146" s="28">
        <f t="shared" ca="1" si="11"/>
        <v>62.437925738150739</v>
      </c>
    </row>
    <row r="147" spans="4:10" x14ac:dyDescent="0.25">
      <c r="D147" s="28">
        <f t="shared" ca="1" si="6"/>
        <v>0.63790060516630975</v>
      </c>
      <c r="E147" s="28">
        <f t="shared" ca="1" si="7"/>
        <v>9.9369629375405175</v>
      </c>
      <c r="F147" s="28">
        <f t="shared" ca="1" si="8"/>
        <v>0.99546657632601898</v>
      </c>
      <c r="G147" s="28">
        <f t="shared" ca="1" si="9"/>
        <v>0.94208543485209317</v>
      </c>
      <c r="H147" s="28">
        <f t="shared" ca="1" si="10"/>
        <v>1.0057332381391779</v>
      </c>
      <c r="J147" s="28">
        <f t="shared" ca="1" si="11"/>
        <v>60.547904822432031</v>
      </c>
    </row>
    <row r="148" spans="4:10" x14ac:dyDescent="0.25">
      <c r="D148" s="28">
        <f t="shared" ca="1" si="6"/>
        <v>0.65867572234795801</v>
      </c>
      <c r="E148" s="28">
        <f t="shared" ca="1" si="7"/>
        <v>9.9338438492996151</v>
      </c>
      <c r="F148" s="28">
        <f t="shared" ca="1" si="8"/>
        <v>0.9954967364004248</v>
      </c>
      <c r="G148" s="28">
        <f t="shared" ca="1" si="9"/>
        <v>1.0273983803037425</v>
      </c>
      <c r="H148" s="28">
        <f t="shared" ca="1" si="10"/>
        <v>0.94569820773683455</v>
      </c>
      <c r="J148" s="28">
        <f t="shared" ca="1" si="11"/>
        <v>64.133598802212944</v>
      </c>
    </row>
    <row r="149" spans="4:10" x14ac:dyDescent="0.25">
      <c r="D149" s="28">
        <f t="shared" ca="1" si="6"/>
        <v>0.64370867057608372</v>
      </c>
      <c r="E149" s="28">
        <f t="shared" ca="1" si="7"/>
        <v>9.9971351419771253</v>
      </c>
      <c r="F149" s="28">
        <f t="shared" ca="1" si="8"/>
        <v>1.0207814057425599</v>
      </c>
      <c r="G149" s="28">
        <f t="shared" ca="1" si="9"/>
        <v>0.98289636274805836</v>
      </c>
      <c r="H149" s="28">
        <f t="shared" ca="1" si="10"/>
        <v>0.93258856419387381</v>
      </c>
      <c r="J149" s="28">
        <f t="shared" ca="1" si="11"/>
        <v>60.248239370268244</v>
      </c>
    </row>
    <row r="150" spans="4:10" x14ac:dyDescent="0.25">
      <c r="D150" s="28">
        <f t="shared" ca="1" si="6"/>
        <v>0.64619456002569531</v>
      </c>
      <c r="E150" s="28">
        <f t="shared" ca="1" si="7"/>
        <v>9.9439298697745819</v>
      </c>
      <c r="F150" s="28">
        <f t="shared" ca="1" si="8"/>
        <v>1.0050314745611728</v>
      </c>
      <c r="G150" s="28">
        <f t="shared" ca="1" si="9"/>
        <v>0.9868121524959742</v>
      </c>
      <c r="H150" s="28">
        <f t="shared" ca="1" si="10"/>
        <v>0.97548488084809459</v>
      </c>
      <c r="J150" s="28">
        <f t="shared" ca="1" si="11"/>
        <v>62.869490290899016</v>
      </c>
    </row>
    <row r="151" spans="4:10" x14ac:dyDescent="0.25">
      <c r="D151" s="28">
        <f t="shared" ca="1" si="6"/>
        <v>0.69144545159726156</v>
      </c>
      <c r="E151" s="28">
        <f t="shared" ca="1" si="7"/>
        <v>9.9766927121794318</v>
      </c>
      <c r="F151" s="28">
        <f t="shared" ca="1" si="8"/>
        <v>0.97232137922463313</v>
      </c>
      <c r="G151" s="28">
        <f t="shared" ca="1" si="9"/>
        <v>1.0238105028693061</v>
      </c>
      <c r="H151" s="28">
        <f t="shared" ca="1" si="10"/>
        <v>1.0015293354251209</v>
      </c>
      <c r="J151" s="28">
        <f t="shared" ca="1" si="11"/>
        <v>69.097831537176134</v>
      </c>
    </row>
    <row r="152" spans="4:10" x14ac:dyDescent="0.25">
      <c r="D152" s="28">
        <f t="shared" ca="1" si="6"/>
        <v>0.63407409779371593</v>
      </c>
      <c r="E152" s="28">
        <f t="shared" ca="1" si="7"/>
        <v>9.7859810487363568</v>
      </c>
      <c r="F152" s="28">
        <f t="shared" ca="1" si="8"/>
        <v>1.0001271966612089</v>
      </c>
      <c r="G152" s="28">
        <f t="shared" ca="1" si="9"/>
        <v>1.0296844490285857</v>
      </c>
      <c r="H152" s="28">
        <f t="shared" ca="1" si="10"/>
        <v>0.99459792911153111</v>
      </c>
      <c r="J152" s="28">
        <f t="shared" ca="1" si="11"/>
        <v>66.365532554678992</v>
      </c>
    </row>
    <row r="153" spans="4:10" x14ac:dyDescent="0.25">
      <c r="D153" s="28">
        <f t="shared" ref="D153:D216" ca="1" si="12">NORMINV(RAND(),$D$22,$D$23)</f>
        <v>0.6267387970098165</v>
      </c>
      <c r="E153" s="28">
        <f t="shared" ref="E153:E216" ca="1" si="13">$E$22+$E$23*SQRT(6)*(RAND()-RAND())</f>
        <v>9.955319382760246</v>
      </c>
      <c r="F153" s="28">
        <f t="shared" ref="F153:F216" ca="1" si="14">NORMINV(RAND(),$F$22,$F$23)</f>
        <v>0.98922527101785152</v>
      </c>
      <c r="G153" s="28">
        <f t="shared" ref="G153:G216" ca="1" si="15">NORMINV(RAND(),$G$22,$G$23)</f>
        <v>0.98586090202931231</v>
      </c>
      <c r="H153" s="28">
        <f t="shared" ref="H153:H216" ca="1" si="16">NORMINV(RAND(),$H$22,$H$23)</f>
        <v>1.0335518211741599</v>
      </c>
      <c r="J153" s="28">
        <f t="shared" ref="J153:J216" ca="1" si="17">1000*D153*G153*F153*H153/E153</f>
        <v>63.456261846336247</v>
      </c>
    </row>
    <row r="154" spans="4:10" x14ac:dyDescent="0.25">
      <c r="D154" s="28">
        <f t="shared" ca="1" si="12"/>
        <v>0.6758595076011481</v>
      </c>
      <c r="E154" s="28">
        <f t="shared" ca="1" si="13"/>
        <v>9.9181186646917574</v>
      </c>
      <c r="F154" s="28">
        <f t="shared" ca="1" si="14"/>
        <v>0.97105338595798341</v>
      </c>
      <c r="G154" s="28">
        <f t="shared" ca="1" si="15"/>
        <v>1.0833194033123188</v>
      </c>
      <c r="H154" s="28">
        <f t="shared" ca="1" si="16"/>
        <v>1.0131273741697386</v>
      </c>
      <c r="J154" s="28">
        <f t="shared" ca="1" si="17"/>
        <v>72.625779409836639</v>
      </c>
    </row>
    <row r="155" spans="4:10" x14ac:dyDescent="0.25">
      <c r="D155" s="28">
        <f t="shared" ca="1" si="12"/>
        <v>0.62265490555323721</v>
      </c>
      <c r="E155" s="28">
        <f t="shared" ca="1" si="13"/>
        <v>9.7833068075618979</v>
      </c>
      <c r="F155" s="28">
        <f t="shared" ca="1" si="14"/>
        <v>0.99195802963348101</v>
      </c>
      <c r="G155" s="28">
        <f t="shared" ca="1" si="15"/>
        <v>1.012218017277281</v>
      </c>
      <c r="H155" s="28">
        <f t="shared" ca="1" si="16"/>
        <v>1.008950736865224</v>
      </c>
      <c r="J155" s="28">
        <f t="shared" ca="1" si="17"/>
        <v>64.476144981798313</v>
      </c>
    </row>
    <row r="156" spans="4:10" x14ac:dyDescent="0.25">
      <c r="D156" s="28">
        <f t="shared" ca="1" si="12"/>
        <v>0.65884963027291854</v>
      </c>
      <c r="E156" s="28">
        <f t="shared" ca="1" si="13"/>
        <v>9.9971855801318039</v>
      </c>
      <c r="F156" s="28">
        <f t="shared" ca="1" si="14"/>
        <v>0.99278263762610908</v>
      </c>
      <c r="G156" s="28">
        <f t="shared" ca="1" si="15"/>
        <v>0.95669310582008182</v>
      </c>
      <c r="H156" s="28">
        <f t="shared" ca="1" si="16"/>
        <v>1.0239369329555321</v>
      </c>
      <c r="J156" s="28">
        <f t="shared" ca="1" si="17"/>
        <v>64.092701620450057</v>
      </c>
    </row>
    <row r="157" spans="4:10" x14ac:dyDescent="0.25">
      <c r="D157" s="28">
        <f t="shared" ca="1" si="12"/>
        <v>0.64135159317138257</v>
      </c>
      <c r="E157" s="28">
        <f t="shared" ca="1" si="13"/>
        <v>10.175359473845102</v>
      </c>
      <c r="F157" s="28">
        <f t="shared" ca="1" si="14"/>
        <v>1.0142986545288462</v>
      </c>
      <c r="G157" s="28">
        <f t="shared" ca="1" si="15"/>
        <v>0.97246666916775037</v>
      </c>
      <c r="H157" s="28">
        <f t="shared" ca="1" si="16"/>
        <v>1.0236196919437954</v>
      </c>
      <c r="J157" s="28">
        <f t="shared" ca="1" si="17"/>
        <v>63.639333632346677</v>
      </c>
    </row>
    <row r="158" spans="4:10" x14ac:dyDescent="0.25">
      <c r="D158" s="28">
        <f t="shared" ca="1" si="12"/>
        <v>0.67088838089821579</v>
      </c>
      <c r="E158" s="28">
        <f t="shared" ca="1" si="13"/>
        <v>10.044771826705695</v>
      </c>
      <c r="F158" s="28">
        <f t="shared" ca="1" si="14"/>
        <v>0.98650604546070564</v>
      </c>
      <c r="G158" s="28">
        <f t="shared" ca="1" si="15"/>
        <v>1.0188013795442759</v>
      </c>
      <c r="H158" s="28">
        <f t="shared" ca="1" si="16"/>
        <v>0.99475290453786636</v>
      </c>
      <c r="J158" s="28">
        <f t="shared" ca="1" si="17"/>
        <v>66.77512132339659</v>
      </c>
    </row>
    <row r="159" spans="4:10" x14ac:dyDescent="0.25">
      <c r="D159" s="28">
        <f t="shared" ca="1" si="12"/>
        <v>0.6818009193008584</v>
      </c>
      <c r="E159" s="28">
        <f t="shared" ca="1" si="13"/>
        <v>10.05090171018368</v>
      </c>
      <c r="F159" s="28">
        <f t="shared" ca="1" si="14"/>
        <v>1.0061207237049727</v>
      </c>
      <c r="G159" s="28">
        <f t="shared" ca="1" si="15"/>
        <v>1.0086018683259483</v>
      </c>
      <c r="H159" s="28">
        <f t="shared" ca="1" si="16"/>
        <v>0.96415561535454952</v>
      </c>
      <c r="J159" s="28">
        <f t="shared" ca="1" si="17"/>
        <v>66.369654115894122</v>
      </c>
    </row>
    <row r="160" spans="4:10" x14ac:dyDescent="0.25">
      <c r="D160" s="28">
        <f t="shared" ca="1" si="12"/>
        <v>0.67548996221331858</v>
      </c>
      <c r="E160" s="28">
        <f t="shared" ca="1" si="13"/>
        <v>10.176481790138766</v>
      </c>
      <c r="F160" s="28">
        <f t="shared" ca="1" si="14"/>
        <v>0.98729280235647832</v>
      </c>
      <c r="G160" s="28">
        <f t="shared" ca="1" si="15"/>
        <v>0.96980575588276841</v>
      </c>
      <c r="H160" s="28">
        <f t="shared" ca="1" si="16"/>
        <v>0.99591933347185801</v>
      </c>
      <c r="J160" s="28">
        <f t="shared" ca="1" si="17"/>
        <v>63.295980460682067</v>
      </c>
    </row>
    <row r="161" spans="4:10" x14ac:dyDescent="0.25">
      <c r="D161" s="28">
        <f t="shared" ca="1" si="12"/>
        <v>0.65452825399628911</v>
      </c>
      <c r="E161" s="28">
        <f t="shared" ca="1" si="13"/>
        <v>9.8194024107828959</v>
      </c>
      <c r="F161" s="28">
        <f t="shared" ca="1" si="14"/>
        <v>1.0008069686584289</v>
      </c>
      <c r="G161" s="28">
        <f t="shared" ca="1" si="15"/>
        <v>0.93646285890690084</v>
      </c>
      <c r="H161" s="28">
        <f t="shared" ca="1" si="16"/>
        <v>1.0214274373686798</v>
      </c>
      <c r="J161" s="28">
        <f t="shared" ca="1" si="17"/>
        <v>63.810439806188363</v>
      </c>
    </row>
    <row r="162" spans="4:10" x14ac:dyDescent="0.25">
      <c r="D162" s="28">
        <f t="shared" ca="1" si="12"/>
        <v>0.6440113597384638</v>
      </c>
      <c r="E162" s="28">
        <f t="shared" ca="1" si="13"/>
        <v>10.177498343012481</v>
      </c>
      <c r="F162" s="28">
        <f t="shared" ca="1" si="14"/>
        <v>0.98686638594324128</v>
      </c>
      <c r="G162" s="28">
        <f t="shared" ca="1" si="15"/>
        <v>1.0086052828961083</v>
      </c>
      <c r="H162" s="28">
        <f t="shared" ca="1" si="16"/>
        <v>0.99482028071335105</v>
      </c>
      <c r="J162" s="28">
        <f t="shared" ca="1" si="17"/>
        <v>62.658026649294825</v>
      </c>
    </row>
    <row r="163" spans="4:10" x14ac:dyDescent="0.25">
      <c r="D163" s="28">
        <f t="shared" ca="1" si="12"/>
        <v>0.63570029400794925</v>
      </c>
      <c r="E163" s="28">
        <f t="shared" ca="1" si="13"/>
        <v>9.9527119682556346</v>
      </c>
      <c r="F163" s="28">
        <f t="shared" ca="1" si="14"/>
        <v>1.0032126036993596</v>
      </c>
      <c r="G163" s="28">
        <f t="shared" ca="1" si="15"/>
        <v>0.97922188212836736</v>
      </c>
      <c r="H163" s="28">
        <f t="shared" ca="1" si="16"/>
        <v>1.0389624903132502</v>
      </c>
      <c r="J163" s="28">
        <f t="shared" ca="1" si="17"/>
        <v>65.190593451692038</v>
      </c>
    </row>
    <row r="164" spans="4:10" x14ac:dyDescent="0.25">
      <c r="D164" s="28">
        <f t="shared" ca="1" si="12"/>
        <v>0.66499397286290396</v>
      </c>
      <c r="E164" s="28">
        <f t="shared" ca="1" si="13"/>
        <v>9.9760537801651115</v>
      </c>
      <c r="F164" s="28">
        <f t="shared" ca="1" si="14"/>
        <v>1.0102622216520385</v>
      </c>
      <c r="G164" s="28">
        <f t="shared" ca="1" si="15"/>
        <v>1.0009020462520264</v>
      </c>
      <c r="H164" s="28">
        <f t="shared" ca="1" si="16"/>
        <v>1.0335476758857576</v>
      </c>
      <c r="J164" s="28">
        <f t="shared" ca="1" si="17"/>
        <v>69.665078732892511</v>
      </c>
    </row>
    <row r="165" spans="4:10" x14ac:dyDescent="0.25">
      <c r="D165" s="28">
        <f t="shared" ca="1" si="12"/>
        <v>0.62072467005408294</v>
      </c>
      <c r="E165" s="28">
        <f t="shared" ca="1" si="13"/>
        <v>9.7953375139287679</v>
      </c>
      <c r="F165" s="28">
        <f t="shared" ca="1" si="14"/>
        <v>1.0042581783181603</v>
      </c>
      <c r="G165" s="28">
        <f t="shared" ca="1" si="15"/>
        <v>0.9972691224843292</v>
      </c>
      <c r="H165" s="28">
        <f t="shared" ca="1" si="16"/>
        <v>1.0251511394385551</v>
      </c>
      <c r="J165" s="28">
        <f t="shared" ca="1" si="17"/>
        <v>65.061676496687724</v>
      </c>
    </row>
    <row r="166" spans="4:10" x14ac:dyDescent="0.25">
      <c r="D166" s="28">
        <f t="shared" ca="1" si="12"/>
        <v>0.65523539610151016</v>
      </c>
      <c r="E166" s="28">
        <f t="shared" ca="1" si="13"/>
        <v>9.7865988401117363</v>
      </c>
      <c r="F166" s="28">
        <f t="shared" ca="1" si="14"/>
        <v>1.0197458159949948</v>
      </c>
      <c r="G166" s="28">
        <f t="shared" ca="1" si="15"/>
        <v>0.9940370733933318</v>
      </c>
      <c r="H166" s="28">
        <f t="shared" ca="1" si="16"/>
        <v>0.98817350466227194</v>
      </c>
      <c r="J166" s="28">
        <f t="shared" ca="1" si="17"/>
        <v>67.064591392766545</v>
      </c>
    </row>
    <row r="167" spans="4:10" x14ac:dyDescent="0.25">
      <c r="D167" s="28">
        <f t="shared" ca="1" si="12"/>
        <v>0.63192647693335102</v>
      </c>
      <c r="E167" s="28">
        <f t="shared" ca="1" si="13"/>
        <v>10.302436804016819</v>
      </c>
      <c r="F167" s="28">
        <f t="shared" ca="1" si="14"/>
        <v>1.002604760431693</v>
      </c>
      <c r="G167" s="28">
        <f t="shared" ca="1" si="15"/>
        <v>0.94925506092742151</v>
      </c>
      <c r="H167" s="28">
        <f t="shared" ca="1" si="16"/>
        <v>0.96767787369027491</v>
      </c>
      <c r="J167" s="28">
        <f t="shared" ca="1" si="17"/>
        <v>56.489806535984521</v>
      </c>
    </row>
    <row r="168" spans="4:10" x14ac:dyDescent="0.25">
      <c r="D168" s="28">
        <f t="shared" ca="1" si="12"/>
        <v>0.63755083226052534</v>
      </c>
      <c r="E168" s="28">
        <f t="shared" ca="1" si="13"/>
        <v>9.8272306423515232</v>
      </c>
      <c r="F168" s="28">
        <f t="shared" ca="1" si="14"/>
        <v>1.0171676582476867</v>
      </c>
      <c r="G168" s="28">
        <f t="shared" ca="1" si="15"/>
        <v>0.97875411568175774</v>
      </c>
      <c r="H168" s="28">
        <f t="shared" ca="1" si="16"/>
        <v>1.0134885474320403</v>
      </c>
      <c r="J168" s="28">
        <f t="shared" ca="1" si="17"/>
        <v>65.458893188470896</v>
      </c>
    </row>
    <row r="169" spans="4:10" x14ac:dyDescent="0.25">
      <c r="D169" s="28">
        <f t="shared" ca="1" si="12"/>
        <v>0.64630549124979264</v>
      </c>
      <c r="E169" s="28">
        <f t="shared" ca="1" si="13"/>
        <v>10.211844936879393</v>
      </c>
      <c r="F169" s="28">
        <f t="shared" ca="1" si="14"/>
        <v>0.98535145672790336</v>
      </c>
      <c r="G169" s="28">
        <f t="shared" ca="1" si="15"/>
        <v>0.9891371931973455</v>
      </c>
      <c r="H169" s="28">
        <f t="shared" ca="1" si="16"/>
        <v>0.99772884014682028</v>
      </c>
      <c r="J169" s="28">
        <f t="shared" ca="1" si="17"/>
        <v>61.545152997303319</v>
      </c>
    </row>
    <row r="170" spans="4:10" x14ac:dyDescent="0.25">
      <c r="D170" s="28">
        <f t="shared" ca="1" si="12"/>
        <v>0.68137206747035894</v>
      </c>
      <c r="E170" s="28">
        <f t="shared" ca="1" si="13"/>
        <v>10.080679758409442</v>
      </c>
      <c r="F170" s="28">
        <f t="shared" ca="1" si="14"/>
        <v>1.0021898338210862</v>
      </c>
      <c r="G170" s="28">
        <f t="shared" ca="1" si="15"/>
        <v>1.0267494075185493</v>
      </c>
      <c r="H170" s="28">
        <f t="shared" ca="1" si="16"/>
        <v>0.96342663778469262</v>
      </c>
      <c r="J170" s="28">
        <f t="shared" ca="1" si="17"/>
        <v>67.008147458159698</v>
      </c>
    </row>
    <row r="171" spans="4:10" x14ac:dyDescent="0.25">
      <c r="D171" s="28">
        <f t="shared" ca="1" si="12"/>
        <v>0.63289186060515701</v>
      </c>
      <c r="E171" s="28">
        <f t="shared" ca="1" si="13"/>
        <v>10.119035871462472</v>
      </c>
      <c r="F171" s="28">
        <f t="shared" ca="1" si="14"/>
        <v>0.99174356641082118</v>
      </c>
      <c r="G171" s="28">
        <f t="shared" ca="1" si="15"/>
        <v>1.013828465092135</v>
      </c>
      <c r="H171" s="28">
        <f t="shared" ca="1" si="16"/>
        <v>0.98531109734768674</v>
      </c>
      <c r="J171" s="28">
        <f t="shared" ca="1" si="17"/>
        <v>61.962313055435288</v>
      </c>
    </row>
    <row r="172" spans="4:10" x14ac:dyDescent="0.25">
      <c r="D172" s="28">
        <f t="shared" ca="1" si="12"/>
        <v>0.63712097922033084</v>
      </c>
      <c r="E172" s="28">
        <f t="shared" ca="1" si="13"/>
        <v>10.00102891401005</v>
      </c>
      <c r="F172" s="28">
        <f t="shared" ca="1" si="14"/>
        <v>0.98247099805547955</v>
      </c>
      <c r="G172" s="28">
        <f t="shared" ca="1" si="15"/>
        <v>0.97197498780862046</v>
      </c>
      <c r="H172" s="28">
        <f t="shared" ca="1" si="16"/>
        <v>0.94370117349558569</v>
      </c>
      <c r="J172" s="28">
        <f t="shared" ca="1" si="17"/>
        <v>57.40986774688055</v>
      </c>
    </row>
    <row r="173" spans="4:10" x14ac:dyDescent="0.25">
      <c r="D173" s="28">
        <f t="shared" ca="1" si="12"/>
        <v>0.65066077529441779</v>
      </c>
      <c r="E173" s="28">
        <f t="shared" ca="1" si="13"/>
        <v>9.7574761182112297</v>
      </c>
      <c r="F173" s="28">
        <f t="shared" ca="1" si="14"/>
        <v>1.0031481159015052</v>
      </c>
      <c r="G173" s="28">
        <f t="shared" ca="1" si="15"/>
        <v>0.95278299572918956</v>
      </c>
      <c r="H173" s="28">
        <f t="shared" ca="1" si="16"/>
        <v>0.97045583852457518</v>
      </c>
      <c r="J173" s="28">
        <f t="shared" ca="1" si="17"/>
        <v>61.851746328794803</v>
      </c>
    </row>
    <row r="174" spans="4:10" x14ac:dyDescent="0.25">
      <c r="D174" s="28">
        <f t="shared" ca="1" si="12"/>
        <v>0.66699775885044643</v>
      </c>
      <c r="E174" s="28">
        <f t="shared" ca="1" si="13"/>
        <v>10.09614401048127</v>
      </c>
      <c r="F174" s="28">
        <f t="shared" ca="1" si="14"/>
        <v>1.0168709165269556</v>
      </c>
      <c r="G174" s="28">
        <f t="shared" ca="1" si="15"/>
        <v>1.0330867854949473</v>
      </c>
      <c r="H174" s="28">
        <f t="shared" ca="1" si="16"/>
        <v>1.0457148596879058</v>
      </c>
      <c r="J174" s="28">
        <f t="shared" ca="1" si="17"/>
        <v>72.574616579479553</v>
      </c>
    </row>
    <row r="175" spans="4:10" x14ac:dyDescent="0.25">
      <c r="D175" s="28">
        <f t="shared" ca="1" si="12"/>
        <v>0.65218672834496172</v>
      </c>
      <c r="E175" s="28">
        <f t="shared" ca="1" si="13"/>
        <v>9.8959949328780166</v>
      </c>
      <c r="F175" s="28">
        <f t="shared" ca="1" si="14"/>
        <v>0.99661958041162835</v>
      </c>
      <c r="G175" s="28">
        <f t="shared" ca="1" si="15"/>
        <v>1.0543665402040381</v>
      </c>
      <c r="H175" s="28">
        <f t="shared" ca="1" si="16"/>
        <v>0.99540963744923305</v>
      </c>
      <c r="J175" s="28">
        <f t="shared" ca="1" si="17"/>
        <v>68.934299172413446</v>
      </c>
    </row>
    <row r="176" spans="4:10" x14ac:dyDescent="0.25">
      <c r="D176" s="28">
        <f t="shared" ca="1" si="12"/>
        <v>0.67871719268420427</v>
      </c>
      <c r="E176" s="28">
        <f t="shared" ca="1" si="13"/>
        <v>9.9976824056039799</v>
      </c>
      <c r="F176" s="28">
        <f t="shared" ca="1" si="14"/>
        <v>1.0073414498208393</v>
      </c>
      <c r="G176" s="28">
        <f t="shared" ca="1" si="15"/>
        <v>0.98743476166087507</v>
      </c>
      <c r="H176" s="28">
        <f t="shared" ca="1" si="16"/>
        <v>0.99158835318883354</v>
      </c>
      <c r="J176" s="28">
        <f t="shared" ca="1" si="17"/>
        <v>66.958551132363027</v>
      </c>
    </row>
    <row r="177" spans="4:10" x14ac:dyDescent="0.25">
      <c r="D177" s="28">
        <f t="shared" ca="1" si="12"/>
        <v>0.67650241955246559</v>
      </c>
      <c r="E177" s="28">
        <f t="shared" ca="1" si="13"/>
        <v>9.8643102004042458</v>
      </c>
      <c r="F177" s="28">
        <f t="shared" ca="1" si="14"/>
        <v>1.0103647548322241</v>
      </c>
      <c r="G177" s="28">
        <f t="shared" ca="1" si="15"/>
        <v>0.94560485749560763</v>
      </c>
      <c r="H177" s="28">
        <f t="shared" ca="1" si="16"/>
        <v>1.0148775887716768</v>
      </c>
      <c r="J177" s="28">
        <f t="shared" ca="1" si="17"/>
        <v>66.497325430558632</v>
      </c>
    </row>
    <row r="178" spans="4:10" x14ac:dyDescent="0.25">
      <c r="D178" s="28">
        <f t="shared" ca="1" si="12"/>
        <v>0.65405165571829693</v>
      </c>
      <c r="E178" s="28">
        <f t="shared" ca="1" si="13"/>
        <v>10.001240646059124</v>
      </c>
      <c r="F178" s="28">
        <f t="shared" ca="1" si="14"/>
        <v>1.035041293846565</v>
      </c>
      <c r="G178" s="28">
        <f t="shared" ca="1" si="15"/>
        <v>0.98193670593033511</v>
      </c>
      <c r="H178" s="28">
        <f t="shared" ca="1" si="16"/>
        <v>0.98114796783178959</v>
      </c>
      <c r="J178" s="28">
        <f t="shared" ca="1" si="17"/>
        <v>65.212950858023731</v>
      </c>
    </row>
    <row r="179" spans="4:10" x14ac:dyDescent="0.25">
      <c r="D179" s="28">
        <f t="shared" ca="1" si="12"/>
        <v>0.6556611358237332</v>
      </c>
      <c r="E179" s="28">
        <f t="shared" ca="1" si="13"/>
        <v>10.144087875439274</v>
      </c>
      <c r="F179" s="28">
        <f t="shared" ca="1" si="14"/>
        <v>1.0055249658195549</v>
      </c>
      <c r="G179" s="28">
        <f t="shared" ca="1" si="15"/>
        <v>1.0092889764739654</v>
      </c>
      <c r="H179" s="28">
        <f t="shared" ca="1" si="16"/>
        <v>1.0048700437769873</v>
      </c>
      <c r="J179" s="28">
        <f t="shared" ca="1" si="17"/>
        <v>65.915071351474211</v>
      </c>
    </row>
    <row r="180" spans="4:10" x14ac:dyDescent="0.25">
      <c r="D180" s="28">
        <f t="shared" ca="1" si="12"/>
        <v>0.64841283127904459</v>
      </c>
      <c r="E180" s="28">
        <f t="shared" ca="1" si="13"/>
        <v>9.9690909208151428</v>
      </c>
      <c r="F180" s="28">
        <f t="shared" ca="1" si="14"/>
        <v>1.007142898208633</v>
      </c>
      <c r="G180" s="28">
        <f t="shared" ca="1" si="15"/>
        <v>1.0398510256586508</v>
      </c>
      <c r="H180" s="28">
        <f t="shared" ca="1" si="16"/>
        <v>0.99359883352924694</v>
      </c>
      <c r="J180" s="28">
        <f t="shared" ca="1" si="17"/>
        <v>67.681400330236315</v>
      </c>
    </row>
    <row r="181" spans="4:10" x14ac:dyDescent="0.25">
      <c r="D181" s="28">
        <f t="shared" ca="1" si="12"/>
        <v>0.62901397689032412</v>
      </c>
      <c r="E181" s="28">
        <f t="shared" ca="1" si="13"/>
        <v>9.985434409095113</v>
      </c>
      <c r="F181" s="28">
        <f t="shared" ca="1" si="14"/>
        <v>1.0074608991273397</v>
      </c>
      <c r="G181" s="28">
        <f t="shared" ca="1" si="15"/>
        <v>1.0377433825605151</v>
      </c>
      <c r="H181" s="28">
        <f t="shared" ca="1" si="16"/>
        <v>0.99903534505971325</v>
      </c>
      <c r="J181" s="28">
        <f t="shared" ca="1" si="17"/>
        <v>65.794919240110502</v>
      </c>
    </row>
    <row r="182" spans="4:10" x14ac:dyDescent="0.25">
      <c r="D182" s="28">
        <f t="shared" ca="1" si="12"/>
        <v>0.65045792248723355</v>
      </c>
      <c r="E182" s="28">
        <f t="shared" ca="1" si="13"/>
        <v>10.008814980050163</v>
      </c>
      <c r="F182" s="28">
        <f t="shared" ca="1" si="14"/>
        <v>1.0075135033980189</v>
      </c>
      <c r="G182" s="28">
        <f t="shared" ca="1" si="15"/>
        <v>0.9417869109531507</v>
      </c>
      <c r="H182" s="28">
        <f t="shared" ca="1" si="16"/>
        <v>1.0143920406018421</v>
      </c>
      <c r="J182" s="28">
        <f t="shared" ca="1" si="17"/>
        <v>62.552677702312565</v>
      </c>
    </row>
    <row r="183" spans="4:10" x14ac:dyDescent="0.25">
      <c r="D183" s="28">
        <f t="shared" ca="1" si="12"/>
        <v>0.62074298967308195</v>
      </c>
      <c r="E183" s="28">
        <f t="shared" ca="1" si="13"/>
        <v>10.175125942273262</v>
      </c>
      <c r="F183" s="28">
        <f t="shared" ca="1" si="14"/>
        <v>0.98465951160399545</v>
      </c>
      <c r="G183" s="28">
        <f t="shared" ca="1" si="15"/>
        <v>0.98745632209383871</v>
      </c>
      <c r="H183" s="28">
        <f t="shared" ca="1" si="16"/>
        <v>0.97980785341638388</v>
      </c>
      <c r="J183" s="28">
        <f t="shared" ca="1" si="17"/>
        <v>58.118837838660681</v>
      </c>
    </row>
    <row r="184" spans="4:10" x14ac:dyDescent="0.25">
      <c r="D184" s="28">
        <f t="shared" ca="1" si="12"/>
        <v>0.68681386608727968</v>
      </c>
      <c r="E184" s="28">
        <f t="shared" ca="1" si="13"/>
        <v>10.038561366919124</v>
      </c>
      <c r="F184" s="28">
        <f t="shared" ca="1" si="14"/>
        <v>1.0112242857014204</v>
      </c>
      <c r="G184" s="28">
        <f t="shared" ca="1" si="15"/>
        <v>0.97124525060508771</v>
      </c>
      <c r="H184" s="28">
        <f t="shared" ca="1" si="16"/>
        <v>0.95859788606085861</v>
      </c>
      <c r="J184" s="28">
        <f t="shared" ca="1" si="17"/>
        <v>64.414025742401847</v>
      </c>
    </row>
    <row r="185" spans="4:10" x14ac:dyDescent="0.25">
      <c r="D185" s="28">
        <f t="shared" ca="1" si="12"/>
        <v>0.65255771280324815</v>
      </c>
      <c r="E185" s="28">
        <f t="shared" ca="1" si="13"/>
        <v>10.282334006965566</v>
      </c>
      <c r="F185" s="28">
        <f t="shared" ca="1" si="14"/>
        <v>0.97256994015909248</v>
      </c>
      <c r="G185" s="28">
        <f t="shared" ca="1" si="15"/>
        <v>1.0506684091161447</v>
      </c>
      <c r="H185" s="28">
        <f t="shared" ca="1" si="16"/>
        <v>1.0316674530401932</v>
      </c>
      <c r="J185" s="28">
        <f t="shared" ca="1" si="17"/>
        <v>66.904212988563813</v>
      </c>
    </row>
    <row r="186" spans="4:10" x14ac:dyDescent="0.25">
      <c r="D186" s="28">
        <f t="shared" ca="1" si="12"/>
        <v>0.70968252303319279</v>
      </c>
      <c r="E186" s="28">
        <f t="shared" ca="1" si="13"/>
        <v>10.080624633647838</v>
      </c>
      <c r="F186" s="28">
        <f t="shared" ca="1" si="14"/>
        <v>0.99953507228302363</v>
      </c>
      <c r="G186" s="28">
        <f t="shared" ca="1" si="15"/>
        <v>1.0697927075216307</v>
      </c>
      <c r="H186" s="28">
        <f t="shared" ca="1" si="16"/>
        <v>0.97097221396773281</v>
      </c>
      <c r="J186" s="28">
        <f t="shared" ca="1" si="17"/>
        <v>73.093900780804759</v>
      </c>
    </row>
    <row r="187" spans="4:10" x14ac:dyDescent="0.25">
      <c r="D187" s="28">
        <f t="shared" ca="1" si="12"/>
        <v>0.66540756148804292</v>
      </c>
      <c r="E187" s="28">
        <f t="shared" ca="1" si="13"/>
        <v>10.250386089981527</v>
      </c>
      <c r="F187" s="28">
        <f t="shared" ca="1" si="14"/>
        <v>0.99777856061518289</v>
      </c>
      <c r="G187" s="28">
        <f t="shared" ca="1" si="15"/>
        <v>0.96440016164973796</v>
      </c>
      <c r="H187" s="28">
        <f t="shared" ca="1" si="16"/>
        <v>0.97594703970047414</v>
      </c>
      <c r="J187" s="28">
        <f t="shared" ca="1" si="17"/>
        <v>60.9628415112753</v>
      </c>
    </row>
    <row r="188" spans="4:10" x14ac:dyDescent="0.25">
      <c r="D188" s="28">
        <f t="shared" ca="1" si="12"/>
        <v>0.61757121494157086</v>
      </c>
      <c r="E188" s="28">
        <f t="shared" ca="1" si="13"/>
        <v>9.9573927823462647</v>
      </c>
      <c r="F188" s="28">
        <f t="shared" ca="1" si="14"/>
        <v>0.96722254452956413</v>
      </c>
      <c r="G188" s="28">
        <f t="shared" ca="1" si="15"/>
        <v>0.97153553318596153</v>
      </c>
      <c r="H188" s="28">
        <f t="shared" ca="1" si="16"/>
        <v>0.98032232973083622</v>
      </c>
      <c r="J188" s="28">
        <f t="shared" ca="1" si="17"/>
        <v>57.134101443164361</v>
      </c>
    </row>
    <row r="189" spans="4:10" x14ac:dyDescent="0.25">
      <c r="D189" s="28">
        <f t="shared" ca="1" si="12"/>
        <v>0.62699920319585023</v>
      </c>
      <c r="E189" s="28">
        <f t="shared" ca="1" si="13"/>
        <v>10.292636430400137</v>
      </c>
      <c r="F189" s="28">
        <f t="shared" ca="1" si="14"/>
        <v>1.0157081220560471</v>
      </c>
      <c r="G189" s="28">
        <f t="shared" ca="1" si="15"/>
        <v>0.96274574762844622</v>
      </c>
      <c r="H189" s="28">
        <f t="shared" ca="1" si="16"/>
        <v>0.96298569967397118</v>
      </c>
      <c r="J189" s="28">
        <f t="shared" ca="1" si="17"/>
        <v>57.364171933456696</v>
      </c>
    </row>
    <row r="190" spans="4:10" x14ac:dyDescent="0.25">
      <c r="D190" s="28">
        <f t="shared" ca="1" si="12"/>
        <v>0.62844890438601164</v>
      </c>
      <c r="E190" s="28">
        <f t="shared" ca="1" si="13"/>
        <v>10.070484569374152</v>
      </c>
      <c r="F190" s="28">
        <f t="shared" ca="1" si="14"/>
        <v>0.9954947721146763</v>
      </c>
      <c r="G190" s="28">
        <f t="shared" ca="1" si="15"/>
        <v>0.97361806927610806</v>
      </c>
      <c r="H190" s="28">
        <f t="shared" ca="1" si="16"/>
        <v>0.98924060096241562</v>
      </c>
      <c r="J190" s="28">
        <f t="shared" ca="1" si="17"/>
        <v>59.83415286975886</v>
      </c>
    </row>
    <row r="191" spans="4:10" x14ac:dyDescent="0.25">
      <c r="D191" s="28">
        <f t="shared" ca="1" si="12"/>
        <v>0.6421354247596881</v>
      </c>
      <c r="E191" s="28">
        <f t="shared" ca="1" si="13"/>
        <v>9.8363138623973185</v>
      </c>
      <c r="F191" s="28">
        <f t="shared" ca="1" si="14"/>
        <v>1.0015958993309493</v>
      </c>
      <c r="G191" s="28">
        <f t="shared" ca="1" si="15"/>
        <v>1.070730839730764</v>
      </c>
      <c r="H191" s="28">
        <f t="shared" ca="1" si="16"/>
        <v>1.0618976651167922</v>
      </c>
      <c r="J191" s="28">
        <f t="shared" ca="1" si="17"/>
        <v>74.344657781324187</v>
      </c>
    </row>
    <row r="192" spans="4:10" x14ac:dyDescent="0.25">
      <c r="D192" s="28">
        <f t="shared" ca="1" si="12"/>
        <v>0.65397312974172661</v>
      </c>
      <c r="E192" s="28">
        <f t="shared" ca="1" si="13"/>
        <v>10.06451605261344</v>
      </c>
      <c r="F192" s="28">
        <f t="shared" ca="1" si="14"/>
        <v>0.99440462022703502</v>
      </c>
      <c r="G192" s="28">
        <f t="shared" ca="1" si="15"/>
        <v>1.0238402989575897</v>
      </c>
      <c r="H192" s="28">
        <f t="shared" ca="1" si="16"/>
        <v>0.97321094472053082</v>
      </c>
      <c r="J192" s="28">
        <f t="shared" ca="1" si="17"/>
        <v>64.382723642219702</v>
      </c>
    </row>
    <row r="193" spans="4:10" x14ac:dyDescent="0.25">
      <c r="D193" s="28">
        <f t="shared" ca="1" si="12"/>
        <v>0.66174995724270513</v>
      </c>
      <c r="E193" s="28">
        <f t="shared" ca="1" si="13"/>
        <v>9.8997187642630298</v>
      </c>
      <c r="F193" s="28">
        <f t="shared" ca="1" si="14"/>
        <v>1.0108667830093341</v>
      </c>
      <c r="G193" s="28">
        <f t="shared" ca="1" si="15"/>
        <v>0.88433286237302577</v>
      </c>
      <c r="H193" s="28">
        <f t="shared" ca="1" si="16"/>
        <v>1.006764477718519</v>
      </c>
      <c r="J193" s="28">
        <f t="shared" ca="1" si="17"/>
        <v>60.160112306655122</v>
      </c>
    </row>
    <row r="194" spans="4:10" x14ac:dyDescent="0.25">
      <c r="D194" s="28">
        <f t="shared" ca="1" si="12"/>
        <v>0.68760860364378873</v>
      </c>
      <c r="E194" s="28">
        <f t="shared" ca="1" si="13"/>
        <v>10.095197629023385</v>
      </c>
      <c r="F194" s="28">
        <f t="shared" ca="1" si="14"/>
        <v>0.97479862607838375</v>
      </c>
      <c r="G194" s="28">
        <f t="shared" ca="1" si="15"/>
        <v>0.94772818672655856</v>
      </c>
      <c r="H194" s="28">
        <f t="shared" ca="1" si="16"/>
        <v>0.98333402568122885</v>
      </c>
      <c r="J194" s="28">
        <f t="shared" ca="1" si="17"/>
        <v>61.876572573721354</v>
      </c>
    </row>
    <row r="195" spans="4:10" x14ac:dyDescent="0.25">
      <c r="D195" s="28">
        <f t="shared" ca="1" si="12"/>
        <v>0.6600032621407288</v>
      </c>
      <c r="E195" s="28">
        <f t="shared" ca="1" si="13"/>
        <v>9.7818005977214995</v>
      </c>
      <c r="F195" s="28">
        <f t="shared" ca="1" si="14"/>
        <v>0.97844783328995566</v>
      </c>
      <c r="G195" s="28">
        <f t="shared" ca="1" si="15"/>
        <v>1.042831994568999</v>
      </c>
      <c r="H195" s="28">
        <f t="shared" ca="1" si="16"/>
        <v>0.97297728951494677</v>
      </c>
      <c r="J195" s="28">
        <f t="shared" ca="1" si="17"/>
        <v>66.985685017148228</v>
      </c>
    </row>
    <row r="196" spans="4:10" x14ac:dyDescent="0.25">
      <c r="D196" s="28">
        <f t="shared" ca="1" si="12"/>
        <v>0.66845566495910846</v>
      </c>
      <c r="E196" s="28">
        <f t="shared" ca="1" si="13"/>
        <v>10.024567433218422</v>
      </c>
      <c r="F196" s="28">
        <f t="shared" ca="1" si="14"/>
        <v>1.0208977432001352</v>
      </c>
      <c r="G196" s="28">
        <f t="shared" ca="1" si="15"/>
        <v>1.0015434943648298</v>
      </c>
      <c r="H196" s="28">
        <f t="shared" ca="1" si="16"/>
        <v>1.0482455401316182</v>
      </c>
      <c r="J196" s="28">
        <f t="shared" ca="1" si="17"/>
        <v>71.469714616799706</v>
      </c>
    </row>
    <row r="197" spans="4:10" x14ac:dyDescent="0.25">
      <c r="D197" s="28">
        <f t="shared" ca="1" si="12"/>
        <v>0.64453576372850085</v>
      </c>
      <c r="E197" s="28">
        <f t="shared" ca="1" si="13"/>
        <v>9.9383648483897442</v>
      </c>
      <c r="F197" s="28">
        <f t="shared" ca="1" si="14"/>
        <v>1.0159610663750875</v>
      </c>
      <c r="G197" s="28">
        <f t="shared" ca="1" si="15"/>
        <v>0.898931339173763</v>
      </c>
      <c r="H197" s="28">
        <f t="shared" ca="1" si="16"/>
        <v>1.0283309674961758</v>
      </c>
      <c r="J197" s="28">
        <f t="shared" ca="1" si="17"/>
        <v>60.907193060873531</v>
      </c>
    </row>
    <row r="198" spans="4:10" x14ac:dyDescent="0.25">
      <c r="D198" s="28">
        <f t="shared" ca="1" si="12"/>
        <v>0.66322652778378721</v>
      </c>
      <c r="E198" s="28">
        <f t="shared" ca="1" si="13"/>
        <v>9.9319556838174012</v>
      </c>
      <c r="F198" s="28">
        <f t="shared" ca="1" si="14"/>
        <v>0.99601953832475232</v>
      </c>
      <c r="G198" s="28">
        <f t="shared" ca="1" si="15"/>
        <v>0.97893069330146831</v>
      </c>
      <c r="H198" s="28">
        <f t="shared" ca="1" si="16"/>
        <v>0.99021786005067924</v>
      </c>
      <c r="J198" s="28">
        <f t="shared" ca="1" si="17"/>
        <v>64.47296963237369</v>
      </c>
    </row>
    <row r="199" spans="4:10" x14ac:dyDescent="0.25">
      <c r="D199" s="28">
        <f t="shared" ca="1" si="12"/>
        <v>0.66499938179332707</v>
      </c>
      <c r="E199" s="28">
        <f t="shared" ca="1" si="13"/>
        <v>9.9864130360981775</v>
      </c>
      <c r="F199" s="28">
        <f t="shared" ca="1" si="14"/>
        <v>1.0101187572782175</v>
      </c>
      <c r="G199" s="28">
        <f t="shared" ca="1" si="15"/>
        <v>1.01248424827846</v>
      </c>
      <c r="H199" s="28">
        <f t="shared" ca="1" si="16"/>
        <v>1.018478716555455</v>
      </c>
      <c r="J199" s="28">
        <f t="shared" ca="1" si="17"/>
        <v>69.362443835140695</v>
      </c>
    </row>
    <row r="200" spans="4:10" x14ac:dyDescent="0.25">
      <c r="D200" s="28">
        <f t="shared" ca="1" si="12"/>
        <v>0.62324971724431777</v>
      </c>
      <c r="E200" s="28">
        <f t="shared" ca="1" si="13"/>
        <v>10.03397967131046</v>
      </c>
      <c r="F200" s="28">
        <f t="shared" ca="1" si="14"/>
        <v>0.9648279365786725</v>
      </c>
      <c r="G200" s="28">
        <f t="shared" ca="1" si="15"/>
        <v>0.90609004872703014</v>
      </c>
      <c r="H200" s="28">
        <f t="shared" ca="1" si="16"/>
        <v>1.050858864210612</v>
      </c>
      <c r="J200" s="28">
        <f t="shared" ca="1" si="17"/>
        <v>57.062986292696991</v>
      </c>
    </row>
    <row r="201" spans="4:10" x14ac:dyDescent="0.25">
      <c r="D201" s="28">
        <f t="shared" ca="1" si="12"/>
        <v>0.66943958518811397</v>
      </c>
      <c r="E201" s="28">
        <f t="shared" ca="1" si="13"/>
        <v>10.175928150191764</v>
      </c>
      <c r="F201" s="28">
        <f t="shared" ca="1" si="14"/>
        <v>0.99958628413245476</v>
      </c>
      <c r="G201" s="28">
        <f t="shared" ca="1" si="15"/>
        <v>0.96032223787835946</v>
      </c>
      <c r="H201" s="28">
        <f t="shared" ca="1" si="16"/>
        <v>1.0310571793579633</v>
      </c>
      <c r="J201" s="28">
        <f t="shared" ca="1" si="17"/>
        <v>65.111452293502182</v>
      </c>
    </row>
    <row r="202" spans="4:10" x14ac:dyDescent="0.25">
      <c r="D202" s="28">
        <f t="shared" ca="1" si="12"/>
        <v>0.66132573184338794</v>
      </c>
      <c r="E202" s="28">
        <f t="shared" ca="1" si="13"/>
        <v>10.009474832906472</v>
      </c>
      <c r="F202" s="28">
        <f t="shared" ca="1" si="14"/>
        <v>0.99793591133803472</v>
      </c>
      <c r="G202" s="28">
        <f t="shared" ca="1" si="15"/>
        <v>0.95031308816530902</v>
      </c>
      <c r="H202" s="28">
        <f t="shared" ca="1" si="16"/>
        <v>0.98994396486150504</v>
      </c>
      <c r="J202" s="28">
        <f t="shared" ca="1" si="17"/>
        <v>62.02747515772591</v>
      </c>
    </row>
    <row r="203" spans="4:10" x14ac:dyDescent="0.25">
      <c r="D203" s="28">
        <f t="shared" ca="1" si="12"/>
        <v>0.65186939420785983</v>
      </c>
      <c r="E203" s="28">
        <f t="shared" ca="1" si="13"/>
        <v>10.111343941588554</v>
      </c>
      <c r="F203" s="28">
        <f t="shared" ca="1" si="14"/>
        <v>0.99464042014020593</v>
      </c>
      <c r="G203" s="28">
        <f t="shared" ca="1" si="15"/>
        <v>0.99418846452897269</v>
      </c>
      <c r="H203" s="28">
        <f t="shared" ca="1" si="16"/>
        <v>0.97601291725736972</v>
      </c>
      <c r="J203" s="28">
        <f t="shared" ca="1" si="17"/>
        <v>62.221732154409423</v>
      </c>
    </row>
    <row r="204" spans="4:10" x14ac:dyDescent="0.25">
      <c r="D204" s="28">
        <f t="shared" ca="1" si="12"/>
        <v>0.65633690712766568</v>
      </c>
      <c r="E204" s="28">
        <f t="shared" ca="1" si="13"/>
        <v>9.8550563724078994</v>
      </c>
      <c r="F204" s="28">
        <f t="shared" ca="1" si="14"/>
        <v>1.0301854154170609</v>
      </c>
      <c r="G204" s="28">
        <f t="shared" ca="1" si="15"/>
        <v>1.0710362193696183</v>
      </c>
      <c r="H204" s="28">
        <f t="shared" ca="1" si="16"/>
        <v>1.0086962175311296</v>
      </c>
      <c r="J204" s="28">
        <f t="shared" ca="1" si="17"/>
        <v>74.122090677398418</v>
      </c>
    </row>
    <row r="205" spans="4:10" x14ac:dyDescent="0.25">
      <c r="D205" s="28">
        <f t="shared" ca="1" si="12"/>
        <v>0.64072379126004431</v>
      </c>
      <c r="E205" s="28">
        <f t="shared" ca="1" si="13"/>
        <v>9.9663470397932805</v>
      </c>
      <c r="F205" s="28">
        <f t="shared" ca="1" si="14"/>
        <v>0.98041530483804007</v>
      </c>
      <c r="G205" s="28">
        <f t="shared" ca="1" si="15"/>
        <v>1.0342814535553777</v>
      </c>
      <c r="H205" s="28">
        <f t="shared" ca="1" si="16"/>
        <v>1.00912356778682</v>
      </c>
      <c r="J205" s="28">
        <f t="shared" ca="1" si="17"/>
        <v>65.7851717919267</v>
      </c>
    </row>
    <row r="206" spans="4:10" x14ac:dyDescent="0.25">
      <c r="D206" s="28">
        <f t="shared" ca="1" si="12"/>
        <v>0.66323478422960946</v>
      </c>
      <c r="E206" s="28">
        <f t="shared" ca="1" si="13"/>
        <v>10.16541763664609</v>
      </c>
      <c r="F206" s="28">
        <f t="shared" ca="1" si="14"/>
        <v>1.0229949839131738</v>
      </c>
      <c r="G206" s="28">
        <f t="shared" ca="1" si="15"/>
        <v>0.9743279676512866</v>
      </c>
      <c r="H206" s="28">
        <f t="shared" ca="1" si="16"/>
        <v>0.99334617064906905</v>
      </c>
      <c r="J206" s="28">
        <f t="shared" ca="1" si="17"/>
        <v>64.598340967469923</v>
      </c>
    </row>
    <row r="207" spans="4:10" x14ac:dyDescent="0.25">
      <c r="D207" s="28">
        <f t="shared" ca="1" si="12"/>
        <v>0.67496379956740848</v>
      </c>
      <c r="E207" s="28">
        <f t="shared" ca="1" si="13"/>
        <v>9.9328442735864151</v>
      </c>
      <c r="F207" s="28">
        <f t="shared" ca="1" si="14"/>
        <v>1.0076400150532836</v>
      </c>
      <c r="G207" s="28">
        <f t="shared" ca="1" si="15"/>
        <v>1.0628477198561497</v>
      </c>
      <c r="H207" s="28">
        <f t="shared" ca="1" si="16"/>
        <v>0.98136673835261701</v>
      </c>
      <c r="J207" s="28">
        <f t="shared" ca="1" si="17"/>
        <v>71.419143793118906</v>
      </c>
    </row>
    <row r="208" spans="4:10" x14ac:dyDescent="0.25">
      <c r="D208" s="28">
        <f t="shared" ca="1" si="12"/>
        <v>0.65714183341284182</v>
      </c>
      <c r="E208" s="28">
        <f t="shared" ca="1" si="13"/>
        <v>9.9280697980482664</v>
      </c>
      <c r="F208" s="28">
        <f t="shared" ca="1" si="14"/>
        <v>0.99586281415845224</v>
      </c>
      <c r="G208" s="28">
        <f t="shared" ca="1" si="15"/>
        <v>0.94602820991628445</v>
      </c>
      <c r="H208" s="28">
        <f t="shared" ca="1" si="16"/>
        <v>0.9598166178241998</v>
      </c>
      <c r="J208" s="28">
        <f t="shared" ca="1" si="17"/>
        <v>59.853032769564813</v>
      </c>
    </row>
    <row r="209" spans="4:10" x14ac:dyDescent="0.25">
      <c r="D209" s="28">
        <f t="shared" ca="1" si="12"/>
        <v>0.65011687043670174</v>
      </c>
      <c r="E209" s="28">
        <f t="shared" ca="1" si="13"/>
        <v>9.6579012431410689</v>
      </c>
      <c r="F209" s="28">
        <f t="shared" ca="1" si="14"/>
        <v>1.0050821829710683</v>
      </c>
      <c r="G209" s="28">
        <f t="shared" ca="1" si="15"/>
        <v>0.98211117074554743</v>
      </c>
      <c r="H209" s="28">
        <f t="shared" ca="1" si="16"/>
        <v>1.03002903662607</v>
      </c>
      <c r="J209" s="28">
        <f t="shared" ca="1" si="17"/>
        <v>68.441633877046385</v>
      </c>
    </row>
    <row r="210" spans="4:10" x14ac:dyDescent="0.25">
      <c r="D210" s="28">
        <f t="shared" ca="1" si="12"/>
        <v>0.64545435441494747</v>
      </c>
      <c r="E210" s="28">
        <f t="shared" ca="1" si="13"/>
        <v>10.04070034840014</v>
      </c>
      <c r="F210" s="28">
        <f t="shared" ca="1" si="14"/>
        <v>0.9992552653534984</v>
      </c>
      <c r="G210" s="28">
        <f t="shared" ca="1" si="15"/>
        <v>0.96323349436369987</v>
      </c>
      <c r="H210" s="28">
        <f t="shared" ca="1" si="16"/>
        <v>0.99207341288849382</v>
      </c>
      <c r="J210" s="28">
        <f t="shared" ca="1" si="17"/>
        <v>61.383742135019041</v>
      </c>
    </row>
    <row r="211" spans="4:10" x14ac:dyDescent="0.25">
      <c r="D211" s="28">
        <f t="shared" ca="1" si="12"/>
        <v>0.66795531963821075</v>
      </c>
      <c r="E211" s="28">
        <f t="shared" ca="1" si="13"/>
        <v>10.173196704541855</v>
      </c>
      <c r="F211" s="28">
        <f t="shared" ca="1" si="14"/>
        <v>1.0064048716818084</v>
      </c>
      <c r="G211" s="28">
        <f t="shared" ca="1" si="15"/>
        <v>1.0428554252944318</v>
      </c>
      <c r="H211" s="28">
        <f t="shared" ca="1" si="16"/>
        <v>0.97903220086495968</v>
      </c>
      <c r="J211" s="28">
        <f t="shared" ca="1" si="17"/>
        <v>67.465816766581227</v>
      </c>
    </row>
    <row r="212" spans="4:10" x14ac:dyDescent="0.25">
      <c r="D212" s="28">
        <f t="shared" ca="1" si="12"/>
        <v>0.69240628095780299</v>
      </c>
      <c r="E212" s="28">
        <f t="shared" ca="1" si="13"/>
        <v>9.9115962974474225</v>
      </c>
      <c r="F212" s="28">
        <f t="shared" ca="1" si="14"/>
        <v>1.003097332453003</v>
      </c>
      <c r="G212" s="28">
        <f t="shared" ca="1" si="15"/>
        <v>0.94763726295524442</v>
      </c>
      <c r="H212" s="28">
        <f t="shared" ca="1" si="16"/>
        <v>0.99238038646122195</v>
      </c>
      <c r="J212" s="28">
        <f t="shared" ca="1" si="17"/>
        <v>65.899295449838789</v>
      </c>
    </row>
    <row r="213" spans="4:10" x14ac:dyDescent="0.25">
      <c r="D213" s="28">
        <f t="shared" ca="1" si="12"/>
        <v>0.67212011094890256</v>
      </c>
      <c r="E213" s="28">
        <f t="shared" ca="1" si="13"/>
        <v>9.7661146005161452</v>
      </c>
      <c r="F213" s="28">
        <f t="shared" ca="1" si="14"/>
        <v>1.0168406480639827</v>
      </c>
      <c r="G213" s="28">
        <f t="shared" ca="1" si="15"/>
        <v>1.013134001155783</v>
      </c>
      <c r="H213" s="28">
        <f t="shared" ca="1" si="16"/>
        <v>0.99833259139247987</v>
      </c>
      <c r="J213" s="28">
        <f t="shared" ca="1" si="17"/>
        <v>70.781557194125753</v>
      </c>
    </row>
    <row r="214" spans="4:10" x14ac:dyDescent="0.25">
      <c r="D214" s="28">
        <f t="shared" ca="1" si="12"/>
        <v>0.66149920461228673</v>
      </c>
      <c r="E214" s="28">
        <f t="shared" ca="1" si="13"/>
        <v>9.8710924009799292</v>
      </c>
      <c r="F214" s="28">
        <f t="shared" ca="1" si="14"/>
        <v>1.0275426472076423</v>
      </c>
      <c r="G214" s="28">
        <f t="shared" ca="1" si="15"/>
        <v>0.99560114957736812</v>
      </c>
      <c r="H214" s="28">
        <f t="shared" ca="1" si="16"/>
        <v>0.98825204134784683</v>
      </c>
      <c r="J214" s="28">
        <f t="shared" ca="1" si="17"/>
        <v>67.751212902139997</v>
      </c>
    </row>
    <row r="215" spans="4:10" x14ac:dyDescent="0.25">
      <c r="D215" s="28">
        <f t="shared" ca="1" si="12"/>
        <v>0.66196521538731867</v>
      </c>
      <c r="E215" s="28">
        <f t="shared" ca="1" si="13"/>
        <v>9.9092394063552316</v>
      </c>
      <c r="F215" s="28">
        <f t="shared" ca="1" si="14"/>
        <v>1.0065651757386727</v>
      </c>
      <c r="G215" s="28">
        <f t="shared" ca="1" si="15"/>
        <v>0.96897202853927655</v>
      </c>
      <c r="H215" s="28">
        <f t="shared" ca="1" si="16"/>
        <v>1.0477697526841232</v>
      </c>
      <c r="J215" s="28">
        <f t="shared" ca="1" si="17"/>
        <v>68.267475984996594</v>
      </c>
    </row>
    <row r="216" spans="4:10" x14ac:dyDescent="0.25">
      <c r="D216" s="28">
        <f t="shared" ca="1" si="12"/>
        <v>0.66745989803786276</v>
      </c>
      <c r="E216" s="28">
        <f t="shared" ca="1" si="13"/>
        <v>9.9622040389042095</v>
      </c>
      <c r="F216" s="28">
        <f t="shared" ca="1" si="14"/>
        <v>0.99115355537566285</v>
      </c>
      <c r="G216" s="28">
        <f t="shared" ca="1" si="15"/>
        <v>1.0198457414272168</v>
      </c>
      <c r="H216" s="28">
        <f t="shared" ca="1" si="16"/>
        <v>1.0622502762085644</v>
      </c>
      <c r="J216" s="28">
        <f t="shared" ca="1" si="17"/>
        <v>71.940264125500406</v>
      </c>
    </row>
    <row r="217" spans="4:10" x14ac:dyDescent="0.25">
      <c r="D217" s="28">
        <f t="shared" ref="D217:D280" ca="1" si="18">NORMINV(RAND(),$D$22,$D$23)</f>
        <v>0.64603141712978018</v>
      </c>
      <c r="E217" s="28">
        <f t="shared" ref="E217:E280" ca="1" si="19">$E$22+$E$23*SQRT(6)*(RAND()-RAND())</f>
        <v>9.9884280456391821</v>
      </c>
      <c r="F217" s="28">
        <f t="shared" ref="F217:F280" ca="1" si="20">NORMINV(RAND(),$F$22,$F$23)</f>
        <v>1.0097875970721197</v>
      </c>
      <c r="G217" s="28">
        <f t="shared" ref="G217:G280" ca="1" si="21">NORMINV(RAND(),$G$22,$G$23)</f>
        <v>1.0253227991326375</v>
      </c>
      <c r="H217" s="28">
        <f t="shared" ref="H217:H280" ca="1" si="22">NORMINV(RAND(),$H$22,$H$23)</f>
        <v>0.95668389634730655</v>
      </c>
      <c r="J217" s="28">
        <f t="shared" ref="J217:J280" ca="1" si="23">1000*D217*G217*F217*H217/E217</f>
        <v>64.06422894004784</v>
      </c>
    </row>
    <row r="218" spans="4:10" x14ac:dyDescent="0.25">
      <c r="D218" s="28">
        <f t="shared" ca="1" si="18"/>
        <v>0.68401837272559596</v>
      </c>
      <c r="E218" s="28">
        <f t="shared" ca="1" si="19"/>
        <v>9.8989843740325227</v>
      </c>
      <c r="F218" s="28">
        <f t="shared" ca="1" si="20"/>
        <v>1.0264544037732455</v>
      </c>
      <c r="G218" s="28">
        <f t="shared" ca="1" si="21"/>
        <v>1.0276430578242224</v>
      </c>
      <c r="H218" s="28">
        <f t="shared" ca="1" si="22"/>
        <v>0.9724369798783733</v>
      </c>
      <c r="J218" s="28">
        <f t="shared" ca="1" si="23"/>
        <v>70.879484321566792</v>
      </c>
    </row>
    <row r="219" spans="4:10" x14ac:dyDescent="0.25">
      <c r="D219" s="28">
        <f t="shared" ca="1" si="18"/>
        <v>0.62626315608974337</v>
      </c>
      <c r="E219" s="28">
        <f t="shared" ca="1" si="19"/>
        <v>9.9201982314629031</v>
      </c>
      <c r="F219" s="28">
        <f t="shared" ca="1" si="20"/>
        <v>0.99829746944907582</v>
      </c>
      <c r="G219" s="28">
        <f t="shared" ca="1" si="21"/>
        <v>1.0052491334633493</v>
      </c>
      <c r="H219" s="28">
        <f t="shared" ca="1" si="22"/>
        <v>0.93796936129284936</v>
      </c>
      <c r="J219" s="28">
        <f t="shared" ca="1" si="23"/>
        <v>59.423584005710737</v>
      </c>
    </row>
    <row r="220" spans="4:10" x14ac:dyDescent="0.25">
      <c r="D220" s="28">
        <f t="shared" ca="1" si="18"/>
        <v>0.67356000407022687</v>
      </c>
      <c r="E220" s="28">
        <f t="shared" ca="1" si="19"/>
        <v>10.246819956432104</v>
      </c>
      <c r="F220" s="28">
        <f t="shared" ca="1" si="20"/>
        <v>1.0122825914585865</v>
      </c>
      <c r="G220" s="28">
        <f t="shared" ca="1" si="21"/>
        <v>1.0056462442590677</v>
      </c>
      <c r="H220" s="28">
        <f t="shared" ca="1" si="22"/>
        <v>0.97251347198476557</v>
      </c>
      <c r="J220" s="28">
        <f t="shared" ca="1" si="23"/>
        <v>65.077343418417527</v>
      </c>
    </row>
    <row r="221" spans="4:10" x14ac:dyDescent="0.25">
      <c r="D221" s="28">
        <f t="shared" ca="1" si="18"/>
        <v>0.6639355597967127</v>
      </c>
      <c r="E221" s="28">
        <f t="shared" ca="1" si="19"/>
        <v>9.9713120634902914</v>
      </c>
      <c r="F221" s="28">
        <f t="shared" ca="1" si="20"/>
        <v>0.99539441769720405</v>
      </c>
      <c r="G221" s="28">
        <f t="shared" ca="1" si="21"/>
        <v>0.98311070664405897</v>
      </c>
      <c r="H221" s="28">
        <f t="shared" ca="1" si="22"/>
        <v>1.0204459031720434</v>
      </c>
      <c r="J221" s="28">
        <f t="shared" ca="1" si="23"/>
        <v>66.490750442494274</v>
      </c>
    </row>
    <row r="222" spans="4:10" x14ac:dyDescent="0.25">
      <c r="D222" s="28">
        <f t="shared" ca="1" si="18"/>
        <v>0.64867109796875944</v>
      </c>
      <c r="E222" s="28">
        <f t="shared" ca="1" si="19"/>
        <v>10.176785769692405</v>
      </c>
      <c r="F222" s="28">
        <f t="shared" ca="1" si="20"/>
        <v>0.96899716280390169</v>
      </c>
      <c r="G222" s="28">
        <f t="shared" ca="1" si="21"/>
        <v>0.9919263907844702</v>
      </c>
      <c r="H222" s="28">
        <f t="shared" ca="1" si="22"/>
        <v>1.022098692879204</v>
      </c>
      <c r="J222" s="28">
        <f t="shared" ca="1" si="23"/>
        <v>62.619370744409906</v>
      </c>
    </row>
    <row r="223" spans="4:10" x14ac:dyDescent="0.25">
      <c r="D223" s="28">
        <f t="shared" ca="1" si="18"/>
        <v>0.64718225606964597</v>
      </c>
      <c r="E223" s="28">
        <f t="shared" ca="1" si="19"/>
        <v>9.9570053223409012</v>
      </c>
      <c r="F223" s="28">
        <f t="shared" ca="1" si="20"/>
        <v>0.99412130662713571</v>
      </c>
      <c r="G223" s="28">
        <f t="shared" ca="1" si="21"/>
        <v>1.0183446717305744</v>
      </c>
      <c r="H223" s="28">
        <f t="shared" ca="1" si="22"/>
        <v>1.0411654166839572</v>
      </c>
      <c r="J223" s="28">
        <f t="shared" ca="1" si="23"/>
        <v>68.509653952289554</v>
      </c>
    </row>
    <row r="224" spans="4:10" x14ac:dyDescent="0.25">
      <c r="D224" s="28">
        <f t="shared" ca="1" si="18"/>
        <v>0.64696548801536546</v>
      </c>
      <c r="E224" s="28">
        <f t="shared" ca="1" si="19"/>
        <v>10.02897239342413</v>
      </c>
      <c r="F224" s="28">
        <f t="shared" ca="1" si="20"/>
        <v>0.99944616825154797</v>
      </c>
      <c r="G224" s="28">
        <f t="shared" ca="1" si="21"/>
        <v>1.0569594802023541</v>
      </c>
      <c r="H224" s="28">
        <f t="shared" ca="1" si="22"/>
        <v>1.0023671375685135</v>
      </c>
      <c r="J224" s="28">
        <f t="shared" ca="1" si="23"/>
        <v>68.307634187700643</v>
      </c>
    </row>
    <row r="225" spans="4:10" x14ac:dyDescent="0.25">
      <c r="D225" s="28">
        <f t="shared" ca="1" si="18"/>
        <v>0.65630433420674827</v>
      </c>
      <c r="E225" s="28">
        <f t="shared" ca="1" si="19"/>
        <v>9.9528028516589746</v>
      </c>
      <c r="F225" s="28">
        <f t="shared" ca="1" si="20"/>
        <v>1.0156425162926939</v>
      </c>
      <c r="G225" s="28">
        <f t="shared" ca="1" si="21"/>
        <v>0.94537483613163287</v>
      </c>
      <c r="H225" s="28">
        <f t="shared" ca="1" si="22"/>
        <v>1.0216661763489288</v>
      </c>
      <c r="J225" s="28">
        <f t="shared" ca="1" si="23"/>
        <v>64.686521461495573</v>
      </c>
    </row>
    <row r="226" spans="4:10" x14ac:dyDescent="0.25">
      <c r="D226" s="28">
        <f t="shared" ca="1" si="18"/>
        <v>0.65531367450062827</v>
      </c>
      <c r="E226" s="28">
        <f t="shared" ca="1" si="19"/>
        <v>10.109721771151742</v>
      </c>
      <c r="F226" s="28">
        <f t="shared" ca="1" si="20"/>
        <v>0.99263142760312051</v>
      </c>
      <c r="G226" s="28">
        <f t="shared" ca="1" si="21"/>
        <v>0.99763206103556945</v>
      </c>
      <c r="H226" s="28">
        <f t="shared" ca="1" si="22"/>
        <v>0.9674172852588413</v>
      </c>
      <c r="J226" s="28">
        <f t="shared" ca="1" si="23"/>
        <v>62.098668561726484</v>
      </c>
    </row>
    <row r="227" spans="4:10" x14ac:dyDescent="0.25">
      <c r="D227" s="28">
        <f t="shared" ca="1" si="18"/>
        <v>0.62238669635053867</v>
      </c>
      <c r="E227" s="28">
        <f t="shared" ca="1" si="19"/>
        <v>9.7906714291147079</v>
      </c>
      <c r="F227" s="28">
        <f t="shared" ca="1" si="20"/>
        <v>0.99527696543259903</v>
      </c>
      <c r="G227" s="28">
        <f t="shared" ca="1" si="21"/>
        <v>1.0628839567386379</v>
      </c>
      <c r="H227" s="28">
        <f t="shared" ca="1" si="22"/>
        <v>0.9769945225501212</v>
      </c>
      <c r="J227" s="28">
        <f t="shared" ca="1" si="23"/>
        <v>65.700663963167145</v>
      </c>
    </row>
    <row r="228" spans="4:10" x14ac:dyDescent="0.25">
      <c r="D228" s="28">
        <f t="shared" ca="1" si="18"/>
        <v>0.62605930937336052</v>
      </c>
      <c r="E228" s="28">
        <f t="shared" ca="1" si="19"/>
        <v>10.057650969023104</v>
      </c>
      <c r="F228" s="28">
        <f t="shared" ca="1" si="20"/>
        <v>0.98982008489756301</v>
      </c>
      <c r="G228" s="28">
        <f t="shared" ca="1" si="21"/>
        <v>0.95212730452872363</v>
      </c>
      <c r="H228" s="28">
        <f t="shared" ca="1" si="22"/>
        <v>0.99964196293902219</v>
      </c>
      <c r="J228" s="28">
        <f t="shared" ca="1" si="23"/>
        <v>58.642797269050028</v>
      </c>
    </row>
    <row r="229" spans="4:10" x14ac:dyDescent="0.25">
      <c r="D229" s="28">
        <f t="shared" ca="1" si="18"/>
        <v>0.65333649543218819</v>
      </c>
      <c r="E229" s="28">
        <f t="shared" ca="1" si="19"/>
        <v>10.285610048029847</v>
      </c>
      <c r="F229" s="28">
        <f t="shared" ca="1" si="20"/>
        <v>1.0054910396712677</v>
      </c>
      <c r="G229" s="28">
        <f t="shared" ca="1" si="21"/>
        <v>0.94510256737477005</v>
      </c>
      <c r="H229" s="28">
        <f t="shared" ca="1" si="22"/>
        <v>1.0137357839059467</v>
      </c>
      <c r="J229" s="28">
        <f t="shared" ca="1" si="23"/>
        <v>61.191174357716839</v>
      </c>
    </row>
    <row r="230" spans="4:10" x14ac:dyDescent="0.25">
      <c r="D230" s="28">
        <f t="shared" ca="1" si="18"/>
        <v>0.65900122319345622</v>
      </c>
      <c r="E230" s="28">
        <f t="shared" ca="1" si="19"/>
        <v>9.8722293942755428</v>
      </c>
      <c r="F230" s="28">
        <f t="shared" ca="1" si="20"/>
        <v>1.0070865726063216</v>
      </c>
      <c r="G230" s="28">
        <f t="shared" ca="1" si="21"/>
        <v>1.0027707670303427</v>
      </c>
      <c r="H230" s="28">
        <f t="shared" ca="1" si="22"/>
        <v>0.95028135122478374</v>
      </c>
      <c r="J230" s="28">
        <f t="shared" ca="1" si="23"/>
        <v>64.060696978901532</v>
      </c>
    </row>
    <row r="231" spans="4:10" x14ac:dyDescent="0.25">
      <c r="D231" s="28">
        <f t="shared" ca="1" si="18"/>
        <v>0.6357266135555748</v>
      </c>
      <c r="E231" s="28">
        <f t="shared" ca="1" si="19"/>
        <v>9.8642347348190569</v>
      </c>
      <c r="F231" s="28">
        <f t="shared" ca="1" si="20"/>
        <v>1.0076797964596351</v>
      </c>
      <c r="G231" s="28">
        <f t="shared" ca="1" si="21"/>
        <v>0.91239333510894882</v>
      </c>
      <c r="H231" s="28">
        <f t="shared" ca="1" si="22"/>
        <v>0.98175627912816954</v>
      </c>
      <c r="J231" s="28">
        <f t="shared" ca="1" si="23"/>
        <v>58.172179744185037</v>
      </c>
    </row>
    <row r="232" spans="4:10" x14ac:dyDescent="0.25">
      <c r="D232" s="28">
        <f t="shared" ca="1" si="18"/>
        <v>0.6582245976976383</v>
      </c>
      <c r="E232" s="28">
        <f t="shared" ca="1" si="19"/>
        <v>9.9603774475093871</v>
      </c>
      <c r="F232" s="28">
        <f t="shared" ca="1" si="20"/>
        <v>1.0064430476651951</v>
      </c>
      <c r="G232" s="28">
        <f t="shared" ca="1" si="21"/>
        <v>0.94223789610190256</v>
      </c>
      <c r="H232" s="28">
        <f t="shared" ca="1" si="22"/>
        <v>1.0707506707861392</v>
      </c>
      <c r="J232" s="28">
        <f t="shared" ca="1" si="23"/>
        <v>67.102150392196194</v>
      </c>
    </row>
    <row r="233" spans="4:10" x14ac:dyDescent="0.25">
      <c r="D233" s="28">
        <f t="shared" ca="1" si="18"/>
        <v>0.65799806537697081</v>
      </c>
      <c r="E233" s="28">
        <f t="shared" ca="1" si="19"/>
        <v>10.009818596391844</v>
      </c>
      <c r="F233" s="28">
        <f t="shared" ca="1" si="20"/>
        <v>1.0046975037400685</v>
      </c>
      <c r="G233" s="28">
        <f t="shared" ca="1" si="21"/>
        <v>1.0000860749488558</v>
      </c>
      <c r="H233" s="28">
        <f t="shared" ca="1" si="22"/>
        <v>0.93890810527394575</v>
      </c>
      <c r="J233" s="28">
        <f t="shared" ca="1" si="23"/>
        <v>62.014636351130747</v>
      </c>
    </row>
    <row r="234" spans="4:10" x14ac:dyDescent="0.25">
      <c r="D234" s="28">
        <f t="shared" ca="1" si="18"/>
        <v>0.67520340599830209</v>
      </c>
      <c r="E234" s="28">
        <f t="shared" ca="1" si="19"/>
        <v>9.7436189674586515</v>
      </c>
      <c r="F234" s="28">
        <f t="shared" ca="1" si="20"/>
        <v>1.0217721634829366</v>
      </c>
      <c r="G234" s="28">
        <f t="shared" ca="1" si="21"/>
        <v>0.96440448321292982</v>
      </c>
      <c r="H234" s="28">
        <f t="shared" ca="1" si="22"/>
        <v>0.96426018089808607</v>
      </c>
      <c r="J234" s="28">
        <f t="shared" ca="1" si="23"/>
        <v>65.844856063255392</v>
      </c>
    </row>
    <row r="235" spans="4:10" x14ac:dyDescent="0.25">
      <c r="D235" s="28">
        <f t="shared" ca="1" si="18"/>
        <v>0.67794221232393126</v>
      </c>
      <c r="E235" s="28">
        <f t="shared" ca="1" si="19"/>
        <v>9.8278397053068112</v>
      </c>
      <c r="F235" s="28">
        <f t="shared" ca="1" si="20"/>
        <v>1.0137536733678996</v>
      </c>
      <c r="G235" s="28">
        <f t="shared" ca="1" si="21"/>
        <v>1.0170806602619564</v>
      </c>
      <c r="H235" s="28">
        <f t="shared" ca="1" si="22"/>
        <v>1.0855639690039609</v>
      </c>
      <c r="J235" s="28">
        <f t="shared" ca="1" si="23"/>
        <v>77.210767457122188</v>
      </c>
    </row>
    <row r="236" spans="4:10" x14ac:dyDescent="0.25">
      <c r="D236" s="28">
        <f t="shared" ca="1" si="18"/>
        <v>0.62880803293096732</v>
      </c>
      <c r="E236" s="28">
        <f t="shared" ca="1" si="19"/>
        <v>10.134799594431925</v>
      </c>
      <c r="F236" s="28">
        <f t="shared" ca="1" si="20"/>
        <v>1.0040910837206254</v>
      </c>
      <c r="G236" s="28">
        <f t="shared" ca="1" si="21"/>
        <v>0.99882580980298841</v>
      </c>
      <c r="H236" s="28">
        <f t="shared" ca="1" si="22"/>
        <v>1.0633899398344064</v>
      </c>
      <c r="J236" s="28">
        <f t="shared" ca="1" si="23"/>
        <v>66.169572641815918</v>
      </c>
    </row>
    <row r="237" spans="4:10" x14ac:dyDescent="0.25">
      <c r="D237" s="28">
        <f t="shared" ca="1" si="18"/>
        <v>0.6706906875033698</v>
      </c>
      <c r="E237" s="28">
        <f t="shared" ca="1" si="19"/>
        <v>10.053940585943442</v>
      </c>
      <c r="F237" s="28">
        <f t="shared" ca="1" si="20"/>
        <v>1.0088879369098289</v>
      </c>
      <c r="G237" s="28">
        <f t="shared" ca="1" si="21"/>
        <v>0.98745660902721988</v>
      </c>
      <c r="H237" s="28">
        <f t="shared" ca="1" si="22"/>
        <v>0.98678228821186642</v>
      </c>
      <c r="J237" s="28">
        <f t="shared" ca="1" si="23"/>
        <v>65.57952364041229</v>
      </c>
    </row>
    <row r="238" spans="4:10" x14ac:dyDescent="0.25">
      <c r="D238" s="28">
        <f t="shared" ca="1" si="18"/>
        <v>0.63908807086823838</v>
      </c>
      <c r="E238" s="28">
        <f t="shared" ca="1" si="19"/>
        <v>10.114056131777417</v>
      </c>
      <c r="F238" s="28">
        <f t="shared" ca="1" si="20"/>
        <v>0.99573139975742542</v>
      </c>
      <c r="G238" s="28">
        <f t="shared" ca="1" si="21"/>
        <v>1.0338601797663993</v>
      </c>
      <c r="H238" s="28">
        <f t="shared" ca="1" si="22"/>
        <v>1.0002910869192798</v>
      </c>
      <c r="J238" s="28">
        <f t="shared" ca="1" si="23"/>
        <v>65.067745820521225</v>
      </c>
    </row>
    <row r="239" spans="4:10" x14ac:dyDescent="0.25">
      <c r="D239" s="28">
        <f t="shared" ca="1" si="18"/>
        <v>0.65677824835420862</v>
      </c>
      <c r="E239" s="28">
        <f t="shared" ca="1" si="19"/>
        <v>9.8582731914539234</v>
      </c>
      <c r="F239" s="28">
        <f t="shared" ca="1" si="20"/>
        <v>1.0073453531489822</v>
      </c>
      <c r="G239" s="28">
        <f t="shared" ca="1" si="21"/>
        <v>1.0358185163805884</v>
      </c>
      <c r="H239" s="28">
        <f t="shared" ca="1" si="22"/>
        <v>0.94691529573142141</v>
      </c>
      <c r="J239" s="28">
        <f t="shared" ca="1" si="23"/>
        <v>65.82503541835284</v>
      </c>
    </row>
    <row r="240" spans="4:10" x14ac:dyDescent="0.25">
      <c r="D240" s="28">
        <f t="shared" ca="1" si="18"/>
        <v>0.65626528500963044</v>
      </c>
      <c r="E240" s="28">
        <f t="shared" ca="1" si="19"/>
        <v>10.133542272543595</v>
      </c>
      <c r="F240" s="28">
        <f t="shared" ca="1" si="20"/>
        <v>0.98166207445256548</v>
      </c>
      <c r="G240" s="28">
        <f t="shared" ca="1" si="21"/>
        <v>0.99763756423908412</v>
      </c>
      <c r="H240" s="28">
        <f t="shared" ca="1" si="22"/>
        <v>0.96726585280471722</v>
      </c>
      <c r="J240" s="28">
        <f t="shared" ca="1" si="23"/>
        <v>61.34777421010034</v>
      </c>
    </row>
    <row r="241" spans="4:10" x14ac:dyDescent="0.25">
      <c r="D241" s="28">
        <f t="shared" ca="1" si="18"/>
        <v>0.63921754887514326</v>
      </c>
      <c r="E241" s="28">
        <f t="shared" ca="1" si="19"/>
        <v>10.09477735831506</v>
      </c>
      <c r="F241" s="28">
        <f t="shared" ca="1" si="20"/>
        <v>1.0091517012321842</v>
      </c>
      <c r="G241" s="28">
        <f t="shared" ca="1" si="21"/>
        <v>1.0078529495042501</v>
      </c>
      <c r="H241" s="28">
        <f t="shared" ca="1" si="22"/>
        <v>0.99601970443906762</v>
      </c>
      <c r="J241" s="28">
        <f t="shared" ca="1" si="23"/>
        <v>64.146579376187361</v>
      </c>
    </row>
    <row r="242" spans="4:10" x14ac:dyDescent="0.25">
      <c r="D242" s="28">
        <f t="shared" ca="1" si="18"/>
        <v>0.64202113088428059</v>
      </c>
      <c r="E242" s="28">
        <f t="shared" ca="1" si="19"/>
        <v>9.83057049847916</v>
      </c>
      <c r="F242" s="28">
        <f t="shared" ca="1" si="20"/>
        <v>0.99596254437207177</v>
      </c>
      <c r="G242" s="28">
        <f t="shared" ca="1" si="21"/>
        <v>1.1038111841016038</v>
      </c>
      <c r="H242" s="28">
        <f t="shared" ca="1" si="22"/>
        <v>0.95157754568637198</v>
      </c>
      <c r="J242" s="28">
        <f t="shared" ca="1" si="23"/>
        <v>68.32074317824231</v>
      </c>
    </row>
    <row r="243" spans="4:10" x14ac:dyDescent="0.25">
      <c r="D243" s="28">
        <f t="shared" ca="1" si="18"/>
        <v>0.61882655723709357</v>
      </c>
      <c r="E243" s="28">
        <f t="shared" ca="1" si="19"/>
        <v>10.142925910649648</v>
      </c>
      <c r="F243" s="28">
        <f t="shared" ca="1" si="20"/>
        <v>0.98303178082716647</v>
      </c>
      <c r="G243" s="28">
        <f t="shared" ca="1" si="21"/>
        <v>0.99862012038493486</v>
      </c>
      <c r="H243" s="28">
        <f t="shared" ca="1" si="22"/>
        <v>1.009859601149887</v>
      </c>
      <c r="J243" s="28">
        <f t="shared" ca="1" si="23"/>
        <v>60.483172037170512</v>
      </c>
    </row>
    <row r="244" spans="4:10" x14ac:dyDescent="0.25">
      <c r="D244" s="28">
        <f t="shared" ca="1" si="18"/>
        <v>0.66778541834779825</v>
      </c>
      <c r="E244" s="28">
        <f t="shared" ca="1" si="19"/>
        <v>9.8708740535419555</v>
      </c>
      <c r="F244" s="28">
        <f t="shared" ca="1" si="20"/>
        <v>0.99671278599810098</v>
      </c>
      <c r="G244" s="28">
        <f t="shared" ca="1" si="21"/>
        <v>0.97087178411540864</v>
      </c>
      <c r="H244" s="28">
        <f t="shared" ca="1" si="22"/>
        <v>0.99562477205355893</v>
      </c>
      <c r="J244" s="28">
        <f t="shared" ca="1" si="23"/>
        <v>65.179184717953518</v>
      </c>
    </row>
    <row r="245" spans="4:10" x14ac:dyDescent="0.25">
      <c r="D245" s="28">
        <f t="shared" ca="1" si="18"/>
        <v>0.66211611628171552</v>
      </c>
      <c r="E245" s="28">
        <f t="shared" ca="1" si="19"/>
        <v>9.9780165264183829</v>
      </c>
      <c r="F245" s="28">
        <f t="shared" ca="1" si="20"/>
        <v>1.012802806223752</v>
      </c>
      <c r="G245" s="28">
        <f t="shared" ca="1" si="21"/>
        <v>1.050413954097311</v>
      </c>
      <c r="H245" s="28">
        <f t="shared" ca="1" si="22"/>
        <v>0.99976505467110965</v>
      </c>
      <c r="J245" s="28">
        <f t="shared" ca="1" si="23"/>
        <v>70.578637644592945</v>
      </c>
    </row>
    <row r="246" spans="4:10" x14ac:dyDescent="0.25">
      <c r="D246" s="28">
        <f t="shared" ca="1" si="18"/>
        <v>0.68609908359154259</v>
      </c>
      <c r="E246" s="28">
        <f t="shared" ca="1" si="19"/>
        <v>9.9344728079793345</v>
      </c>
      <c r="F246" s="28">
        <f t="shared" ca="1" si="20"/>
        <v>0.97421017172275159</v>
      </c>
      <c r="G246" s="28">
        <f t="shared" ca="1" si="21"/>
        <v>0.96835846930065561</v>
      </c>
      <c r="H246" s="28">
        <f t="shared" ca="1" si="22"/>
        <v>0.99448772157477572</v>
      </c>
      <c r="J246" s="28">
        <f t="shared" ca="1" si="23"/>
        <v>64.79332307961225</v>
      </c>
    </row>
    <row r="247" spans="4:10" x14ac:dyDescent="0.25">
      <c r="D247" s="28">
        <f t="shared" ca="1" si="18"/>
        <v>0.67162307006996591</v>
      </c>
      <c r="E247" s="28">
        <f t="shared" ca="1" si="19"/>
        <v>10.037845049614829</v>
      </c>
      <c r="F247" s="28">
        <f t="shared" ca="1" si="20"/>
        <v>1.0157320488257582</v>
      </c>
      <c r="G247" s="28">
        <f t="shared" ca="1" si="21"/>
        <v>0.98974327115284422</v>
      </c>
      <c r="H247" s="28">
        <f t="shared" ca="1" si="22"/>
        <v>1.0264143970273865</v>
      </c>
      <c r="J247" s="28">
        <f t="shared" ca="1" si="23"/>
        <v>69.041396438370128</v>
      </c>
    </row>
    <row r="248" spans="4:10" x14ac:dyDescent="0.25">
      <c r="D248" s="28">
        <f t="shared" ca="1" si="18"/>
        <v>0.64789547420102034</v>
      </c>
      <c r="E248" s="28">
        <f t="shared" ca="1" si="19"/>
        <v>10.010307045250441</v>
      </c>
      <c r="F248" s="28">
        <f t="shared" ca="1" si="20"/>
        <v>1.004302399693439</v>
      </c>
      <c r="G248" s="28">
        <f t="shared" ca="1" si="21"/>
        <v>0.98280280085842486</v>
      </c>
      <c r="H248" s="28">
        <f t="shared" ca="1" si="22"/>
        <v>0.97183418128032373</v>
      </c>
      <c r="J248" s="28">
        <f t="shared" ca="1" si="23"/>
        <v>62.084130531996827</v>
      </c>
    </row>
    <row r="249" spans="4:10" x14ac:dyDescent="0.25">
      <c r="D249" s="28">
        <f t="shared" ca="1" si="18"/>
        <v>0.63685959383172108</v>
      </c>
      <c r="E249" s="28">
        <f t="shared" ca="1" si="19"/>
        <v>10.162113370534147</v>
      </c>
      <c r="F249" s="28">
        <f t="shared" ca="1" si="20"/>
        <v>1.0391937548516268</v>
      </c>
      <c r="G249" s="28">
        <f t="shared" ca="1" si="21"/>
        <v>1.0737071308415926</v>
      </c>
      <c r="H249" s="28">
        <f t="shared" ca="1" si="22"/>
        <v>0.96927806820606255</v>
      </c>
      <c r="J249" s="28">
        <f t="shared" ca="1" si="23"/>
        <v>67.778259380941975</v>
      </c>
    </row>
    <row r="250" spans="4:10" x14ac:dyDescent="0.25">
      <c r="D250" s="28">
        <f t="shared" ca="1" si="18"/>
        <v>0.67515809519689818</v>
      </c>
      <c r="E250" s="28">
        <f t="shared" ca="1" si="19"/>
        <v>10.293673513384835</v>
      </c>
      <c r="F250" s="28">
        <f t="shared" ca="1" si="20"/>
        <v>1.0218337722330859</v>
      </c>
      <c r="G250" s="28">
        <f t="shared" ca="1" si="21"/>
        <v>0.98886607117146696</v>
      </c>
      <c r="H250" s="28">
        <f t="shared" ca="1" si="22"/>
        <v>0.97286437685522353</v>
      </c>
      <c r="J250" s="28">
        <f t="shared" ca="1" si="23"/>
        <v>64.477044101693721</v>
      </c>
    </row>
    <row r="251" spans="4:10" x14ac:dyDescent="0.25">
      <c r="D251" s="28">
        <f t="shared" ca="1" si="18"/>
        <v>0.6524482006061334</v>
      </c>
      <c r="E251" s="28">
        <f t="shared" ca="1" si="19"/>
        <v>10.193359287093173</v>
      </c>
      <c r="F251" s="28">
        <f t="shared" ca="1" si="20"/>
        <v>1.0057479132600158</v>
      </c>
      <c r="G251" s="28">
        <f t="shared" ca="1" si="21"/>
        <v>0.97825132261252368</v>
      </c>
      <c r="H251" s="28">
        <f t="shared" ca="1" si="22"/>
        <v>0.97849103886291822</v>
      </c>
      <c r="J251" s="28">
        <f t="shared" ca="1" si="23"/>
        <v>61.620489251943077</v>
      </c>
    </row>
    <row r="252" spans="4:10" x14ac:dyDescent="0.25">
      <c r="D252" s="28">
        <f t="shared" ca="1" si="18"/>
        <v>0.65838474374036693</v>
      </c>
      <c r="E252" s="28">
        <f t="shared" ca="1" si="19"/>
        <v>9.8868323310831414</v>
      </c>
      <c r="F252" s="28">
        <f t="shared" ca="1" si="20"/>
        <v>1.006613137624699</v>
      </c>
      <c r="G252" s="28">
        <f t="shared" ca="1" si="21"/>
        <v>1.0126212072367584</v>
      </c>
      <c r="H252" s="28">
        <f t="shared" ca="1" si="22"/>
        <v>0.9467078068652055</v>
      </c>
      <c r="J252" s="28">
        <f t="shared" ca="1" si="23"/>
        <v>64.261100809023119</v>
      </c>
    </row>
    <row r="253" spans="4:10" x14ac:dyDescent="0.25">
      <c r="D253" s="28">
        <f t="shared" ca="1" si="18"/>
        <v>0.65789475487963989</v>
      </c>
      <c r="E253" s="28">
        <f t="shared" ca="1" si="19"/>
        <v>10.108325843818214</v>
      </c>
      <c r="F253" s="28">
        <f t="shared" ca="1" si="20"/>
        <v>0.9788612471993261</v>
      </c>
      <c r="G253" s="28">
        <f t="shared" ca="1" si="21"/>
        <v>1.0096398006173204</v>
      </c>
      <c r="H253" s="28">
        <f t="shared" ca="1" si="22"/>
        <v>0.99558243984361139</v>
      </c>
      <c r="J253" s="28">
        <f t="shared" ca="1" si="23"/>
        <v>64.038627660106883</v>
      </c>
    </row>
    <row r="254" spans="4:10" x14ac:dyDescent="0.25">
      <c r="D254" s="28">
        <f t="shared" ca="1" si="18"/>
        <v>0.66887950611738256</v>
      </c>
      <c r="E254" s="28">
        <f t="shared" ca="1" si="19"/>
        <v>9.9992589011574804</v>
      </c>
      <c r="F254" s="28">
        <f t="shared" ca="1" si="20"/>
        <v>0.99695674747946494</v>
      </c>
      <c r="G254" s="28">
        <f t="shared" ca="1" si="21"/>
        <v>1.0222281117787857</v>
      </c>
      <c r="H254" s="28">
        <f t="shared" ca="1" si="22"/>
        <v>1.0379462015347003</v>
      </c>
      <c r="J254" s="28">
        <f t="shared" ca="1" si="23"/>
        <v>70.758571642073932</v>
      </c>
    </row>
    <row r="255" spans="4:10" x14ac:dyDescent="0.25">
      <c r="D255" s="28">
        <f t="shared" ca="1" si="18"/>
        <v>0.66443149977615434</v>
      </c>
      <c r="E255" s="28">
        <f t="shared" ca="1" si="19"/>
        <v>10.094420309364855</v>
      </c>
      <c r="F255" s="28">
        <f t="shared" ca="1" si="20"/>
        <v>1.009981625169752</v>
      </c>
      <c r="G255" s="28">
        <f t="shared" ca="1" si="21"/>
        <v>1.017275720537189</v>
      </c>
      <c r="H255" s="28">
        <f t="shared" ca="1" si="22"/>
        <v>1.0401716467317788</v>
      </c>
      <c r="J255" s="28">
        <f t="shared" ca="1" si="23"/>
        <v>70.343827167884839</v>
      </c>
    </row>
    <row r="256" spans="4:10" x14ac:dyDescent="0.25">
      <c r="D256" s="28">
        <f t="shared" ca="1" si="18"/>
        <v>0.64609914795774437</v>
      </c>
      <c r="E256" s="28">
        <f t="shared" ca="1" si="19"/>
        <v>10.082387928085835</v>
      </c>
      <c r="F256" s="28">
        <f t="shared" ca="1" si="20"/>
        <v>1.0008421980397924</v>
      </c>
      <c r="G256" s="28">
        <f t="shared" ca="1" si="21"/>
        <v>1.0784885226233283</v>
      </c>
      <c r="H256" s="28">
        <f t="shared" ca="1" si="22"/>
        <v>1.0028305512204605</v>
      </c>
      <c r="J256" s="28">
        <f t="shared" ca="1" si="23"/>
        <v>69.365649482935055</v>
      </c>
    </row>
    <row r="257" spans="4:10" x14ac:dyDescent="0.25">
      <c r="D257" s="28">
        <f t="shared" ca="1" si="18"/>
        <v>0.63631946734626155</v>
      </c>
      <c r="E257" s="28">
        <f t="shared" ca="1" si="19"/>
        <v>9.8415479600882847</v>
      </c>
      <c r="F257" s="28">
        <f t="shared" ca="1" si="20"/>
        <v>1.0070773467611516</v>
      </c>
      <c r="G257" s="28">
        <f t="shared" ca="1" si="21"/>
        <v>0.96432556546176107</v>
      </c>
      <c r="H257" s="28">
        <f t="shared" ca="1" si="22"/>
        <v>0.99989949437273751</v>
      </c>
      <c r="J257" s="28">
        <f t="shared" ca="1" si="23"/>
        <v>62.78481996748382</v>
      </c>
    </row>
    <row r="258" spans="4:10" x14ac:dyDescent="0.25">
      <c r="D258" s="28">
        <f t="shared" ca="1" si="18"/>
        <v>0.6644177445406384</v>
      </c>
      <c r="E258" s="28">
        <f t="shared" ca="1" si="19"/>
        <v>10.071910280929618</v>
      </c>
      <c r="F258" s="28">
        <f t="shared" ca="1" si="20"/>
        <v>0.9983093735101688</v>
      </c>
      <c r="G258" s="28">
        <f t="shared" ca="1" si="21"/>
        <v>1.0264737632096812</v>
      </c>
      <c r="H258" s="28">
        <f t="shared" ca="1" si="22"/>
        <v>0.97304446654745735</v>
      </c>
      <c r="J258" s="28">
        <f t="shared" ca="1" si="23"/>
        <v>65.77715168247282</v>
      </c>
    </row>
    <row r="259" spans="4:10" x14ac:dyDescent="0.25">
      <c r="D259" s="28">
        <f t="shared" ca="1" si="18"/>
        <v>0.62454204825684745</v>
      </c>
      <c r="E259" s="28">
        <f t="shared" ca="1" si="19"/>
        <v>10.175180857374055</v>
      </c>
      <c r="F259" s="28">
        <f t="shared" ca="1" si="20"/>
        <v>0.98221695219550964</v>
      </c>
      <c r="G259" s="28">
        <f t="shared" ca="1" si="21"/>
        <v>0.99588583383894858</v>
      </c>
      <c r="H259" s="28">
        <f t="shared" ca="1" si="22"/>
        <v>0.97254714424839295</v>
      </c>
      <c r="J259" s="28">
        <f t="shared" ca="1" si="23"/>
        <v>58.391171560384379</v>
      </c>
    </row>
    <row r="260" spans="4:10" x14ac:dyDescent="0.25">
      <c r="D260" s="28">
        <f t="shared" ca="1" si="18"/>
        <v>0.64046214249247702</v>
      </c>
      <c r="E260" s="28">
        <f t="shared" ca="1" si="19"/>
        <v>10.010736920647336</v>
      </c>
      <c r="F260" s="28">
        <f t="shared" ca="1" si="20"/>
        <v>0.98915852687126815</v>
      </c>
      <c r="G260" s="28">
        <f t="shared" ca="1" si="21"/>
        <v>0.9787898622521366</v>
      </c>
      <c r="H260" s="28">
        <f t="shared" ca="1" si="22"/>
        <v>0.98023411484067424</v>
      </c>
      <c r="J260" s="28">
        <f t="shared" ca="1" si="23"/>
        <v>60.71731946388612</v>
      </c>
    </row>
    <row r="261" spans="4:10" x14ac:dyDescent="0.25">
      <c r="D261" s="28">
        <f t="shared" ca="1" si="18"/>
        <v>0.65724363008121389</v>
      </c>
      <c r="E261" s="28">
        <f t="shared" ca="1" si="19"/>
        <v>9.9014645416546632</v>
      </c>
      <c r="F261" s="28">
        <f t="shared" ca="1" si="20"/>
        <v>0.99072398132535011</v>
      </c>
      <c r="G261" s="28">
        <f t="shared" ca="1" si="21"/>
        <v>0.9679926885466964</v>
      </c>
      <c r="H261" s="28">
        <f t="shared" ca="1" si="22"/>
        <v>1.0003562369831724</v>
      </c>
      <c r="J261" s="28">
        <f t="shared" ca="1" si="23"/>
        <v>63.68048845034437</v>
      </c>
    </row>
    <row r="262" spans="4:10" x14ac:dyDescent="0.25">
      <c r="D262" s="28">
        <f t="shared" ca="1" si="18"/>
        <v>0.67845883719297539</v>
      </c>
      <c r="E262" s="28">
        <f t="shared" ca="1" si="19"/>
        <v>10.235780873953681</v>
      </c>
      <c r="F262" s="28">
        <f t="shared" ca="1" si="20"/>
        <v>0.99001264638561615</v>
      </c>
      <c r="G262" s="28">
        <f t="shared" ca="1" si="21"/>
        <v>0.99542412043155282</v>
      </c>
      <c r="H262" s="28">
        <f t="shared" ca="1" si="22"/>
        <v>0.99708158841893491</v>
      </c>
      <c r="J262" s="28">
        <f t="shared" ca="1" si="23"/>
        <v>65.130156678497784</v>
      </c>
    </row>
    <row r="263" spans="4:10" x14ac:dyDescent="0.25">
      <c r="D263" s="28">
        <f t="shared" ca="1" si="18"/>
        <v>0.6406586097435687</v>
      </c>
      <c r="E263" s="28">
        <f t="shared" ca="1" si="19"/>
        <v>10.256032194474731</v>
      </c>
      <c r="F263" s="28">
        <f t="shared" ca="1" si="20"/>
        <v>0.99034551583361685</v>
      </c>
      <c r="G263" s="28">
        <f t="shared" ca="1" si="21"/>
        <v>0.97442246292829937</v>
      </c>
      <c r="H263" s="28">
        <f t="shared" ca="1" si="22"/>
        <v>1.0237752141478873</v>
      </c>
      <c r="J263" s="28">
        <f t="shared" ca="1" si="23"/>
        <v>61.714317282595651</v>
      </c>
    </row>
    <row r="264" spans="4:10" x14ac:dyDescent="0.25">
      <c r="D264" s="28">
        <f t="shared" ca="1" si="18"/>
        <v>0.64144971798033912</v>
      </c>
      <c r="E264" s="28">
        <f t="shared" ca="1" si="19"/>
        <v>10.106691926840151</v>
      </c>
      <c r="F264" s="28">
        <f t="shared" ca="1" si="20"/>
        <v>0.99589872986490535</v>
      </c>
      <c r="G264" s="28">
        <f t="shared" ca="1" si="21"/>
        <v>1.0126759323761614</v>
      </c>
      <c r="H264" s="28">
        <f t="shared" ca="1" si="22"/>
        <v>0.98815363877278917</v>
      </c>
      <c r="J264" s="28">
        <f t="shared" ca="1" si="23"/>
        <v>63.250466365502547</v>
      </c>
    </row>
    <row r="265" spans="4:10" x14ac:dyDescent="0.25">
      <c r="D265" s="28">
        <f t="shared" ca="1" si="18"/>
        <v>0.66320092719777546</v>
      </c>
      <c r="E265" s="28">
        <f t="shared" ca="1" si="19"/>
        <v>10.075257351383751</v>
      </c>
      <c r="F265" s="28">
        <f t="shared" ca="1" si="20"/>
        <v>1.0198298285415544</v>
      </c>
      <c r="G265" s="28">
        <f t="shared" ca="1" si="21"/>
        <v>0.99627356505365494</v>
      </c>
      <c r="H265" s="28">
        <f t="shared" ca="1" si="22"/>
        <v>0.92187744355447809</v>
      </c>
      <c r="J265" s="28">
        <f t="shared" ca="1" si="23"/>
        <v>61.655025641472449</v>
      </c>
    </row>
    <row r="266" spans="4:10" x14ac:dyDescent="0.25">
      <c r="D266" s="28">
        <f t="shared" ca="1" si="18"/>
        <v>0.67271776844543374</v>
      </c>
      <c r="E266" s="28">
        <f t="shared" ca="1" si="19"/>
        <v>9.7328435573719911</v>
      </c>
      <c r="F266" s="28">
        <f t="shared" ca="1" si="20"/>
        <v>1.0031422146452775</v>
      </c>
      <c r="G266" s="28">
        <f t="shared" ca="1" si="21"/>
        <v>1.011880994964071</v>
      </c>
      <c r="H266" s="28">
        <f t="shared" ca="1" si="22"/>
        <v>1.0348589498656695</v>
      </c>
      <c r="J266" s="28">
        <f t="shared" ca="1" si="23"/>
        <v>72.604955259929653</v>
      </c>
    </row>
    <row r="267" spans="4:10" x14ac:dyDescent="0.25">
      <c r="D267" s="28">
        <f t="shared" ca="1" si="18"/>
        <v>0.67508585790383313</v>
      </c>
      <c r="E267" s="28">
        <f t="shared" ca="1" si="19"/>
        <v>10.049410805962149</v>
      </c>
      <c r="F267" s="28">
        <f t="shared" ca="1" si="20"/>
        <v>0.99742244630640853</v>
      </c>
      <c r="G267" s="28">
        <f t="shared" ca="1" si="21"/>
        <v>1.0454472278821305</v>
      </c>
      <c r="H267" s="28">
        <f t="shared" ca="1" si="22"/>
        <v>0.94498924049156019</v>
      </c>
      <c r="J267" s="28">
        <f t="shared" ca="1" si="23"/>
        <v>66.195204299464478</v>
      </c>
    </row>
    <row r="268" spans="4:10" x14ac:dyDescent="0.25">
      <c r="D268" s="28">
        <f t="shared" ca="1" si="18"/>
        <v>0.65547261723484396</v>
      </c>
      <c r="E268" s="28">
        <f t="shared" ca="1" si="19"/>
        <v>10.256406125993021</v>
      </c>
      <c r="F268" s="28">
        <f t="shared" ca="1" si="20"/>
        <v>1.0230026850599709</v>
      </c>
      <c r="G268" s="28">
        <f t="shared" ca="1" si="21"/>
        <v>1.0359747532538437</v>
      </c>
      <c r="H268" s="28">
        <f t="shared" ca="1" si="22"/>
        <v>0.97172847477819191</v>
      </c>
      <c r="J268" s="28">
        <f t="shared" ca="1" si="23"/>
        <v>65.815808186927327</v>
      </c>
    </row>
    <row r="269" spans="4:10" x14ac:dyDescent="0.25">
      <c r="D269" s="28">
        <f t="shared" ca="1" si="18"/>
        <v>0.66511143890009472</v>
      </c>
      <c r="E269" s="28">
        <f t="shared" ca="1" si="19"/>
        <v>10.249590985546575</v>
      </c>
      <c r="F269" s="28">
        <f t="shared" ca="1" si="20"/>
        <v>1.0047965581577298</v>
      </c>
      <c r="G269" s="28">
        <f t="shared" ca="1" si="21"/>
        <v>1.0763292402546145</v>
      </c>
      <c r="H269" s="28">
        <f t="shared" ca="1" si="22"/>
        <v>0.98821294999798781</v>
      </c>
      <c r="J269" s="28">
        <f t="shared" ca="1" si="23"/>
        <v>69.352432827772418</v>
      </c>
    </row>
    <row r="270" spans="4:10" x14ac:dyDescent="0.25">
      <c r="D270" s="28">
        <f t="shared" ca="1" si="18"/>
        <v>0.6390199264011317</v>
      </c>
      <c r="E270" s="28">
        <f t="shared" ca="1" si="19"/>
        <v>9.7705223692711449</v>
      </c>
      <c r="F270" s="28">
        <f t="shared" ca="1" si="20"/>
        <v>1.0345301444789896</v>
      </c>
      <c r="G270" s="28">
        <f t="shared" ca="1" si="21"/>
        <v>1.0153216843327588</v>
      </c>
      <c r="H270" s="28">
        <f t="shared" ca="1" si="22"/>
        <v>1.0563867321276361</v>
      </c>
      <c r="J270" s="28">
        <f t="shared" ca="1" si="23"/>
        <v>72.571544632860082</v>
      </c>
    </row>
    <row r="271" spans="4:10" x14ac:dyDescent="0.25">
      <c r="D271" s="28">
        <f t="shared" ca="1" si="18"/>
        <v>0.63179034024828828</v>
      </c>
      <c r="E271" s="28">
        <f t="shared" ca="1" si="19"/>
        <v>9.9428656402791091</v>
      </c>
      <c r="F271" s="28">
        <f t="shared" ca="1" si="20"/>
        <v>1.012100062802334</v>
      </c>
      <c r="G271" s="28">
        <f t="shared" ca="1" si="21"/>
        <v>1.055826599296612</v>
      </c>
      <c r="H271" s="28">
        <f t="shared" ca="1" si="22"/>
        <v>0.98224722857939373</v>
      </c>
      <c r="J271" s="28">
        <f t="shared" ca="1" si="23"/>
        <v>66.695767350115929</v>
      </c>
    </row>
    <row r="272" spans="4:10" x14ac:dyDescent="0.25">
      <c r="D272" s="28">
        <f t="shared" ca="1" si="18"/>
        <v>0.65631009261746187</v>
      </c>
      <c r="E272" s="28">
        <f t="shared" ca="1" si="19"/>
        <v>10.026992371822017</v>
      </c>
      <c r="F272" s="28">
        <f t="shared" ca="1" si="20"/>
        <v>0.99878289953929766</v>
      </c>
      <c r="G272" s="28">
        <f t="shared" ca="1" si="21"/>
        <v>1.0112034091791304</v>
      </c>
      <c r="H272" s="28">
        <f t="shared" ca="1" si="22"/>
        <v>0.96359816316655811</v>
      </c>
      <c r="J272" s="28">
        <f t="shared" ca="1" si="23"/>
        <v>63.700667751007984</v>
      </c>
    </row>
    <row r="273" spans="4:10" x14ac:dyDescent="0.25">
      <c r="D273" s="28">
        <f t="shared" ca="1" si="18"/>
        <v>0.66690172939549641</v>
      </c>
      <c r="E273" s="28">
        <f t="shared" ca="1" si="19"/>
        <v>9.9609363236910031</v>
      </c>
      <c r="F273" s="28">
        <f t="shared" ca="1" si="20"/>
        <v>0.97512688621687715</v>
      </c>
      <c r="G273" s="28">
        <f t="shared" ca="1" si="21"/>
        <v>0.93404181594930946</v>
      </c>
      <c r="H273" s="28">
        <f t="shared" ca="1" si="22"/>
        <v>0.98763384539183419</v>
      </c>
      <c r="J273" s="28">
        <f t="shared" ca="1" si="23"/>
        <v>60.226149062451285</v>
      </c>
    </row>
    <row r="274" spans="4:10" x14ac:dyDescent="0.25">
      <c r="D274" s="28">
        <f t="shared" ca="1" si="18"/>
        <v>0.67231287539118834</v>
      </c>
      <c r="E274" s="28">
        <f t="shared" ca="1" si="19"/>
        <v>10.040807162181061</v>
      </c>
      <c r="F274" s="28">
        <f t="shared" ca="1" si="20"/>
        <v>1.0167375062219981</v>
      </c>
      <c r="G274" s="28">
        <f t="shared" ca="1" si="21"/>
        <v>0.99428780500432512</v>
      </c>
      <c r="H274" s="28">
        <f t="shared" ca="1" si="22"/>
        <v>1.0378208638752313</v>
      </c>
      <c r="J274" s="28">
        <f t="shared" ca="1" si="23"/>
        <v>70.249972192120026</v>
      </c>
    </row>
    <row r="275" spans="4:10" x14ac:dyDescent="0.25">
      <c r="D275" s="28">
        <f t="shared" ca="1" si="18"/>
        <v>0.6132944054533771</v>
      </c>
      <c r="E275" s="28">
        <f t="shared" ca="1" si="19"/>
        <v>9.9066079829790574</v>
      </c>
      <c r="F275" s="28">
        <f t="shared" ca="1" si="20"/>
        <v>0.99763118713003085</v>
      </c>
      <c r="G275" s="28">
        <f t="shared" ca="1" si="21"/>
        <v>0.99223832764389619</v>
      </c>
      <c r="H275" s="28">
        <f t="shared" ca="1" si="22"/>
        <v>0.97724574380636353</v>
      </c>
      <c r="J275" s="28">
        <f t="shared" ca="1" si="23"/>
        <v>59.887175253856903</v>
      </c>
    </row>
    <row r="276" spans="4:10" x14ac:dyDescent="0.25">
      <c r="D276" s="28">
        <f t="shared" ca="1" si="18"/>
        <v>0.63008437811673701</v>
      </c>
      <c r="E276" s="28">
        <f t="shared" ca="1" si="19"/>
        <v>9.8644228418662596</v>
      </c>
      <c r="F276" s="28">
        <f t="shared" ca="1" si="20"/>
        <v>0.98076554817543449</v>
      </c>
      <c r="G276" s="28">
        <f t="shared" ca="1" si="21"/>
        <v>1.0022791548531902</v>
      </c>
      <c r="H276" s="28">
        <f t="shared" ca="1" si="22"/>
        <v>0.99436179131907176</v>
      </c>
      <c r="J276" s="28">
        <f t="shared" ca="1" si="23"/>
        <v>62.434603771306115</v>
      </c>
    </row>
    <row r="277" spans="4:10" x14ac:dyDescent="0.25">
      <c r="D277" s="28">
        <f t="shared" ca="1" si="18"/>
        <v>0.64202724929974853</v>
      </c>
      <c r="E277" s="28">
        <f t="shared" ca="1" si="19"/>
        <v>10.14037523874984</v>
      </c>
      <c r="F277" s="28">
        <f t="shared" ca="1" si="20"/>
        <v>0.98377578452133374</v>
      </c>
      <c r="G277" s="28">
        <f t="shared" ca="1" si="21"/>
        <v>0.97599970313095363</v>
      </c>
      <c r="H277" s="28">
        <f t="shared" ca="1" si="22"/>
        <v>0.96825053925898463</v>
      </c>
      <c r="J277" s="28">
        <f t="shared" ca="1" si="23"/>
        <v>58.861726481357849</v>
      </c>
    </row>
    <row r="278" spans="4:10" x14ac:dyDescent="0.25">
      <c r="D278" s="28">
        <f t="shared" ca="1" si="18"/>
        <v>0.65168187889988016</v>
      </c>
      <c r="E278" s="28">
        <f t="shared" ca="1" si="19"/>
        <v>9.9998753378400203</v>
      </c>
      <c r="F278" s="28">
        <f t="shared" ca="1" si="20"/>
        <v>0.98219277976588804</v>
      </c>
      <c r="G278" s="28">
        <f t="shared" ca="1" si="21"/>
        <v>0.97196157542335659</v>
      </c>
      <c r="H278" s="28">
        <f t="shared" ca="1" si="22"/>
        <v>1.0244343355202732</v>
      </c>
      <c r="J278" s="28">
        <f t="shared" ca="1" si="23"/>
        <v>63.733976892328251</v>
      </c>
    </row>
    <row r="279" spans="4:10" x14ac:dyDescent="0.25">
      <c r="D279" s="28">
        <f t="shared" ca="1" si="18"/>
        <v>0.61869925079575638</v>
      </c>
      <c r="E279" s="28">
        <f t="shared" ca="1" si="19"/>
        <v>10.233170722374945</v>
      </c>
      <c r="F279" s="28">
        <f t="shared" ca="1" si="20"/>
        <v>1.0248540949849065</v>
      </c>
      <c r="G279" s="28">
        <f t="shared" ca="1" si="21"/>
        <v>0.99099542374720384</v>
      </c>
      <c r="H279" s="28">
        <f t="shared" ca="1" si="22"/>
        <v>0.99220886000730524</v>
      </c>
      <c r="J279" s="28">
        <f t="shared" ca="1" si="23"/>
        <v>60.92649028908302</v>
      </c>
    </row>
    <row r="280" spans="4:10" x14ac:dyDescent="0.25">
      <c r="D280" s="28">
        <f t="shared" ca="1" si="18"/>
        <v>0.62068397859297331</v>
      </c>
      <c r="E280" s="28">
        <f t="shared" ca="1" si="19"/>
        <v>9.9949866588695659</v>
      </c>
      <c r="F280" s="28">
        <f t="shared" ca="1" si="20"/>
        <v>1.0266527951879036</v>
      </c>
      <c r="G280" s="28">
        <f t="shared" ca="1" si="21"/>
        <v>1.0293576021369459</v>
      </c>
      <c r="H280" s="28">
        <f t="shared" ca="1" si="22"/>
        <v>1.0121664413738809</v>
      </c>
      <c r="J280" s="28">
        <f t="shared" ca="1" si="23"/>
        <v>66.424779403148179</v>
      </c>
    </row>
    <row r="281" spans="4:10" x14ac:dyDescent="0.25">
      <c r="D281" s="28">
        <f t="shared" ref="D281:D344" ca="1" si="24">NORMINV(RAND(),$D$22,$D$23)</f>
        <v>0.64931788347021124</v>
      </c>
      <c r="E281" s="28">
        <f t="shared" ref="E281:E344" ca="1" si="25">$E$22+$E$23*SQRT(6)*(RAND()-RAND())</f>
        <v>9.9271868030695298</v>
      </c>
      <c r="F281" s="28">
        <f t="shared" ref="F281:F344" ca="1" si="26">NORMINV(RAND(),$F$22,$F$23)</f>
        <v>0.98403856208724194</v>
      </c>
      <c r="G281" s="28">
        <f t="shared" ref="G281:G344" ca="1" si="27">NORMINV(RAND(),$G$22,$G$23)</f>
        <v>1.0040877975063387</v>
      </c>
      <c r="H281" s="28">
        <f t="shared" ref="H281:H344" ca="1" si="28">NORMINV(RAND(),$H$22,$H$23)</f>
        <v>0.9929059853279556</v>
      </c>
      <c r="J281" s="28">
        <f t="shared" ref="J281:J344" ca="1" si="29">1000*D281*G281*F281*H281/E281</f>
        <v>64.168680017588329</v>
      </c>
    </row>
    <row r="282" spans="4:10" x14ac:dyDescent="0.25">
      <c r="D282" s="28">
        <f t="shared" ca="1" si="24"/>
        <v>0.67513771415550872</v>
      </c>
      <c r="E282" s="28">
        <f t="shared" ca="1" si="25"/>
        <v>9.6694858793461567</v>
      </c>
      <c r="F282" s="28">
        <f t="shared" ca="1" si="26"/>
        <v>0.99092963796004008</v>
      </c>
      <c r="G282" s="28">
        <f t="shared" ca="1" si="27"/>
        <v>0.96230310934150565</v>
      </c>
      <c r="H282" s="28">
        <f t="shared" ca="1" si="28"/>
        <v>0.96919216037043388</v>
      </c>
      <c r="J282" s="28">
        <f t="shared" ca="1" si="29"/>
        <v>64.528799435000039</v>
      </c>
    </row>
    <row r="283" spans="4:10" x14ac:dyDescent="0.25">
      <c r="D283" s="28">
        <f t="shared" ca="1" si="24"/>
        <v>0.65967741082588216</v>
      </c>
      <c r="E283" s="28">
        <f t="shared" ca="1" si="25"/>
        <v>9.7579647909129097</v>
      </c>
      <c r="F283" s="28">
        <f t="shared" ca="1" si="26"/>
        <v>1.0123781394863614</v>
      </c>
      <c r="G283" s="28">
        <f t="shared" ca="1" si="27"/>
        <v>1.0035529052995074</v>
      </c>
      <c r="H283" s="28">
        <f t="shared" ca="1" si="28"/>
        <v>0.97390398117811916</v>
      </c>
      <c r="J283" s="28">
        <f t="shared" ca="1" si="29"/>
        <v>66.891593000914114</v>
      </c>
    </row>
    <row r="284" spans="4:10" x14ac:dyDescent="0.25">
      <c r="D284" s="28">
        <f t="shared" ca="1" si="24"/>
        <v>0.66416422902032479</v>
      </c>
      <c r="E284" s="28">
        <f t="shared" ca="1" si="25"/>
        <v>9.9100287327711722</v>
      </c>
      <c r="F284" s="28">
        <f t="shared" ca="1" si="26"/>
        <v>1.0062324162562204</v>
      </c>
      <c r="G284" s="28">
        <f t="shared" ca="1" si="27"/>
        <v>0.99440739490359953</v>
      </c>
      <c r="H284" s="28">
        <f t="shared" ca="1" si="28"/>
        <v>0.96907566927685385</v>
      </c>
      <c r="J284" s="28">
        <f t="shared" ca="1" si="29"/>
        <v>64.986164720193017</v>
      </c>
    </row>
    <row r="285" spans="4:10" x14ac:dyDescent="0.25">
      <c r="D285" s="28">
        <f t="shared" ca="1" si="24"/>
        <v>0.66376538101063876</v>
      </c>
      <c r="E285" s="28">
        <f t="shared" ca="1" si="25"/>
        <v>10.208527721084351</v>
      </c>
      <c r="F285" s="28">
        <f t="shared" ca="1" si="26"/>
        <v>0.98262126087453594</v>
      </c>
      <c r="G285" s="28">
        <f t="shared" ca="1" si="27"/>
        <v>0.95157602372510197</v>
      </c>
      <c r="H285" s="28">
        <f t="shared" ca="1" si="28"/>
        <v>1.0436765191806681</v>
      </c>
      <c r="J285" s="28">
        <f t="shared" ca="1" si="29"/>
        <v>63.452252776820501</v>
      </c>
    </row>
    <row r="286" spans="4:10" x14ac:dyDescent="0.25">
      <c r="D286" s="28">
        <f t="shared" ca="1" si="24"/>
        <v>0.66446373223688315</v>
      </c>
      <c r="E286" s="28">
        <f t="shared" ca="1" si="25"/>
        <v>9.939387718954146</v>
      </c>
      <c r="F286" s="28">
        <f t="shared" ca="1" si="26"/>
        <v>1.0251313267313917</v>
      </c>
      <c r="G286" s="28">
        <f t="shared" ca="1" si="27"/>
        <v>1.022252478483928</v>
      </c>
      <c r="H286" s="28">
        <f t="shared" ca="1" si="28"/>
        <v>1.0259496641434935</v>
      </c>
      <c r="J286" s="28">
        <f t="shared" ca="1" si="29"/>
        <v>71.874589991424514</v>
      </c>
    </row>
    <row r="287" spans="4:10" x14ac:dyDescent="0.25">
      <c r="D287" s="28">
        <f t="shared" ca="1" si="24"/>
        <v>0.6607462321036246</v>
      </c>
      <c r="E287" s="28">
        <f t="shared" ca="1" si="25"/>
        <v>9.8093421622287202</v>
      </c>
      <c r="F287" s="28">
        <f t="shared" ca="1" si="26"/>
        <v>0.99364224387612621</v>
      </c>
      <c r="G287" s="28">
        <f t="shared" ca="1" si="27"/>
        <v>0.97518846621755517</v>
      </c>
      <c r="H287" s="28">
        <f t="shared" ca="1" si="28"/>
        <v>1.0312750443165277</v>
      </c>
      <c r="J287" s="28">
        <f t="shared" ca="1" si="29"/>
        <v>67.311291462547786</v>
      </c>
    </row>
    <row r="288" spans="4:10" x14ac:dyDescent="0.25">
      <c r="D288" s="28">
        <f t="shared" ca="1" si="24"/>
        <v>0.6203128942900209</v>
      </c>
      <c r="E288" s="28">
        <f t="shared" ca="1" si="25"/>
        <v>10.171882310897848</v>
      </c>
      <c r="F288" s="28">
        <f t="shared" ca="1" si="26"/>
        <v>0.99863041591856483</v>
      </c>
      <c r="G288" s="28">
        <f t="shared" ca="1" si="27"/>
        <v>0.94571405465078118</v>
      </c>
      <c r="H288" s="28">
        <f t="shared" ca="1" si="28"/>
        <v>0.95149362723689068</v>
      </c>
      <c r="J288" s="28">
        <f t="shared" ca="1" si="29"/>
        <v>54.799929378755941</v>
      </c>
    </row>
    <row r="289" spans="4:10" x14ac:dyDescent="0.25">
      <c r="D289" s="28">
        <f t="shared" ca="1" si="24"/>
        <v>0.65377626764440322</v>
      </c>
      <c r="E289" s="28">
        <f t="shared" ca="1" si="25"/>
        <v>9.9067701520360796</v>
      </c>
      <c r="F289" s="28">
        <f t="shared" ca="1" si="26"/>
        <v>1.0091852046479781</v>
      </c>
      <c r="G289" s="28">
        <f t="shared" ca="1" si="27"/>
        <v>0.98905346934396821</v>
      </c>
      <c r="H289" s="28">
        <f t="shared" ca="1" si="28"/>
        <v>0.98151982485277611</v>
      </c>
      <c r="J289" s="28">
        <f t="shared" ca="1" si="29"/>
        <v>64.652717790055249</v>
      </c>
    </row>
    <row r="290" spans="4:10" x14ac:dyDescent="0.25">
      <c r="D290" s="28">
        <f t="shared" ca="1" si="24"/>
        <v>0.6162084722578316</v>
      </c>
      <c r="E290" s="28">
        <f t="shared" ca="1" si="25"/>
        <v>10.175557246195673</v>
      </c>
      <c r="F290" s="28">
        <f t="shared" ca="1" si="26"/>
        <v>1.0141193306295273</v>
      </c>
      <c r="G290" s="28">
        <f t="shared" ca="1" si="27"/>
        <v>0.99568259987228369</v>
      </c>
      <c r="H290" s="28">
        <f t="shared" ca="1" si="28"/>
        <v>1.0381545413132645</v>
      </c>
      <c r="J290" s="28">
        <f t="shared" ca="1" si="29"/>
        <v>63.480662433988847</v>
      </c>
    </row>
    <row r="291" spans="4:10" x14ac:dyDescent="0.25">
      <c r="D291" s="28">
        <f t="shared" ca="1" si="24"/>
        <v>0.66226821650393963</v>
      </c>
      <c r="E291" s="28">
        <f t="shared" ca="1" si="25"/>
        <v>10.253249569744856</v>
      </c>
      <c r="F291" s="28">
        <f t="shared" ca="1" si="26"/>
        <v>1.0160914546816373</v>
      </c>
      <c r="G291" s="28">
        <f t="shared" ca="1" si="27"/>
        <v>0.94185754659599275</v>
      </c>
      <c r="H291" s="28">
        <f t="shared" ca="1" si="28"/>
        <v>1.0034161980026701</v>
      </c>
      <c r="J291" s="28">
        <f t="shared" ca="1" si="29"/>
        <v>62.025676944431147</v>
      </c>
    </row>
    <row r="292" spans="4:10" x14ac:dyDescent="0.25">
      <c r="D292" s="28">
        <f t="shared" ca="1" si="24"/>
        <v>0.6449901491559713</v>
      </c>
      <c r="E292" s="28">
        <f t="shared" ca="1" si="25"/>
        <v>9.9008649510070583</v>
      </c>
      <c r="F292" s="28">
        <f t="shared" ca="1" si="26"/>
        <v>0.97994240580830339</v>
      </c>
      <c r="G292" s="28">
        <f t="shared" ca="1" si="27"/>
        <v>1.0207065070635197</v>
      </c>
      <c r="H292" s="28">
        <f t="shared" ca="1" si="28"/>
        <v>0.96679014202735736</v>
      </c>
      <c r="J292" s="28">
        <f t="shared" ca="1" si="29"/>
        <v>62.996089820055168</v>
      </c>
    </row>
    <row r="293" spans="4:10" x14ac:dyDescent="0.25">
      <c r="D293" s="28">
        <f t="shared" ca="1" si="24"/>
        <v>0.62165076816221232</v>
      </c>
      <c r="E293" s="28">
        <f t="shared" ca="1" si="25"/>
        <v>9.760834051554319</v>
      </c>
      <c r="F293" s="28">
        <f t="shared" ca="1" si="26"/>
        <v>1.0264520283421821</v>
      </c>
      <c r="G293" s="28">
        <f t="shared" ca="1" si="27"/>
        <v>1.045587384529107</v>
      </c>
      <c r="H293" s="28">
        <f t="shared" ca="1" si="28"/>
        <v>1.0218299985440729</v>
      </c>
      <c r="J293" s="28">
        <f t="shared" ca="1" si="29"/>
        <v>69.845299786322954</v>
      </c>
    </row>
    <row r="294" spans="4:10" x14ac:dyDescent="0.25">
      <c r="D294" s="28">
        <f t="shared" ca="1" si="24"/>
        <v>0.6832718496829987</v>
      </c>
      <c r="E294" s="28">
        <f t="shared" ca="1" si="25"/>
        <v>9.9746652391755219</v>
      </c>
      <c r="F294" s="28">
        <f t="shared" ca="1" si="26"/>
        <v>0.98817125300698672</v>
      </c>
      <c r="G294" s="28">
        <f t="shared" ca="1" si="27"/>
        <v>0.99218950227152236</v>
      </c>
      <c r="H294" s="28">
        <f t="shared" ca="1" si="28"/>
        <v>1.0435836799572322</v>
      </c>
      <c r="J294" s="28">
        <f t="shared" ca="1" si="29"/>
        <v>70.088912482487189</v>
      </c>
    </row>
    <row r="295" spans="4:10" x14ac:dyDescent="0.25">
      <c r="D295" s="28">
        <f t="shared" ca="1" si="24"/>
        <v>0.63714069432167464</v>
      </c>
      <c r="E295" s="28">
        <f t="shared" ca="1" si="25"/>
        <v>9.9691273113846819</v>
      </c>
      <c r="F295" s="28">
        <f t="shared" ca="1" si="26"/>
        <v>1.0256364324009508</v>
      </c>
      <c r="G295" s="28">
        <f t="shared" ca="1" si="27"/>
        <v>1.0645019314517536</v>
      </c>
      <c r="H295" s="28">
        <f t="shared" ca="1" si="28"/>
        <v>1.0464612039619334</v>
      </c>
      <c r="J295" s="28">
        <f t="shared" ca="1" si="29"/>
        <v>73.019898929291841</v>
      </c>
    </row>
    <row r="296" spans="4:10" x14ac:dyDescent="0.25">
      <c r="D296" s="28">
        <f t="shared" ca="1" si="24"/>
        <v>0.69077556943448415</v>
      </c>
      <c r="E296" s="28">
        <f t="shared" ca="1" si="25"/>
        <v>10.037843234750699</v>
      </c>
      <c r="F296" s="28">
        <f t="shared" ca="1" si="26"/>
        <v>0.9713064749852266</v>
      </c>
      <c r="G296" s="28">
        <f t="shared" ca="1" si="27"/>
        <v>0.99116058982255617</v>
      </c>
      <c r="H296" s="28">
        <f t="shared" ca="1" si="28"/>
        <v>1.0459718917584195</v>
      </c>
      <c r="J296" s="28">
        <f t="shared" ca="1" si="29"/>
        <v>69.297390990971834</v>
      </c>
    </row>
    <row r="297" spans="4:10" x14ac:dyDescent="0.25">
      <c r="D297" s="28">
        <f t="shared" ca="1" si="24"/>
        <v>0.66215287680077783</v>
      </c>
      <c r="E297" s="28">
        <f t="shared" ca="1" si="25"/>
        <v>10.01304538720316</v>
      </c>
      <c r="F297" s="28">
        <f t="shared" ca="1" si="26"/>
        <v>1.0053014323779581</v>
      </c>
      <c r="G297" s="28">
        <f t="shared" ca="1" si="27"/>
        <v>1.0129272814846837</v>
      </c>
      <c r="H297" s="28">
        <f t="shared" ca="1" si="28"/>
        <v>0.98086220924519285</v>
      </c>
      <c r="J297" s="28">
        <f t="shared" ca="1" si="29"/>
        <v>66.050279151616067</v>
      </c>
    </row>
    <row r="298" spans="4:10" x14ac:dyDescent="0.25">
      <c r="D298" s="28">
        <f t="shared" ca="1" si="24"/>
        <v>0.65278378165186723</v>
      </c>
      <c r="E298" s="28">
        <f t="shared" ca="1" si="25"/>
        <v>10.306467348494269</v>
      </c>
      <c r="F298" s="28">
        <f t="shared" ca="1" si="26"/>
        <v>0.98168958407207796</v>
      </c>
      <c r="G298" s="28">
        <f t="shared" ca="1" si="27"/>
        <v>1.0463615085456603</v>
      </c>
      <c r="H298" s="28">
        <f t="shared" ca="1" si="28"/>
        <v>0.97391784094480294</v>
      </c>
      <c r="J298" s="28">
        <f t="shared" ca="1" si="29"/>
        <v>63.363299513831031</v>
      </c>
    </row>
    <row r="299" spans="4:10" x14ac:dyDescent="0.25">
      <c r="D299" s="28">
        <f t="shared" ca="1" si="24"/>
        <v>0.67061504683333439</v>
      </c>
      <c r="E299" s="28">
        <f t="shared" ca="1" si="25"/>
        <v>10.015524583959349</v>
      </c>
      <c r="F299" s="28">
        <f t="shared" ca="1" si="26"/>
        <v>1.0042471599241185</v>
      </c>
      <c r="G299" s="28">
        <f t="shared" ca="1" si="27"/>
        <v>1.0034128077477984</v>
      </c>
      <c r="H299" s="28">
        <f t="shared" ca="1" si="28"/>
        <v>0.995372707996936</v>
      </c>
      <c r="J299" s="28">
        <f t="shared" ca="1" si="29"/>
        <v>67.159209151170643</v>
      </c>
    </row>
    <row r="300" spans="4:10" x14ac:dyDescent="0.25">
      <c r="D300" s="28">
        <f t="shared" ca="1" si="24"/>
        <v>0.68322238428595661</v>
      </c>
      <c r="E300" s="28">
        <f t="shared" ca="1" si="25"/>
        <v>10.150724297453531</v>
      </c>
      <c r="F300" s="28">
        <f t="shared" ca="1" si="26"/>
        <v>0.99762747699720755</v>
      </c>
      <c r="G300" s="28">
        <f t="shared" ca="1" si="27"/>
        <v>1.0373832266933434</v>
      </c>
      <c r="H300" s="28">
        <f t="shared" ca="1" si="28"/>
        <v>1.0337454443699787</v>
      </c>
      <c r="J300" s="28">
        <f t="shared" ca="1" si="29"/>
        <v>72.008918275482529</v>
      </c>
    </row>
    <row r="301" spans="4:10" x14ac:dyDescent="0.25">
      <c r="D301" s="28">
        <f t="shared" ca="1" si="24"/>
        <v>0.67044748782892172</v>
      </c>
      <c r="E301" s="28">
        <f t="shared" ca="1" si="25"/>
        <v>10.05064289515961</v>
      </c>
      <c r="F301" s="28">
        <f t="shared" ca="1" si="26"/>
        <v>1.0062491875661936</v>
      </c>
      <c r="G301" s="28">
        <f t="shared" ca="1" si="27"/>
        <v>0.99494167422095081</v>
      </c>
      <c r="H301" s="28">
        <f t="shared" ca="1" si="28"/>
        <v>0.97365930422715219</v>
      </c>
      <c r="J301" s="28">
        <f t="shared" ca="1" si="29"/>
        <v>65.025111931569498</v>
      </c>
    </row>
    <row r="302" spans="4:10" x14ac:dyDescent="0.25">
      <c r="D302" s="28">
        <f t="shared" ca="1" si="24"/>
        <v>0.64816137498953208</v>
      </c>
      <c r="E302" s="28">
        <f t="shared" ca="1" si="25"/>
        <v>10.246942029560001</v>
      </c>
      <c r="F302" s="28">
        <f t="shared" ca="1" si="26"/>
        <v>1.0079513241221971</v>
      </c>
      <c r="G302" s="28">
        <f t="shared" ca="1" si="27"/>
        <v>0.98809726074822635</v>
      </c>
      <c r="H302" s="28">
        <f t="shared" ca="1" si="28"/>
        <v>1.0560233719038636</v>
      </c>
      <c r="J302" s="28">
        <f t="shared" ca="1" si="29"/>
        <v>66.527568838505658</v>
      </c>
    </row>
    <row r="303" spans="4:10" x14ac:dyDescent="0.25">
      <c r="D303" s="28">
        <f t="shared" ca="1" si="24"/>
        <v>0.64934644719479995</v>
      </c>
      <c r="E303" s="28">
        <f t="shared" ca="1" si="25"/>
        <v>10.002150943149097</v>
      </c>
      <c r="F303" s="28">
        <f t="shared" ca="1" si="26"/>
        <v>0.98566050122686988</v>
      </c>
      <c r="G303" s="28">
        <f t="shared" ca="1" si="27"/>
        <v>1.0737950320678886</v>
      </c>
      <c r="H303" s="28">
        <f t="shared" ca="1" si="28"/>
        <v>0.96017605103518766</v>
      </c>
      <c r="J303" s="28">
        <f t="shared" ca="1" si="29"/>
        <v>65.975498073130922</v>
      </c>
    </row>
    <row r="304" spans="4:10" x14ac:dyDescent="0.25">
      <c r="D304" s="28">
        <f t="shared" ca="1" si="24"/>
        <v>0.61848166849131325</v>
      </c>
      <c r="E304" s="28">
        <f t="shared" ca="1" si="25"/>
        <v>10.046521426845274</v>
      </c>
      <c r="F304" s="28">
        <f t="shared" ca="1" si="26"/>
        <v>1.0140433267492477</v>
      </c>
      <c r="G304" s="28">
        <f t="shared" ca="1" si="27"/>
        <v>0.96648204601372278</v>
      </c>
      <c r="H304" s="28">
        <f t="shared" ca="1" si="28"/>
        <v>0.99801641451390211</v>
      </c>
      <c r="J304" s="28">
        <f t="shared" ca="1" si="29"/>
        <v>60.214225322613551</v>
      </c>
    </row>
    <row r="305" spans="4:10" x14ac:dyDescent="0.25">
      <c r="D305" s="28">
        <f t="shared" ca="1" si="24"/>
        <v>0.66593857405043078</v>
      </c>
      <c r="E305" s="28">
        <f t="shared" ca="1" si="25"/>
        <v>10.086788120910539</v>
      </c>
      <c r="F305" s="28">
        <f t="shared" ca="1" si="26"/>
        <v>1.0172335129920356</v>
      </c>
      <c r="G305" s="28">
        <f t="shared" ca="1" si="27"/>
        <v>1.0222978662249185</v>
      </c>
      <c r="H305" s="28">
        <f t="shared" ca="1" si="28"/>
        <v>0.99966078597882013</v>
      </c>
      <c r="J305" s="28">
        <f t="shared" ca="1" si="29"/>
        <v>68.632851624950618</v>
      </c>
    </row>
    <row r="306" spans="4:10" x14ac:dyDescent="0.25">
      <c r="D306" s="28">
        <f t="shared" ca="1" si="24"/>
        <v>0.63039818235957779</v>
      </c>
      <c r="E306" s="28">
        <f t="shared" ca="1" si="25"/>
        <v>9.8921502465618474</v>
      </c>
      <c r="F306" s="28">
        <f t="shared" ca="1" si="26"/>
        <v>1.0148652121736086</v>
      </c>
      <c r="G306" s="28">
        <f t="shared" ca="1" si="27"/>
        <v>0.98542030699110605</v>
      </c>
      <c r="H306" s="28">
        <f t="shared" ca="1" si="28"/>
        <v>0.97759912597970999</v>
      </c>
      <c r="J306" s="28">
        <f t="shared" ca="1" si="29"/>
        <v>62.303856062704213</v>
      </c>
    </row>
    <row r="307" spans="4:10" x14ac:dyDescent="0.25">
      <c r="D307" s="28">
        <f t="shared" ca="1" si="24"/>
        <v>0.61443146098408241</v>
      </c>
      <c r="E307" s="28">
        <f t="shared" ca="1" si="25"/>
        <v>10.135756120694786</v>
      </c>
      <c r="F307" s="28">
        <f t="shared" ca="1" si="26"/>
        <v>0.99108560463068029</v>
      </c>
      <c r="G307" s="28">
        <f t="shared" ca="1" si="27"/>
        <v>0.9315039081230998</v>
      </c>
      <c r="H307" s="28">
        <f t="shared" ca="1" si="28"/>
        <v>0.9790858065003657</v>
      </c>
      <c r="J307" s="28">
        <f t="shared" ca="1" si="29"/>
        <v>54.794112474018092</v>
      </c>
    </row>
    <row r="308" spans="4:10" x14ac:dyDescent="0.25">
      <c r="D308" s="28">
        <f t="shared" ca="1" si="24"/>
        <v>0.65610763366370484</v>
      </c>
      <c r="E308" s="28">
        <f t="shared" ca="1" si="25"/>
        <v>10.253628836612855</v>
      </c>
      <c r="F308" s="28">
        <f t="shared" ca="1" si="26"/>
        <v>1.0320871405148859</v>
      </c>
      <c r="G308" s="28">
        <f t="shared" ca="1" si="27"/>
        <v>1.1296770122734909</v>
      </c>
      <c r="H308" s="28">
        <f t="shared" ca="1" si="28"/>
        <v>0.99953923692473357</v>
      </c>
      <c r="J308" s="28">
        <f t="shared" ca="1" si="29"/>
        <v>74.570662826292434</v>
      </c>
    </row>
    <row r="309" spans="4:10" x14ac:dyDescent="0.25">
      <c r="D309" s="28">
        <f t="shared" ca="1" si="24"/>
        <v>0.62886736040853108</v>
      </c>
      <c r="E309" s="28">
        <f t="shared" ca="1" si="25"/>
        <v>10.085410473350342</v>
      </c>
      <c r="F309" s="28">
        <f t="shared" ca="1" si="26"/>
        <v>1.0067647789742848</v>
      </c>
      <c r="G309" s="28">
        <f t="shared" ca="1" si="27"/>
        <v>1.0312109301607579</v>
      </c>
      <c r="H309" s="28">
        <f t="shared" ca="1" si="28"/>
        <v>0.96293911786326236</v>
      </c>
      <c r="J309" s="28">
        <f t="shared" ca="1" si="29"/>
        <v>62.336128586866003</v>
      </c>
    </row>
    <row r="310" spans="4:10" x14ac:dyDescent="0.25">
      <c r="D310" s="28">
        <f t="shared" ca="1" si="24"/>
        <v>0.67550334357378883</v>
      </c>
      <c r="E310" s="28">
        <f t="shared" ca="1" si="25"/>
        <v>10.170404188678063</v>
      </c>
      <c r="F310" s="28">
        <f t="shared" ca="1" si="26"/>
        <v>1.0050502369551972</v>
      </c>
      <c r="G310" s="28">
        <f t="shared" ca="1" si="27"/>
        <v>0.97271064450148437</v>
      </c>
      <c r="H310" s="28">
        <f t="shared" ca="1" si="28"/>
        <v>1.0339536845061239</v>
      </c>
      <c r="J310" s="28">
        <f t="shared" ca="1" si="29"/>
        <v>67.136981924216556</v>
      </c>
    </row>
    <row r="311" spans="4:10" x14ac:dyDescent="0.25">
      <c r="D311" s="28">
        <f t="shared" ca="1" si="24"/>
        <v>0.64435881356932845</v>
      </c>
      <c r="E311" s="28">
        <f t="shared" ca="1" si="25"/>
        <v>9.9714650124820388</v>
      </c>
      <c r="F311" s="28">
        <f t="shared" ca="1" si="26"/>
        <v>1.0181927190476578</v>
      </c>
      <c r="G311" s="28">
        <f t="shared" ca="1" si="27"/>
        <v>0.97293595363512719</v>
      </c>
      <c r="H311" s="28">
        <f t="shared" ca="1" si="28"/>
        <v>1.0272375583191868</v>
      </c>
      <c r="J311" s="28">
        <f t="shared" ca="1" si="29"/>
        <v>65.758808112777913</v>
      </c>
    </row>
    <row r="312" spans="4:10" x14ac:dyDescent="0.25">
      <c r="D312" s="28">
        <f t="shared" ca="1" si="24"/>
        <v>0.66317248467168532</v>
      </c>
      <c r="E312" s="28">
        <f t="shared" ca="1" si="25"/>
        <v>10.24202010736126</v>
      </c>
      <c r="F312" s="28">
        <f t="shared" ca="1" si="26"/>
        <v>0.99494187818495294</v>
      </c>
      <c r="G312" s="28">
        <f t="shared" ca="1" si="27"/>
        <v>1.0245781237555691</v>
      </c>
      <c r="H312" s="28">
        <f t="shared" ca="1" si="28"/>
        <v>1.0332488059948179</v>
      </c>
      <c r="J312" s="28">
        <f t="shared" ca="1" si="29"/>
        <v>68.200659893491405</v>
      </c>
    </row>
    <row r="313" spans="4:10" x14ac:dyDescent="0.25">
      <c r="D313" s="28">
        <f t="shared" ca="1" si="24"/>
        <v>0.64302917617139999</v>
      </c>
      <c r="E313" s="28">
        <f t="shared" ca="1" si="25"/>
        <v>9.9313804810366193</v>
      </c>
      <c r="F313" s="28">
        <f t="shared" ca="1" si="26"/>
        <v>0.96056969621206201</v>
      </c>
      <c r="G313" s="28">
        <f t="shared" ca="1" si="27"/>
        <v>1.0197060014834767</v>
      </c>
      <c r="H313" s="28">
        <f t="shared" ca="1" si="28"/>
        <v>0.98409623284937275</v>
      </c>
      <c r="J313" s="28">
        <f t="shared" ca="1" si="29"/>
        <v>62.411193010872303</v>
      </c>
    </row>
    <row r="314" spans="4:10" x14ac:dyDescent="0.25">
      <c r="D314" s="28">
        <f t="shared" ca="1" si="24"/>
        <v>0.64302626320123923</v>
      </c>
      <c r="E314" s="28">
        <f t="shared" ca="1" si="25"/>
        <v>10.021791664926363</v>
      </c>
      <c r="F314" s="28">
        <f t="shared" ca="1" si="26"/>
        <v>1.0139323708793229</v>
      </c>
      <c r="G314" s="28">
        <f t="shared" ca="1" si="27"/>
        <v>0.96800088330738243</v>
      </c>
      <c r="H314" s="28">
        <f t="shared" ca="1" si="28"/>
        <v>0.99863637815237016</v>
      </c>
      <c r="J314" s="28">
        <f t="shared" ca="1" si="29"/>
        <v>62.889112441454287</v>
      </c>
    </row>
    <row r="315" spans="4:10" x14ac:dyDescent="0.25">
      <c r="D315" s="28">
        <f t="shared" ca="1" si="24"/>
        <v>0.66557841998020872</v>
      </c>
      <c r="E315" s="28">
        <f t="shared" ca="1" si="25"/>
        <v>10.041404504250384</v>
      </c>
      <c r="F315" s="28">
        <f t="shared" ca="1" si="26"/>
        <v>1.0031656913198861</v>
      </c>
      <c r="G315" s="28">
        <f t="shared" ca="1" si="27"/>
        <v>0.96883651779890168</v>
      </c>
      <c r="H315" s="28">
        <f t="shared" ca="1" si="28"/>
        <v>1.0279982790038091</v>
      </c>
      <c r="J315" s="28">
        <f t="shared" ca="1" si="29"/>
        <v>66.22475013026046</v>
      </c>
    </row>
    <row r="316" spans="4:10" x14ac:dyDescent="0.25">
      <c r="D316" s="28">
        <f t="shared" ca="1" si="24"/>
        <v>0.64363522556425656</v>
      </c>
      <c r="E316" s="28">
        <f t="shared" ca="1" si="25"/>
        <v>9.8368141847943615</v>
      </c>
      <c r="F316" s="28">
        <f t="shared" ca="1" si="26"/>
        <v>0.99820935454249327</v>
      </c>
      <c r="G316" s="28">
        <f t="shared" ca="1" si="27"/>
        <v>0.9435983559907698</v>
      </c>
      <c r="H316" s="28">
        <f t="shared" ca="1" si="28"/>
        <v>1.0028119949472842</v>
      </c>
      <c r="J316" s="28">
        <f t="shared" ca="1" si="29"/>
        <v>61.803585040497659</v>
      </c>
    </row>
    <row r="317" spans="4:10" x14ac:dyDescent="0.25">
      <c r="D317" s="28">
        <f t="shared" ca="1" si="24"/>
        <v>0.64537044936254206</v>
      </c>
      <c r="E317" s="28">
        <f t="shared" ca="1" si="25"/>
        <v>9.9974542386466894</v>
      </c>
      <c r="F317" s="28">
        <f t="shared" ca="1" si="26"/>
        <v>1.0132916183433913</v>
      </c>
      <c r="G317" s="28">
        <f t="shared" ca="1" si="27"/>
        <v>1.0147898200649605</v>
      </c>
      <c r="H317" s="28">
        <f t="shared" ca="1" si="28"/>
        <v>0.99550875044724252</v>
      </c>
      <c r="J317" s="28">
        <f t="shared" ca="1" si="29"/>
        <v>66.080798903072079</v>
      </c>
    </row>
    <row r="318" spans="4:10" x14ac:dyDescent="0.25">
      <c r="D318" s="28">
        <f t="shared" ca="1" si="24"/>
        <v>0.63655975815903709</v>
      </c>
      <c r="E318" s="28">
        <f t="shared" ca="1" si="25"/>
        <v>9.9334621888720047</v>
      </c>
      <c r="F318" s="28">
        <f t="shared" ca="1" si="26"/>
        <v>1.0083687929040481</v>
      </c>
      <c r="G318" s="28">
        <f t="shared" ca="1" si="27"/>
        <v>1.0110050323911373</v>
      </c>
      <c r="H318" s="28">
        <f t="shared" ca="1" si="28"/>
        <v>1.0099082736957239</v>
      </c>
      <c r="J318" s="28">
        <f t="shared" ca="1" si="29"/>
        <v>65.977093746535743</v>
      </c>
    </row>
    <row r="319" spans="4:10" x14ac:dyDescent="0.25">
      <c r="D319" s="28">
        <f t="shared" ca="1" si="24"/>
        <v>0.65132991747340208</v>
      </c>
      <c r="E319" s="28">
        <f t="shared" ca="1" si="25"/>
        <v>10.094486580929679</v>
      </c>
      <c r="F319" s="28">
        <f t="shared" ca="1" si="26"/>
        <v>1.0215690860631856</v>
      </c>
      <c r="G319" s="28">
        <f t="shared" ca="1" si="27"/>
        <v>1.0284802052418291</v>
      </c>
      <c r="H319" s="28">
        <f t="shared" ca="1" si="28"/>
        <v>1.0139402379526057</v>
      </c>
      <c r="J319" s="28">
        <f t="shared" ca="1" si="29"/>
        <v>68.737357102066724</v>
      </c>
    </row>
    <row r="320" spans="4:10" x14ac:dyDescent="0.25">
      <c r="D320" s="28">
        <f t="shared" ca="1" si="24"/>
        <v>0.64638302628820643</v>
      </c>
      <c r="E320" s="28">
        <f t="shared" ca="1" si="25"/>
        <v>9.998120777853714</v>
      </c>
      <c r="F320" s="28">
        <f t="shared" ca="1" si="26"/>
        <v>1.0093595061393759</v>
      </c>
      <c r="G320" s="28">
        <f t="shared" ca="1" si="27"/>
        <v>0.9911278934158978</v>
      </c>
      <c r="H320" s="28">
        <f t="shared" ca="1" si="28"/>
        <v>1.0184150792515749</v>
      </c>
      <c r="J320" s="28">
        <f t="shared" ca="1" si="29"/>
        <v>65.867618611904163</v>
      </c>
    </row>
    <row r="321" spans="4:10" x14ac:dyDescent="0.25">
      <c r="D321" s="28">
        <f t="shared" ca="1" si="24"/>
        <v>0.66833936317734155</v>
      </c>
      <c r="E321" s="28">
        <f t="shared" ca="1" si="25"/>
        <v>9.9443447923240207</v>
      </c>
      <c r="F321" s="28">
        <f t="shared" ca="1" si="26"/>
        <v>1.0015246794805355</v>
      </c>
      <c r="G321" s="28">
        <f t="shared" ca="1" si="27"/>
        <v>1.044699802389699</v>
      </c>
      <c r="H321" s="28">
        <f t="shared" ca="1" si="28"/>
        <v>1.0495870212354865</v>
      </c>
      <c r="J321" s="28">
        <f t="shared" ca="1" si="29"/>
        <v>73.806138965940676</v>
      </c>
    </row>
    <row r="322" spans="4:10" x14ac:dyDescent="0.25">
      <c r="D322" s="28">
        <f t="shared" ca="1" si="24"/>
        <v>0.64270448432211991</v>
      </c>
      <c r="E322" s="28">
        <f t="shared" ca="1" si="25"/>
        <v>9.9684218008356815</v>
      </c>
      <c r="F322" s="28">
        <f t="shared" ca="1" si="26"/>
        <v>1.000833988857559</v>
      </c>
      <c r="G322" s="28">
        <f t="shared" ca="1" si="27"/>
        <v>0.97960522620682966</v>
      </c>
      <c r="H322" s="28">
        <f t="shared" ca="1" si="28"/>
        <v>1.0028464301944056</v>
      </c>
      <c r="J322" s="28">
        <f t="shared" ca="1" si="29"/>
        <v>63.391714210489134</v>
      </c>
    </row>
    <row r="323" spans="4:10" x14ac:dyDescent="0.25">
      <c r="D323" s="28">
        <f t="shared" ca="1" si="24"/>
        <v>0.65038350963335745</v>
      </c>
      <c r="E323" s="28">
        <f t="shared" ca="1" si="25"/>
        <v>10.099414723643529</v>
      </c>
      <c r="F323" s="28">
        <f t="shared" ca="1" si="26"/>
        <v>1.0035552662744172</v>
      </c>
      <c r="G323" s="28">
        <f t="shared" ca="1" si="27"/>
        <v>1.0314443826743855</v>
      </c>
      <c r="H323" s="28">
        <f t="shared" ca="1" si="28"/>
        <v>1.0196888572750935</v>
      </c>
      <c r="J323" s="28">
        <f t="shared" ca="1" si="29"/>
        <v>67.971694626809779</v>
      </c>
    </row>
    <row r="324" spans="4:10" x14ac:dyDescent="0.25">
      <c r="D324" s="28">
        <f t="shared" ca="1" si="24"/>
        <v>0.65294188393804697</v>
      </c>
      <c r="E324" s="28">
        <f t="shared" ca="1" si="25"/>
        <v>9.8461822514722783</v>
      </c>
      <c r="F324" s="28">
        <f t="shared" ca="1" si="26"/>
        <v>1.0097668599133076</v>
      </c>
      <c r="G324" s="28">
        <f t="shared" ca="1" si="27"/>
        <v>0.97397106300467906</v>
      </c>
      <c r="H324" s="28">
        <f t="shared" ca="1" si="28"/>
        <v>1.0973835589517078</v>
      </c>
      <c r="J324" s="28">
        <f t="shared" ca="1" si="29"/>
        <v>71.570207164020445</v>
      </c>
    </row>
    <row r="325" spans="4:10" x14ac:dyDescent="0.25">
      <c r="D325" s="28">
        <f t="shared" ca="1" si="24"/>
        <v>0.62872801650966548</v>
      </c>
      <c r="E325" s="28">
        <f t="shared" ca="1" si="25"/>
        <v>9.9821302686286266</v>
      </c>
      <c r="F325" s="28">
        <f t="shared" ca="1" si="26"/>
        <v>0.98955816776438121</v>
      </c>
      <c r="G325" s="28">
        <f t="shared" ca="1" si="27"/>
        <v>1.0306727686707633</v>
      </c>
      <c r="H325" s="28">
        <f t="shared" ca="1" si="28"/>
        <v>1.0184213103417583</v>
      </c>
      <c r="J325" s="28">
        <f t="shared" ca="1" si="29"/>
        <v>65.422809113732029</v>
      </c>
    </row>
    <row r="326" spans="4:10" x14ac:dyDescent="0.25">
      <c r="D326" s="28">
        <f t="shared" ca="1" si="24"/>
        <v>0.67902451705204747</v>
      </c>
      <c r="E326" s="28">
        <f t="shared" ca="1" si="25"/>
        <v>9.9370126475921072</v>
      </c>
      <c r="F326" s="28">
        <f t="shared" ca="1" si="26"/>
        <v>1.0147982143854746</v>
      </c>
      <c r="G326" s="28">
        <f t="shared" ca="1" si="27"/>
        <v>0.99295683387550449</v>
      </c>
      <c r="H326" s="28">
        <f t="shared" ca="1" si="28"/>
        <v>0.94115962470651082</v>
      </c>
      <c r="J326" s="28">
        <f t="shared" ca="1" si="29"/>
        <v>64.804171715509668</v>
      </c>
    </row>
    <row r="327" spans="4:10" x14ac:dyDescent="0.25">
      <c r="D327" s="28">
        <f t="shared" ca="1" si="24"/>
        <v>0.68348540485537623</v>
      </c>
      <c r="E327" s="28">
        <f t="shared" ca="1" si="25"/>
        <v>10.085294321917553</v>
      </c>
      <c r="F327" s="28">
        <f t="shared" ca="1" si="26"/>
        <v>1.0147016876540609</v>
      </c>
      <c r="G327" s="28">
        <f t="shared" ca="1" si="27"/>
        <v>1.0501892982045862</v>
      </c>
      <c r="H327" s="28">
        <f t="shared" ca="1" si="28"/>
        <v>0.95668920089267995</v>
      </c>
      <c r="J327" s="28">
        <f t="shared" ca="1" si="29"/>
        <v>69.09036880239583</v>
      </c>
    </row>
    <row r="328" spans="4:10" x14ac:dyDescent="0.25">
      <c r="D328" s="28">
        <f t="shared" ca="1" si="24"/>
        <v>0.68221510029479415</v>
      </c>
      <c r="E328" s="28">
        <f t="shared" ca="1" si="25"/>
        <v>10.150797610307864</v>
      </c>
      <c r="F328" s="28">
        <f t="shared" ca="1" si="26"/>
        <v>0.98938630656629156</v>
      </c>
      <c r="G328" s="28">
        <f t="shared" ca="1" si="27"/>
        <v>0.96485089565011484</v>
      </c>
      <c r="H328" s="28">
        <f t="shared" ca="1" si="28"/>
        <v>0.99441787479068255</v>
      </c>
      <c r="J328" s="28">
        <f t="shared" ca="1" si="29"/>
        <v>63.799339266197627</v>
      </c>
    </row>
    <row r="329" spans="4:10" x14ac:dyDescent="0.25">
      <c r="D329" s="28">
        <f t="shared" ca="1" si="24"/>
        <v>0.66202963194880537</v>
      </c>
      <c r="E329" s="28">
        <f t="shared" ca="1" si="25"/>
        <v>9.9679744814225675</v>
      </c>
      <c r="F329" s="28">
        <f t="shared" ca="1" si="26"/>
        <v>0.99157874981145444</v>
      </c>
      <c r="G329" s="28">
        <f t="shared" ca="1" si="27"/>
        <v>0.98856348266968974</v>
      </c>
      <c r="H329" s="28">
        <f t="shared" ca="1" si="28"/>
        <v>1.0157201410975276</v>
      </c>
      <c r="J329" s="28">
        <f t="shared" ca="1" si="29"/>
        <v>66.126623856906605</v>
      </c>
    </row>
    <row r="330" spans="4:10" x14ac:dyDescent="0.25">
      <c r="D330" s="28">
        <f t="shared" ca="1" si="24"/>
        <v>0.64778814788479211</v>
      </c>
      <c r="E330" s="28">
        <f t="shared" ca="1" si="25"/>
        <v>10.205884087511567</v>
      </c>
      <c r="F330" s="28">
        <f t="shared" ca="1" si="26"/>
        <v>0.99493723535795564</v>
      </c>
      <c r="G330" s="28">
        <f t="shared" ca="1" si="27"/>
        <v>1.0103100889911154</v>
      </c>
      <c r="H330" s="28">
        <f t="shared" ca="1" si="28"/>
        <v>0.98162535993618583</v>
      </c>
      <c r="J330" s="28">
        <f t="shared" ca="1" si="29"/>
        <v>62.629437388634635</v>
      </c>
    </row>
    <row r="331" spans="4:10" x14ac:dyDescent="0.25">
      <c r="D331" s="28">
        <f t="shared" ca="1" si="24"/>
        <v>0.63409615231293348</v>
      </c>
      <c r="E331" s="28">
        <f t="shared" ca="1" si="25"/>
        <v>10.085544848118662</v>
      </c>
      <c r="F331" s="28">
        <f t="shared" ca="1" si="26"/>
        <v>1.0035015328010553</v>
      </c>
      <c r="G331" s="28">
        <f t="shared" ca="1" si="27"/>
        <v>1.0093561594380034</v>
      </c>
      <c r="H331" s="28">
        <f t="shared" ca="1" si="28"/>
        <v>1.0199497899383454</v>
      </c>
      <c r="J331" s="28">
        <f t="shared" ca="1" si="29"/>
        <v>64.952672293098672</v>
      </c>
    </row>
    <row r="332" spans="4:10" x14ac:dyDescent="0.25">
      <c r="D332" s="28">
        <f t="shared" ca="1" si="24"/>
        <v>0.63401702238293489</v>
      </c>
      <c r="E332" s="28">
        <f t="shared" ca="1" si="25"/>
        <v>9.7387852257662768</v>
      </c>
      <c r="F332" s="28">
        <f t="shared" ca="1" si="26"/>
        <v>1.0041006626209361</v>
      </c>
      <c r="G332" s="28">
        <f t="shared" ca="1" si="27"/>
        <v>0.95628601986141282</v>
      </c>
      <c r="H332" s="28">
        <f t="shared" ca="1" si="28"/>
        <v>0.99923642779965627</v>
      </c>
      <c r="J332" s="28">
        <f t="shared" ca="1" si="29"/>
        <v>62.463950651456109</v>
      </c>
    </row>
    <row r="333" spans="4:10" x14ac:dyDescent="0.25">
      <c r="D333" s="28">
        <f t="shared" ca="1" si="24"/>
        <v>0.64965332162055323</v>
      </c>
      <c r="E333" s="28">
        <f t="shared" ca="1" si="25"/>
        <v>9.9696304251565859</v>
      </c>
      <c r="F333" s="28">
        <f t="shared" ca="1" si="26"/>
        <v>1.0189418449049361</v>
      </c>
      <c r="G333" s="28">
        <f t="shared" ca="1" si="27"/>
        <v>1.0122310307035043</v>
      </c>
      <c r="H333" s="28">
        <f t="shared" ca="1" si="28"/>
        <v>0.99525116334988029</v>
      </c>
      <c r="J333" s="28">
        <f t="shared" ca="1" si="29"/>
        <v>66.89048463374769</v>
      </c>
    </row>
    <row r="334" spans="4:10" x14ac:dyDescent="0.25">
      <c r="D334" s="28">
        <f t="shared" ca="1" si="24"/>
        <v>0.65767621504386753</v>
      </c>
      <c r="E334" s="28">
        <f t="shared" ca="1" si="25"/>
        <v>9.8281456703283983</v>
      </c>
      <c r="F334" s="28">
        <f t="shared" ca="1" si="26"/>
        <v>0.99943531425394372</v>
      </c>
      <c r="G334" s="28">
        <f t="shared" ca="1" si="27"/>
        <v>0.94793122717569778</v>
      </c>
      <c r="H334" s="28">
        <f t="shared" ca="1" si="28"/>
        <v>1.0402596846229</v>
      </c>
      <c r="J334" s="28">
        <f t="shared" ca="1" si="29"/>
        <v>65.949854191067445</v>
      </c>
    </row>
    <row r="335" spans="4:10" x14ac:dyDescent="0.25">
      <c r="D335" s="28">
        <f t="shared" ca="1" si="24"/>
        <v>0.64839849563098462</v>
      </c>
      <c r="E335" s="28">
        <f t="shared" ca="1" si="25"/>
        <v>9.8330741533021584</v>
      </c>
      <c r="F335" s="28">
        <f t="shared" ca="1" si="26"/>
        <v>1.0305996418222945</v>
      </c>
      <c r="G335" s="28">
        <f t="shared" ca="1" si="27"/>
        <v>0.98074762146652594</v>
      </c>
      <c r="H335" s="28">
        <f t="shared" ca="1" si="28"/>
        <v>0.9705555350265086</v>
      </c>
      <c r="J335" s="28">
        <f t="shared" ca="1" si="29"/>
        <v>64.687493828025126</v>
      </c>
    </row>
    <row r="336" spans="4:10" x14ac:dyDescent="0.25">
      <c r="D336" s="28">
        <f t="shared" ca="1" si="24"/>
        <v>0.65998895810133174</v>
      </c>
      <c r="E336" s="28">
        <f t="shared" ca="1" si="25"/>
        <v>9.9803563658161192</v>
      </c>
      <c r="F336" s="28">
        <f t="shared" ca="1" si="26"/>
        <v>1.0110729283636319</v>
      </c>
      <c r="G336" s="28">
        <f t="shared" ca="1" si="27"/>
        <v>0.98339619905869946</v>
      </c>
      <c r="H336" s="28">
        <f t="shared" ca="1" si="28"/>
        <v>1.0349965899329565</v>
      </c>
      <c r="J336" s="28">
        <f t="shared" ca="1" si="29"/>
        <v>68.051945789236015</v>
      </c>
    </row>
    <row r="337" spans="4:10" x14ac:dyDescent="0.25">
      <c r="D337" s="28">
        <f t="shared" ca="1" si="24"/>
        <v>0.62211322390530488</v>
      </c>
      <c r="E337" s="28">
        <f t="shared" ca="1" si="25"/>
        <v>10.006556075410524</v>
      </c>
      <c r="F337" s="28">
        <f t="shared" ca="1" si="26"/>
        <v>0.99767126044717602</v>
      </c>
      <c r="G337" s="28">
        <f t="shared" ca="1" si="27"/>
        <v>1.0337965222011269</v>
      </c>
      <c r="H337" s="28">
        <f t="shared" ca="1" si="28"/>
        <v>0.99025269314189224</v>
      </c>
      <c r="J337" s="28">
        <f t="shared" ca="1" si="29"/>
        <v>63.497022436134664</v>
      </c>
    </row>
    <row r="338" spans="4:10" x14ac:dyDescent="0.25">
      <c r="D338" s="28">
        <f t="shared" ca="1" si="24"/>
        <v>0.63642452012374173</v>
      </c>
      <c r="E338" s="28">
        <f t="shared" ca="1" si="25"/>
        <v>9.6849436401377993</v>
      </c>
      <c r="F338" s="28">
        <f t="shared" ca="1" si="26"/>
        <v>1.0140357700432798</v>
      </c>
      <c r="G338" s="28">
        <f t="shared" ca="1" si="27"/>
        <v>0.9711235202365005</v>
      </c>
      <c r="H338" s="28">
        <f t="shared" ca="1" si="28"/>
        <v>0.98775388341638348</v>
      </c>
      <c r="J338" s="28">
        <f t="shared" ca="1" si="29"/>
        <v>63.918459499600473</v>
      </c>
    </row>
    <row r="339" spans="4:10" x14ac:dyDescent="0.25">
      <c r="D339" s="28">
        <f t="shared" ca="1" si="24"/>
        <v>0.66194169977138206</v>
      </c>
      <c r="E339" s="28">
        <f t="shared" ca="1" si="25"/>
        <v>10.18213340857721</v>
      </c>
      <c r="F339" s="28">
        <f t="shared" ca="1" si="26"/>
        <v>0.99298655719925621</v>
      </c>
      <c r="G339" s="28">
        <f t="shared" ca="1" si="27"/>
        <v>0.95505840125183994</v>
      </c>
      <c r="H339" s="28">
        <f t="shared" ca="1" si="28"/>
        <v>1.0075413267851399</v>
      </c>
      <c r="J339" s="28">
        <f t="shared" ca="1" si="29"/>
        <v>62.117951471365345</v>
      </c>
    </row>
    <row r="340" spans="4:10" x14ac:dyDescent="0.25">
      <c r="D340" s="28">
        <f t="shared" ca="1" si="24"/>
        <v>0.61980706012447551</v>
      </c>
      <c r="E340" s="28">
        <f t="shared" ca="1" si="25"/>
        <v>10.19503087928241</v>
      </c>
      <c r="F340" s="28">
        <f t="shared" ca="1" si="26"/>
        <v>1.0099162157793096</v>
      </c>
      <c r="G340" s="28">
        <f t="shared" ca="1" si="27"/>
        <v>1.0544326680924883</v>
      </c>
      <c r="H340" s="28">
        <f t="shared" ca="1" si="28"/>
        <v>0.99895719721024967</v>
      </c>
      <c r="J340" s="28">
        <f t="shared" ca="1" si="29"/>
        <v>64.672410987145923</v>
      </c>
    </row>
    <row r="341" spans="4:10" x14ac:dyDescent="0.25">
      <c r="D341" s="28">
        <f t="shared" ca="1" si="24"/>
        <v>0.6472080968267192</v>
      </c>
      <c r="E341" s="28">
        <f t="shared" ca="1" si="25"/>
        <v>10.047847925720951</v>
      </c>
      <c r="F341" s="28">
        <f t="shared" ca="1" si="26"/>
        <v>0.95917827689465751</v>
      </c>
      <c r="G341" s="28">
        <f t="shared" ca="1" si="27"/>
        <v>0.99133524690514663</v>
      </c>
      <c r="H341" s="28">
        <f t="shared" ca="1" si="28"/>
        <v>0.96749537057389901</v>
      </c>
      <c r="J341" s="28">
        <f t="shared" ca="1" si="29"/>
        <v>59.257000764253931</v>
      </c>
    </row>
    <row r="342" spans="4:10" x14ac:dyDescent="0.25">
      <c r="D342" s="28">
        <f t="shared" ca="1" si="24"/>
        <v>0.66695099086591092</v>
      </c>
      <c r="E342" s="28">
        <f t="shared" ca="1" si="25"/>
        <v>10.003001539702465</v>
      </c>
      <c r="F342" s="28">
        <f t="shared" ca="1" si="26"/>
        <v>1.0082375484187416</v>
      </c>
      <c r="G342" s="28">
        <f t="shared" ca="1" si="27"/>
        <v>1.0049575038989997</v>
      </c>
      <c r="H342" s="28">
        <f t="shared" ca="1" si="28"/>
        <v>0.96208399013155599</v>
      </c>
      <c r="J342" s="28">
        <f t="shared" ca="1" si="29"/>
        <v>64.996076138017827</v>
      </c>
    </row>
    <row r="343" spans="4:10" x14ac:dyDescent="0.25">
      <c r="D343" s="28">
        <f t="shared" ca="1" si="24"/>
        <v>0.63957380221356752</v>
      </c>
      <c r="E343" s="28">
        <f t="shared" ca="1" si="25"/>
        <v>10.363059258432298</v>
      </c>
      <c r="F343" s="28">
        <f t="shared" ca="1" si="26"/>
        <v>0.98328944035462584</v>
      </c>
      <c r="G343" s="28">
        <f t="shared" ca="1" si="27"/>
        <v>0.90663652845129383</v>
      </c>
      <c r="H343" s="28">
        <f t="shared" ca="1" si="28"/>
        <v>0.96333321464403932</v>
      </c>
      <c r="J343" s="28">
        <f t="shared" ca="1" si="29"/>
        <v>53.002189098365655</v>
      </c>
    </row>
    <row r="344" spans="4:10" x14ac:dyDescent="0.25">
      <c r="D344" s="28">
        <f t="shared" ca="1" si="24"/>
        <v>0.67153947280091464</v>
      </c>
      <c r="E344" s="28">
        <f t="shared" ca="1" si="25"/>
        <v>9.8957528753018451</v>
      </c>
      <c r="F344" s="28">
        <f t="shared" ca="1" si="26"/>
        <v>1.0015005070573593</v>
      </c>
      <c r="G344" s="28">
        <f t="shared" ca="1" si="27"/>
        <v>0.95864354666533469</v>
      </c>
      <c r="H344" s="28">
        <f t="shared" ca="1" si="28"/>
        <v>0.95592785171438777</v>
      </c>
      <c r="J344" s="28">
        <f t="shared" ca="1" si="29"/>
        <v>62.281081594439712</v>
      </c>
    </row>
    <row r="345" spans="4:10" x14ac:dyDescent="0.25">
      <c r="D345" s="28">
        <f t="shared" ref="D345:D408" ca="1" si="30">NORMINV(RAND(),$D$22,$D$23)</f>
        <v>0.62487866515947144</v>
      </c>
      <c r="E345" s="28">
        <f t="shared" ref="E345:E408" ca="1" si="31">$E$22+$E$23*SQRT(6)*(RAND()-RAND())</f>
        <v>10.123030819646392</v>
      </c>
      <c r="F345" s="28">
        <f t="shared" ref="F345:F408" ca="1" si="32">NORMINV(RAND(),$F$22,$F$23)</f>
        <v>0.99297188468477293</v>
      </c>
      <c r="G345" s="28">
        <f t="shared" ref="G345:G408" ca="1" si="33">NORMINV(RAND(),$G$22,$G$23)</f>
        <v>1.0173176796485639</v>
      </c>
      <c r="H345" s="28">
        <f t="shared" ref="H345:H408" ca="1" si="34">NORMINV(RAND(),$H$22,$H$23)</f>
        <v>0.99556026041108325</v>
      </c>
      <c r="J345" s="28">
        <f t="shared" ref="J345:J408" ca="1" si="35">1000*D345*G345*F345*H345/E345</f>
        <v>62.079217576578323</v>
      </c>
    </row>
    <row r="346" spans="4:10" x14ac:dyDescent="0.25">
      <c r="D346" s="28">
        <f t="shared" ca="1" si="30"/>
        <v>0.66532914110908681</v>
      </c>
      <c r="E346" s="28">
        <f t="shared" ca="1" si="31"/>
        <v>10.023165453528641</v>
      </c>
      <c r="F346" s="28">
        <f t="shared" ca="1" si="32"/>
        <v>1.0094149967141179</v>
      </c>
      <c r="G346" s="28">
        <f t="shared" ca="1" si="33"/>
        <v>0.98934507457643173</v>
      </c>
      <c r="H346" s="28">
        <f t="shared" ca="1" si="34"/>
        <v>1.0230371138990568</v>
      </c>
      <c r="J346" s="28">
        <f t="shared" ca="1" si="35"/>
        <v>67.817313927432394</v>
      </c>
    </row>
    <row r="347" spans="4:10" x14ac:dyDescent="0.25">
      <c r="D347" s="28">
        <f t="shared" ca="1" si="30"/>
        <v>0.6605848438165679</v>
      </c>
      <c r="E347" s="28">
        <f t="shared" ca="1" si="31"/>
        <v>9.9597498305855883</v>
      </c>
      <c r="F347" s="28">
        <f t="shared" ca="1" si="32"/>
        <v>1.0105308487606066</v>
      </c>
      <c r="G347" s="28">
        <f t="shared" ca="1" si="33"/>
        <v>1.0347037956253646</v>
      </c>
      <c r="H347" s="28">
        <f t="shared" ca="1" si="34"/>
        <v>1.0218166321484186</v>
      </c>
      <c r="J347" s="28">
        <f t="shared" ca="1" si="35"/>
        <v>70.862873784201511</v>
      </c>
    </row>
    <row r="348" spans="4:10" x14ac:dyDescent="0.25">
      <c r="D348" s="28">
        <f t="shared" ca="1" si="30"/>
        <v>0.64553344815043079</v>
      </c>
      <c r="E348" s="28">
        <f t="shared" ca="1" si="31"/>
        <v>10.181552829429625</v>
      </c>
      <c r="F348" s="28">
        <f t="shared" ca="1" si="32"/>
        <v>1.0144057520984671</v>
      </c>
      <c r="G348" s="28">
        <f t="shared" ca="1" si="33"/>
        <v>0.98210157358544858</v>
      </c>
      <c r="H348" s="28">
        <f t="shared" ca="1" si="34"/>
        <v>1.0428710158426844</v>
      </c>
      <c r="J348" s="28">
        <f t="shared" ca="1" si="35"/>
        <v>65.872392666297245</v>
      </c>
    </row>
    <row r="349" spans="4:10" x14ac:dyDescent="0.25">
      <c r="D349" s="28">
        <f t="shared" ca="1" si="30"/>
        <v>0.62304653227087492</v>
      </c>
      <c r="E349" s="28">
        <f t="shared" ca="1" si="31"/>
        <v>9.8586912637756843</v>
      </c>
      <c r="F349" s="28">
        <f t="shared" ca="1" si="32"/>
        <v>1.0167782919568134</v>
      </c>
      <c r="G349" s="28">
        <f t="shared" ca="1" si="33"/>
        <v>1.0036281175083253</v>
      </c>
      <c r="H349" s="28">
        <f t="shared" ca="1" si="34"/>
        <v>1.0448853565625085</v>
      </c>
      <c r="J349" s="28">
        <f t="shared" ca="1" si="35"/>
        <v>67.385886341061308</v>
      </c>
    </row>
    <row r="350" spans="4:10" x14ac:dyDescent="0.25">
      <c r="D350" s="28">
        <f t="shared" ca="1" si="30"/>
        <v>0.65605268192357058</v>
      </c>
      <c r="E350" s="28">
        <f t="shared" ca="1" si="31"/>
        <v>10.030708725724127</v>
      </c>
      <c r="F350" s="28">
        <f t="shared" ca="1" si="32"/>
        <v>1.0170062079874702</v>
      </c>
      <c r="G350" s="28">
        <f t="shared" ca="1" si="33"/>
        <v>0.99917741646461844</v>
      </c>
      <c r="H350" s="28">
        <f t="shared" ca="1" si="34"/>
        <v>1.0082874735629714</v>
      </c>
      <c r="J350" s="28">
        <f t="shared" ca="1" si="35"/>
        <v>67.012787118704281</v>
      </c>
    </row>
    <row r="351" spans="4:10" x14ac:dyDescent="0.25">
      <c r="D351" s="28">
        <f t="shared" ca="1" si="30"/>
        <v>0.65701462707229752</v>
      </c>
      <c r="E351" s="28">
        <f t="shared" ca="1" si="31"/>
        <v>9.966499946530142</v>
      </c>
      <c r="F351" s="28">
        <f t="shared" ca="1" si="32"/>
        <v>1.0129644595986567</v>
      </c>
      <c r="G351" s="28">
        <f t="shared" ca="1" si="33"/>
        <v>1.002185576253803</v>
      </c>
      <c r="H351" s="28">
        <f t="shared" ca="1" si="34"/>
        <v>1.0330901854751486</v>
      </c>
      <c r="J351" s="28">
        <f t="shared" ca="1" si="35"/>
        <v>69.137386959319741</v>
      </c>
    </row>
    <row r="352" spans="4:10" x14ac:dyDescent="0.25">
      <c r="D352" s="28">
        <f t="shared" ca="1" si="30"/>
        <v>0.65839504778008684</v>
      </c>
      <c r="E352" s="28">
        <f t="shared" ca="1" si="31"/>
        <v>9.99722509000547</v>
      </c>
      <c r="F352" s="28">
        <f t="shared" ca="1" si="32"/>
        <v>1.0049847135412147</v>
      </c>
      <c r="G352" s="28">
        <f t="shared" ca="1" si="33"/>
        <v>1.0570539575903453</v>
      </c>
      <c r="H352" s="28">
        <f t="shared" ca="1" si="34"/>
        <v>1.0055577369442634</v>
      </c>
      <c r="J352" s="28">
        <f t="shared" ca="1" si="35"/>
        <v>70.351070371838603</v>
      </c>
    </row>
    <row r="353" spans="4:10" x14ac:dyDescent="0.25">
      <c r="D353" s="28">
        <f t="shared" ca="1" si="30"/>
        <v>0.6737759519966855</v>
      </c>
      <c r="E353" s="28">
        <f t="shared" ca="1" si="31"/>
        <v>10.140866550057833</v>
      </c>
      <c r="F353" s="28">
        <f t="shared" ca="1" si="32"/>
        <v>0.98543403190293788</v>
      </c>
      <c r="G353" s="28">
        <f t="shared" ca="1" si="33"/>
        <v>1.0122703333204086</v>
      </c>
      <c r="H353" s="28">
        <f t="shared" ca="1" si="34"/>
        <v>1.0359573592660489</v>
      </c>
      <c r="J353" s="28">
        <f t="shared" ca="1" si="35"/>
        <v>68.660408714317867</v>
      </c>
    </row>
    <row r="354" spans="4:10" x14ac:dyDescent="0.25">
      <c r="D354" s="28">
        <f t="shared" ca="1" si="30"/>
        <v>0.67831380118194173</v>
      </c>
      <c r="E354" s="28">
        <f t="shared" ca="1" si="31"/>
        <v>9.7397894772811267</v>
      </c>
      <c r="F354" s="28">
        <f t="shared" ca="1" si="32"/>
        <v>0.97941889555200612</v>
      </c>
      <c r="G354" s="28">
        <f t="shared" ca="1" si="33"/>
        <v>0.92910912698337533</v>
      </c>
      <c r="H354" s="28">
        <f t="shared" ca="1" si="34"/>
        <v>0.99121081748233575</v>
      </c>
      <c r="J354" s="28">
        <f t="shared" ca="1" si="35"/>
        <v>62.817741984768865</v>
      </c>
    </row>
    <row r="355" spans="4:10" x14ac:dyDescent="0.25">
      <c r="D355" s="28">
        <f t="shared" ca="1" si="30"/>
        <v>0.66041582913401387</v>
      </c>
      <c r="E355" s="28">
        <f t="shared" ca="1" si="31"/>
        <v>10.039190459652744</v>
      </c>
      <c r="F355" s="28">
        <f t="shared" ca="1" si="32"/>
        <v>1.0057076241485436</v>
      </c>
      <c r="G355" s="28">
        <f t="shared" ca="1" si="33"/>
        <v>1.0749494192446789</v>
      </c>
      <c r="H355" s="28">
        <f t="shared" ca="1" si="34"/>
        <v>1.0596745482277483</v>
      </c>
      <c r="J355" s="28">
        <f t="shared" ca="1" si="35"/>
        <v>75.361764046556459</v>
      </c>
    </row>
    <row r="356" spans="4:10" x14ac:dyDescent="0.25">
      <c r="D356" s="28">
        <f t="shared" ca="1" si="30"/>
        <v>0.68455326490962742</v>
      </c>
      <c r="E356" s="28">
        <f t="shared" ca="1" si="31"/>
        <v>10.276876380994716</v>
      </c>
      <c r="F356" s="28">
        <f t="shared" ca="1" si="32"/>
        <v>0.99485741877276068</v>
      </c>
      <c r="G356" s="28">
        <f t="shared" ca="1" si="33"/>
        <v>1.0065462628388697</v>
      </c>
      <c r="H356" s="28">
        <f t="shared" ca="1" si="34"/>
        <v>1.0156265721246482</v>
      </c>
      <c r="J356" s="28">
        <f t="shared" ca="1" si="35"/>
        <v>67.744610813452368</v>
      </c>
    </row>
    <row r="357" spans="4:10" x14ac:dyDescent="0.25">
      <c r="D357" s="28">
        <f t="shared" ca="1" si="30"/>
        <v>0.62178105212863344</v>
      </c>
      <c r="E357" s="28">
        <f t="shared" ca="1" si="31"/>
        <v>10.130932558800623</v>
      </c>
      <c r="F357" s="28">
        <f t="shared" ca="1" si="32"/>
        <v>1.0168693315765005</v>
      </c>
      <c r="G357" s="28">
        <f t="shared" ca="1" si="33"/>
        <v>1.0315309408014421</v>
      </c>
      <c r="H357" s="28">
        <f t="shared" ca="1" si="34"/>
        <v>0.99057018276084507</v>
      </c>
      <c r="J357" s="28">
        <f t="shared" ca="1" si="35"/>
        <v>63.770631660962636</v>
      </c>
    </row>
    <row r="358" spans="4:10" x14ac:dyDescent="0.25">
      <c r="D358" s="28">
        <f t="shared" ca="1" si="30"/>
        <v>0.64764251014433905</v>
      </c>
      <c r="E358" s="28">
        <f t="shared" ca="1" si="31"/>
        <v>10.107585175923219</v>
      </c>
      <c r="F358" s="28">
        <f t="shared" ca="1" si="32"/>
        <v>1.0386710864787279</v>
      </c>
      <c r="G358" s="28">
        <f t="shared" ca="1" si="33"/>
        <v>0.99109438665301997</v>
      </c>
      <c r="H358" s="28">
        <f t="shared" ca="1" si="34"/>
        <v>0.92741764095409973</v>
      </c>
      <c r="J358" s="28">
        <f t="shared" ca="1" si="35"/>
        <v>61.172516799547786</v>
      </c>
    </row>
    <row r="359" spans="4:10" x14ac:dyDescent="0.25">
      <c r="D359" s="28">
        <f t="shared" ca="1" si="30"/>
        <v>0.67586186332044285</v>
      </c>
      <c r="E359" s="28">
        <f t="shared" ca="1" si="31"/>
        <v>10.057542010411053</v>
      </c>
      <c r="F359" s="28">
        <f t="shared" ca="1" si="32"/>
        <v>1.0136884562470223</v>
      </c>
      <c r="G359" s="28">
        <f t="shared" ca="1" si="33"/>
        <v>1.0301698086604807</v>
      </c>
      <c r="H359" s="28">
        <f t="shared" ca="1" si="34"/>
        <v>0.99983868333456605</v>
      </c>
      <c r="J359" s="28">
        <f t="shared" ca="1" si="35"/>
        <v>70.163192239908398</v>
      </c>
    </row>
    <row r="360" spans="4:10" x14ac:dyDescent="0.25">
      <c r="D360" s="28">
        <f t="shared" ca="1" si="30"/>
        <v>0.66406401256155245</v>
      </c>
      <c r="E360" s="28">
        <f t="shared" ca="1" si="31"/>
        <v>9.7436701354113602</v>
      </c>
      <c r="F360" s="28">
        <f t="shared" ca="1" si="32"/>
        <v>0.99664009383345031</v>
      </c>
      <c r="G360" s="28">
        <f t="shared" ca="1" si="33"/>
        <v>0.99123221813427664</v>
      </c>
      <c r="H360" s="28">
        <f t="shared" ca="1" si="34"/>
        <v>1.0049925609750601</v>
      </c>
      <c r="J360" s="28">
        <f t="shared" ca="1" si="35"/>
        <v>67.664984002844349</v>
      </c>
    </row>
    <row r="361" spans="4:10" x14ac:dyDescent="0.25">
      <c r="D361" s="28">
        <f t="shared" ca="1" si="30"/>
        <v>0.64805417811114996</v>
      </c>
      <c r="E361" s="28">
        <f t="shared" ca="1" si="31"/>
        <v>9.9353250537971327</v>
      </c>
      <c r="F361" s="28">
        <f t="shared" ca="1" si="32"/>
        <v>0.99854747876433647</v>
      </c>
      <c r="G361" s="28">
        <f t="shared" ca="1" si="33"/>
        <v>0.95650395067808514</v>
      </c>
      <c r="H361" s="28">
        <f t="shared" ca="1" si="34"/>
        <v>1.0240605757577987</v>
      </c>
      <c r="J361" s="28">
        <f t="shared" ca="1" si="35"/>
        <v>63.798485478641901</v>
      </c>
    </row>
    <row r="362" spans="4:10" x14ac:dyDescent="0.25">
      <c r="D362" s="28">
        <f t="shared" ca="1" si="30"/>
        <v>0.65037437600939174</v>
      </c>
      <c r="E362" s="28">
        <f t="shared" ca="1" si="31"/>
        <v>10.175331031070113</v>
      </c>
      <c r="F362" s="28">
        <f t="shared" ca="1" si="32"/>
        <v>0.99286271623455946</v>
      </c>
      <c r="G362" s="28">
        <f t="shared" ca="1" si="33"/>
        <v>0.96447481217318609</v>
      </c>
      <c r="H362" s="28">
        <f t="shared" ca="1" si="34"/>
        <v>0.98501967210800911</v>
      </c>
      <c r="J362" s="28">
        <f t="shared" ca="1" si="35"/>
        <v>60.289248723807134</v>
      </c>
    </row>
    <row r="363" spans="4:10" x14ac:dyDescent="0.25">
      <c r="D363" s="28">
        <f t="shared" ca="1" si="30"/>
        <v>0.63399402559900275</v>
      </c>
      <c r="E363" s="28">
        <f t="shared" ca="1" si="31"/>
        <v>9.9346485952919608</v>
      </c>
      <c r="F363" s="28">
        <f t="shared" ca="1" si="32"/>
        <v>0.98640288111310104</v>
      </c>
      <c r="G363" s="28">
        <f t="shared" ca="1" si="33"/>
        <v>0.95548265199163396</v>
      </c>
      <c r="H363" s="28">
        <f t="shared" ca="1" si="34"/>
        <v>0.97509146892481169</v>
      </c>
      <c r="J363" s="28">
        <f t="shared" ca="1" si="35"/>
        <v>58.648262527155211</v>
      </c>
    </row>
    <row r="364" spans="4:10" x14ac:dyDescent="0.25">
      <c r="D364" s="28">
        <f t="shared" ca="1" si="30"/>
        <v>0.64820789727446726</v>
      </c>
      <c r="E364" s="28">
        <f t="shared" ca="1" si="31"/>
        <v>10.04280817515877</v>
      </c>
      <c r="F364" s="28">
        <f t="shared" ca="1" si="32"/>
        <v>1.0078798930907962</v>
      </c>
      <c r="G364" s="28">
        <f t="shared" ca="1" si="33"/>
        <v>1.0158522022100052</v>
      </c>
      <c r="H364" s="28">
        <f t="shared" ca="1" si="34"/>
        <v>0.98142724258988601</v>
      </c>
      <c r="J364" s="28">
        <f t="shared" ca="1" si="35"/>
        <v>64.856956816988543</v>
      </c>
    </row>
    <row r="365" spans="4:10" x14ac:dyDescent="0.25">
      <c r="D365" s="28">
        <f t="shared" ca="1" si="30"/>
        <v>0.63973235193789091</v>
      </c>
      <c r="E365" s="28">
        <f t="shared" ca="1" si="31"/>
        <v>9.7531401458196427</v>
      </c>
      <c r="F365" s="28">
        <f t="shared" ca="1" si="32"/>
        <v>0.99453031327482244</v>
      </c>
      <c r="G365" s="28">
        <f t="shared" ca="1" si="33"/>
        <v>0.95294756823757532</v>
      </c>
      <c r="H365" s="28">
        <f t="shared" ca="1" si="34"/>
        <v>1.0370976837516426</v>
      </c>
      <c r="J365" s="28">
        <f t="shared" ca="1" si="35"/>
        <v>64.470426704278438</v>
      </c>
    </row>
    <row r="366" spans="4:10" x14ac:dyDescent="0.25">
      <c r="D366" s="28">
        <f t="shared" ca="1" si="30"/>
        <v>0.64187207939492352</v>
      </c>
      <c r="E366" s="28">
        <f t="shared" ca="1" si="31"/>
        <v>9.9695121678989178</v>
      </c>
      <c r="F366" s="28">
        <f t="shared" ca="1" si="32"/>
        <v>1.0120707958072233</v>
      </c>
      <c r="G366" s="28">
        <f t="shared" ca="1" si="33"/>
        <v>0.97046456229830758</v>
      </c>
      <c r="H366" s="28">
        <f t="shared" ca="1" si="34"/>
        <v>1.0280835219963542</v>
      </c>
      <c r="J366" s="28">
        <f t="shared" ca="1" si="35"/>
        <v>65.012003456670584</v>
      </c>
    </row>
    <row r="367" spans="4:10" x14ac:dyDescent="0.25">
      <c r="D367" s="28">
        <f t="shared" ca="1" si="30"/>
        <v>0.63603418769691544</v>
      </c>
      <c r="E367" s="28">
        <f t="shared" ca="1" si="31"/>
        <v>9.8995719121103711</v>
      </c>
      <c r="F367" s="28">
        <f t="shared" ca="1" si="32"/>
        <v>0.99082268668116735</v>
      </c>
      <c r="G367" s="28">
        <f t="shared" ca="1" si="33"/>
        <v>0.99037951012557746</v>
      </c>
      <c r="H367" s="28">
        <f t="shared" ca="1" si="34"/>
        <v>1.0382719939165215</v>
      </c>
      <c r="J367" s="28">
        <f t="shared" ca="1" si="35"/>
        <v>65.459513566101876</v>
      </c>
    </row>
    <row r="368" spans="4:10" x14ac:dyDescent="0.25">
      <c r="D368" s="28">
        <f t="shared" ca="1" si="30"/>
        <v>0.64085407381147175</v>
      </c>
      <c r="E368" s="28">
        <f t="shared" ca="1" si="31"/>
        <v>10.361920635025422</v>
      </c>
      <c r="F368" s="28">
        <f t="shared" ca="1" si="32"/>
        <v>1.0179843216330091</v>
      </c>
      <c r="G368" s="28">
        <f t="shared" ca="1" si="33"/>
        <v>1.0226053113918514</v>
      </c>
      <c r="H368" s="28">
        <f t="shared" ca="1" si="34"/>
        <v>1.0232509126747222</v>
      </c>
      <c r="J368" s="28">
        <f t="shared" ca="1" si="35"/>
        <v>65.879479909225324</v>
      </c>
    </row>
    <row r="369" spans="4:10" x14ac:dyDescent="0.25">
      <c r="D369" s="28">
        <f t="shared" ca="1" si="30"/>
        <v>0.64007743809403128</v>
      </c>
      <c r="E369" s="28">
        <f t="shared" ca="1" si="31"/>
        <v>9.6696538228082822</v>
      </c>
      <c r="F369" s="28">
        <f t="shared" ca="1" si="32"/>
        <v>1.0029885962640852</v>
      </c>
      <c r="G369" s="28">
        <f t="shared" ca="1" si="33"/>
        <v>1.0077182823547919</v>
      </c>
      <c r="H369" s="28">
        <f t="shared" ca="1" si="34"/>
        <v>0.95165385413900838</v>
      </c>
      <c r="J369" s="28">
        <f t="shared" ca="1" si="35"/>
        <v>63.670129980765452</v>
      </c>
    </row>
    <row r="370" spans="4:10" x14ac:dyDescent="0.25">
      <c r="D370" s="28">
        <f t="shared" ca="1" si="30"/>
        <v>0.66169698617992379</v>
      </c>
      <c r="E370" s="28">
        <f t="shared" ca="1" si="31"/>
        <v>9.9877614248878164</v>
      </c>
      <c r="F370" s="28">
        <f t="shared" ca="1" si="32"/>
        <v>1.0175546402389144</v>
      </c>
      <c r="G370" s="28">
        <f t="shared" ca="1" si="33"/>
        <v>1.0673808913279577</v>
      </c>
      <c r="H370" s="28">
        <f t="shared" ca="1" si="34"/>
        <v>0.97711498375248484</v>
      </c>
      <c r="J370" s="28">
        <f t="shared" ca="1" si="35"/>
        <v>70.309471341644908</v>
      </c>
    </row>
    <row r="371" spans="4:10" x14ac:dyDescent="0.25">
      <c r="D371" s="28">
        <f t="shared" ca="1" si="30"/>
        <v>0.67422300716317862</v>
      </c>
      <c r="E371" s="28">
        <f t="shared" ca="1" si="31"/>
        <v>10.029732880361562</v>
      </c>
      <c r="F371" s="28">
        <f t="shared" ca="1" si="32"/>
        <v>1.0080005668112166</v>
      </c>
      <c r="G371" s="28">
        <f t="shared" ca="1" si="33"/>
        <v>1.0271335812800917</v>
      </c>
      <c r="H371" s="28">
        <f t="shared" ca="1" si="34"/>
        <v>1.011791686490328</v>
      </c>
      <c r="J371" s="28">
        <f t="shared" ca="1" si="35"/>
        <v>70.419512287812907</v>
      </c>
    </row>
    <row r="372" spans="4:10" x14ac:dyDescent="0.25">
      <c r="D372" s="28">
        <f t="shared" ca="1" si="30"/>
        <v>0.67722087536210074</v>
      </c>
      <c r="E372" s="28">
        <f t="shared" ca="1" si="31"/>
        <v>9.8958408897203629</v>
      </c>
      <c r="F372" s="28">
        <f t="shared" ca="1" si="32"/>
        <v>0.98927780898373896</v>
      </c>
      <c r="G372" s="28">
        <f t="shared" ca="1" si="33"/>
        <v>0.98999647006099667</v>
      </c>
      <c r="H372" s="28">
        <f t="shared" ca="1" si="34"/>
        <v>1.0297022586015832</v>
      </c>
      <c r="J372" s="28">
        <f t="shared" ca="1" si="35"/>
        <v>69.014637570613942</v>
      </c>
    </row>
    <row r="373" spans="4:10" x14ac:dyDescent="0.25">
      <c r="D373" s="28">
        <f t="shared" ca="1" si="30"/>
        <v>0.61197154614871896</v>
      </c>
      <c r="E373" s="28">
        <f t="shared" ca="1" si="31"/>
        <v>10.010053834006142</v>
      </c>
      <c r="F373" s="28">
        <f t="shared" ca="1" si="32"/>
        <v>0.97803269376257684</v>
      </c>
      <c r="G373" s="28">
        <f t="shared" ca="1" si="33"/>
        <v>1.009144998554627</v>
      </c>
      <c r="H373" s="28">
        <f t="shared" ca="1" si="34"/>
        <v>0.94871241431893771</v>
      </c>
      <c r="J373" s="28">
        <f t="shared" ca="1" si="35"/>
        <v>57.24483990856487</v>
      </c>
    </row>
    <row r="374" spans="4:10" x14ac:dyDescent="0.25">
      <c r="D374" s="28">
        <f t="shared" ca="1" si="30"/>
        <v>0.66959313457222536</v>
      </c>
      <c r="E374" s="28">
        <f t="shared" ca="1" si="31"/>
        <v>10.108482056791757</v>
      </c>
      <c r="F374" s="28">
        <f t="shared" ca="1" si="32"/>
        <v>0.97487014666506799</v>
      </c>
      <c r="G374" s="28">
        <f t="shared" ca="1" si="33"/>
        <v>0.97045314976648378</v>
      </c>
      <c r="H374" s="28">
        <f t="shared" ca="1" si="34"/>
        <v>0.98566036352503761</v>
      </c>
      <c r="J374" s="28">
        <f t="shared" ca="1" si="35"/>
        <v>61.769443030614838</v>
      </c>
    </row>
    <row r="375" spans="4:10" x14ac:dyDescent="0.25">
      <c r="D375" s="28">
        <f t="shared" ca="1" si="30"/>
        <v>0.66380803556508294</v>
      </c>
      <c r="E375" s="28">
        <f t="shared" ca="1" si="31"/>
        <v>10.237590448963006</v>
      </c>
      <c r="F375" s="28">
        <f t="shared" ca="1" si="32"/>
        <v>0.99376899562172039</v>
      </c>
      <c r="G375" s="28">
        <f t="shared" ca="1" si="33"/>
        <v>1.0361423926073017</v>
      </c>
      <c r="H375" s="28">
        <f t="shared" ca="1" si="34"/>
        <v>0.99058885317719902</v>
      </c>
      <c r="J375" s="28">
        <f t="shared" ca="1" si="35"/>
        <v>66.13678450061883</v>
      </c>
    </row>
    <row r="376" spans="4:10" x14ac:dyDescent="0.25">
      <c r="D376" s="28">
        <f t="shared" ca="1" si="30"/>
        <v>0.62429525290977506</v>
      </c>
      <c r="E376" s="28">
        <f t="shared" ca="1" si="31"/>
        <v>9.8749786767998451</v>
      </c>
      <c r="F376" s="28">
        <f t="shared" ca="1" si="32"/>
        <v>0.99812130750091987</v>
      </c>
      <c r="G376" s="28">
        <f t="shared" ca="1" si="33"/>
        <v>0.99141040024158134</v>
      </c>
      <c r="H376" s="28">
        <f t="shared" ca="1" si="34"/>
        <v>1.0023867296181792</v>
      </c>
      <c r="J376" s="28">
        <f t="shared" ca="1" si="35"/>
        <v>62.708436383663908</v>
      </c>
    </row>
    <row r="377" spans="4:10" x14ac:dyDescent="0.25">
      <c r="D377" s="28">
        <f t="shared" ca="1" si="30"/>
        <v>0.64674119403452046</v>
      </c>
      <c r="E377" s="28">
        <f t="shared" ca="1" si="31"/>
        <v>10.009861106353558</v>
      </c>
      <c r="F377" s="28">
        <f t="shared" ca="1" si="32"/>
        <v>0.97453809881590792</v>
      </c>
      <c r="G377" s="28">
        <f t="shared" ca="1" si="33"/>
        <v>0.95288349501862291</v>
      </c>
      <c r="H377" s="28">
        <f t="shared" ca="1" si="34"/>
        <v>0.99708708981266569</v>
      </c>
      <c r="J377" s="28">
        <f t="shared" ca="1" si="35"/>
        <v>59.823827091097137</v>
      </c>
    </row>
    <row r="378" spans="4:10" x14ac:dyDescent="0.25">
      <c r="D378" s="28">
        <f t="shared" ca="1" si="30"/>
        <v>0.6801463934466242</v>
      </c>
      <c r="E378" s="28">
        <f t="shared" ca="1" si="31"/>
        <v>10.173930481350688</v>
      </c>
      <c r="F378" s="28">
        <f t="shared" ca="1" si="32"/>
        <v>1.0099543558397963</v>
      </c>
      <c r="G378" s="28">
        <f t="shared" ca="1" si="33"/>
        <v>0.99757841343166742</v>
      </c>
      <c r="H378" s="28">
        <f t="shared" ca="1" si="34"/>
        <v>1.0254427129200494</v>
      </c>
      <c r="J378" s="28">
        <f t="shared" ca="1" si="35"/>
        <v>69.067514326083426</v>
      </c>
    </row>
    <row r="379" spans="4:10" x14ac:dyDescent="0.25">
      <c r="D379" s="28">
        <f t="shared" ca="1" si="30"/>
        <v>0.63804015207785825</v>
      </c>
      <c r="E379" s="28">
        <f t="shared" ca="1" si="31"/>
        <v>10.03860278267542</v>
      </c>
      <c r="F379" s="28">
        <f t="shared" ca="1" si="32"/>
        <v>1.0210718480709329</v>
      </c>
      <c r="G379" s="28">
        <f t="shared" ca="1" si="33"/>
        <v>0.95669655394067488</v>
      </c>
      <c r="H379" s="28">
        <f t="shared" ca="1" si="34"/>
        <v>0.98393093546163668</v>
      </c>
      <c r="J379" s="28">
        <f t="shared" ca="1" si="35"/>
        <v>61.089963726281255</v>
      </c>
    </row>
    <row r="380" spans="4:10" x14ac:dyDescent="0.25">
      <c r="D380" s="28">
        <f t="shared" ca="1" si="30"/>
        <v>0.6701371615369669</v>
      </c>
      <c r="E380" s="28">
        <f t="shared" ca="1" si="31"/>
        <v>9.9662827562320579</v>
      </c>
      <c r="F380" s="28">
        <f t="shared" ca="1" si="32"/>
        <v>1.0276748733386951</v>
      </c>
      <c r="G380" s="28">
        <f t="shared" ca="1" si="33"/>
        <v>1.0147444420525584</v>
      </c>
      <c r="H380" s="28">
        <f t="shared" ca="1" si="34"/>
        <v>1.0021868259277624</v>
      </c>
      <c r="J380" s="28">
        <f t="shared" ca="1" si="35"/>
        <v>70.273503552773533</v>
      </c>
    </row>
    <row r="381" spans="4:10" x14ac:dyDescent="0.25">
      <c r="D381" s="28">
        <f t="shared" ca="1" si="30"/>
        <v>0.62450055715932273</v>
      </c>
      <c r="E381" s="28">
        <f t="shared" ca="1" si="31"/>
        <v>9.6950562616096825</v>
      </c>
      <c r="F381" s="28">
        <f t="shared" ca="1" si="32"/>
        <v>0.98169056235739283</v>
      </c>
      <c r="G381" s="28">
        <f t="shared" ca="1" si="33"/>
        <v>1.1028835688409491</v>
      </c>
      <c r="H381" s="28">
        <f t="shared" ca="1" si="34"/>
        <v>0.95797564313870465</v>
      </c>
      <c r="J381" s="28">
        <f t="shared" ca="1" si="35"/>
        <v>66.809965265896551</v>
      </c>
    </row>
    <row r="382" spans="4:10" x14ac:dyDescent="0.25">
      <c r="D382" s="28">
        <f t="shared" ca="1" si="30"/>
        <v>0.6594080540331031</v>
      </c>
      <c r="E382" s="28">
        <f t="shared" ca="1" si="31"/>
        <v>10.040493092785049</v>
      </c>
      <c r="F382" s="28">
        <f t="shared" ca="1" si="32"/>
        <v>1.0015646581715958</v>
      </c>
      <c r="G382" s="28">
        <f t="shared" ca="1" si="33"/>
        <v>1.0355693121327645</v>
      </c>
      <c r="H382" s="28">
        <f t="shared" ca="1" si="34"/>
        <v>0.99136585211690276</v>
      </c>
      <c r="J382" s="28">
        <f t="shared" ca="1" si="35"/>
        <v>67.529156425592717</v>
      </c>
    </row>
    <row r="383" spans="4:10" x14ac:dyDescent="0.25">
      <c r="D383" s="28">
        <f t="shared" ca="1" si="30"/>
        <v>0.63024182144759677</v>
      </c>
      <c r="E383" s="28">
        <f t="shared" ca="1" si="31"/>
        <v>10.19352722682124</v>
      </c>
      <c r="F383" s="28">
        <f t="shared" ca="1" si="32"/>
        <v>0.99559458583525506</v>
      </c>
      <c r="G383" s="28">
        <f t="shared" ca="1" si="33"/>
        <v>1.0020681389201789</v>
      </c>
      <c r="H383" s="28">
        <f t="shared" ca="1" si="34"/>
        <v>0.98593261595536974</v>
      </c>
      <c r="J383" s="28">
        <f t="shared" ca="1" si="35"/>
        <v>60.814864755015613</v>
      </c>
    </row>
    <row r="384" spans="4:10" x14ac:dyDescent="0.25">
      <c r="D384" s="28">
        <f t="shared" ca="1" si="30"/>
        <v>0.66511691227601288</v>
      </c>
      <c r="E384" s="28">
        <f t="shared" ca="1" si="31"/>
        <v>10.300909671643799</v>
      </c>
      <c r="F384" s="28">
        <f t="shared" ca="1" si="32"/>
        <v>1.010271888734563</v>
      </c>
      <c r="G384" s="28">
        <f t="shared" ca="1" si="33"/>
        <v>1.0597691842081418</v>
      </c>
      <c r="H384" s="28">
        <f t="shared" ca="1" si="34"/>
        <v>0.92316247268289231</v>
      </c>
      <c r="J384" s="28">
        <f t="shared" ca="1" si="35"/>
        <v>63.819016869843914</v>
      </c>
    </row>
    <row r="385" spans="4:10" x14ac:dyDescent="0.25">
      <c r="D385" s="28">
        <f t="shared" ca="1" si="30"/>
        <v>0.63571405125744218</v>
      </c>
      <c r="E385" s="28">
        <f t="shared" ca="1" si="31"/>
        <v>10.218562350569401</v>
      </c>
      <c r="F385" s="28">
        <f t="shared" ca="1" si="32"/>
        <v>0.97410346239653312</v>
      </c>
      <c r="G385" s="28">
        <f t="shared" ca="1" si="33"/>
        <v>1.0031585654645343</v>
      </c>
      <c r="H385" s="28">
        <f t="shared" ca="1" si="34"/>
        <v>0.95420842179832788</v>
      </c>
      <c r="J385" s="28">
        <f t="shared" ca="1" si="35"/>
        <v>58.00827214851985</v>
      </c>
    </row>
    <row r="386" spans="4:10" x14ac:dyDescent="0.25">
      <c r="D386" s="28">
        <f t="shared" ca="1" si="30"/>
        <v>0.64507247488561681</v>
      </c>
      <c r="E386" s="28">
        <f t="shared" ca="1" si="31"/>
        <v>9.9898846913694772</v>
      </c>
      <c r="F386" s="28">
        <f t="shared" ca="1" si="32"/>
        <v>1.0165703749364632</v>
      </c>
      <c r="G386" s="28">
        <f t="shared" ca="1" si="33"/>
        <v>1.0529559749813946</v>
      </c>
      <c r="H386" s="28">
        <f t="shared" ca="1" si="34"/>
        <v>0.96800428051033971</v>
      </c>
      <c r="J386" s="28">
        <f t="shared" ca="1" si="35"/>
        <v>66.907218568647437</v>
      </c>
    </row>
    <row r="387" spans="4:10" x14ac:dyDescent="0.25">
      <c r="D387" s="28">
        <f t="shared" ca="1" si="30"/>
        <v>0.65873566210876466</v>
      </c>
      <c r="E387" s="28">
        <f t="shared" ca="1" si="31"/>
        <v>9.7892130186763993</v>
      </c>
      <c r="F387" s="28">
        <f t="shared" ca="1" si="32"/>
        <v>0.96974301512686267</v>
      </c>
      <c r="G387" s="28">
        <f t="shared" ca="1" si="33"/>
        <v>1.0417107304110425</v>
      </c>
      <c r="H387" s="28">
        <f t="shared" ca="1" si="34"/>
        <v>1.0157501862482907</v>
      </c>
      <c r="J387" s="28">
        <f t="shared" ca="1" si="35"/>
        <v>69.048477189302318</v>
      </c>
    </row>
    <row r="388" spans="4:10" x14ac:dyDescent="0.25">
      <c r="D388" s="28">
        <f t="shared" ca="1" si="30"/>
        <v>0.664145520525388</v>
      </c>
      <c r="E388" s="28">
        <f t="shared" ca="1" si="31"/>
        <v>9.6278620836014301</v>
      </c>
      <c r="F388" s="28">
        <f t="shared" ca="1" si="32"/>
        <v>1.0039306512502761</v>
      </c>
      <c r="G388" s="28">
        <f t="shared" ca="1" si="33"/>
        <v>0.94653376746343421</v>
      </c>
      <c r="H388" s="28">
        <f t="shared" ca="1" si="34"/>
        <v>1.0137332239491539</v>
      </c>
      <c r="J388" s="28">
        <f t="shared" ca="1" si="35"/>
        <v>66.450291969334444</v>
      </c>
    </row>
    <row r="389" spans="4:10" x14ac:dyDescent="0.25">
      <c r="D389" s="28">
        <f t="shared" ca="1" si="30"/>
        <v>0.64064300402099927</v>
      </c>
      <c r="E389" s="28">
        <f t="shared" ca="1" si="31"/>
        <v>10.026936828047496</v>
      </c>
      <c r="F389" s="28">
        <f t="shared" ca="1" si="32"/>
        <v>1.0173448323676766</v>
      </c>
      <c r="G389" s="28">
        <f t="shared" ca="1" si="33"/>
        <v>0.97993465930646806</v>
      </c>
      <c r="H389" s="28">
        <f t="shared" ca="1" si="34"/>
        <v>1.0245143837000201</v>
      </c>
      <c r="J389" s="28">
        <f t="shared" ca="1" si="35"/>
        <v>65.257611049935434</v>
      </c>
    </row>
    <row r="390" spans="4:10" x14ac:dyDescent="0.25">
      <c r="D390" s="28">
        <f t="shared" ca="1" si="30"/>
        <v>0.62594764529608948</v>
      </c>
      <c r="E390" s="28">
        <f t="shared" ca="1" si="31"/>
        <v>9.9572170227177796</v>
      </c>
      <c r="F390" s="28">
        <f t="shared" ca="1" si="32"/>
        <v>1.0091322471877995</v>
      </c>
      <c r="G390" s="28">
        <f t="shared" ca="1" si="33"/>
        <v>1.0249636332152618</v>
      </c>
      <c r="H390" s="28">
        <f t="shared" ca="1" si="34"/>
        <v>0.99346854752161007</v>
      </c>
      <c r="J390" s="28">
        <f t="shared" ca="1" si="35"/>
        <v>64.596754753468531</v>
      </c>
    </row>
    <row r="391" spans="4:10" x14ac:dyDescent="0.25">
      <c r="D391" s="28">
        <f t="shared" ca="1" si="30"/>
        <v>0.64637951923865489</v>
      </c>
      <c r="E391" s="28">
        <f t="shared" ca="1" si="31"/>
        <v>10.303143591104721</v>
      </c>
      <c r="F391" s="28">
        <f t="shared" ca="1" si="32"/>
        <v>0.99592165380502251</v>
      </c>
      <c r="G391" s="28">
        <f t="shared" ca="1" si="33"/>
        <v>0.90821586800002241</v>
      </c>
      <c r="H391" s="28">
        <f t="shared" ca="1" si="34"/>
        <v>1.0590526528442326</v>
      </c>
      <c r="J391" s="28">
        <f t="shared" ca="1" si="35"/>
        <v>60.09656478409498</v>
      </c>
    </row>
    <row r="392" spans="4:10" x14ac:dyDescent="0.25">
      <c r="D392" s="28">
        <f t="shared" ca="1" si="30"/>
        <v>0.66609945298341144</v>
      </c>
      <c r="E392" s="28">
        <f t="shared" ca="1" si="31"/>
        <v>9.8320045431433147</v>
      </c>
      <c r="F392" s="28">
        <f t="shared" ca="1" si="32"/>
        <v>0.98520416413975143</v>
      </c>
      <c r="G392" s="28">
        <f t="shared" ca="1" si="33"/>
        <v>1.0251379567345924</v>
      </c>
      <c r="H392" s="28">
        <f t="shared" ca="1" si="34"/>
        <v>0.96508744672102031</v>
      </c>
      <c r="J392" s="28">
        <f t="shared" ca="1" si="35"/>
        <v>66.034702539031301</v>
      </c>
    </row>
    <row r="393" spans="4:10" x14ac:dyDescent="0.25">
      <c r="D393" s="28">
        <f t="shared" ca="1" si="30"/>
        <v>0.67857169204490231</v>
      </c>
      <c r="E393" s="28">
        <f t="shared" ca="1" si="31"/>
        <v>10.163058759131388</v>
      </c>
      <c r="F393" s="28">
        <f t="shared" ca="1" si="32"/>
        <v>1.001698356515748</v>
      </c>
      <c r="G393" s="28">
        <f t="shared" ca="1" si="33"/>
        <v>1.0242333182915007</v>
      </c>
      <c r="H393" s="28">
        <f t="shared" ca="1" si="34"/>
        <v>0.99585780382804501</v>
      </c>
      <c r="J393" s="28">
        <f t="shared" ca="1" si="35"/>
        <v>68.218865586877143</v>
      </c>
    </row>
    <row r="394" spans="4:10" x14ac:dyDescent="0.25">
      <c r="D394" s="28">
        <f t="shared" ca="1" si="30"/>
        <v>0.66933387431585134</v>
      </c>
      <c r="E394" s="28">
        <f t="shared" ca="1" si="31"/>
        <v>10.070886373121262</v>
      </c>
      <c r="F394" s="28">
        <f t="shared" ca="1" si="32"/>
        <v>0.98201373591373708</v>
      </c>
      <c r="G394" s="28">
        <f t="shared" ca="1" si="33"/>
        <v>0.94883447660691378</v>
      </c>
      <c r="H394" s="28">
        <f t="shared" ca="1" si="34"/>
        <v>0.98276636916779503</v>
      </c>
      <c r="J394" s="28">
        <f t="shared" ca="1" si="35"/>
        <v>60.860205475892862</v>
      </c>
    </row>
    <row r="395" spans="4:10" x14ac:dyDescent="0.25">
      <c r="D395" s="28">
        <f t="shared" ca="1" si="30"/>
        <v>0.64958174451722128</v>
      </c>
      <c r="E395" s="28">
        <f t="shared" ca="1" si="31"/>
        <v>10.037551270730743</v>
      </c>
      <c r="F395" s="28">
        <f t="shared" ca="1" si="32"/>
        <v>1.0075538049769899</v>
      </c>
      <c r="G395" s="28">
        <f t="shared" ca="1" si="33"/>
        <v>1.0035600504992452</v>
      </c>
      <c r="H395" s="28">
        <f t="shared" ca="1" si="34"/>
        <v>1.0403114687300405</v>
      </c>
      <c r="J395" s="28">
        <f t="shared" ca="1" si="35"/>
        <v>68.073962811560349</v>
      </c>
    </row>
    <row r="396" spans="4:10" x14ac:dyDescent="0.25">
      <c r="D396" s="28">
        <f t="shared" ca="1" si="30"/>
        <v>0.63697518228542693</v>
      </c>
      <c r="E396" s="28">
        <f t="shared" ca="1" si="31"/>
        <v>9.6838729265293377</v>
      </c>
      <c r="F396" s="28">
        <f t="shared" ca="1" si="32"/>
        <v>1.0311563231679921</v>
      </c>
      <c r="G396" s="28">
        <f t="shared" ca="1" si="33"/>
        <v>1.0671827915157079</v>
      </c>
      <c r="H396" s="28">
        <f t="shared" ca="1" si="34"/>
        <v>0.99699254701062401</v>
      </c>
      <c r="J396" s="28">
        <f t="shared" ca="1" si="35"/>
        <v>72.165340388328346</v>
      </c>
    </row>
    <row r="397" spans="4:10" x14ac:dyDescent="0.25">
      <c r="D397" s="28">
        <f t="shared" ca="1" si="30"/>
        <v>0.69531753477758651</v>
      </c>
      <c r="E397" s="28">
        <f t="shared" ca="1" si="31"/>
        <v>10.278965184470156</v>
      </c>
      <c r="F397" s="28">
        <f t="shared" ca="1" si="32"/>
        <v>0.99749951845392559</v>
      </c>
      <c r="G397" s="28">
        <f t="shared" ca="1" si="33"/>
        <v>1.0098641462570133</v>
      </c>
      <c r="H397" s="28">
        <f t="shared" ca="1" si="34"/>
        <v>1.002321780902909</v>
      </c>
      <c r="J397" s="28">
        <f t="shared" ca="1" si="35"/>
        <v>68.299355057214754</v>
      </c>
    </row>
    <row r="398" spans="4:10" x14ac:dyDescent="0.25">
      <c r="D398" s="28">
        <f t="shared" ca="1" si="30"/>
        <v>0.64760604807141442</v>
      </c>
      <c r="E398" s="28">
        <f t="shared" ca="1" si="31"/>
        <v>10.252902272837549</v>
      </c>
      <c r="F398" s="28">
        <f t="shared" ca="1" si="32"/>
        <v>0.99609536345630523</v>
      </c>
      <c r="G398" s="28">
        <f t="shared" ca="1" si="33"/>
        <v>0.99782279733565915</v>
      </c>
      <c r="H398" s="28">
        <f t="shared" ca="1" si="34"/>
        <v>1.0011773965844855</v>
      </c>
      <c r="J398" s="28">
        <f t="shared" ca="1" si="35"/>
        <v>62.853498334591116</v>
      </c>
    </row>
    <row r="399" spans="4:10" x14ac:dyDescent="0.25">
      <c r="D399" s="28">
        <f t="shared" ca="1" si="30"/>
        <v>0.66354115137511016</v>
      </c>
      <c r="E399" s="28">
        <f t="shared" ca="1" si="31"/>
        <v>10.08470611672614</v>
      </c>
      <c r="F399" s="28">
        <f t="shared" ca="1" si="32"/>
        <v>1.0000553059144943</v>
      </c>
      <c r="G399" s="28">
        <f t="shared" ca="1" si="33"/>
        <v>1.0812167210714934</v>
      </c>
      <c r="H399" s="28">
        <f t="shared" ca="1" si="34"/>
        <v>1.0201923739625276</v>
      </c>
      <c r="J399" s="28">
        <f t="shared" ca="1" si="35"/>
        <v>72.581085644728276</v>
      </c>
    </row>
    <row r="400" spans="4:10" x14ac:dyDescent="0.25">
      <c r="D400" s="28">
        <f t="shared" ca="1" si="30"/>
        <v>0.62643558406955102</v>
      </c>
      <c r="E400" s="28">
        <f t="shared" ca="1" si="31"/>
        <v>10.05981318905982</v>
      </c>
      <c r="F400" s="28">
        <f t="shared" ca="1" si="32"/>
        <v>0.98211608265165251</v>
      </c>
      <c r="G400" s="28">
        <f t="shared" ca="1" si="33"/>
        <v>1.0169238777121283</v>
      </c>
      <c r="H400" s="28">
        <f t="shared" ca="1" si="34"/>
        <v>1.0073155583128401</v>
      </c>
      <c r="J400" s="28">
        <f t="shared" ca="1" si="35"/>
        <v>62.647437718667838</v>
      </c>
    </row>
    <row r="401" spans="4:10" x14ac:dyDescent="0.25">
      <c r="D401" s="28">
        <f t="shared" ca="1" si="30"/>
        <v>0.64775368231206643</v>
      </c>
      <c r="E401" s="28">
        <f t="shared" ca="1" si="31"/>
        <v>9.976462791029828</v>
      </c>
      <c r="F401" s="28">
        <f t="shared" ca="1" si="32"/>
        <v>0.9982146019914746</v>
      </c>
      <c r="G401" s="28">
        <f t="shared" ca="1" si="33"/>
        <v>0.9435730281359509</v>
      </c>
      <c r="H401" s="28">
        <f t="shared" ca="1" si="34"/>
        <v>0.99464315589119168</v>
      </c>
      <c r="J401" s="28">
        <f t="shared" ca="1" si="35"/>
        <v>60.827509980425901</v>
      </c>
    </row>
    <row r="402" spans="4:10" x14ac:dyDescent="0.25">
      <c r="D402" s="28">
        <f t="shared" ca="1" si="30"/>
        <v>0.6459336874924303</v>
      </c>
      <c r="E402" s="28">
        <f t="shared" ca="1" si="31"/>
        <v>10.244347366808221</v>
      </c>
      <c r="F402" s="28">
        <f t="shared" ca="1" si="32"/>
        <v>0.9805842256894427</v>
      </c>
      <c r="G402" s="28">
        <f t="shared" ca="1" si="33"/>
        <v>1.0697077792570373</v>
      </c>
      <c r="H402" s="28">
        <f t="shared" ca="1" si="34"/>
        <v>0.91947307688310176</v>
      </c>
      <c r="J402" s="28">
        <f t="shared" ca="1" si="35"/>
        <v>60.812479714700736</v>
      </c>
    </row>
    <row r="403" spans="4:10" x14ac:dyDescent="0.25">
      <c r="D403" s="28">
        <f t="shared" ca="1" si="30"/>
        <v>0.6827656297448027</v>
      </c>
      <c r="E403" s="28">
        <f t="shared" ca="1" si="31"/>
        <v>10.066452028253117</v>
      </c>
      <c r="F403" s="28">
        <f t="shared" ca="1" si="32"/>
        <v>1.0021882721143383</v>
      </c>
      <c r="G403" s="28">
        <f t="shared" ca="1" si="33"/>
        <v>1.0388940242914559</v>
      </c>
      <c r="H403" s="28">
        <f t="shared" ca="1" si="34"/>
        <v>1.0088391304936832</v>
      </c>
      <c r="J403" s="28">
        <f t="shared" ca="1" si="35"/>
        <v>71.242262956095573</v>
      </c>
    </row>
    <row r="404" spans="4:10" x14ac:dyDescent="0.25">
      <c r="D404" s="28">
        <f t="shared" ca="1" si="30"/>
        <v>0.66640157395114119</v>
      </c>
      <c r="E404" s="28">
        <f t="shared" ca="1" si="31"/>
        <v>9.6754318094502771</v>
      </c>
      <c r="F404" s="28">
        <f t="shared" ca="1" si="32"/>
        <v>1.0112261194245764</v>
      </c>
      <c r="G404" s="28">
        <f t="shared" ca="1" si="33"/>
        <v>0.998414623565265</v>
      </c>
      <c r="H404" s="28">
        <f t="shared" ca="1" si="34"/>
        <v>0.97171930541406393</v>
      </c>
      <c r="J404" s="28">
        <f t="shared" ca="1" si="35"/>
        <v>67.571833120235169</v>
      </c>
    </row>
    <row r="405" spans="4:10" x14ac:dyDescent="0.25">
      <c r="D405" s="28">
        <f t="shared" ca="1" si="30"/>
        <v>0.66076687281191349</v>
      </c>
      <c r="E405" s="28">
        <f t="shared" ca="1" si="31"/>
        <v>9.8869414756316978</v>
      </c>
      <c r="F405" s="28">
        <f t="shared" ca="1" si="32"/>
        <v>0.98374219518713868</v>
      </c>
      <c r="G405" s="28">
        <f t="shared" ca="1" si="33"/>
        <v>0.98116629451906368</v>
      </c>
      <c r="H405" s="28">
        <f t="shared" ca="1" si="34"/>
        <v>1.0148797940085144</v>
      </c>
      <c r="J405" s="28">
        <f t="shared" ca="1" si="35"/>
        <v>65.467359479419798</v>
      </c>
    </row>
    <row r="406" spans="4:10" x14ac:dyDescent="0.25">
      <c r="D406" s="28">
        <f t="shared" ca="1" si="30"/>
        <v>0.63305423415965012</v>
      </c>
      <c r="E406" s="28">
        <f t="shared" ca="1" si="31"/>
        <v>10.058587901041358</v>
      </c>
      <c r="F406" s="28">
        <f t="shared" ca="1" si="32"/>
        <v>0.97513776873017644</v>
      </c>
      <c r="G406" s="28">
        <f t="shared" ca="1" si="33"/>
        <v>1.032655842648093</v>
      </c>
      <c r="H406" s="28">
        <f t="shared" ca="1" si="34"/>
        <v>1.0146534788449486</v>
      </c>
      <c r="J406" s="28">
        <f t="shared" ca="1" si="35"/>
        <v>64.304776836479888</v>
      </c>
    </row>
    <row r="407" spans="4:10" x14ac:dyDescent="0.25">
      <c r="D407" s="28">
        <f t="shared" ca="1" si="30"/>
        <v>0.63349902599267371</v>
      </c>
      <c r="E407" s="28">
        <f t="shared" ca="1" si="31"/>
        <v>10.066987107590275</v>
      </c>
      <c r="F407" s="28">
        <f t="shared" ca="1" si="32"/>
        <v>0.98875902846213914</v>
      </c>
      <c r="G407" s="28">
        <f t="shared" ca="1" si="33"/>
        <v>1.0113016933428016</v>
      </c>
      <c r="H407" s="28">
        <f t="shared" ca="1" si="34"/>
        <v>0.98038968712276797</v>
      </c>
      <c r="J407" s="28">
        <f t="shared" ca="1" si="35"/>
        <v>61.690227211423682</v>
      </c>
    </row>
    <row r="408" spans="4:10" x14ac:dyDescent="0.25">
      <c r="D408" s="28">
        <f t="shared" ca="1" si="30"/>
        <v>0.65689873644948682</v>
      </c>
      <c r="E408" s="28">
        <f t="shared" ca="1" si="31"/>
        <v>10.136577566660771</v>
      </c>
      <c r="F408" s="28">
        <f t="shared" ca="1" si="32"/>
        <v>0.99654923224888003</v>
      </c>
      <c r="G408" s="28">
        <f t="shared" ca="1" si="33"/>
        <v>1.0331853731135254</v>
      </c>
      <c r="H408" s="28">
        <f t="shared" ca="1" si="34"/>
        <v>0.98253637305116492</v>
      </c>
      <c r="J408" s="28">
        <f t="shared" ca="1" si="35"/>
        <v>65.559060812351561</v>
      </c>
    </row>
    <row r="409" spans="4:10" x14ac:dyDescent="0.25">
      <c r="D409" s="28">
        <f t="shared" ref="D409:D472" ca="1" si="36">NORMINV(RAND(),$D$22,$D$23)</f>
        <v>0.65979789921957754</v>
      </c>
      <c r="E409" s="28">
        <f t="shared" ref="E409:E472" ca="1" si="37">$E$22+$E$23*SQRT(6)*(RAND()-RAND())</f>
        <v>9.7201176801417386</v>
      </c>
      <c r="F409" s="28">
        <f t="shared" ref="F409:F472" ca="1" si="38">NORMINV(RAND(),$F$22,$F$23)</f>
        <v>1.0133555902027283</v>
      </c>
      <c r="G409" s="28">
        <f t="shared" ref="G409:G472" ca="1" si="39">NORMINV(RAND(),$G$22,$G$23)</f>
        <v>1.0090696239925556</v>
      </c>
      <c r="H409" s="28">
        <f t="shared" ref="H409:H472" ca="1" si="40">NORMINV(RAND(),$H$22,$H$23)</f>
        <v>0.95935820710829378</v>
      </c>
      <c r="J409" s="28">
        <f t="shared" ref="J409:J472" ca="1" si="41">1000*D409*G409*F409*H409/E409</f>
        <v>66.589108593747824</v>
      </c>
    </row>
    <row r="410" spans="4:10" x14ac:dyDescent="0.25">
      <c r="D410" s="28">
        <f t="shared" ca="1" si="36"/>
        <v>0.67718916137361707</v>
      </c>
      <c r="E410" s="28">
        <f t="shared" ca="1" si="37"/>
        <v>9.947255132607566</v>
      </c>
      <c r="F410" s="28">
        <f t="shared" ca="1" si="38"/>
        <v>0.98542369105425964</v>
      </c>
      <c r="G410" s="28">
        <f t="shared" ca="1" si="39"/>
        <v>0.9420850927917821</v>
      </c>
      <c r="H410" s="28">
        <f t="shared" ca="1" si="40"/>
        <v>1.0243772670575051</v>
      </c>
      <c r="J410" s="28">
        <f t="shared" ca="1" si="41"/>
        <v>64.741059778463466</v>
      </c>
    </row>
    <row r="411" spans="4:10" x14ac:dyDescent="0.25">
      <c r="D411" s="28">
        <f t="shared" ca="1" si="36"/>
        <v>0.63664750619181776</v>
      </c>
      <c r="E411" s="28">
        <f t="shared" ca="1" si="37"/>
        <v>9.8233289632362286</v>
      </c>
      <c r="F411" s="28">
        <f t="shared" ca="1" si="38"/>
        <v>1.0051054969953501</v>
      </c>
      <c r="G411" s="28">
        <f t="shared" ca="1" si="39"/>
        <v>0.96584020609235288</v>
      </c>
      <c r="H411" s="28">
        <f t="shared" ca="1" si="40"/>
        <v>1.0182750298002028</v>
      </c>
      <c r="J411" s="28">
        <f t="shared" ca="1" si="41"/>
        <v>64.065228120291593</v>
      </c>
    </row>
    <row r="412" spans="4:10" x14ac:dyDescent="0.25">
      <c r="D412" s="28">
        <f t="shared" ca="1" si="36"/>
        <v>0.63383088818682309</v>
      </c>
      <c r="E412" s="28">
        <f t="shared" ca="1" si="37"/>
        <v>9.8365033289117445</v>
      </c>
      <c r="F412" s="28">
        <f t="shared" ca="1" si="38"/>
        <v>1.0046438456623445</v>
      </c>
      <c r="G412" s="28">
        <f t="shared" ca="1" si="39"/>
        <v>0.97244690970116054</v>
      </c>
      <c r="H412" s="28">
        <f t="shared" ca="1" si="40"/>
        <v>1.0047726334295728</v>
      </c>
      <c r="J412" s="28">
        <f t="shared" ca="1" si="41"/>
        <v>63.252614712118266</v>
      </c>
    </row>
    <row r="413" spans="4:10" x14ac:dyDescent="0.25">
      <c r="D413" s="28">
        <f t="shared" ca="1" si="36"/>
        <v>0.63818862643272722</v>
      </c>
      <c r="E413" s="28">
        <f t="shared" ca="1" si="37"/>
        <v>10.003610012051437</v>
      </c>
      <c r="F413" s="28">
        <f t="shared" ca="1" si="38"/>
        <v>1.0204690167115238</v>
      </c>
      <c r="G413" s="28">
        <f t="shared" ca="1" si="39"/>
        <v>1.0268994826363496</v>
      </c>
      <c r="H413" s="28">
        <f t="shared" ca="1" si="40"/>
        <v>1.0290181875632249</v>
      </c>
      <c r="J413" s="28">
        <f t="shared" ca="1" si="41"/>
        <v>68.792820639332092</v>
      </c>
    </row>
    <row r="414" spans="4:10" x14ac:dyDescent="0.25">
      <c r="D414" s="28">
        <f t="shared" ca="1" si="36"/>
        <v>0.63724019161328593</v>
      </c>
      <c r="E414" s="28">
        <f t="shared" ca="1" si="37"/>
        <v>10.244978335531219</v>
      </c>
      <c r="F414" s="28">
        <f t="shared" ca="1" si="38"/>
        <v>0.97416086767286525</v>
      </c>
      <c r="G414" s="28">
        <f t="shared" ca="1" si="39"/>
        <v>1.0013372845809698</v>
      </c>
      <c r="H414" s="28">
        <f t="shared" ca="1" si="40"/>
        <v>0.97021196845067248</v>
      </c>
      <c r="J414" s="28">
        <f t="shared" ca="1" si="41"/>
        <v>58.866716219476288</v>
      </c>
    </row>
    <row r="415" spans="4:10" x14ac:dyDescent="0.25">
      <c r="D415" s="28">
        <f t="shared" ca="1" si="36"/>
        <v>0.65319023407623644</v>
      </c>
      <c r="E415" s="28">
        <f t="shared" ca="1" si="37"/>
        <v>10.151169339281187</v>
      </c>
      <c r="F415" s="28">
        <f t="shared" ca="1" si="38"/>
        <v>0.99470342971292935</v>
      </c>
      <c r="G415" s="28">
        <f t="shared" ca="1" si="39"/>
        <v>1.0304457273002194</v>
      </c>
      <c r="H415" s="28">
        <f t="shared" ca="1" si="40"/>
        <v>1.028906235864836</v>
      </c>
      <c r="J415" s="28">
        <f t="shared" ca="1" si="41"/>
        <v>67.860670723233525</v>
      </c>
    </row>
    <row r="416" spans="4:10" x14ac:dyDescent="0.25">
      <c r="D416" s="28">
        <f t="shared" ca="1" si="36"/>
        <v>0.66072977260294008</v>
      </c>
      <c r="E416" s="28">
        <f t="shared" ca="1" si="37"/>
        <v>10.077637826528083</v>
      </c>
      <c r="F416" s="28">
        <f t="shared" ca="1" si="38"/>
        <v>1.0042855069390302</v>
      </c>
      <c r="G416" s="28">
        <f t="shared" ca="1" si="39"/>
        <v>0.98441534867143055</v>
      </c>
      <c r="H416" s="28">
        <f t="shared" ca="1" si="40"/>
        <v>0.99125404065623701</v>
      </c>
      <c r="J416" s="28">
        <f t="shared" ca="1" si="41"/>
        <v>64.251855296198627</v>
      </c>
    </row>
    <row r="417" spans="4:10" x14ac:dyDescent="0.25">
      <c r="D417" s="28">
        <f t="shared" ca="1" si="36"/>
        <v>0.65609497646560699</v>
      </c>
      <c r="E417" s="28">
        <f t="shared" ca="1" si="37"/>
        <v>10.266834866428932</v>
      </c>
      <c r="F417" s="28">
        <f t="shared" ca="1" si="38"/>
        <v>1.0038849369369363</v>
      </c>
      <c r="G417" s="28">
        <f t="shared" ca="1" si="39"/>
        <v>0.9903809928654016</v>
      </c>
      <c r="H417" s="28">
        <f t="shared" ca="1" si="40"/>
        <v>0.97424600476740808</v>
      </c>
      <c r="J417" s="28">
        <f t="shared" ca="1" si="41"/>
        <v>61.899195401138606</v>
      </c>
    </row>
    <row r="418" spans="4:10" x14ac:dyDescent="0.25">
      <c r="D418" s="28">
        <f t="shared" ca="1" si="36"/>
        <v>0.65949787830511286</v>
      </c>
      <c r="E418" s="28">
        <f t="shared" ca="1" si="37"/>
        <v>10.009993965940295</v>
      </c>
      <c r="F418" s="28">
        <f t="shared" ca="1" si="38"/>
        <v>1.019657213939241</v>
      </c>
      <c r="G418" s="28">
        <f t="shared" ca="1" si="39"/>
        <v>1.0071123909063655</v>
      </c>
      <c r="H418" s="28">
        <f t="shared" ca="1" si="40"/>
        <v>1.0073543065881434</v>
      </c>
      <c r="J418" s="28">
        <f t="shared" ca="1" si="41"/>
        <v>68.154411157739716</v>
      </c>
    </row>
    <row r="419" spans="4:10" x14ac:dyDescent="0.25">
      <c r="D419" s="28">
        <f t="shared" ca="1" si="36"/>
        <v>0.63202348782588524</v>
      </c>
      <c r="E419" s="28">
        <f t="shared" ca="1" si="37"/>
        <v>9.9985963674904177</v>
      </c>
      <c r="F419" s="28">
        <f t="shared" ca="1" si="38"/>
        <v>1.0228522316859954</v>
      </c>
      <c r="G419" s="28">
        <f t="shared" ca="1" si="39"/>
        <v>1.0233367266496252</v>
      </c>
      <c r="H419" s="28">
        <f t="shared" ca="1" si="40"/>
        <v>1.0204729378524313</v>
      </c>
      <c r="J419" s="28">
        <f t="shared" ca="1" si="41"/>
        <v>67.519175674158646</v>
      </c>
    </row>
    <row r="420" spans="4:10" x14ac:dyDescent="0.25">
      <c r="D420" s="28">
        <f t="shared" ca="1" si="36"/>
        <v>0.66516142902062558</v>
      </c>
      <c r="E420" s="28">
        <f t="shared" ca="1" si="37"/>
        <v>10.251532108901836</v>
      </c>
      <c r="F420" s="28">
        <f t="shared" ca="1" si="38"/>
        <v>0.96493924777259399</v>
      </c>
      <c r="G420" s="28">
        <f t="shared" ca="1" si="39"/>
        <v>0.9940105566409162</v>
      </c>
      <c r="H420" s="28">
        <f t="shared" ca="1" si="40"/>
        <v>0.99792887040204925</v>
      </c>
      <c r="J420" s="28">
        <f t="shared" ca="1" si="41"/>
        <v>62.105324653573916</v>
      </c>
    </row>
    <row r="421" spans="4:10" x14ac:dyDescent="0.25">
      <c r="D421" s="28">
        <f t="shared" ca="1" si="36"/>
        <v>0.68441313009887939</v>
      </c>
      <c r="E421" s="28">
        <f t="shared" ca="1" si="37"/>
        <v>10.003572329924374</v>
      </c>
      <c r="F421" s="28">
        <f t="shared" ca="1" si="38"/>
        <v>1.0037088378290657</v>
      </c>
      <c r="G421" s="28">
        <f t="shared" ca="1" si="39"/>
        <v>0.93359312723826837</v>
      </c>
      <c r="H421" s="28">
        <f t="shared" ca="1" si="40"/>
        <v>0.99212190991048421</v>
      </c>
      <c r="J421" s="28">
        <f t="shared" ca="1" si="41"/>
        <v>63.605350598863758</v>
      </c>
    </row>
    <row r="422" spans="4:10" x14ac:dyDescent="0.25">
      <c r="D422" s="28">
        <f t="shared" ca="1" si="36"/>
        <v>0.64494833057319401</v>
      </c>
      <c r="E422" s="28">
        <f t="shared" ca="1" si="37"/>
        <v>10.342883558986998</v>
      </c>
      <c r="F422" s="28">
        <f t="shared" ca="1" si="38"/>
        <v>1.0032976793056967</v>
      </c>
      <c r="G422" s="28">
        <f t="shared" ca="1" si="39"/>
        <v>0.97347475373719294</v>
      </c>
      <c r="H422" s="28">
        <f t="shared" ca="1" si="40"/>
        <v>0.98912884365007037</v>
      </c>
      <c r="J422" s="28">
        <f t="shared" ca="1" si="41"/>
        <v>60.240789438680814</v>
      </c>
    </row>
    <row r="423" spans="4:10" x14ac:dyDescent="0.25">
      <c r="D423" s="28">
        <f t="shared" ca="1" si="36"/>
        <v>0.61687462414515193</v>
      </c>
      <c r="E423" s="28">
        <f t="shared" ca="1" si="37"/>
        <v>9.9472713417534404</v>
      </c>
      <c r="F423" s="28">
        <f t="shared" ca="1" si="38"/>
        <v>0.9975178162170365</v>
      </c>
      <c r="G423" s="28">
        <f t="shared" ca="1" si="39"/>
        <v>0.98352107172196734</v>
      </c>
      <c r="H423" s="28">
        <f t="shared" ca="1" si="40"/>
        <v>0.99405954309802691</v>
      </c>
      <c r="J423" s="28">
        <f t="shared" ca="1" si="41"/>
        <v>60.479705778683986</v>
      </c>
    </row>
    <row r="424" spans="4:10" x14ac:dyDescent="0.25">
      <c r="D424" s="28">
        <f t="shared" ca="1" si="36"/>
        <v>0.66937247676877465</v>
      </c>
      <c r="E424" s="28">
        <f t="shared" ca="1" si="37"/>
        <v>10.132679851492453</v>
      </c>
      <c r="F424" s="28">
        <f t="shared" ca="1" si="38"/>
        <v>0.99619925645823226</v>
      </c>
      <c r="G424" s="28">
        <f t="shared" ca="1" si="39"/>
        <v>1.0734971222859881</v>
      </c>
      <c r="H424" s="28">
        <f t="shared" ca="1" si="40"/>
        <v>0.98255857693887683</v>
      </c>
      <c r="J424" s="28">
        <f t="shared" ca="1" si="41"/>
        <v>69.414320850862467</v>
      </c>
    </row>
    <row r="425" spans="4:10" x14ac:dyDescent="0.25">
      <c r="D425" s="28">
        <f t="shared" ca="1" si="36"/>
        <v>0.59016822697357008</v>
      </c>
      <c r="E425" s="28">
        <f t="shared" ca="1" si="37"/>
        <v>9.8672217807225131</v>
      </c>
      <c r="F425" s="28">
        <f t="shared" ca="1" si="38"/>
        <v>0.98270733264446342</v>
      </c>
      <c r="G425" s="28">
        <f t="shared" ca="1" si="39"/>
        <v>0.97407767456390137</v>
      </c>
      <c r="H425" s="28">
        <f t="shared" ca="1" si="40"/>
        <v>0.98324464263704381</v>
      </c>
      <c r="J425" s="28">
        <f t="shared" ca="1" si="41"/>
        <v>56.293766820788399</v>
      </c>
    </row>
    <row r="426" spans="4:10" x14ac:dyDescent="0.25">
      <c r="D426" s="28">
        <f t="shared" ca="1" si="36"/>
        <v>0.66026395982610164</v>
      </c>
      <c r="E426" s="28">
        <f t="shared" ca="1" si="37"/>
        <v>9.8526253284572523</v>
      </c>
      <c r="F426" s="28">
        <f t="shared" ca="1" si="38"/>
        <v>1.0039856968339089</v>
      </c>
      <c r="G426" s="28">
        <f t="shared" ca="1" si="39"/>
        <v>1.0014388989326879</v>
      </c>
      <c r="H426" s="28">
        <f t="shared" ca="1" si="40"/>
        <v>0.97077235967865927</v>
      </c>
      <c r="J426" s="28">
        <f t="shared" ca="1" si="41"/>
        <v>65.408623409433645</v>
      </c>
    </row>
    <row r="427" spans="4:10" x14ac:dyDescent="0.25">
      <c r="D427" s="28">
        <f t="shared" ca="1" si="36"/>
        <v>0.66719870997225084</v>
      </c>
      <c r="E427" s="28">
        <f t="shared" ca="1" si="37"/>
        <v>9.9847710397554739</v>
      </c>
      <c r="F427" s="28">
        <f t="shared" ca="1" si="38"/>
        <v>1.0213577252234254</v>
      </c>
      <c r="G427" s="28">
        <f t="shared" ca="1" si="39"/>
        <v>0.96001244366885485</v>
      </c>
      <c r="H427" s="28">
        <f t="shared" ca="1" si="40"/>
        <v>1.0240321337580578</v>
      </c>
      <c r="J427" s="28">
        <f t="shared" ca="1" si="41"/>
        <v>67.094267020177639</v>
      </c>
    </row>
    <row r="428" spans="4:10" x14ac:dyDescent="0.25">
      <c r="D428" s="28">
        <f t="shared" ca="1" si="36"/>
        <v>0.6390035622705259</v>
      </c>
      <c r="E428" s="28">
        <f t="shared" ca="1" si="37"/>
        <v>9.9757425721841653</v>
      </c>
      <c r="F428" s="28">
        <f t="shared" ca="1" si="38"/>
        <v>0.99807610320498097</v>
      </c>
      <c r="G428" s="28">
        <f t="shared" ca="1" si="39"/>
        <v>1.0213252252216156</v>
      </c>
      <c r="H428" s="28">
        <f t="shared" ca="1" si="40"/>
        <v>0.94158146247451568</v>
      </c>
      <c r="J428" s="28">
        <f t="shared" ca="1" si="41"/>
        <v>61.481387692545049</v>
      </c>
    </row>
    <row r="429" spans="4:10" x14ac:dyDescent="0.25">
      <c r="D429" s="28">
        <f t="shared" ca="1" si="36"/>
        <v>0.64376524549488001</v>
      </c>
      <c r="E429" s="28">
        <f t="shared" ca="1" si="37"/>
        <v>10.101738880609767</v>
      </c>
      <c r="F429" s="28">
        <f t="shared" ca="1" si="38"/>
        <v>0.99886757729332742</v>
      </c>
      <c r="G429" s="28">
        <f t="shared" ca="1" si="39"/>
        <v>0.93554827702685561</v>
      </c>
      <c r="H429" s="28">
        <f t="shared" ca="1" si="40"/>
        <v>1.0354153533846682</v>
      </c>
      <c r="J429" s="28">
        <f t="shared" ca="1" si="41"/>
        <v>61.662355245817196</v>
      </c>
    </row>
    <row r="430" spans="4:10" x14ac:dyDescent="0.25">
      <c r="D430" s="28">
        <f t="shared" ca="1" si="36"/>
        <v>0.65703301562570027</v>
      </c>
      <c r="E430" s="28">
        <f t="shared" ca="1" si="37"/>
        <v>9.8770055373290866</v>
      </c>
      <c r="F430" s="28">
        <f t="shared" ca="1" si="38"/>
        <v>1.0208501206943308</v>
      </c>
      <c r="G430" s="28">
        <f t="shared" ca="1" si="39"/>
        <v>0.95662484524153291</v>
      </c>
      <c r="H430" s="28">
        <f t="shared" ca="1" si="40"/>
        <v>1.0366963486780809</v>
      </c>
      <c r="J430" s="28">
        <f t="shared" ca="1" si="41"/>
        <v>67.346821787094498</v>
      </c>
    </row>
    <row r="431" spans="4:10" x14ac:dyDescent="0.25">
      <c r="D431" s="28">
        <f t="shared" ca="1" si="36"/>
        <v>0.66921194106840542</v>
      </c>
      <c r="E431" s="28">
        <f t="shared" ca="1" si="37"/>
        <v>9.985554816412634</v>
      </c>
      <c r="F431" s="28">
        <f t="shared" ca="1" si="38"/>
        <v>1.0016518058050283</v>
      </c>
      <c r="G431" s="28">
        <f t="shared" ca="1" si="39"/>
        <v>0.98239195310789462</v>
      </c>
      <c r="H431" s="28">
        <f t="shared" ca="1" si="40"/>
        <v>1.0310702882027027</v>
      </c>
      <c r="J431" s="28">
        <f t="shared" ca="1" si="41"/>
        <v>67.99568112755469</v>
      </c>
    </row>
    <row r="432" spans="4:10" x14ac:dyDescent="0.25">
      <c r="D432" s="28">
        <f t="shared" ca="1" si="36"/>
        <v>0.67012274178595599</v>
      </c>
      <c r="E432" s="28">
        <f t="shared" ca="1" si="37"/>
        <v>9.9701858060906154</v>
      </c>
      <c r="F432" s="28">
        <f t="shared" ca="1" si="38"/>
        <v>0.99448223362905452</v>
      </c>
      <c r="G432" s="28">
        <f t="shared" ca="1" si="39"/>
        <v>1.0774983150766382</v>
      </c>
      <c r="H432" s="28">
        <f t="shared" ca="1" si="40"/>
        <v>0.952602850125981</v>
      </c>
      <c r="J432" s="28">
        <f t="shared" ca="1" si="41"/>
        <v>68.608292345196318</v>
      </c>
    </row>
    <row r="433" spans="4:10" x14ac:dyDescent="0.25">
      <c r="D433" s="28">
        <f t="shared" ca="1" si="36"/>
        <v>0.65026865495624031</v>
      </c>
      <c r="E433" s="28">
        <f t="shared" ca="1" si="37"/>
        <v>10.107561227875037</v>
      </c>
      <c r="F433" s="28">
        <f t="shared" ca="1" si="38"/>
        <v>1.0270607975534372</v>
      </c>
      <c r="G433" s="28">
        <f t="shared" ca="1" si="39"/>
        <v>0.98949481248286741</v>
      </c>
      <c r="H433" s="28">
        <f t="shared" ca="1" si="40"/>
        <v>1.0460972583896422</v>
      </c>
      <c r="J433" s="28">
        <f t="shared" ca="1" si="41"/>
        <v>68.39560218760424</v>
      </c>
    </row>
    <row r="434" spans="4:10" x14ac:dyDescent="0.25">
      <c r="D434" s="28">
        <f t="shared" ca="1" si="36"/>
        <v>0.66639500249299444</v>
      </c>
      <c r="E434" s="28">
        <f t="shared" ca="1" si="37"/>
        <v>10.007285831635762</v>
      </c>
      <c r="F434" s="28">
        <f t="shared" ca="1" si="38"/>
        <v>1.0060403424152644</v>
      </c>
      <c r="G434" s="28">
        <f t="shared" ca="1" si="39"/>
        <v>0.99886615676258761</v>
      </c>
      <c r="H434" s="28">
        <f t="shared" ca="1" si="40"/>
        <v>1.0343995274922702</v>
      </c>
      <c r="J434" s="28">
        <f t="shared" ca="1" si="41"/>
        <v>69.2191776936221</v>
      </c>
    </row>
    <row r="435" spans="4:10" x14ac:dyDescent="0.25">
      <c r="D435" s="28">
        <f t="shared" ca="1" si="36"/>
        <v>0.67845224354931633</v>
      </c>
      <c r="E435" s="28">
        <f t="shared" ca="1" si="37"/>
        <v>9.9240169958473263</v>
      </c>
      <c r="F435" s="28">
        <f t="shared" ca="1" si="38"/>
        <v>0.99415019287794204</v>
      </c>
      <c r="G435" s="28">
        <f t="shared" ca="1" si="39"/>
        <v>0.96235946950373386</v>
      </c>
      <c r="H435" s="28">
        <f t="shared" ca="1" si="40"/>
        <v>1.0329287582023319</v>
      </c>
      <c r="J435" s="28">
        <f t="shared" ca="1" si="41"/>
        <v>67.560285743911962</v>
      </c>
    </row>
    <row r="436" spans="4:10" x14ac:dyDescent="0.25">
      <c r="D436" s="28">
        <f t="shared" ca="1" si="36"/>
        <v>0.65975907992610017</v>
      </c>
      <c r="E436" s="28">
        <f t="shared" ca="1" si="37"/>
        <v>9.8759294566312885</v>
      </c>
      <c r="F436" s="28">
        <f t="shared" ca="1" si="38"/>
        <v>1.0136559368024995</v>
      </c>
      <c r="G436" s="28">
        <f t="shared" ca="1" si="39"/>
        <v>1.002922691754079</v>
      </c>
      <c r="H436" s="28">
        <f t="shared" ca="1" si="40"/>
        <v>0.98468122684805559</v>
      </c>
      <c r="J436" s="28">
        <f t="shared" ca="1" si="41"/>
        <v>66.874582046766051</v>
      </c>
    </row>
    <row r="437" spans="4:10" x14ac:dyDescent="0.25">
      <c r="D437" s="28">
        <f t="shared" ca="1" si="36"/>
        <v>0.63704348892125173</v>
      </c>
      <c r="E437" s="28">
        <f t="shared" ca="1" si="37"/>
        <v>10.103851238429094</v>
      </c>
      <c r="F437" s="28">
        <f t="shared" ca="1" si="38"/>
        <v>1.0121160434889549</v>
      </c>
      <c r="G437" s="28">
        <f t="shared" ca="1" si="39"/>
        <v>0.99382690797155282</v>
      </c>
      <c r="H437" s="28">
        <f t="shared" ca="1" si="40"/>
        <v>1.0333425077113385</v>
      </c>
      <c r="J437" s="28">
        <f t="shared" ca="1" si="41"/>
        <v>65.534123172192267</v>
      </c>
    </row>
    <row r="438" spans="4:10" x14ac:dyDescent="0.25">
      <c r="D438" s="28">
        <f t="shared" ca="1" si="36"/>
        <v>0.67325442757190124</v>
      </c>
      <c r="E438" s="28">
        <f t="shared" ca="1" si="37"/>
        <v>9.9744514599617577</v>
      </c>
      <c r="F438" s="28">
        <f t="shared" ca="1" si="38"/>
        <v>0.98642959540075781</v>
      </c>
      <c r="G438" s="28">
        <f t="shared" ca="1" si="39"/>
        <v>0.99945746595365115</v>
      </c>
      <c r="H438" s="28">
        <f t="shared" ca="1" si="40"/>
        <v>1.0321851281224033</v>
      </c>
      <c r="J438" s="28">
        <f t="shared" ca="1" si="41"/>
        <v>68.687578264083498</v>
      </c>
    </row>
    <row r="439" spans="4:10" x14ac:dyDescent="0.25">
      <c r="D439" s="28">
        <f t="shared" ca="1" si="36"/>
        <v>0.64076808775908312</v>
      </c>
      <c r="E439" s="28">
        <f t="shared" ca="1" si="37"/>
        <v>10.364343650761164</v>
      </c>
      <c r="F439" s="28">
        <f t="shared" ca="1" si="38"/>
        <v>1.002249131106921</v>
      </c>
      <c r="G439" s="28">
        <f t="shared" ca="1" si="39"/>
        <v>0.95951907514135071</v>
      </c>
      <c r="H439" s="28">
        <f t="shared" ca="1" si="40"/>
        <v>1.0301904219364817</v>
      </c>
      <c r="J439" s="28">
        <f t="shared" ca="1" si="41"/>
        <v>61.249969814317296</v>
      </c>
    </row>
    <row r="440" spans="4:10" x14ac:dyDescent="0.25">
      <c r="D440" s="28">
        <f t="shared" ca="1" si="36"/>
        <v>0.62065921083369713</v>
      </c>
      <c r="E440" s="28">
        <f t="shared" ca="1" si="37"/>
        <v>10.050974602744676</v>
      </c>
      <c r="F440" s="28">
        <f t="shared" ca="1" si="38"/>
        <v>1.0102056325635693</v>
      </c>
      <c r="G440" s="28">
        <f t="shared" ca="1" si="39"/>
        <v>1.0028430914925015</v>
      </c>
      <c r="H440" s="28">
        <f t="shared" ca="1" si="40"/>
        <v>1.0310981869229117</v>
      </c>
      <c r="J440" s="28">
        <f t="shared" ca="1" si="41"/>
        <v>64.504175020352235</v>
      </c>
    </row>
    <row r="441" spans="4:10" x14ac:dyDescent="0.25">
      <c r="D441" s="28">
        <f t="shared" ca="1" si="36"/>
        <v>0.65334447575514121</v>
      </c>
      <c r="E441" s="28">
        <f t="shared" ca="1" si="37"/>
        <v>9.6927492073588954</v>
      </c>
      <c r="F441" s="28">
        <f t="shared" ca="1" si="38"/>
        <v>1.0053888055963986</v>
      </c>
      <c r="G441" s="28">
        <f t="shared" ca="1" si="39"/>
        <v>1.0004838588846294</v>
      </c>
      <c r="H441" s="28">
        <f t="shared" ca="1" si="40"/>
        <v>1.0140044492490001</v>
      </c>
      <c r="J441" s="28">
        <f t="shared" ca="1" si="41"/>
        <v>68.751034886164959</v>
      </c>
    </row>
    <row r="442" spans="4:10" x14ac:dyDescent="0.25">
      <c r="D442" s="28">
        <f t="shared" ca="1" si="36"/>
        <v>0.66088560895493687</v>
      </c>
      <c r="E442" s="28">
        <f t="shared" ca="1" si="37"/>
        <v>9.8558506317686376</v>
      </c>
      <c r="F442" s="28">
        <f t="shared" ca="1" si="38"/>
        <v>0.98990808471342162</v>
      </c>
      <c r="G442" s="28">
        <f t="shared" ca="1" si="39"/>
        <v>1.038155405798904</v>
      </c>
      <c r="H442" s="28">
        <f t="shared" ca="1" si="40"/>
        <v>0.9300645546986086</v>
      </c>
      <c r="J442" s="28">
        <f t="shared" ca="1" si="41"/>
        <v>64.091807030957298</v>
      </c>
    </row>
    <row r="443" spans="4:10" x14ac:dyDescent="0.25">
      <c r="D443" s="28">
        <f t="shared" ca="1" si="36"/>
        <v>0.63256885336705715</v>
      </c>
      <c r="E443" s="28">
        <f t="shared" ca="1" si="37"/>
        <v>9.7413500650439797</v>
      </c>
      <c r="F443" s="28">
        <f t="shared" ca="1" si="38"/>
        <v>0.99815129313819606</v>
      </c>
      <c r="G443" s="28">
        <f t="shared" ca="1" si="39"/>
        <v>0.9665808529646811</v>
      </c>
      <c r="H443" s="28">
        <f t="shared" ca="1" si="40"/>
        <v>0.95817564336400707</v>
      </c>
      <c r="J443" s="28">
        <f t="shared" ca="1" si="41"/>
        <v>60.02999986882422</v>
      </c>
    </row>
    <row r="444" spans="4:10" x14ac:dyDescent="0.25">
      <c r="D444" s="28">
        <f t="shared" ca="1" si="36"/>
        <v>0.6508980148360054</v>
      </c>
      <c r="E444" s="28">
        <f t="shared" ca="1" si="37"/>
        <v>10.104685756461839</v>
      </c>
      <c r="F444" s="28">
        <f t="shared" ca="1" si="38"/>
        <v>0.95493624777996711</v>
      </c>
      <c r="G444" s="28">
        <f t="shared" ca="1" si="39"/>
        <v>0.98102874877479007</v>
      </c>
      <c r="H444" s="28">
        <f t="shared" ca="1" si="40"/>
        <v>1.0239020991947039</v>
      </c>
      <c r="J444" s="28">
        <f t="shared" ca="1" si="41"/>
        <v>61.788077349103844</v>
      </c>
    </row>
    <row r="445" spans="4:10" x14ac:dyDescent="0.25">
      <c r="D445" s="28">
        <f t="shared" ca="1" si="36"/>
        <v>0.68068342898895262</v>
      </c>
      <c r="E445" s="28">
        <f t="shared" ca="1" si="37"/>
        <v>9.9666998054658613</v>
      </c>
      <c r="F445" s="28">
        <f t="shared" ca="1" si="38"/>
        <v>1.015343222136885</v>
      </c>
      <c r="G445" s="28">
        <f t="shared" ca="1" si="39"/>
        <v>1.016445367509218</v>
      </c>
      <c r="H445" s="28">
        <f t="shared" ca="1" si="40"/>
        <v>0.97852811924768623</v>
      </c>
      <c r="J445" s="28">
        <f t="shared" ca="1" si="41"/>
        <v>68.970603398288233</v>
      </c>
    </row>
    <row r="446" spans="4:10" x14ac:dyDescent="0.25">
      <c r="D446" s="28">
        <f t="shared" ca="1" si="36"/>
        <v>0.64709041085338115</v>
      </c>
      <c r="E446" s="28">
        <f t="shared" ca="1" si="37"/>
        <v>10.037861028553083</v>
      </c>
      <c r="F446" s="28">
        <f t="shared" ca="1" si="38"/>
        <v>0.97476595571330915</v>
      </c>
      <c r="G446" s="28">
        <f t="shared" ca="1" si="39"/>
        <v>1.03983650350517</v>
      </c>
      <c r="H446" s="28">
        <f t="shared" ca="1" si="40"/>
        <v>0.97489127720910507</v>
      </c>
      <c r="J446" s="28">
        <f t="shared" ca="1" si="41"/>
        <v>63.700872681609589</v>
      </c>
    </row>
    <row r="447" spans="4:10" x14ac:dyDescent="0.25">
      <c r="D447" s="28">
        <f t="shared" ca="1" si="36"/>
        <v>0.64987494816391045</v>
      </c>
      <c r="E447" s="28">
        <f t="shared" ca="1" si="37"/>
        <v>10.150066872705494</v>
      </c>
      <c r="F447" s="28">
        <f t="shared" ca="1" si="38"/>
        <v>1.0093564554103194</v>
      </c>
      <c r="G447" s="28">
        <f t="shared" ca="1" si="39"/>
        <v>0.96032690948030663</v>
      </c>
      <c r="H447" s="28">
        <f t="shared" ca="1" si="40"/>
        <v>0.99539788090803538</v>
      </c>
      <c r="J447" s="28">
        <f t="shared" ca="1" si="41"/>
        <v>61.776210977522894</v>
      </c>
    </row>
    <row r="448" spans="4:10" x14ac:dyDescent="0.25">
      <c r="D448" s="28">
        <f t="shared" ca="1" si="36"/>
        <v>0.6528023257550849</v>
      </c>
      <c r="E448" s="28">
        <f t="shared" ca="1" si="37"/>
        <v>10.069148725036522</v>
      </c>
      <c r="F448" s="28">
        <f t="shared" ca="1" si="38"/>
        <v>0.99070944640931724</v>
      </c>
      <c r="G448" s="28">
        <f t="shared" ca="1" si="39"/>
        <v>1.0126829295107467</v>
      </c>
      <c r="H448" s="28">
        <f t="shared" ca="1" si="40"/>
        <v>1.0685630690226557</v>
      </c>
      <c r="J448" s="28">
        <f t="shared" ca="1" si="41"/>
        <v>69.503854648539985</v>
      </c>
    </row>
    <row r="449" spans="4:10" x14ac:dyDescent="0.25">
      <c r="D449" s="28">
        <f t="shared" ca="1" si="36"/>
        <v>0.65168562451597456</v>
      </c>
      <c r="E449" s="28">
        <f t="shared" ca="1" si="37"/>
        <v>10.036019499246969</v>
      </c>
      <c r="F449" s="28">
        <f t="shared" ca="1" si="38"/>
        <v>0.99201469774980178</v>
      </c>
      <c r="G449" s="28">
        <f t="shared" ca="1" si="39"/>
        <v>1.0441459184257811</v>
      </c>
      <c r="H449" s="28">
        <f t="shared" ca="1" si="40"/>
        <v>0.95085177665978393</v>
      </c>
      <c r="J449" s="28">
        <f t="shared" ca="1" si="41"/>
        <v>63.954155534665738</v>
      </c>
    </row>
    <row r="450" spans="4:10" x14ac:dyDescent="0.25">
      <c r="D450" s="28">
        <f t="shared" ca="1" si="36"/>
        <v>0.61102605139549648</v>
      </c>
      <c r="E450" s="28">
        <f t="shared" ca="1" si="37"/>
        <v>10.104909229120938</v>
      </c>
      <c r="F450" s="28">
        <f t="shared" ca="1" si="38"/>
        <v>0.99605585752022108</v>
      </c>
      <c r="G450" s="28">
        <f t="shared" ca="1" si="39"/>
        <v>0.95173903996263776</v>
      </c>
      <c r="H450" s="28">
        <f t="shared" ca="1" si="40"/>
        <v>0.97445194061429763</v>
      </c>
      <c r="J450" s="28">
        <f t="shared" ca="1" si="41"/>
        <v>55.858505665112027</v>
      </c>
    </row>
    <row r="451" spans="4:10" x14ac:dyDescent="0.25">
      <c r="D451" s="28">
        <f t="shared" ca="1" si="36"/>
        <v>0.63259724183669686</v>
      </c>
      <c r="E451" s="28">
        <f t="shared" ca="1" si="37"/>
        <v>9.8963038822681568</v>
      </c>
      <c r="F451" s="28">
        <f t="shared" ca="1" si="38"/>
        <v>0.9871026592598785</v>
      </c>
      <c r="G451" s="28">
        <f t="shared" ca="1" si="39"/>
        <v>0.96301764438476944</v>
      </c>
      <c r="H451" s="28">
        <f t="shared" ca="1" si="40"/>
        <v>0.98667066982827922</v>
      </c>
      <c r="J451" s="28">
        <f t="shared" ca="1" si="41"/>
        <v>59.954675411114771</v>
      </c>
    </row>
    <row r="452" spans="4:10" x14ac:dyDescent="0.25">
      <c r="D452" s="28">
        <f t="shared" ca="1" si="36"/>
        <v>0.66321839216362533</v>
      </c>
      <c r="E452" s="28">
        <f t="shared" ca="1" si="37"/>
        <v>9.9292449702123182</v>
      </c>
      <c r="F452" s="28">
        <f t="shared" ca="1" si="38"/>
        <v>1.022861330815197</v>
      </c>
      <c r="G452" s="28">
        <f t="shared" ca="1" si="39"/>
        <v>1.0128629642898643</v>
      </c>
      <c r="H452" s="28">
        <f t="shared" ca="1" si="40"/>
        <v>1.0008568919837419</v>
      </c>
      <c r="J452" s="28">
        <f t="shared" ca="1" si="41"/>
        <v>69.259566941170405</v>
      </c>
    </row>
    <row r="453" spans="4:10" x14ac:dyDescent="0.25">
      <c r="D453" s="28">
        <f t="shared" ca="1" si="36"/>
        <v>0.65633786839366581</v>
      </c>
      <c r="E453" s="28">
        <f t="shared" ca="1" si="37"/>
        <v>10.311186910228237</v>
      </c>
      <c r="F453" s="28">
        <f t="shared" ca="1" si="38"/>
        <v>1.0199223905395329</v>
      </c>
      <c r="G453" s="28">
        <f t="shared" ca="1" si="39"/>
        <v>1.0292927004284849</v>
      </c>
      <c r="H453" s="28">
        <f t="shared" ca="1" si="40"/>
        <v>1.0236165332691864</v>
      </c>
      <c r="J453" s="28">
        <f t="shared" ca="1" si="41"/>
        <v>68.400946872135293</v>
      </c>
    </row>
    <row r="454" spans="4:10" x14ac:dyDescent="0.25">
      <c r="D454" s="28">
        <f t="shared" ca="1" si="36"/>
        <v>0.65782927269428193</v>
      </c>
      <c r="E454" s="28">
        <f t="shared" ca="1" si="37"/>
        <v>10.05795896109599</v>
      </c>
      <c r="F454" s="28">
        <f t="shared" ca="1" si="38"/>
        <v>1.0078459606738095</v>
      </c>
      <c r="G454" s="28">
        <f t="shared" ca="1" si="39"/>
        <v>0.98857251268903668</v>
      </c>
      <c r="H454" s="28">
        <f t="shared" ca="1" si="40"/>
        <v>1.0328367974554709</v>
      </c>
      <c r="J454" s="28">
        <f t="shared" ca="1" si="41"/>
        <v>67.303512253240939</v>
      </c>
    </row>
    <row r="455" spans="4:10" x14ac:dyDescent="0.25">
      <c r="D455" s="28">
        <f t="shared" ca="1" si="36"/>
        <v>0.63422895634758714</v>
      </c>
      <c r="E455" s="28">
        <f t="shared" ca="1" si="37"/>
        <v>10.012798093414814</v>
      </c>
      <c r="F455" s="28">
        <f t="shared" ca="1" si="38"/>
        <v>1.008496368997071</v>
      </c>
      <c r="G455" s="28">
        <f t="shared" ca="1" si="39"/>
        <v>1.1051694498565552</v>
      </c>
      <c r="H455" s="28">
        <f t="shared" ca="1" si="40"/>
        <v>1.021399249321874</v>
      </c>
      <c r="J455" s="28">
        <f t="shared" ca="1" si="41"/>
        <v>72.108979932782162</v>
      </c>
    </row>
    <row r="456" spans="4:10" x14ac:dyDescent="0.25">
      <c r="D456" s="28">
        <f t="shared" ca="1" si="36"/>
        <v>0.67477704587424225</v>
      </c>
      <c r="E456" s="28">
        <f t="shared" ca="1" si="37"/>
        <v>10.027655167282239</v>
      </c>
      <c r="F456" s="28">
        <f t="shared" ca="1" si="38"/>
        <v>0.99653010832320066</v>
      </c>
      <c r="G456" s="28">
        <f t="shared" ca="1" si="39"/>
        <v>1.0114281994341232</v>
      </c>
      <c r="H456" s="28">
        <f t="shared" ca="1" si="40"/>
        <v>0.99905999291926384</v>
      </c>
      <c r="J456" s="28">
        <f t="shared" ca="1" si="41"/>
        <v>67.760711946077166</v>
      </c>
    </row>
    <row r="457" spans="4:10" x14ac:dyDescent="0.25">
      <c r="D457" s="28">
        <f t="shared" ca="1" si="36"/>
        <v>0.69599365510151845</v>
      </c>
      <c r="E457" s="28">
        <f t="shared" ca="1" si="37"/>
        <v>9.810184178636538</v>
      </c>
      <c r="F457" s="28">
        <f t="shared" ca="1" si="38"/>
        <v>1.0246937250530435</v>
      </c>
      <c r="G457" s="28">
        <f t="shared" ca="1" si="39"/>
        <v>0.97482062597667285</v>
      </c>
      <c r="H457" s="28">
        <f t="shared" ca="1" si="40"/>
        <v>0.99565490349384278</v>
      </c>
      <c r="J457" s="28">
        <f t="shared" ca="1" si="41"/>
        <v>70.559540328012559</v>
      </c>
    </row>
    <row r="458" spans="4:10" x14ac:dyDescent="0.25">
      <c r="D458" s="28">
        <f t="shared" ca="1" si="36"/>
        <v>0.63679853804963638</v>
      </c>
      <c r="E458" s="28">
        <f t="shared" ca="1" si="37"/>
        <v>9.9236616682858116</v>
      </c>
      <c r="F458" s="28">
        <f t="shared" ca="1" si="38"/>
        <v>1.0067988588634904</v>
      </c>
      <c r="G458" s="28">
        <f t="shared" ca="1" si="39"/>
        <v>1.0452228160506432</v>
      </c>
      <c r="H458" s="28">
        <f t="shared" ca="1" si="40"/>
        <v>0.98528740908377521</v>
      </c>
      <c r="J458" s="28">
        <f t="shared" ca="1" si="41"/>
        <v>66.534153741331181</v>
      </c>
    </row>
    <row r="459" spans="4:10" x14ac:dyDescent="0.25">
      <c r="D459" s="28">
        <f t="shared" ca="1" si="36"/>
        <v>0.63467917301560561</v>
      </c>
      <c r="E459" s="28">
        <f t="shared" ca="1" si="37"/>
        <v>9.8707463211446829</v>
      </c>
      <c r="F459" s="28">
        <f t="shared" ca="1" si="38"/>
        <v>1.0153212791314528</v>
      </c>
      <c r="G459" s="28">
        <f t="shared" ca="1" si="39"/>
        <v>1.0004962971849762</v>
      </c>
      <c r="H459" s="28">
        <f t="shared" ca="1" si="40"/>
        <v>1.0564223702444564</v>
      </c>
      <c r="J459" s="28">
        <f t="shared" ca="1" si="41"/>
        <v>69.001863463833644</v>
      </c>
    </row>
    <row r="460" spans="4:10" x14ac:dyDescent="0.25">
      <c r="D460" s="28">
        <f t="shared" ca="1" si="36"/>
        <v>0.64134292604967924</v>
      </c>
      <c r="E460" s="28">
        <f t="shared" ca="1" si="37"/>
        <v>9.8789097096270435</v>
      </c>
      <c r="F460" s="28">
        <f t="shared" ca="1" si="38"/>
        <v>0.98430020687306619</v>
      </c>
      <c r="G460" s="28">
        <f t="shared" ca="1" si="39"/>
        <v>1.0290985857352402</v>
      </c>
      <c r="H460" s="28">
        <f t="shared" ca="1" si="40"/>
        <v>1.0188036290461122</v>
      </c>
      <c r="J460" s="28">
        <f t="shared" ca="1" si="41"/>
        <v>66.997150800227828</v>
      </c>
    </row>
    <row r="461" spans="4:10" x14ac:dyDescent="0.25">
      <c r="D461" s="28">
        <f t="shared" ca="1" si="36"/>
        <v>0.64688601132806889</v>
      </c>
      <c r="E461" s="28">
        <f t="shared" ca="1" si="37"/>
        <v>9.9983275062606811</v>
      </c>
      <c r="F461" s="28">
        <f t="shared" ca="1" si="38"/>
        <v>0.99194176509968679</v>
      </c>
      <c r="G461" s="28">
        <f t="shared" ca="1" si="39"/>
        <v>1.0664050270509313</v>
      </c>
      <c r="H461" s="28">
        <f t="shared" ca="1" si="40"/>
        <v>1.0202126756433523</v>
      </c>
      <c r="J461" s="28">
        <f t="shared" ca="1" si="41"/>
        <v>69.823156241852587</v>
      </c>
    </row>
    <row r="462" spans="4:10" x14ac:dyDescent="0.25">
      <c r="D462" s="28">
        <f t="shared" ca="1" si="36"/>
        <v>0.67670169570155214</v>
      </c>
      <c r="E462" s="28">
        <f t="shared" ca="1" si="37"/>
        <v>9.9204895469353485</v>
      </c>
      <c r="F462" s="28">
        <f t="shared" ca="1" si="38"/>
        <v>1.0216131567847677</v>
      </c>
      <c r="G462" s="28">
        <f t="shared" ca="1" si="39"/>
        <v>1.0289113111364283</v>
      </c>
      <c r="H462" s="28">
        <f t="shared" ca="1" si="40"/>
        <v>0.98285272205387697</v>
      </c>
      <c r="J462" s="28">
        <f t="shared" ca="1" si="41"/>
        <v>70.472069393365558</v>
      </c>
    </row>
    <row r="463" spans="4:10" x14ac:dyDescent="0.25">
      <c r="D463" s="28">
        <f t="shared" ca="1" si="36"/>
        <v>0.64538618099799028</v>
      </c>
      <c r="E463" s="28">
        <f t="shared" ca="1" si="37"/>
        <v>10.215920557557416</v>
      </c>
      <c r="F463" s="28">
        <f t="shared" ca="1" si="38"/>
        <v>1.0169600409905029</v>
      </c>
      <c r="G463" s="28">
        <f t="shared" ca="1" si="39"/>
        <v>0.99530054781074906</v>
      </c>
      <c r="H463" s="28">
        <f t="shared" ca="1" si="40"/>
        <v>0.98323054865942872</v>
      </c>
      <c r="J463" s="28">
        <f t="shared" ca="1" si="41"/>
        <v>62.871764683388093</v>
      </c>
    </row>
    <row r="464" spans="4:10" x14ac:dyDescent="0.25">
      <c r="D464" s="28">
        <f t="shared" ca="1" si="36"/>
        <v>0.65608208093177167</v>
      </c>
      <c r="E464" s="28">
        <f t="shared" ca="1" si="37"/>
        <v>9.9721951936949207</v>
      </c>
      <c r="F464" s="28">
        <f t="shared" ca="1" si="38"/>
        <v>0.99307850177806511</v>
      </c>
      <c r="G464" s="28">
        <f t="shared" ca="1" si="39"/>
        <v>0.97061678371013038</v>
      </c>
      <c r="H464" s="28">
        <f t="shared" ca="1" si="40"/>
        <v>1.0216113132545088</v>
      </c>
      <c r="J464" s="28">
        <f t="shared" ca="1" si="41"/>
        <v>64.786493734538524</v>
      </c>
    </row>
    <row r="465" spans="4:10" x14ac:dyDescent="0.25">
      <c r="D465" s="28">
        <f t="shared" ca="1" si="36"/>
        <v>0.67590786982414675</v>
      </c>
      <c r="E465" s="28">
        <f t="shared" ca="1" si="37"/>
        <v>9.6714081665726486</v>
      </c>
      <c r="F465" s="28">
        <f t="shared" ca="1" si="38"/>
        <v>0.99953052011073595</v>
      </c>
      <c r="G465" s="28">
        <f t="shared" ca="1" si="39"/>
        <v>0.90445839401065253</v>
      </c>
      <c r="H465" s="28">
        <f t="shared" ca="1" si="40"/>
        <v>0.97036331442518964</v>
      </c>
      <c r="J465" s="28">
        <f t="shared" ca="1" si="41"/>
        <v>61.307952636440916</v>
      </c>
    </row>
    <row r="466" spans="4:10" x14ac:dyDescent="0.25">
      <c r="D466" s="28">
        <f t="shared" ca="1" si="36"/>
        <v>0.64990123217044549</v>
      </c>
      <c r="E466" s="28">
        <f t="shared" ca="1" si="37"/>
        <v>9.9403596097369942</v>
      </c>
      <c r="F466" s="28">
        <f t="shared" ca="1" si="38"/>
        <v>1.0050005865997176</v>
      </c>
      <c r="G466" s="28">
        <f t="shared" ca="1" si="39"/>
        <v>1.0324894958337165</v>
      </c>
      <c r="H466" s="28">
        <f t="shared" ca="1" si="40"/>
        <v>0.9646618806085463</v>
      </c>
      <c r="J466" s="28">
        <f t="shared" ca="1" si="41"/>
        <v>65.444377174254683</v>
      </c>
    </row>
    <row r="467" spans="4:10" x14ac:dyDescent="0.25">
      <c r="D467" s="28">
        <f t="shared" ca="1" si="36"/>
        <v>0.649577239753937</v>
      </c>
      <c r="E467" s="28">
        <f t="shared" ca="1" si="37"/>
        <v>9.9246823418343038</v>
      </c>
      <c r="F467" s="28">
        <f t="shared" ca="1" si="38"/>
        <v>0.98053930706175829</v>
      </c>
      <c r="G467" s="28">
        <f t="shared" ca="1" si="39"/>
        <v>1.0311221354893045</v>
      </c>
      <c r="H467" s="28">
        <f t="shared" ca="1" si="40"/>
        <v>1.0249363915044645</v>
      </c>
      <c r="J467" s="28">
        <f t="shared" ca="1" si="41"/>
        <v>67.824439873228798</v>
      </c>
    </row>
    <row r="468" spans="4:10" x14ac:dyDescent="0.25">
      <c r="D468" s="28">
        <f t="shared" ca="1" si="36"/>
        <v>0.66618706382951753</v>
      </c>
      <c r="E468" s="28">
        <f t="shared" ca="1" si="37"/>
        <v>10.056159059000146</v>
      </c>
      <c r="F468" s="28">
        <f t="shared" ca="1" si="38"/>
        <v>1.0044452896237706</v>
      </c>
      <c r="G468" s="28">
        <f t="shared" ca="1" si="39"/>
        <v>0.98030145222371712</v>
      </c>
      <c r="H468" s="28">
        <f t="shared" ca="1" si="40"/>
        <v>1.0301747855902963</v>
      </c>
      <c r="J468" s="28">
        <f t="shared" ca="1" si="41"/>
        <v>67.198705908443429</v>
      </c>
    </row>
    <row r="469" spans="4:10" x14ac:dyDescent="0.25">
      <c r="D469" s="28">
        <f t="shared" ca="1" si="36"/>
        <v>0.62957656721335264</v>
      </c>
      <c r="E469" s="28">
        <f t="shared" ca="1" si="37"/>
        <v>9.9911459970965932</v>
      </c>
      <c r="F469" s="28">
        <f t="shared" ca="1" si="38"/>
        <v>0.98483434894311372</v>
      </c>
      <c r="G469" s="28">
        <f t="shared" ca="1" si="39"/>
        <v>0.9699019223036619</v>
      </c>
      <c r="H469" s="28">
        <f t="shared" ca="1" si="40"/>
        <v>0.98007140439630935</v>
      </c>
      <c r="J469" s="28">
        <f t="shared" ca="1" si="41"/>
        <v>58.990486184517543</v>
      </c>
    </row>
    <row r="470" spans="4:10" x14ac:dyDescent="0.25">
      <c r="D470" s="28">
        <f t="shared" ca="1" si="36"/>
        <v>0.67545157344386475</v>
      </c>
      <c r="E470" s="28">
        <f t="shared" ca="1" si="37"/>
        <v>10.081150098194064</v>
      </c>
      <c r="F470" s="28">
        <f t="shared" ca="1" si="38"/>
        <v>0.99657551355121765</v>
      </c>
      <c r="G470" s="28">
        <f t="shared" ca="1" si="39"/>
        <v>0.98157802914232306</v>
      </c>
      <c r="H470" s="28">
        <f t="shared" ca="1" si="40"/>
        <v>1.0733690751694036</v>
      </c>
      <c r="J470" s="28">
        <f t="shared" ca="1" si="41"/>
        <v>70.3506729975025</v>
      </c>
    </row>
    <row r="471" spans="4:10" x14ac:dyDescent="0.25">
      <c r="D471" s="28">
        <f t="shared" ca="1" si="36"/>
        <v>0.6484133802201687</v>
      </c>
      <c r="E471" s="28">
        <f t="shared" ca="1" si="37"/>
        <v>9.9308766022571238</v>
      </c>
      <c r="F471" s="28">
        <f t="shared" ca="1" si="38"/>
        <v>0.95578232470978841</v>
      </c>
      <c r="G471" s="28">
        <f t="shared" ca="1" si="39"/>
        <v>0.97290383932616775</v>
      </c>
      <c r="H471" s="28">
        <f t="shared" ca="1" si="40"/>
        <v>1.0175019125078453</v>
      </c>
      <c r="J471" s="28">
        <f t="shared" ca="1" si="41"/>
        <v>61.777243877019025</v>
      </c>
    </row>
    <row r="472" spans="4:10" x14ac:dyDescent="0.25">
      <c r="D472" s="28">
        <f t="shared" ca="1" si="36"/>
        <v>0.67151115606684175</v>
      </c>
      <c r="E472" s="28">
        <f t="shared" ca="1" si="37"/>
        <v>10.01708607773085</v>
      </c>
      <c r="F472" s="28">
        <f t="shared" ca="1" si="38"/>
        <v>0.99068107798339766</v>
      </c>
      <c r="G472" s="28">
        <f t="shared" ca="1" si="39"/>
        <v>0.95414588694559654</v>
      </c>
      <c r="H472" s="28">
        <f t="shared" ca="1" si="40"/>
        <v>1.0173553527269243</v>
      </c>
      <c r="J472" s="28">
        <f t="shared" ca="1" si="41"/>
        <v>64.466360346781627</v>
      </c>
    </row>
    <row r="473" spans="4:10" x14ac:dyDescent="0.25">
      <c r="D473" s="28">
        <f t="shared" ref="D473:D525" ca="1" si="42">NORMINV(RAND(),$D$22,$D$23)</f>
        <v>0.65572095699398159</v>
      </c>
      <c r="E473" s="28">
        <f t="shared" ref="E473:E525" ca="1" si="43">$E$22+$E$23*SQRT(6)*(RAND()-RAND())</f>
        <v>10.134916139534514</v>
      </c>
      <c r="F473" s="28">
        <f t="shared" ref="F473:F525" ca="1" si="44">NORMINV(RAND(),$F$22,$F$23)</f>
        <v>1.0080587755815209</v>
      </c>
      <c r="G473" s="28">
        <f t="shared" ref="G473:G525" ca="1" si="45">NORMINV(RAND(),$G$22,$G$23)</f>
        <v>1.0603578215688794</v>
      </c>
      <c r="H473" s="28">
        <f t="shared" ref="H473:H525" ca="1" si="46">NORMINV(RAND(),$H$22,$H$23)</f>
        <v>0.99279675495684994</v>
      </c>
      <c r="J473" s="28">
        <f t="shared" ref="J473:J525" ca="1" si="47">1000*D473*G473*F473*H473/E473</f>
        <v>68.65901243727518</v>
      </c>
    </row>
    <row r="474" spans="4:10" x14ac:dyDescent="0.25">
      <c r="D474" s="28">
        <f t="shared" ca="1" si="42"/>
        <v>0.63568710160738817</v>
      </c>
      <c r="E474" s="28">
        <f t="shared" ca="1" si="43"/>
        <v>10.328404654344451</v>
      </c>
      <c r="F474" s="28">
        <f t="shared" ca="1" si="44"/>
        <v>1.0007244137060654</v>
      </c>
      <c r="G474" s="28">
        <f t="shared" ca="1" si="45"/>
        <v>1.0113821533573846</v>
      </c>
      <c r="H474" s="28">
        <f t="shared" ca="1" si="46"/>
        <v>1.0089178383465187</v>
      </c>
      <c r="J474" s="28">
        <f t="shared" ca="1" si="47"/>
        <v>62.848618589269968</v>
      </c>
    </row>
    <row r="475" spans="4:10" x14ac:dyDescent="0.25">
      <c r="D475" s="28">
        <f t="shared" ca="1" si="42"/>
        <v>0.61702352322300436</v>
      </c>
      <c r="E475" s="28">
        <f t="shared" ca="1" si="43"/>
        <v>9.8682231002905656</v>
      </c>
      <c r="F475" s="28">
        <f t="shared" ca="1" si="44"/>
        <v>0.99169754860150561</v>
      </c>
      <c r="G475" s="28">
        <f t="shared" ca="1" si="45"/>
        <v>1.0201639889799534</v>
      </c>
      <c r="H475" s="28">
        <f t="shared" ca="1" si="46"/>
        <v>1.0097010921024716</v>
      </c>
      <c r="J475" s="28">
        <f t="shared" ca="1" si="47"/>
        <v>63.871161914758012</v>
      </c>
    </row>
    <row r="476" spans="4:10" x14ac:dyDescent="0.25">
      <c r="D476" s="28">
        <f t="shared" ca="1" si="42"/>
        <v>0.69185225881745938</v>
      </c>
      <c r="E476" s="28">
        <f t="shared" ca="1" si="43"/>
        <v>10.012448551010957</v>
      </c>
      <c r="F476" s="28">
        <f t="shared" ca="1" si="44"/>
        <v>0.99988894188316213</v>
      </c>
      <c r="G476" s="28">
        <f t="shared" ca="1" si="45"/>
        <v>1.0108436726712722</v>
      </c>
      <c r="H476" s="28">
        <f t="shared" ca="1" si="46"/>
        <v>1.0211684899357194</v>
      </c>
      <c r="J476" s="28">
        <f t="shared" ca="1" si="47"/>
        <v>71.319162312654342</v>
      </c>
    </row>
    <row r="477" spans="4:10" x14ac:dyDescent="0.25">
      <c r="D477" s="28">
        <f t="shared" ca="1" si="42"/>
        <v>0.65566702945410826</v>
      </c>
      <c r="E477" s="28">
        <f t="shared" ca="1" si="43"/>
        <v>10.08141478558608</v>
      </c>
      <c r="F477" s="28">
        <f t="shared" ca="1" si="44"/>
        <v>0.99963705516067347</v>
      </c>
      <c r="G477" s="28">
        <f t="shared" ca="1" si="45"/>
        <v>1.0695647690981263</v>
      </c>
      <c r="H477" s="28">
        <f t="shared" ca="1" si="46"/>
        <v>1.0072546378555727</v>
      </c>
      <c r="J477" s="28">
        <f t="shared" ca="1" si="47"/>
        <v>70.040715379049118</v>
      </c>
    </row>
    <row r="478" spans="4:10" x14ac:dyDescent="0.25">
      <c r="D478" s="28">
        <f t="shared" ca="1" si="42"/>
        <v>0.65096831202515537</v>
      </c>
      <c r="E478" s="28">
        <f t="shared" ca="1" si="43"/>
        <v>10.227516979051124</v>
      </c>
      <c r="F478" s="28">
        <f t="shared" ca="1" si="44"/>
        <v>1.0235983984253281</v>
      </c>
      <c r="G478" s="28">
        <f t="shared" ca="1" si="45"/>
        <v>1.035452889438117</v>
      </c>
      <c r="H478" s="28">
        <f t="shared" ca="1" si="46"/>
        <v>0.95515363636541684</v>
      </c>
      <c r="J478" s="28">
        <f t="shared" ca="1" si="47"/>
        <v>64.435145675837092</v>
      </c>
    </row>
    <row r="479" spans="4:10" x14ac:dyDescent="0.25">
      <c r="D479" s="28">
        <f t="shared" ca="1" si="42"/>
        <v>0.66681518485355717</v>
      </c>
      <c r="E479" s="28">
        <f t="shared" ca="1" si="43"/>
        <v>10.162856123877532</v>
      </c>
      <c r="F479" s="28">
        <f t="shared" ca="1" si="44"/>
        <v>1.0062014169877909</v>
      </c>
      <c r="G479" s="28">
        <f t="shared" ca="1" si="45"/>
        <v>1.0755011215663808</v>
      </c>
      <c r="H479" s="28">
        <f t="shared" ca="1" si="46"/>
        <v>1.0050510883556611</v>
      </c>
      <c r="J479" s="28">
        <f t="shared" ca="1" si="47"/>
        <v>71.363087968401601</v>
      </c>
    </row>
    <row r="480" spans="4:10" x14ac:dyDescent="0.25">
      <c r="D480" s="28">
        <f t="shared" ca="1" si="42"/>
        <v>0.63923729422045295</v>
      </c>
      <c r="E480" s="28">
        <f t="shared" ca="1" si="43"/>
        <v>10.066283812032502</v>
      </c>
      <c r="F480" s="28">
        <f t="shared" ca="1" si="44"/>
        <v>0.99154951242647926</v>
      </c>
      <c r="G480" s="28">
        <f t="shared" ca="1" si="45"/>
        <v>1.0248819491204773</v>
      </c>
      <c r="H480" s="28">
        <f t="shared" ca="1" si="46"/>
        <v>1.0299577033561806</v>
      </c>
      <c r="J480" s="28">
        <f t="shared" ca="1" si="47"/>
        <v>66.466157643855638</v>
      </c>
    </row>
    <row r="481" spans="4:10" x14ac:dyDescent="0.25">
      <c r="D481" s="28">
        <f t="shared" ca="1" si="42"/>
        <v>0.65146882010139473</v>
      </c>
      <c r="E481" s="28">
        <f t="shared" ca="1" si="43"/>
        <v>10.015726784097028</v>
      </c>
      <c r="F481" s="28">
        <f t="shared" ca="1" si="44"/>
        <v>0.98353815438629455</v>
      </c>
      <c r="G481" s="28">
        <f t="shared" ca="1" si="45"/>
        <v>1.0145557067831816</v>
      </c>
      <c r="H481" s="28">
        <f t="shared" ca="1" si="46"/>
        <v>1.013842286939364</v>
      </c>
      <c r="J481" s="28">
        <f t="shared" ca="1" si="47"/>
        <v>65.803452081710901</v>
      </c>
    </row>
    <row r="482" spans="4:10" x14ac:dyDescent="0.25">
      <c r="D482" s="28">
        <f t="shared" ca="1" si="42"/>
        <v>0.63713756232484664</v>
      </c>
      <c r="E482" s="28">
        <f t="shared" ca="1" si="43"/>
        <v>9.845644011469771</v>
      </c>
      <c r="F482" s="28">
        <f t="shared" ca="1" si="44"/>
        <v>1.0259228817207129</v>
      </c>
      <c r="G482" s="28">
        <f t="shared" ca="1" si="45"/>
        <v>0.95585439394395011</v>
      </c>
      <c r="H482" s="28">
        <f t="shared" ca="1" si="46"/>
        <v>1.0188652473848501</v>
      </c>
      <c r="J482" s="28">
        <f t="shared" ca="1" si="47"/>
        <v>64.656514181037394</v>
      </c>
    </row>
    <row r="483" spans="4:10" x14ac:dyDescent="0.25">
      <c r="D483" s="28">
        <f t="shared" ca="1" si="42"/>
        <v>0.67035842035599436</v>
      </c>
      <c r="E483" s="28">
        <f t="shared" ca="1" si="43"/>
        <v>10.054038578923231</v>
      </c>
      <c r="F483" s="28">
        <f t="shared" ca="1" si="44"/>
        <v>0.98887798983725972</v>
      </c>
      <c r="G483" s="28">
        <f t="shared" ca="1" si="45"/>
        <v>0.95678578350749832</v>
      </c>
      <c r="H483" s="28">
        <f t="shared" ca="1" si="46"/>
        <v>0.98419773298757207</v>
      </c>
      <c r="J483" s="28">
        <f t="shared" ca="1" si="47"/>
        <v>62.087804964179675</v>
      </c>
    </row>
    <row r="484" spans="4:10" x14ac:dyDescent="0.25">
      <c r="D484" s="28">
        <f t="shared" ca="1" si="42"/>
        <v>0.66120790949423836</v>
      </c>
      <c r="E484" s="28">
        <f t="shared" ca="1" si="43"/>
        <v>9.8509984315536521</v>
      </c>
      <c r="F484" s="28">
        <f t="shared" ca="1" si="44"/>
        <v>1.009517422480019</v>
      </c>
      <c r="G484" s="28">
        <f t="shared" ca="1" si="45"/>
        <v>0.9968267792765334</v>
      </c>
      <c r="H484" s="28">
        <f t="shared" ca="1" si="46"/>
        <v>0.96555387223906231</v>
      </c>
      <c r="J484" s="28">
        <f t="shared" ca="1" si="47"/>
        <v>65.218050854113471</v>
      </c>
    </row>
    <row r="485" spans="4:10" x14ac:dyDescent="0.25">
      <c r="D485" s="28">
        <f t="shared" ca="1" si="42"/>
        <v>0.64393870684757171</v>
      </c>
      <c r="E485" s="28">
        <f t="shared" ca="1" si="43"/>
        <v>9.8137252914986028</v>
      </c>
      <c r="F485" s="28">
        <f t="shared" ca="1" si="44"/>
        <v>0.99399785014855613</v>
      </c>
      <c r="G485" s="28">
        <f t="shared" ca="1" si="45"/>
        <v>0.98314407351004252</v>
      </c>
      <c r="H485" s="28">
        <f t="shared" ca="1" si="46"/>
        <v>1.0227954967419113</v>
      </c>
      <c r="J485" s="28">
        <f t="shared" ca="1" si="47"/>
        <v>65.584626872249714</v>
      </c>
    </row>
    <row r="486" spans="4:10" x14ac:dyDescent="0.25">
      <c r="D486" s="28">
        <f t="shared" ca="1" si="42"/>
        <v>0.63904027729359247</v>
      </c>
      <c r="E486" s="28">
        <f t="shared" ca="1" si="43"/>
        <v>10.083290277878143</v>
      </c>
      <c r="F486" s="28">
        <f t="shared" ca="1" si="44"/>
        <v>1.011388227728943</v>
      </c>
      <c r="G486" s="28">
        <f t="shared" ca="1" si="45"/>
        <v>1.0916172548325609</v>
      </c>
      <c r="H486" s="28">
        <f t="shared" ca="1" si="46"/>
        <v>1.0151806288288814</v>
      </c>
      <c r="J486" s="28">
        <f t="shared" ca="1" si="47"/>
        <v>71.032576877548024</v>
      </c>
    </row>
    <row r="487" spans="4:10" x14ac:dyDescent="0.25">
      <c r="D487" s="28">
        <f t="shared" ca="1" si="42"/>
        <v>0.66980018685305021</v>
      </c>
      <c r="E487" s="28">
        <f t="shared" ca="1" si="43"/>
        <v>9.8955460561351494</v>
      </c>
      <c r="F487" s="28">
        <f t="shared" ca="1" si="44"/>
        <v>1.0029154953601394</v>
      </c>
      <c r="G487" s="28">
        <f t="shared" ca="1" si="45"/>
        <v>0.96149703728562741</v>
      </c>
      <c r="H487" s="28">
        <f t="shared" ca="1" si="46"/>
        <v>1.0263981279196233</v>
      </c>
      <c r="J487" s="28">
        <f t="shared" ca="1" si="47"/>
        <v>66.993650441547302</v>
      </c>
    </row>
    <row r="488" spans="4:10" x14ac:dyDescent="0.25">
      <c r="D488" s="28">
        <f t="shared" ca="1" si="42"/>
        <v>0.67769527742461944</v>
      </c>
      <c r="E488" s="28">
        <f t="shared" ca="1" si="43"/>
        <v>9.8768309670021903</v>
      </c>
      <c r="F488" s="28">
        <f t="shared" ca="1" si="44"/>
        <v>1.0143169059625436</v>
      </c>
      <c r="G488" s="28">
        <f t="shared" ca="1" si="45"/>
        <v>0.97043739423215736</v>
      </c>
      <c r="H488" s="28">
        <f t="shared" ca="1" si="46"/>
        <v>0.98400183728285795</v>
      </c>
      <c r="J488" s="28">
        <f t="shared" ca="1" si="47"/>
        <v>66.459020223939319</v>
      </c>
    </row>
    <row r="489" spans="4:10" x14ac:dyDescent="0.25">
      <c r="D489" s="28">
        <f t="shared" ca="1" si="42"/>
        <v>0.68763050771689038</v>
      </c>
      <c r="E489" s="28">
        <f t="shared" ca="1" si="43"/>
        <v>10.01046607569176</v>
      </c>
      <c r="F489" s="28">
        <f t="shared" ca="1" si="44"/>
        <v>0.98632565987519094</v>
      </c>
      <c r="G489" s="28">
        <f t="shared" ca="1" si="45"/>
        <v>0.97761531657779011</v>
      </c>
      <c r="H489" s="28">
        <f t="shared" ca="1" si="46"/>
        <v>0.93814211347884136</v>
      </c>
      <c r="J489" s="28">
        <f t="shared" ca="1" si="47"/>
        <v>62.138075613123505</v>
      </c>
    </row>
    <row r="490" spans="4:10" x14ac:dyDescent="0.25">
      <c r="D490" s="28">
        <f t="shared" ca="1" si="42"/>
        <v>0.6618153075417913</v>
      </c>
      <c r="E490" s="28">
        <f t="shared" ca="1" si="43"/>
        <v>9.9428837488856985</v>
      </c>
      <c r="F490" s="28">
        <f t="shared" ca="1" si="44"/>
        <v>1.010107681998393</v>
      </c>
      <c r="G490" s="28">
        <f t="shared" ca="1" si="45"/>
        <v>0.94004993157916483</v>
      </c>
      <c r="H490" s="28">
        <f t="shared" ca="1" si="46"/>
        <v>1.0180084263280669</v>
      </c>
      <c r="J490" s="28">
        <f t="shared" ca="1" si="47"/>
        <v>64.341979090841363</v>
      </c>
    </row>
    <row r="491" spans="4:10" x14ac:dyDescent="0.25">
      <c r="D491" s="28">
        <f t="shared" ca="1" si="42"/>
        <v>0.62271165165587805</v>
      </c>
      <c r="E491" s="28">
        <f t="shared" ca="1" si="43"/>
        <v>10.04279269756349</v>
      </c>
      <c r="F491" s="28">
        <f t="shared" ca="1" si="44"/>
        <v>1.0116474262590451</v>
      </c>
      <c r="G491" s="28">
        <f t="shared" ca="1" si="45"/>
        <v>0.98432801559276251</v>
      </c>
      <c r="H491" s="28">
        <f t="shared" ca="1" si="46"/>
        <v>1.0285202490136389</v>
      </c>
      <c r="J491" s="28">
        <f t="shared" ca="1" si="47"/>
        <v>63.505942688309489</v>
      </c>
    </row>
    <row r="492" spans="4:10" x14ac:dyDescent="0.25">
      <c r="D492" s="28">
        <f t="shared" ca="1" si="42"/>
        <v>0.66352815060059622</v>
      </c>
      <c r="E492" s="28">
        <f t="shared" ca="1" si="43"/>
        <v>10.02142411674906</v>
      </c>
      <c r="F492" s="28">
        <f t="shared" ca="1" si="44"/>
        <v>0.99499358169438057</v>
      </c>
      <c r="G492" s="28">
        <f t="shared" ca="1" si="45"/>
        <v>1.0084428077451657</v>
      </c>
      <c r="H492" s="28">
        <f t="shared" ca="1" si="46"/>
        <v>1.0088910560476152</v>
      </c>
      <c r="J492" s="28">
        <f t="shared" ca="1" si="47"/>
        <v>67.026375415810449</v>
      </c>
    </row>
    <row r="493" spans="4:10" x14ac:dyDescent="0.25">
      <c r="D493" s="28">
        <f t="shared" ca="1" si="42"/>
        <v>0.65134962668231577</v>
      </c>
      <c r="E493" s="28">
        <f t="shared" ca="1" si="43"/>
        <v>10.110070488794163</v>
      </c>
      <c r="F493" s="28">
        <f t="shared" ca="1" si="44"/>
        <v>0.98703816397380117</v>
      </c>
      <c r="G493" s="28">
        <f t="shared" ca="1" si="45"/>
        <v>0.9736903036119251</v>
      </c>
      <c r="H493" s="28">
        <f t="shared" ca="1" si="46"/>
        <v>0.95353212915414598</v>
      </c>
      <c r="J493" s="28">
        <f t="shared" ca="1" si="47"/>
        <v>59.040510817982934</v>
      </c>
    </row>
    <row r="494" spans="4:10" x14ac:dyDescent="0.25">
      <c r="D494" s="28">
        <f t="shared" ca="1" si="42"/>
        <v>0.6250338594455086</v>
      </c>
      <c r="E494" s="28">
        <f t="shared" ca="1" si="43"/>
        <v>10.060890574671388</v>
      </c>
      <c r="F494" s="28">
        <f t="shared" ca="1" si="44"/>
        <v>1.0239211428426556</v>
      </c>
      <c r="G494" s="28">
        <f t="shared" ca="1" si="45"/>
        <v>0.98306090083483055</v>
      </c>
      <c r="H494" s="28">
        <f t="shared" ca="1" si="46"/>
        <v>1.0019429173395638</v>
      </c>
      <c r="J494" s="28">
        <f t="shared" ca="1" si="47"/>
        <v>62.655187340469041</v>
      </c>
    </row>
    <row r="495" spans="4:10" x14ac:dyDescent="0.25">
      <c r="D495" s="28">
        <f t="shared" ca="1" si="42"/>
        <v>0.66930709028645607</v>
      </c>
      <c r="E495" s="28">
        <f t="shared" ca="1" si="43"/>
        <v>10.266951106830984</v>
      </c>
      <c r="F495" s="28">
        <f t="shared" ca="1" si="44"/>
        <v>1.0040191072757172</v>
      </c>
      <c r="G495" s="28">
        <f t="shared" ca="1" si="45"/>
        <v>0.89306429625272954</v>
      </c>
      <c r="H495" s="28">
        <f t="shared" ca="1" si="46"/>
        <v>0.97301202885140203</v>
      </c>
      <c r="J495" s="28">
        <f t="shared" ca="1" si="47"/>
        <v>56.875711955536367</v>
      </c>
    </row>
    <row r="496" spans="4:10" x14ac:dyDescent="0.25">
      <c r="D496" s="28">
        <f t="shared" ca="1" si="42"/>
        <v>0.66286551193517285</v>
      </c>
      <c r="E496" s="28">
        <f t="shared" ca="1" si="43"/>
        <v>9.9463623402790393</v>
      </c>
      <c r="F496" s="28">
        <f t="shared" ca="1" si="44"/>
        <v>0.99756740706793412</v>
      </c>
      <c r="G496" s="28">
        <f t="shared" ca="1" si="45"/>
        <v>1.0673218998664824</v>
      </c>
      <c r="H496" s="28">
        <f t="shared" ca="1" si="46"/>
        <v>1.0119604013100583</v>
      </c>
      <c r="J496" s="28">
        <f t="shared" ca="1" si="47"/>
        <v>71.806265078034798</v>
      </c>
    </row>
    <row r="497" spans="4:16" x14ac:dyDescent="0.25">
      <c r="D497" s="28">
        <f t="shared" ca="1" si="42"/>
        <v>0.65014397448196515</v>
      </c>
      <c r="E497" s="28">
        <f t="shared" ca="1" si="43"/>
        <v>10.270058570750134</v>
      </c>
      <c r="F497" s="28">
        <f t="shared" ca="1" si="44"/>
        <v>1.0121049894152374</v>
      </c>
      <c r="G497" s="28">
        <f t="shared" ca="1" si="45"/>
        <v>0.98301465855161707</v>
      </c>
      <c r="H497" s="28">
        <f t="shared" ca="1" si="46"/>
        <v>0.97629501674182995</v>
      </c>
      <c r="J497" s="28">
        <f t="shared" ca="1" si="47"/>
        <v>61.489824548890617</v>
      </c>
    </row>
    <row r="498" spans="4:16" x14ac:dyDescent="0.25">
      <c r="D498" s="28">
        <f t="shared" ca="1" si="42"/>
        <v>0.64754807326231267</v>
      </c>
      <c r="E498" s="28">
        <f t="shared" ca="1" si="43"/>
        <v>9.7295442538473917</v>
      </c>
      <c r="F498" s="28">
        <f t="shared" ca="1" si="44"/>
        <v>1.0169832391403062</v>
      </c>
      <c r="G498" s="28">
        <f t="shared" ca="1" si="45"/>
        <v>1.0508770922674875</v>
      </c>
      <c r="H498" s="28">
        <f t="shared" ca="1" si="46"/>
        <v>0.95315891304296485</v>
      </c>
      <c r="J498" s="28">
        <f t="shared" ca="1" si="47"/>
        <v>67.797011661219585</v>
      </c>
    </row>
    <row r="499" spans="4:16" x14ac:dyDescent="0.25">
      <c r="D499" s="28">
        <f t="shared" ca="1" si="42"/>
        <v>0.64710398868140817</v>
      </c>
      <c r="E499" s="28">
        <f t="shared" ca="1" si="43"/>
        <v>9.7385067867220183</v>
      </c>
      <c r="F499" s="28">
        <f t="shared" ca="1" si="44"/>
        <v>1.0222700882339095</v>
      </c>
      <c r="G499" s="28">
        <f t="shared" ca="1" si="45"/>
        <v>0.91496731253934105</v>
      </c>
      <c r="H499" s="28">
        <f t="shared" ca="1" si="46"/>
        <v>1.0172490806660555</v>
      </c>
      <c r="J499" s="28">
        <f t="shared" ca="1" si="47"/>
        <v>63.22374889814229</v>
      </c>
    </row>
    <row r="500" spans="4:16" x14ac:dyDescent="0.25">
      <c r="D500" s="28">
        <f t="shared" ca="1" si="42"/>
        <v>0.66653216762761103</v>
      </c>
      <c r="E500" s="28">
        <f t="shared" ca="1" si="43"/>
        <v>10.090796407045127</v>
      </c>
      <c r="F500" s="28">
        <f t="shared" ca="1" si="44"/>
        <v>1.0095414467587396</v>
      </c>
      <c r="G500" s="28">
        <f t="shared" ca="1" si="45"/>
        <v>1.0075284505436932</v>
      </c>
      <c r="H500" s="28">
        <f t="shared" ca="1" si="46"/>
        <v>1.0385029180917555</v>
      </c>
      <c r="J500" s="28">
        <f t="shared" ca="1" si="47"/>
        <v>69.772593015993493</v>
      </c>
    </row>
    <row r="501" spans="4:16" x14ac:dyDescent="0.25">
      <c r="D501" s="28">
        <f t="shared" ca="1" si="42"/>
        <v>0.66636554795555147</v>
      </c>
      <c r="E501" s="28">
        <f t="shared" ca="1" si="43"/>
        <v>9.7907556842229226</v>
      </c>
      <c r="F501" s="28">
        <f t="shared" ca="1" si="44"/>
        <v>0.99927152659855922</v>
      </c>
      <c r="G501" s="28">
        <f t="shared" ca="1" si="45"/>
        <v>1.0268297468470033</v>
      </c>
      <c r="H501" s="28">
        <f t="shared" ca="1" si="46"/>
        <v>0.96679649357724462</v>
      </c>
      <c r="I501" s="28">
        <f t="shared" ref="I501:I525" ca="1" si="48">$I$22+2*$I$23*SQRT(3)*(RAND()-0.5)</f>
        <v>0</v>
      </c>
      <c r="J501" s="28">
        <f t="shared" ca="1" si="47"/>
        <v>67.517032000378677</v>
      </c>
      <c r="K501" s="28" t="e">
        <f t="shared" ref="K501:K525" ca="1" si="49">NORMINV(RAND(),$K$22,$K$23)</f>
        <v>#NUM!</v>
      </c>
      <c r="L501" s="28" t="e">
        <f t="shared" ref="L501:L525" ca="1" si="50">NORMINV(RAND(),$L$22,$L$23)</f>
        <v>#NUM!</v>
      </c>
      <c r="M501" s="28" t="e">
        <f t="shared" ref="M501:M525" ca="1" si="51">100*((D501-F501+2*K501)/H501+(E501-G501+2*K501)/I501)/2+J501</f>
        <v>#NUM!</v>
      </c>
      <c r="N501">
        <f t="shared" ref="N501:N525" ca="1" si="52">$N$22+2*$N$23*SQRT(3)*(RAND()-0.5)</f>
        <v>0</v>
      </c>
      <c r="O501">
        <f t="shared" ref="O501:O525" ca="1" si="53">$O$22+$O$23*SQRT(6)*(RAND()-RAND())</f>
        <v>0</v>
      </c>
      <c r="P501" t="e">
        <f t="shared" ref="P501:P525" ca="1" si="54">(((D501+F501)/2-(E501+G501)/2)-((H501+J501)/2-(I501+K501)/2))*L501*M501+N501</f>
        <v>#NUM!</v>
      </c>
    </row>
    <row r="502" spans="4:16" x14ac:dyDescent="0.25">
      <c r="D502" s="28">
        <f t="shared" ca="1" si="42"/>
        <v>0.63046053499622423</v>
      </c>
      <c r="E502" s="28">
        <f t="shared" ca="1" si="43"/>
        <v>10.098792151028409</v>
      </c>
      <c r="F502" s="28">
        <f t="shared" ca="1" si="44"/>
        <v>1.0021690154514076</v>
      </c>
      <c r="G502" s="28">
        <f t="shared" ca="1" si="45"/>
        <v>1.00335459215133</v>
      </c>
      <c r="H502" s="28">
        <f t="shared" ca="1" si="46"/>
        <v>1.0411319270281711</v>
      </c>
      <c r="I502" s="28">
        <f t="shared" ca="1" si="48"/>
        <v>0</v>
      </c>
      <c r="J502" s="28">
        <f t="shared" ca="1" si="47"/>
        <v>65.356630077545447</v>
      </c>
      <c r="K502" s="28" t="e">
        <f t="shared" ca="1" si="49"/>
        <v>#NUM!</v>
      </c>
      <c r="L502" s="28" t="e">
        <f t="shared" ca="1" si="50"/>
        <v>#NUM!</v>
      </c>
      <c r="M502" s="28" t="e">
        <f t="shared" ca="1" si="51"/>
        <v>#NUM!</v>
      </c>
      <c r="N502">
        <f t="shared" ca="1" si="52"/>
        <v>0</v>
      </c>
      <c r="O502">
        <f t="shared" ca="1" si="53"/>
        <v>0</v>
      </c>
      <c r="P502" t="e">
        <f t="shared" ca="1" si="54"/>
        <v>#NUM!</v>
      </c>
    </row>
    <row r="503" spans="4:16" x14ac:dyDescent="0.25">
      <c r="D503" s="28">
        <f t="shared" ca="1" si="42"/>
        <v>0.65005256560702573</v>
      </c>
      <c r="E503" s="28">
        <f t="shared" ca="1" si="43"/>
        <v>9.8238317953957708</v>
      </c>
      <c r="F503" s="28">
        <f t="shared" ca="1" si="44"/>
        <v>0.9762618856293217</v>
      </c>
      <c r="G503" s="28">
        <f t="shared" ca="1" si="45"/>
        <v>1.0295343503947378</v>
      </c>
      <c r="H503" s="28">
        <f t="shared" ca="1" si="46"/>
        <v>0.98731043714789868</v>
      </c>
      <c r="I503" s="28">
        <f t="shared" ca="1" si="48"/>
        <v>0</v>
      </c>
      <c r="J503" s="28">
        <f t="shared" ca="1" si="47"/>
        <v>65.664170536746184</v>
      </c>
      <c r="K503" s="28" t="e">
        <f t="shared" ca="1" si="49"/>
        <v>#NUM!</v>
      </c>
      <c r="L503" s="28" t="e">
        <f t="shared" ca="1" si="50"/>
        <v>#NUM!</v>
      </c>
      <c r="M503" s="28" t="e">
        <f t="shared" ca="1" si="51"/>
        <v>#NUM!</v>
      </c>
      <c r="N503">
        <f t="shared" ca="1" si="52"/>
        <v>0</v>
      </c>
      <c r="O503">
        <f t="shared" ca="1" si="53"/>
        <v>0</v>
      </c>
      <c r="P503" t="e">
        <f t="shared" ca="1" si="54"/>
        <v>#NUM!</v>
      </c>
    </row>
    <row r="504" spans="4:16" x14ac:dyDescent="0.25">
      <c r="D504" s="28">
        <f t="shared" ca="1" si="42"/>
        <v>0.66213322477024483</v>
      </c>
      <c r="E504" s="28">
        <f t="shared" ca="1" si="43"/>
        <v>9.7221459337976999</v>
      </c>
      <c r="F504" s="28">
        <f t="shared" ca="1" si="44"/>
        <v>0.99088309025698484</v>
      </c>
      <c r="G504" s="28">
        <f t="shared" ca="1" si="45"/>
        <v>0.98129171589499364</v>
      </c>
      <c r="H504" s="28">
        <f t="shared" ca="1" si="46"/>
        <v>1.0185059388218802</v>
      </c>
      <c r="I504" s="28">
        <f t="shared" ca="1" si="48"/>
        <v>0</v>
      </c>
      <c r="J504" s="28">
        <f t="shared" ca="1" si="47"/>
        <v>67.447733479948113</v>
      </c>
      <c r="K504" s="28" t="e">
        <f t="shared" ca="1" si="49"/>
        <v>#NUM!</v>
      </c>
      <c r="L504" s="28" t="e">
        <f t="shared" ca="1" si="50"/>
        <v>#NUM!</v>
      </c>
      <c r="M504" s="28" t="e">
        <f t="shared" ca="1" si="51"/>
        <v>#NUM!</v>
      </c>
      <c r="N504">
        <f t="shared" ca="1" si="52"/>
        <v>0</v>
      </c>
      <c r="O504">
        <f t="shared" ca="1" si="53"/>
        <v>0</v>
      </c>
      <c r="P504" t="e">
        <f t="shared" ca="1" si="54"/>
        <v>#NUM!</v>
      </c>
    </row>
    <row r="505" spans="4:16" x14ac:dyDescent="0.25">
      <c r="D505" s="28">
        <f t="shared" ca="1" si="42"/>
        <v>0.65083406141829236</v>
      </c>
      <c r="E505" s="28">
        <f t="shared" ca="1" si="43"/>
        <v>9.8459154200620862</v>
      </c>
      <c r="F505" s="28">
        <f t="shared" ca="1" si="44"/>
        <v>1.005140333204219</v>
      </c>
      <c r="G505" s="28">
        <f t="shared" ca="1" si="45"/>
        <v>1.0437761375084598</v>
      </c>
      <c r="H505" s="28">
        <f t="shared" ca="1" si="46"/>
        <v>1.0323421914707029</v>
      </c>
      <c r="I505" s="28">
        <f t="shared" ca="1" si="48"/>
        <v>0</v>
      </c>
      <c r="J505" s="28">
        <f t="shared" ca="1" si="47"/>
        <v>71.593223046138462</v>
      </c>
      <c r="K505" s="28" t="e">
        <f t="shared" ca="1" si="49"/>
        <v>#NUM!</v>
      </c>
      <c r="L505" s="28" t="e">
        <f t="shared" ca="1" si="50"/>
        <v>#NUM!</v>
      </c>
      <c r="M505" s="28" t="e">
        <f t="shared" ca="1" si="51"/>
        <v>#NUM!</v>
      </c>
      <c r="N505">
        <f t="shared" ca="1" si="52"/>
        <v>0</v>
      </c>
      <c r="O505">
        <f t="shared" ca="1" si="53"/>
        <v>0</v>
      </c>
      <c r="P505" t="e">
        <f t="shared" ca="1" si="54"/>
        <v>#NUM!</v>
      </c>
    </row>
    <row r="506" spans="4:16" x14ac:dyDescent="0.25">
      <c r="D506" s="28">
        <f t="shared" ca="1" si="42"/>
        <v>0.67195200149961143</v>
      </c>
      <c r="E506" s="28">
        <f t="shared" ca="1" si="43"/>
        <v>9.7493454153923764</v>
      </c>
      <c r="F506" s="28">
        <f t="shared" ca="1" si="44"/>
        <v>1.0196958489100096</v>
      </c>
      <c r="G506" s="28">
        <f t="shared" ca="1" si="45"/>
        <v>0.96626367807304125</v>
      </c>
      <c r="H506" s="28">
        <f t="shared" ca="1" si="46"/>
        <v>1.0001606037327764</v>
      </c>
      <c r="I506" s="28">
        <f t="shared" ca="1" si="48"/>
        <v>0</v>
      </c>
      <c r="J506" s="28">
        <f t="shared" ca="1" si="47"/>
        <v>67.92018248304862</v>
      </c>
      <c r="K506" s="28" t="e">
        <f t="shared" ca="1" si="49"/>
        <v>#NUM!</v>
      </c>
      <c r="L506" s="28" t="e">
        <f t="shared" ca="1" si="50"/>
        <v>#NUM!</v>
      </c>
      <c r="M506" s="28" t="e">
        <f t="shared" ca="1" si="51"/>
        <v>#NUM!</v>
      </c>
      <c r="N506">
        <f t="shared" ca="1" si="52"/>
        <v>0</v>
      </c>
      <c r="O506">
        <f t="shared" ca="1" si="53"/>
        <v>0</v>
      </c>
      <c r="P506" t="e">
        <f t="shared" ca="1" si="54"/>
        <v>#NUM!</v>
      </c>
    </row>
    <row r="507" spans="4:16" x14ac:dyDescent="0.25">
      <c r="D507" s="28">
        <f t="shared" ca="1" si="42"/>
        <v>0.67210462714459651</v>
      </c>
      <c r="E507" s="28">
        <f t="shared" ca="1" si="43"/>
        <v>9.8892272319944112</v>
      </c>
      <c r="F507" s="28">
        <f t="shared" ca="1" si="44"/>
        <v>0.98996405173586244</v>
      </c>
      <c r="G507" s="28">
        <f t="shared" ca="1" si="45"/>
        <v>1.0475196271178611</v>
      </c>
      <c r="H507" s="28">
        <f t="shared" ca="1" si="46"/>
        <v>0.9835035341871472</v>
      </c>
      <c r="I507" s="28">
        <f t="shared" ca="1" si="48"/>
        <v>0</v>
      </c>
      <c r="J507" s="28">
        <f t="shared" ca="1" si="47"/>
        <v>69.31576929406728</v>
      </c>
      <c r="K507" s="28" t="e">
        <f t="shared" ca="1" si="49"/>
        <v>#NUM!</v>
      </c>
      <c r="L507" s="28" t="e">
        <f t="shared" ca="1" si="50"/>
        <v>#NUM!</v>
      </c>
      <c r="M507" s="28" t="e">
        <f t="shared" ca="1" si="51"/>
        <v>#NUM!</v>
      </c>
      <c r="N507">
        <f t="shared" ca="1" si="52"/>
        <v>0</v>
      </c>
      <c r="O507">
        <f t="shared" ca="1" si="53"/>
        <v>0</v>
      </c>
      <c r="P507" t="e">
        <f t="shared" ca="1" si="54"/>
        <v>#NUM!</v>
      </c>
    </row>
    <row r="508" spans="4:16" x14ac:dyDescent="0.25">
      <c r="D508" s="28">
        <f t="shared" ca="1" si="42"/>
        <v>0.67861670355559267</v>
      </c>
      <c r="E508" s="28">
        <f t="shared" ca="1" si="43"/>
        <v>9.9829012102251085</v>
      </c>
      <c r="F508" s="28">
        <f t="shared" ca="1" si="44"/>
        <v>0.99390602882529844</v>
      </c>
      <c r="G508" s="28">
        <f t="shared" ca="1" si="45"/>
        <v>1.0254144473533291</v>
      </c>
      <c r="H508" s="28">
        <f t="shared" ca="1" si="46"/>
        <v>0.98674415338185661</v>
      </c>
      <c r="I508" s="28">
        <f t="shared" ca="1" si="48"/>
        <v>0</v>
      </c>
      <c r="J508" s="28">
        <f t="shared" ca="1" si="47"/>
        <v>68.362366868621848</v>
      </c>
      <c r="K508" s="28" t="e">
        <f t="shared" ca="1" si="49"/>
        <v>#NUM!</v>
      </c>
      <c r="L508" s="28" t="e">
        <f t="shared" ca="1" si="50"/>
        <v>#NUM!</v>
      </c>
      <c r="M508" s="28" t="e">
        <f t="shared" ca="1" si="51"/>
        <v>#NUM!</v>
      </c>
      <c r="N508">
        <f t="shared" ca="1" si="52"/>
        <v>0</v>
      </c>
      <c r="O508">
        <f t="shared" ca="1" si="53"/>
        <v>0</v>
      </c>
      <c r="P508" t="e">
        <f t="shared" ca="1" si="54"/>
        <v>#NUM!</v>
      </c>
    </row>
    <row r="509" spans="4:16" x14ac:dyDescent="0.25">
      <c r="D509" s="28">
        <f t="shared" ca="1" si="42"/>
        <v>0.65009557928014083</v>
      </c>
      <c r="E509" s="28">
        <f t="shared" ca="1" si="43"/>
        <v>10.016853716594218</v>
      </c>
      <c r="F509" s="28">
        <f t="shared" ca="1" si="44"/>
        <v>1.0012610753301046</v>
      </c>
      <c r="G509" s="28">
        <f t="shared" ca="1" si="45"/>
        <v>1.0723685729943246</v>
      </c>
      <c r="H509" s="28">
        <f t="shared" ca="1" si="46"/>
        <v>1.0388461093706589</v>
      </c>
      <c r="I509" s="28">
        <f t="shared" ca="1" si="48"/>
        <v>0</v>
      </c>
      <c r="J509" s="28">
        <f t="shared" ca="1" si="47"/>
        <v>72.391655742857793</v>
      </c>
      <c r="K509" s="28" t="e">
        <f t="shared" ca="1" si="49"/>
        <v>#NUM!</v>
      </c>
      <c r="L509" s="28" t="e">
        <f t="shared" ca="1" si="50"/>
        <v>#NUM!</v>
      </c>
      <c r="M509" s="28" t="e">
        <f t="shared" ca="1" si="51"/>
        <v>#NUM!</v>
      </c>
      <c r="N509">
        <f t="shared" ca="1" si="52"/>
        <v>0</v>
      </c>
      <c r="O509">
        <f t="shared" ca="1" si="53"/>
        <v>0</v>
      </c>
      <c r="P509" t="e">
        <f t="shared" ca="1" si="54"/>
        <v>#NUM!</v>
      </c>
    </row>
    <row r="510" spans="4:16" x14ac:dyDescent="0.25">
      <c r="D510" s="28">
        <f t="shared" ca="1" si="42"/>
        <v>0.67669097342833107</v>
      </c>
      <c r="E510" s="28">
        <f t="shared" ca="1" si="43"/>
        <v>10.037706113703605</v>
      </c>
      <c r="F510" s="28">
        <f t="shared" ca="1" si="44"/>
        <v>0.98286586556864153</v>
      </c>
      <c r="G510" s="28">
        <f t="shared" ca="1" si="45"/>
        <v>1.0009679392704562</v>
      </c>
      <c r="H510" s="28">
        <f t="shared" ca="1" si="46"/>
        <v>1.012728763660782</v>
      </c>
      <c r="I510" s="28">
        <f t="shared" ca="1" si="48"/>
        <v>0</v>
      </c>
      <c r="J510" s="28">
        <f t="shared" ca="1" si="47"/>
        <v>67.168163198038968</v>
      </c>
      <c r="K510" s="28" t="e">
        <f t="shared" ca="1" si="49"/>
        <v>#NUM!</v>
      </c>
      <c r="L510" s="28" t="e">
        <f t="shared" ca="1" si="50"/>
        <v>#NUM!</v>
      </c>
      <c r="M510" s="28" t="e">
        <f t="shared" ca="1" si="51"/>
        <v>#NUM!</v>
      </c>
      <c r="N510">
        <f t="shared" ca="1" si="52"/>
        <v>0</v>
      </c>
      <c r="O510">
        <f t="shared" ca="1" si="53"/>
        <v>0</v>
      </c>
      <c r="P510" t="e">
        <f t="shared" ca="1" si="54"/>
        <v>#NUM!</v>
      </c>
    </row>
    <row r="511" spans="4:16" x14ac:dyDescent="0.25">
      <c r="D511" s="28">
        <f t="shared" ca="1" si="42"/>
        <v>0.63831106882277244</v>
      </c>
      <c r="E511" s="28">
        <f t="shared" ca="1" si="43"/>
        <v>9.6564069657505076</v>
      </c>
      <c r="F511" s="28">
        <f t="shared" ca="1" si="44"/>
        <v>0.99596115020134468</v>
      </c>
      <c r="G511" s="28">
        <f t="shared" ca="1" si="45"/>
        <v>0.97628689212062303</v>
      </c>
      <c r="H511" s="28">
        <f t="shared" ca="1" si="46"/>
        <v>0.94413849259582361</v>
      </c>
      <c r="I511" s="28">
        <f t="shared" ca="1" si="48"/>
        <v>0</v>
      </c>
      <c r="J511" s="28">
        <f t="shared" ca="1" si="47"/>
        <v>60.683745113641002</v>
      </c>
      <c r="K511" s="28" t="e">
        <f t="shared" ca="1" si="49"/>
        <v>#NUM!</v>
      </c>
      <c r="L511" s="28" t="e">
        <f t="shared" ca="1" si="50"/>
        <v>#NUM!</v>
      </c>
      <c r="M511" s="28" t="e">
        <f t="shared" ca="1" si="51"/>
        <v>#NUM!</v>
      </c>
      <c r="N511">
        <f t="shared" ca="1" si="52"/>
        <v>0</v>
      </c>
      <c r="O511">
        <f t="shared" ca="1" si="53"/>
        <v>0</v>
      </c>
      <c r="P511" t="e">
        <f t="shared" ca="1" si="54"/>
        <v>#NUM!</v>
      </c>
    </row>
    <row r="512" spans="4:16" x14ac:dyDescent="0.25">
      <c r="D512" s="28">
        <f t="shared" ca="1" si="42"/>
        <v>0.63768844416975423</v>
      </c>
      <c r="E512" s="28">
        <f t="shared" ca="1" si="43"/>
        <v>9.8152372144978344</v>
      </c>
      <c r="F512" s="28">
        <f t="shared" ca="1" si="44"/>
        <v>0.97735999706358612</v>
      </c>
      <c r="G512" s="28">
        <f t="shared" ca="1" si="45"/>
        <v>0.9301467967926853</v>
      </c>
      <c r="H512" s="28">
        <f t="shared" ca="1" si="46"/>
        <v>0.98740173767973494</v>
      </c>
      <c r="I512" s="28">
        <f t="shared" ca="1" si="48"/>
        <v>0</v>
      </c>
      <c r="J512" s="28">
        <f t="shared" ca="1" si="47"/>
        <v>58.318680400772926</v>
      </c>
      <c r="K512" s="28" t="e">
        <f t="shared" ca="1" si="49"/>
        <v>#NUM!</v>
      </c>
      <c r="L512" s="28" t="e">
        <f t="shared" ca="1" si="50"/>
        <v>#NUM!</v>
      </c>
      <c r="M512" s="28" t="e">
        <f t="shared" ca="1" si="51"/>
        <v>#NUM!</v>
      </c>
      <c r="N512">
        <f t="shared" ca="1" si="52"/>
        <v>0</v>
      </c>
      <c r="O512">
        <f t="shared" ca="1" si="53"/>
        <v>0</v>
      </c>
      <c r="P512" t="e">
        <f t="shared" ca="1" si="54"/>
        <v>#NUM!</v>
      </c>
    </row>
    <row r="513" spans="4:16" x14ac:dyDescent="0.25">
      <c r="D513" s="28">
        <f t="shared" ca="1" si="42"/>
        <v>0.63878458445379305</v>
      </c>
      <c r="E513" s="28">
        <f t="shared" ca="1" si="43"/>
        <v>10.257304351299313</v>
      </c>
      <c r="F513" s="28">
        <f t="shared" ca="1" si="44"/>
        <v>0.9843274289569417</v>
      </c>
      <c r="G513" s="28">
        <f t="shared" ca="1" si="45"/>
        <v>1.0338271186138732</v>
      </c>
      <c r="H513" s="28">
        <f t="shared" ca="1" si="46"/>
        <v>1.0243233471635482</v>
      </c>
      <c r="I513" s="28">
        <f t="shared" ca="1" si="48"/>
        <v>0</v>
      </c>
      <c r="J513" s="28">
        <f t="shared" ca="1" si="47"/>
        <v>64.91510499293787</v>
      </c>
      <c r="K513" s="28" t="e">
        <f t="shared" ca="1" si="49"/>
        <v>#NUM!</v>
      </c>
      <c r="L513" s="28" t="e">
        <f t="shared" ca="1" si="50"/>
        <v>#NUM!</v>
      </c>
      <c r="M513" s="28" t="e">
        <f t="shared" ca="1" si="51"/>
        <v>#NUM!</v>
      </c>
      <c r="N513">
        <f t="shared" ca="1" si="52"/>
        <v>0</v>
      </c>
      <c r="O513">
        <f t="shared" ca="1" si="53"/>
        <v>0</v>
      </c>
      <c r="P513" t="e">
        <f t="shared" ca="1" si="54"/>
        <v>#NUM!</v>
      </c>
    </row>
    <row r="514" spans="4:16" x14ac:dyDescent="0.25">
      <c r="D514" s="28">
        <f t="shared" ca="1" si="42"/>
        <v>0.65281382072836247</v>
      </c>
      <c r="E514" s="28">
        <f t="shared" ca="1" si="43"/>
        <v>9.9380626652945114</v>
      </c>
      <c r="F514" s="28">
        <f t="shared" ca="1" si="44"/>
        <v>0.97998540618401209</v>
      </c>
      <c r="G514" s="28">
        <f t="shared" ca="1" si="45"/>
        <v>0.96949782758053504</v>
      </c>
      <c r="H514" s="28">
        <f t="shared" ca="1" si="46"/>
        <v>1.0031840861675054</v>
      </c>
      <c r="I514" s="28">
        <f t="shared" ca="1" si="48"/>
        <v>0</v>
      </c>
      <c r="J514" s="28">
        <f t="shared" ca="1" si="47"/>
        <v>62.608700849772731</v>
      </c>
      <c r="K514" s="28" t="e">
        <f t="shared" ca="1" si="49"/>
        <v>#NUM!</v>
      </c>
      <c r="L514" s="28" t="e">
        <f t="shared" ca="1" si="50"/>
        <v>#NUM!</v>
      </c>
      <c r="M514" s="28" t="e">
        <f t="shared" ca="1" si="51"/>
        <v>#NUM!</v>
      </c>
      <c r="N514">
        <f t="shared" ca="1" si="52"/>
        <v>0</v>
      </c>
      <c r="O514">
        <f t="shared" ca="1" si="53"/>
        <v>0</v>
      </c>
      <c r="P514" t="e">
        <f t="shared" ca="1" si="54"/>
        <v>#NUM!</v>
      </c>
    </row>
    <row r="515" spans="4:16" x14ac:dyDescent="0.25">
      <c r="D515" s="28">
        <f t="shared" ca="1" si="42"/>
        <v>0.64571761875044331</v>
      </c>
      <c r="E515" s="28">
        <f t="shared" ca="1" si="43"/>
        <v>10.229409214320993</v>
      </c>
      <c r="F515" s="28">
        <f t="shared" ca="1" si="44"/>
        <v>0.99813777094835199</v>
      </c>
      <c r="G515" s="28">
        <f t="shared" ca="1" si="45"/>
        <v>0.98097474543162388</v>
      </c>
      <c r="H515" s="28">
        <f t="shared" ca="1" si="46"/>
        <v>1.0065477922027948</v>
      </c>
      <c r="I515" s="28">
        <f t="shared" ca="1" si="48"/>
        <v>0</v>
      </c>
      <c r="J515" s="28">
        <f t="shared" ca="1" si="47"/>
        <v>62.212091470322669</v>
      </c>
      <c r="K515" s="28" t="e">
        <f t="shared" ca="1" si="49"/>
        <v>#NUM!</v>
      </c>
      <c r="L515" s="28" t="e">
        <f t="shared" ca="1" si="50"/>
        <v>#NUM!</v>
      </c>
      <c r="M515" s="28" t="e">
        <f t="shared" ca="1" si="51"/>
        <v>#NUM!</v>
      </c>
      <c r="N515">
        <f t="shared" ca="1" si="52"/>
        <v>0</v>
      </c>
      <c r="O515">
        <f t="shared" ca="1" si="53"/>
        <v>0</v>
      </c>
      <c r="P515" t="e">
        <f t="shared" ca="1" si="54"/>
        <v>#NUM!</v>
      </c>
    </row>
    <row r="516" spans="4:16" x14ac:dyDescent="0.25">
      <c r="D516" s="28">
        <f t="shared" ca="1" si="42"/>
        <v>0.6493601350259981</v>
      </c>
      <c r="E516" s="28">
        <f t="shared" ca="1" si="43"/>
        <v>10.335212557309591</v>
      </c>
      <c r="F516" s="28">
        <f t="shared" ca="1" si="44"/>
        <v>1.0070511295706746</v>
      </c>
      <c r="G516" s="28">
        <f t="shared" ca="1" si="45"/>
        <v>1.0498894639329384</v>
      </c>
      <c r="H516" s="28">
        <f t="shared" ca="1" si="46"/>
        <v>1.0125104338164679</v>
      </c>
      <c r="I516" s="28">
        <f t="shared" ca="1" si="48"/>
        <v>0</v>
      </c>
      <c r="J516" s="28">
        <f t="shared" ca="1" si="47"/>
        <v>67.260612212864601</v>
      </c>
      <c r="K516" s="28" t="e">
        <f t="shared" ca="1" si="49"/>
        <v>#NUM!</v>
      </c>
      <c r="L516" s="28" t="e">
        <f t="shared" ca="1" si="50"/>
        <v>#NUM!</v>
      </c>
      <c r="M516" s="28" t="e">
        <f t="shared" ca="1" si="51"/>
        <v>#NUM!</v>
      </c>
      <c r="N516">
        <f t="shared" ca="1" si="52"/>
        <v>0</v>
      </c>
      <c r="O516">
        <f t="shared" ca="1" si="53"/>
        <v>0</v>
      </c>
      <c r="P516" t="e">
        <f t="shared" ca="1" si="54"/>
        <v>#NUM!</v>
      </c>
    </row>
    <row r="517" spans="4:16" x14ac:dyDescent="0.25">
      <c r="D517" s="28">
        <f t="shared" ca="1" si="42"/>
        <v>0.63473725443990781</v>
      </c>
      <c r="E517" s="28">
        <f t="shared" ca="1" si="43"/>
        <v>9.9138859412277949</v>
      </c>
      <c r="F517" s="28">
        <f t="shared" ca="1" si="44"/>
        <v>0.99819523739116467</v>
      </c>
      <c r="G517" s="28">
        <f t="shared" ca="1" si="45"/>
        <v>1.0346480628269936</v>
      </c>
      <c r="H517" s="28">
        <f t="shared" ca="1" si="46"/>
        <v>0.98371959342451309</v>
      </c>
      <c r="I517" s="28">
        <f t="shared" ca="1" si="48"/>
        <v>0</v>
      </c>
      <c r="J517" s="28">
        <f t="shared" ca="1" si="47"/>
        <v>65.047339008948001</v>
      </c>
      <c r="K517" s="28" t="e">
        <f t="shared" ca="1" si="49"/>
        <v>#NUM!</v>
      </c>
      <c r="L517" s="28" t="e">
        <f t="shared" ca="1" si="50"/>
        <v>#NUM!</v>
      </c>
      <c r="M517" s="28" t="e">
        <f t="shared" ca="1" si="51"/>
        <v>#NUM!</v>
      </c>
      <c r="N517">
        <f t="shared" ca="1" si="52"/>
        <v>0</v>
      </c>
      <c r="O517">
        <f t="shared" ca="1" si="53"/>
        <v>0</v>
      </c>
      <c r="P517" t="e">
        <f t="shared" ca="1" si="54"/>
        <v>#NUM!</v>
      </c>
    </row>
    <row r="518" spans="4:16" x14ac:dyDescent="0.25">
      <c r="D518" s="28">
        <f t="shared" ca="1" si="42"/>
        <v>0.65665387071855907</v>
      </c>
      <c r="E518" s="28">
        <f t="shared" ca="1" si="43"/>
        <v>10.359334167903983</v>
      </c>
      <c r="F518" s="28">
        <f t="shared" ca="1" si="44"/>
        <v>1.0208019559479573</v>
      </c>
      <c r="G518" s="28">
        <f t="shared" ca="1" si="45"/>
        <v>1.0398839357927323</v>
      </c>
      <c r="H518" s="28">
        <f t="shared" ca="1" si="46"/>
        <v>0.95279504149592298</v>
      </c>
      <c r="I518" s="28">
        <f t="shared" ca="1" si="48"/>
        <v>0</v>
      </c>
      <c r="J518" s="28">
        <f t="shared" ca="1" si="47"/>
        <v>64.110699747340149</v>
      </c>
      <c r="K518" s="28" t="e">
        <f t="shared" ca="1" si="49"/>
        <v>#NUM!</v>
      </c>
      <c r="L518" s="28" t="e">
        <f t="shared" ca="1" si="50"/>
        <v>#NUM!</v>
      </c>
      <c r="M518" s="28" t="e">
        <f t="shared" ca="1" si="51"/>
        <v>#NUM!</v>
      </c>
      <c r="N518">
        <f t="shared" ca="1" si="52"/>
        <v>0</v>
      </c>
      <c r="O518">
        <f t="shared" ca="1" si="53"/>
        <v>0</v>
      </c>
      <c r="P518" t="e">
        <f t="shared" ca="1" si="54"/>
        <v>#NUM!</v>
      </c>
    </row>
    <row r="519" spans="4:16" x14ac:dyDescent="0.25">
      <c r="D519" s="28">
        <f t="shared" ca="1" si="42"/>
        <v>0.66501644811569682</v>
      </c>
      <c r="E519" s="28">
        <f t="shared" ca="1" si="43"/>
        <v>10.133820670539919</v>
      </c>
      <c r="F519" s="28">
        <f t="shared" ca="1" si="44"/>
        <v>0.98348302913948238</v>
      </c>
      <c r="G519" s="28">
        <f t="shared" ca="1" si="45"/>
        <v>1.0138318166206437</v>
      </c>
      <c r="H519" s="28">
        <f t="shared" ca="1" si="46"/>
        <v>1.0031987363384269</v>
      </c>
      <c r="I519" s="28">
        <f t="shared" ca="1" si="48"/>
        <v>0</v>
      </c>
      <c r="J519" s="28">
        <f t="shared" ca="1" si="47"/>
        <v>65.641566290083105</v>
      </c>
      <c r="K519" s="28" t="e">
        <f t="shared" ca="1" si="49"/>
        <v>#NUM!</v>
      </c>
      <c r="L519" s="28" t="e">
        <f t="shared" ca="1" si="50"/>
        <v>#NUM!</v>
      </c>
      <c r="M519" s="28" t="e">
        <f t="shared" ca="1" si="51"/>
        <v>#NUM!</v>
      </c>
      <c r="N519">
        <f t="shared" ca="1" si="52"/>
        <v>0</v>
      </c>
      <c r="O519">
        <f t="shared" ca="1" si="53"/>
        <v>0</v>
      </c>
      <c r="P519" t="e">
        <f t="shared" ca="1" si="54"/>
        <v>#NUM!</v>
      </c>
    </row>
    <row r="520" spans="4:16" x14ac:dyDescent="0.25">
      <c r="D520" s="28">
        <f t="shared" ca="1" si="42"/>
        <v>0.65245104269134102</v>
      </c>
      <c r="E520" s="28">
        <f t="shared" ca="1" si="43"/>
        <v>9.6854642463973306</v>
      </c>
      <c r="F520" s="28">
        <f t="shared" ca="1" si="44"/>
        <v>1.0329363984368964</v>
      </c>
      <c r="G520" s="28">
        <f t="shared" ca="1" si="45"/>
        <v>1.0393914164876075</v>
      </c>
      <c r="H520" s="28">
        <f t="shared" ca="1" si="46"/>
        <v>0.98941711593606663</v>
      </c>
      <c r="I520" s="28">
        <f t="shared" ca="1" si="48"/>
        <v>0</v>
      </c>
      <c r="J520" s="28">
        <f t="shared" ca="1" si="47"/>
        <v>71.5582339182955</v>
      </c>
      <c r="K520" s="28" t="e">
        <f t="shared" ca="1" si="49"/>
        <v>#NUM!</v>
      </c>
      <c r="L520" s="28" t="e">
        <f t="shared" ca="1" si="50"/>
        <v>#NUM!</v>
      </c>
      <c r="M520" s="28" t="e">
        <f t="shared" ca="1" si="51"/>
        <v>#NUM!</v>
      </c>
      <c r="N520">
        <f t="shared" ca="1" si="52"/>
        <v>0</v>
      </c>
      <c r="O520">
        <f t="shared" ca="1" si="53"/>
        <v>0</v>
      </c>
      <c r="P520" t="e">
        <f t="shared" ca="1" si="54"/>
        <v>#NUM!</v>
      </c>
    </row>
    <row r="521" spans="4:16" x14ac:dyDescent="0.25">
      <c r="D521" s="28">
        <f t="shared" ca="1" si="42"/>
        <v>0.65067936512844571</v>
      </c>
      <c r="E521" s="28">
        <f t="shared" ca="1" si="43"/>
        <v>9.7668601028816528</v>
      </c>
      <c r="F521" s="28">
        <f t="shared" ca="1" si="44"/>
        <v>0.98491462500138793</v>
      </c>
      <c r="G521" s="28">
        <f t="shared" ca="1" si="45"/>
        <v>0.98526165956847911</v>
      </c>
      <c r="H521" s="28">
        <f t="shared" ca="1" si="46"/>
        <v>0.98457217397978258</v>
      </c>
      <c r="I521" s="28">
        <f t="shared" ca="1" si="48"/>
        <v>0</v>
      </c>
      <c r="J521" s="28">
        <f t="shared" ca="1" si="47"/>
        <v>63.651668761101909</v>
      </c>
      <c r="K521" s="28" t="e">
        <f t="shared" ca="1" si="49"/>
        <v>#NUM!</v>
      </c>
      <c r="L521" s="28" t="e">
        <f t="shared" ca="1" si="50"/>
        <v>#NUM!</v>
      </c>
      <c r="M521" s="28" t="e">
        <f t="shared" ca="1" si="51"/>
        <v>#NUM!</v>
      </c>
      <c r="N521">
        <f t="shared" ca="1" si="52"/>
        <v>0</v>
      </c>
      <c r="O521">
        <f t="shared" ca="1" si="53"/>
        <v>0</v>
      </c>
      <c r="P521" t="e">
        <f t="shared" ca="1" si="54"/>
        <v>#NUM!</v>
      </c>
    </row>
    <row r="522" spans="4:16" x14ac:dyDescent="0.25">
      <c r="D522" s="28">
        <f t="shared" ca="1" si="42"/>
        <v>0.67065649130051419</v>
      </c>
      <c r="E522" s="28">
        <f t="shared" ca="1" si="43"/>
        <v>10.078392445293781</v>
      </c>
      <c r="F522" s="28">
        <f t="shared" ca="1" si="44"/>
        <v>1.0006629455830809</v>
      </c>
      <c r="G522" s="28">
        <f t="shared" ca="1" si="45"/>
        <v>0.97848594070790806</v>
      </c>
      <c r="H522" s="28">
        <f t="shared" ca="1" si="46"/>
        <v>1.0089619882822289</v>
      </c>
      <c r="I522" s="28">
        <f t="shared" ca="1" si="48"/>
        <v>0</v>
      </c>
      <c r="J522" s="28">
        <f t="shared" ca="1" si="47"/>
        <v>65.739452083296328</v>
      </c>
      <c r="K522" s="28" t="e">
        <f t="shared" ca="1" si="49"/>
        <v>#NUM!</v>
      </c>
      <c r="L522" s="28" t="e">
        <f t="shared" ca="1" si="50"/>
        <v>#NUM!</v>
      </c>
      <c r="M522" s="28" t="e">
        <f t="shared" ca="1" si="51"/>
        <v>#NUM!</v>
      </c>
      <c r="N522">
        <f t="shared" ca="1" si="52"/>
        <v>0</v>
      </c>
      <c r="O522">
        <f t="shared" ca="1" si="53"/>
        <v>0</v>
      </c>
      <c r="P522" t="e">
        <f t="shared" ca="1" si="54"/>
        <v>#NUM!</v>
      </c>
    </row>
    <row r="523" spans="4:16" x14ac:dyDescent="0.25">
      <c r="D523" s="28">
        <f t="shared" ca="1" si="42"/>
        <v>0.645849345465352</v>
      </c>
      <c r="E523" s="28">
        <f t="shared" ca="1" si="43"/>
        <v>10.10156485582691</v>
      </c>
      <c r="F523" s="28">
        <f t="shared" ca="1" si="44"/>
        <v>1.0108281272269077</v>
      </c>
      <c r="G523" s="28">
        <f t="shared" ca="1" si="45"/>
        <v>1.0537280807878473</v>
      </c>
      <c r="H523" s="28">
        <f t="shared" ca="1" si="46"/>
        <v>0.94563636888441582</v>
      </c>
      <c r="I523" s="28">
        <f t="shared" ca="1" si="48"/>
        <v>0</v>
      </c>
      <c r="J523" s="28">
        <f t="shared" ca="1" si="47"/>
        <v>64.398033509490716</v>
      </c>
      <c r="K523" s="28" t="e">
        <f t="shared" ca="1" si="49"/>
        <v>#NUM!</v>
      </c>
      <c r="L523" s="28" t="e">
        <f t="shared" ca="1" si="50"/>
        <v>#NUM!</v>
      </c>
      <c r="M523" s="28" t="e">
        <f t="shared" ca="1" si="51"/>
        <v>#NUM!</v>
      </c>
      <c r="N523">
        <f t="shared" ca="1" si="52"/>
        <v>0</v>
      </c>
      <c r="O523">
        <f t="shared" ca="1" si="53"/>
        <v>0</v>
      </c>
      <c r="P523" t="e">
        <f t="shared" ca="1" si="54"/>
        <v>#NUM!</v>
      </c>
    </row>
    <row r="524" spans="4:16" x14ac:dyDescent="0.25">
      <c r="D524" s="28">
        <f t="shared" ca="1" si="42"/>
        <v>0.64635023291202176</v>
      </c>
      <c r="E524" s="28">
        <f t="shared" ca="1" si="43"/>
        <v>10.021876082591433</v>
      </c>
      <c r="F524" s="28">
        <f t="shared" ca="1" si="44"/>
        <v>1.0179542373759309</v>
      </c>
      <c r="G524" s="28">
        <f t="shared" ca="1" si="45"/>
        <v>1.0288815361218688</v>
      </c>
      <c r="H524" s="28">
        <f t="shared" ca="1" si="46"/>
        <v>0.98178912733089196</v>
      </c>
      <c r="I524" s="28">
        <f t="shared" ca="1" si="48"/>
        <v>0</v>
      </c>
      <c r="J524" s="28">
        <f t="shared" ca="1" si="47"/>
        <v>66.31789419606234</v>
      </c>
      <c r="K524" s="28" t="e">
        <f t="shared" ca="1" si="49"/>
        <v>#NUM!</v>
      </c>
      <c r="L524" s="28" t="e">
        <f t="shared" ca="1" si="50"/>
        <v>#NUM!</v>
      </c>
      <c r="M524" s="28" t="e">
        <f t="shared" ca="1" si="51"/>
        <v>#NUM!</v>
      </c>
      <c r="N524">
        <f t="shared" ca="1" si="52"/>
        <v>0</v>
      </c>
      <c r="O524">
        <f t="shared" ca="1" si="53"/>
        <v>0</v>
      </c>
      <c r="P524" t="e">
        <f t="shared" ca="1" si="54"/>
        <v>#NUM!</v>
      </c>
    </row>
    <row r="525" spans="4:16" x14ac:dyDescent="0.25">
      <c r="D525" s="28">
        <f t="shared" ca="1" si="42"/>
        <v>0.70671801395072975</v>
      </c>
      <c r="E525" s="28">
        <f t="shared" ca="1" si="43"/>
        <v>10.167784133349446</v>
      </c>
      <c r="F525" s="28">
        <f t="shared" ca="1" si="44"/>
        <v>0.97950786678516477</v>
      </c>
      <c r="G525" s="28">
        <f t="shared" ca="1" si="45"/>
        <v>1.0119437018008519</v>
      </c>
      <c r="H525" s="28">
        <f t="shared" ca="1" si="46"/>
        <v>0.97349247707068187</v>
      </c>
      <c r="I525" s="28">
        <f t="shared" ca="1" si="48"/>
        <v>0</v>
      </c>
      <c r="J525" s="28">
        <f t="shared" ca="1" si="47"/>
        <v>67.068211294406865</v>
      </c>
      <c r="K525" s="28" t="e">
        <f t="shared" ca="1" si="49"/>
        <v>#NUM!</v>
      </c>
      <c r="L525" s="28" t="e">
        <f t="shared" ca="1" si="50"/>
        <v>#NUM!</v>
      </c>
      <c r="M525" s="28" t="e">
        <f t="shared" ca="1" si="51"/>
        <v>#NUM!</v>
      </c>
      <c r="N525">
        <f t="shared" ca="1" si="52"/>
        <v>0</v>
      </c>
      <c r="O525">
        <f t="shared" ca="1" si="53"/>
        <v>0</v>
      </c>
      <c r="P525" t="e">
        <f t="shared" ca="1" si="54"/>
        <v>#NUM!</v>
      </c>
    </row>
  </sheetData>
  <dataValidations count="2">
    <dataValidation type="list" allowBlank="1" showInputMessage="1" showErrorMessage="1" sqref="G5:G16" xr:uid="{00000000-0002-0000-0200-000000000000}">
      <formula1>ВидРаспределения</formula1>
    </dataValidation>
    <dataValidation type="list" allowBlank="1" showInputMessage="1" showErrorMessage="1" sqref="D5:D16" xr:uid="{00000000-0002-0000-0200-000001000000}">
      <formula1>Тип_оценивания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RascMonte">
              <controlPr defaultSize="0" print="0" autoFill="0" autoPict="0" macro="[0]!RascMonte_Щелчок">
                <anchor moveWithCells="1" sizeWithCells="1">
                  <from>
                    <xdr:col>0</xdr:col>
                    <xdr:colOff>76200</xdr:colOff>
                    <xdr:row>0</xdr:row>
                    <xdr:rowOff>142875</xdr:rowOff>
                  </from>
                  <to>
                    <xdr:col>1</xdr:col>
                    <xdr:colOff>933450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5" name="CopyKragt">
              <controlPr defaultSize="0" print="0" autoFill="0" autoPict="0" macro="[0]!CopyKragt_Щелчок">
                <anchor moveWithCells="1" sizeWithCells="1">
                  <from>
                    <xdr:col>6</xdr:col>
                    <xdr:colOff>847725</xdr:colOff>
                    <xdr:row>0</xdr:row>
                    <xdr:rowOff>133350</xdr:rowOff>
                  </from>
                  <to>
                    <xdr:col>8</xdr:col>
                    <xdr:colOff>9525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5"/>
  <dimension ref="B2:AP99"/>
  <sheetViews>
    <sheetView topLeftCell="C14" zoomScaleNormal="100" workbookViewId="0">
      <selection activeCell="U29" sqref="U29"/>
    </sheetView>
  </sheetViews>
  <sheetFormatPr defaultRowHeight="15" x14ac:dyDescent="0.25"/>
  <cols>
    <col min="2" max="2" width="21.5703125" customWidth="1"/>
    <col min="3" max="3" width="12" bestFit="1" customWidth="1"/>
    <col min="4" max="4" width="11.85546875" customWidth="1"/>
    <col min="5" max="5" width="10.85546875" customWidth="1"/>
    <col min="6" max="6" width="10.42578125" customWidth="1"/>
    <col min="8" max="9" width="10.28515625" customWidth="1"/>
    <col min="12" max="12" width="10.42578125" customWidth="1"/>
    <col min="17" max="17" width="11.42578125" customWidth="1"/>
    <col min="18" max="22" width="11.42578125" style="114" customWidth="1"/>
    <col min="23" max="43" width="11.42578125" customWidth="1"/>
  </cols>
  <sheetData>
    <row r="2" spans="2:12" ht="21" x14ac:dyDescent="0.35">
      <c r="D2" s="4" t="s">
        <v>204</v>
      </c>
    </row>
    <row r="4" spans="2:12" x14ac:dyDescent="0.25">
      <c r="B4" s="2" t="s">
        <v>209</v>
      </c>
      <c r="C4" s="148" t="s">
        <v>314</v>
      </c>
      <c r="H4" s="115" t="s">
        <v>205</v>
      </c>
      <c r="J4" s="148" t="s">
        <v>207</v>
      </c>
    </row>
    <row r="5" spans="2:12" x14ac:dyDescent="0.25">
      <c r="B5" s="2" t="s">
        <v>210</v>
      </c>
      <c r="C5" s="148" t="s">
        <v>255</v>
      </c>
      <c r="H5" s="115" t="s">
        <v>206</v>
      </c>
      <c r="J5" s="148" t="s">
        <v>208</v>
      </c>
    </row>
    <row r="6" spans="2:12" x14ac:dyDescent="0.25">
      <c r="B6" s="2" t="s">
        <v>211</v>
      </c>
      <c r="C6" s="148" t="s">
        <v>256</v>
      </c>
      <c r="H6" s="2"/>
      <c r="J6" s="148"/>
    </row>
    <row r="7" spans="2:12" x14ac:dyDescent="0.25">
      <c r="B7" s="2" t="s">
        <v>212</v>
      </c>
      <c r="C7" s="148"/>
      <c r="H7" s="2" t="s">
        <v>25</v>
      </c>
      <c r="I7" s="248" t="s">
        <v>214</v>
      </c>
      <c r="J7" s="248"/>
      <c r="K7" s="248"/>
    </row>
    <row r="9" spans="2:12" ht="21.75" customHeight="1" x14ac:dyDescent="0.25">
      <c r="B9" s="116" t="s">
        <v>40</v>
      </c>
      <c r="C9" s="34">
        <v>0.2</v>
      </c>
      <c r="D9" s="34">
        <v>0.4</v>
      </c>
      <c r="E9" s="34">
        <v>0.6</v>
      </c>
      <c r="F9" s="34">
        <v>0.8</v>
      </c>
      <c r="G9" s="34">
        <v>1</v>
      </c>
      <c r="H9" s="34"/>
      <c r="I9" s="34"/>
      <c r="J9" s="34"/>
      <c r="K9" s="34"/>
      <c r="L9" s="34"/>
    </row>
    <row r="10" spans="2:12" ht="21" customHeight="1" x14ac:dyDescent="0.25">
      <c r="B10" s="117" t="s">
        <v>41</v>
      </c>
      <c r="C10" s="35">
        <v>8.5999999999999993E-2</v>
      </c>
      <c r="D10" s="35">
        <v>0.152</v>
      </c>
      <c r="E10" s="35">
        <v>0.217</v>
      </c>
      <c r="F10" s="35">
        <v>0.33500000000000002</v>
      </c>
      <c r="G10" s="35">
        <v>0.39100000000000001</v>
      </c>
      <c r="H10" s="35"/>
      <c r="I10" s="35"/>
      <c r="J10" s="35"/>
      <c r="K10" s="35"/>
      <c r="L10" s="35"/>
    </row>
    <row r="11" spans="2:12" x14ac:dyDescent="0.25">
      <c r="C11" s="35">
        <v>7.4999999999999997E-2</v>
      </c>
      <c r="D11" s="35">
        <v>0.155</v>
      </c>
      <c r="E11" s="35">
        <v>0.23</v>
      </c>
      <c r="F11" s="35">
        <v>0.33100000000000002</v>
      </c>
      <c r="G11" s="35">
        <v>0.40200000000000002</v>
      </c>
      <c r="H11" s="35"/>
      <c r="I11" s="35"/>
      <c r="J11" s="35"/>
      <c r="K11" s="35"/>
      <c r="L11" s="35"/>
    </row>
    <row r="12" spans="2:12" x14ac:dyDescent="0.25">
      <c r="C12" s="35">
        <v>6.5000000000000002E-2</v>
      </c>
      <c r="D12" s="35">
        <v>0.14599999999999999</v>
      </c>
      <c r="E12" s="35">
        <v>0.22900000000000001</v>
      </c>
      <c r="F12" s="35">
        <v>0.32</v>
      </c>
      <c r="G12" s="35">
        <v>0.379</v>
      </c>
      <c r="H12" s="35"/>
      <c r="I12" s="35"/>
      <c r="J12" s="35"/>
      <c r="K12" s="35"/>
      <c r="L12" s="35"/>
    </row>
    <row r="13" spans="2:12" x14ac:dyDescent="0.25">
      <c r="C13" s="35">
        <v>0.08</v>
      </c>
      <c r="D13" s="35">
        <v>0.14199999999999999</v>
      </c>
      <c r="E13" s="35">
        <v>0.20899999999999999</v>
      </c>
      <c r="F13" s="35">
        <v>0.315</v>
      </c>
      <c r="G13" s="35">
        <v>0.39600000000000002</v>
      </c>
      <c r="H13" s="35"/>
      <c r="I13" s="35"/>
      <c r="J13" s="35"/>
      <c r="K13" s="35"/>
      <c r="L13" s="35"/>
    </row>
    <row r="14" spans="2:12" x14ac:dyDescent="0.25">
      <c r="C14" s="35">
        <v>7.3999999999999996E-2</v>
      </c>
      <c r="D14" s="35">
        <v>0.14899999999999999</v>
      </c>
      <c r="E14" s="35">
        <v>0.23300000000000001</v>
      </c>
      <c r="F14" s="35">
        <v>0.309</v>
      </c>
      <c r="G14" s="35">
        <v>0.40500000000000003</v>
      </c>
      <c r="H14" s="35"/>
      <c r="I14" s="35"/>
      <c r="J14" s="35"/>
      <c r="K14" s="35"/>
      <c r="L14" s="35"/>
    </row>
    <row r="15" spans="2:12" x14ac:dyDescent="0.25"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2:12" x14ac:dyDescent="0.25">
      <c r="B16" s="5" t="s">
        <v>200</v>
      </c>
      <c r="C16" s="5">
        <f t="shared" ref="C16:L16" si="0">IF(C10&lt;&gt;"",STDEV(C10:C15),"")</f>
        <v>7.7781745930520204E-3</v>
      </c>
      <c r="D16" s="5">
        <f t="shared" si="0"/>
        <v>5.069516742254635E-3</v>
      </c>
      <c r="E16" s="5">
        <f t="shared" si="0"/>
        <v>1.0188228501560032E-2</v>
      </c>
      <c r="F16" s="5">
        <f t="shared" si="0"/>
        <v>1.0862780491200225E-2</v>
      </c>
      <c r="G16" s="5">
        <f t="shared" si="0"/>
        <v>1.0261578825892251E-2</v>
      </c>
      <c r="H16" s="5" t="str">
        <f t="shared" si="0"/>
        <v/>
      </c>
      <c r="I16" s="5" t="str">
        <f t="shared" si="0"/>
        <v/>
      </c>
      <c r="J16" s="5" t="str">
        <f t="shared" si="0"/>
        <v/>
      </c>
      <c r="K16" s="5" t="str">
        <f t="shared" si="0"/>
        <v/>
      </c>
      <c r="L16" s="5" t="str">
        <f t="shared" si="0"/>
        <v/>
      </c>
    </row>
    <row r="17" spans="2:41" x14ac:dyDescent="0.25">
      <c r="B17" s="109"/>
      <c r="C17" s="5">
        <f>IF(C10&lt;&gt;"",AVERAGE(C10:C15),"")</f>
        <v>7.5999999999999998E-2</v>
      </c>
      <c r="D17" s="5">
        <f t="shared" ref="D17:L17" si="1">IF(D10&lt;&gt;"",AVERAGE(D10:D15),"")</f>
        <v>0.14879999999999999</v>
      </c>
      <c r="E17" s="5">
        <f t="shared" si="1"/>
        <v>0.22360000000000002</v>
      </c>
      <c r="F17" s="5">
        <f t="shared" si="1"/>
        <v>0.32199999999999995</v>
      </c>
      <c r="G17" s="5">
        <f t="shared" si="1"/>
        <v>0.39460000000000001</v>
      </c>
      <c r="H17" s="5" t="str">
        <f t="shared" si="1"/>
        <v/>
      </c>
      <c r="I17" s="5" t="str">
        <f t="shared" si="1"/>
        <v/>
      </c>
      <c r="J17" s="5" t="str">
        <f t="shared" si="1"/>
        <v/>
      </c>
      <c r="K17" s="5" t="str">
        <f t="shared" si="1"/>
        <v/>
      </c>
      <c r="L17" s="5" t="str">
        <f t="shared" si="1"/>
        <v/>
      </c>
    </row>
    <row r="19" spans="2:41" x14ac:dyDescent="0.25">
      <c r="D19" s="2" t="s">
        <v>218</v>
      </c>
      <c r="F19" s="49">
        <f>COUNTA(C9:L9)</f>
        <v>5</v>
      </c>
      <c r="H19" s="2" t="s">
        <v>219</v>
      </c>
      <c r="J19" s="49">
        <f>COUNTA(C10:C15)</f>
        <v>5</v>
      </c>
      <c r="L19" s="2" t="s">
        <v>233</v>
      </c>
      <c r="N19" s="49" t="str">
        <f>IF(G46&lt;0,"Y="&amp;ROUND(G45,6)&amp;"*X"&amp;ROUND(G46,6),"Y="&amp;ROUND(G45,6)&amp;"*X+"&amp;ROUND(G46,6))</f>
        <v>Y=0,4052*X-0,01012</v>
      </c>
    </row>
    <row r="20" spans="2:41" x14ac:dyDescent="0.25">
      <c r="R20" s="114">
        <v>0.2</v>
      </c>
      <c r="S20" s="114">
        <v>8.5999999999999993E-2</v>
      </c>
      <c r="T20" s="114">
        <f>IF(R20&lt;&gt;0,$R20*$G$45+$G$46,"")</f>
        <v>7.0920000000000025E-2</v>
      </c>
      <c r="U20" s="114">
        <f>IF(R20&lt;&gt;0,S20-T20,"")</f>
        <v>1.5079999999999968E-2</v>
      </c>
      <c r="X20" s="114">
        <v>5</v>
      </c>
      <c r="Y20" s="114">
        <v>0.42999999999999994</v>
      </c>
      <c r="Z20" s="114">
        <f t="shared" ref="Z20:Z81" si="2">IF(Y20&lt;&gt;0,$X20*$G$46+$G$45,"")</f>
        <v>0.35460000000000014</v>
      </c>
      <c r="AA20" s="114">
        <f>IF(X20&lt;&gt;0,Y20-Z20,"")</f>
        <v>7.5399999999999801E-2</v>
      </c>
      <c r="AD20" s="114">
        <f>IF(C9&lt;&gt;"",DEVSQ(C10:C15),"")</f>
        <v>2.4199999999999986E-4</v>
      </c>
      <c r="AE20" s="114">
        <f t="shared" ref="AE20:AN20" si="3">IF(D9&lt;&gt;"",DEVSQ(D10:D15),"")</f>
        <v>1.0280000000000018E-4</v>
      </c>
      <c r="AF20" s="114">
        <f t="shared" si="3"/>
        <v>4.1520000000000071E-4</v>
      </c>
      <c r="AG20" s="114">
        <f t="shared" si="3"/>
        <v>4.7200000000000079E-4</v>
      </c>
      <c r="AH20" s="114">
        <f t="shared" si="3"/>
        <v>4.212000000000007E-4</v>
      </c>
      <c r="AI20" s="114" t="str">
        <f t="shared" si="3"/>
        <v/>
      </c>
      <c r="AJ20" s="114" t="str">
        <f t="shared" si="3"/>
        <v/>
      </c>
      <c r="AK20" s="114" t="str">
        <f t="shared" si="3"/>
        <v/>
      </c>
      <c r="AL20" s="114" t="str">
        <f t="shared" si="3"/>
        <v/>
      </c>
      <c r="AM20" s="114" t="str">
        <f t="shared" si="3"/>
        <v/>
      </c>
      <c r="AN20" s="114" t="str">
        <f t="shared" si="3"/>
        <v/>
      </c>
      <c r="AO20" s="114">
        <f>SUM(AD20:AM20)</f>
        <v>1.6532000000000022E-3</v>
      </c>
    </row>
    <row r="21" spans="2:41" x14ac:dyDescent="0.25">
      <c r="R21" s="114">
        <v>0.2</v>
      </c>
      <c r="S21" s="114">
        <v>7.4999999999999997E-2</v>
      </c>
      <c r="T21" s="114">
        <f t="shared" ref="T21:T80" si="4">IF(R21&lt;&gt;0,$R21*$G$45+$G$46,"")</f>
        <v>7.0920000000000025E-2</v>
      </c>
      <c r="U21" s="114">
        <f t="shared" ref="U21:U79" si="5">IF(R21&lt;&gt;0,S21-T21,"")</f>
        <v>4.0799999999999725E-3</v>
      </c>
      <c r="X21" s="114">
        <v>5</v>
      </c>
      <c r="Y21" s="114">
        <v>0.37499999999999994</v>
      </c>
      <c r="Z21" s="114">
        <f t="shared" si="2"/>
        <v>0.35460000000000014</v>
      </c>
      <c r="AA21" s="114">
        <f t="shared" ref="AA21:AA80" si="6">IF(X21&lt;&gt;0,Y21-Z21,"")</f>
        <v>2.0399999999999807E-2</v>
      </c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</row>
    <row r="22" spans="2:41" x14ac:dyDescent="0.25">
      <c r="R22" s="114">
        <v>0.2</v>
      </c>
      <c r="S22" s="114">
        <v>6.5000000000000002E-2</v>
      </c>
      <c r="T22" s="114">
        <f t="shared" si="4"/>
        <v>7.0920000000000025E-2</v>
      </c>
      <c r="U22" s="114">
        <f t="shared" si="5"/>
        <v>-5.9200000000000225E-3</v>
      </c>
      <c r="X22" s="114">
        <v>5</v>
      </c>
      <c r="Y22" s="114">
        <v>0.32500000000000001</v>
      </c>
      <c r="Z22" s="114">
        <f t="shared" si="2"/>
        <v>0.35460000000000014</v>
      </c>
      <c r="AA22" s="114">
        <f t="shared" si="6"/>
        <v>-2.9600000000000126E-2</v>
      </c>
      <c r="AD22" s="114">
        <f>IF(AND(C$9&lt;&gt;"",C10&lt;&gt;""),C10/C$9,"")</f>
        <v>0.42999999999999994</v>
      </c>
      <c r="AE22" s="114">
        <f>IF(AND(D$9&lt;&gt;"",D10&lt;&gt;""),D10/D$9,"")</f>
        <v>0.37999999999999995</v>
      </c>
      <c r="AF22" s="114">
        <f t="shared" ref="AF22:AM27" si="7">IF(AND(E$9&lt;&gt;"",E10&lt;&gt;""),E10/E$9,"")</f>
        <v>0.36166666666666669</v>
      </c>
      <c r="AG22" s="114">
        <f t="shared" si="7"/>
        <v>0.41875000000000001</v>
      </c>
      <c r="AH22" s="114">
        <f t="shared" si="7"/>
        <v>0.39100000000000001</v>
      </c>
      <c r="AI22" s="114" t="str">
        <f t="shared" si="7"/>
        <v/>
      </c>
      <c r="AJ22" s="114" t="str">
        <f t="shared" si="7"/>
        <v/>
      </c>
      <c r="AK22" s="114" t="str">
        <f t="shared" si="7"/>
        <v/>
      </c>
      <c r="AL22" s="114" t="str">
        <f t="shared" si="7"/>
        <v/>
      </c>
      <c r="AM22" s="114" t="str">
        <f t="shared" si="7"/>
        <v/>
      </c>
      <c r="AN22" s="114"/>
      <c r="AO22" s="114"/>
    </row>
    <row r="23" spans="2:41" x14ac:dyDescent="0.25">
      <c r="R23" s="114">
        <v>0.2</v>
      </c>
      <c r="S23" s="114">
        <v>0.08</v>
      </c>
      <c r="T23" s="114">
        <f t="shared" si="4"/>
        <v>7.0920000000000025E-2</v>
      </c>
      <c r="U23" s="114">
        <f t="shared" si="5"/>
        <v>9.079999999999977E-3</v>
      </c>
      <c r="X23" s="114">
        <v>5</v>
      </c>
      <c r="Y23" s="114">
        <v>0.39999999999999997</v>
      </c>
      <c r="Z23" s="114">
        <f t="shared" si="2"/>
        <v>0.35460000000000014</v>
      </c>
      <c r="AA23" s="114">
        <f t="shared" si="6"/>
        <v>4.5399999999999829E-2</v>
      </c>
      <c r="AD23" s="114">
        <f t="shared" ref="AD23:AE27" si="8">IF(AND(C$9&lt;&gt;"",C11&lt;&gt;""),C11/C$9,"")</f>
        <v>0.37499999999999994</v>
      </c>
      <c r="AE23" s="114">
        <f t="shared" si="8"/>
        <v>0.38749999999999996</v>
      </c>
      <c r="AF23" s="114">
        <f t="shared" si="7"/>
        <v>0.38333333333333336</v>
      </c>
      <c r="AG23" s="114">
        <f t="shared" si="7"/>
        <v>0.41375000000000001</v>
      </c>
      <c r="AH23" s="114">
        <f t="shared" si="7"/>
        <v>0.40200000000000002</v>
      </c>
      <c r="AI23" s="114" t="str">
        <f t="shared" si="7"/>
        <v/>
      </c>
      <c r="AJ23" s="114" t="str">
        <f t="shared" si="7"/>
        <v/>
      </c>
      <c r="AK23" s="114" t="str">
        <f t="shared" si="7"/>
        <v/>
      </c>
      <c r="AL23" s="114" t="str">
        <f t="shared" si="7"/>
        <v/>
      </c>
      <c r="AM23" s="114" t="str">
        <f t="shared" si="7"/>
        <v/>
      </c>
      <c r="AN23" s="114"/>
      <c r="AO23" s="114"/>
    </row>
    <row r="24" spans="2:41" x14ac:dyDescent="0.25">
      <c r="R24" s="114">
        <v>0.2</v>
      </c>
      <c r="S24" s="114">
        <v>7.3999999999999996E-2</v>
      </c>
      <c r="T24" s="114">
        <f t="shared" si="4"/>
        <v>7.0920000000000025E-2</v>
      </c>
      <c r="U24" s="114">
        <f t="shared" si="5"/>
        <v>3.0799999999999716E-3</v>
      </c>
      <c r="X24" s="114">
        <v>5</v>
      </c>
      <c r="Y24" s="114">
        <v>0.36999999999999994</v>
      </c>
      <c r="Z24" s="114">
        <f t="shared" si="2"/>
        <v>0.35460000000000014</v>
      </c>
      <c r="AA24" s="114">
        <f t="shared" si="6"/>
        <v>1.5399999999999803E-2</v>
      </c>
      <c r="AD24" s="114">
        <f t="shared" si="8"/>
        <v>0.32500000000000001</v>
      </c>
      <c r="AE24" s="114">
        <f t="shared" si="8"/>
        <v>0.36499999999999994</v>
      </c>
      <c r="AF24" s="114">
        <f t="shared" si="7"/>
        <v>0.38166666666666671</v>
      </c>
      <c r="AG24" s="114">
        <f t="shared" si="7"/>
        <v>0.39999999999999997</v>
      </c>
      <c r="AH24" s="114">
        <f t="shared" si="7"/>
        <v>0.379</v>
      </c>
      <c r="AI24" s="114" t="str">
        <f t="shared" si="7"/>
        <v/>
      </c>
      <c r="AJ24" s="114" t="str">
        <f t="shared" si="7"/>
        <v/>
      </c>
      <c r="AK24" s="114" t="str">
        <f t="shared" si="7"/>
        <v/>
      </c>
      <c r="AL24" s="114" t="str">
        <f t="shared" si="7"/>
        <v/>
      </c>
      <c r="AM24" s="114" t="str">
        <f t="shared" si="7"/>
        <v/>
      </c>
      <c r="AN24" s="114"/>
      <c r="AO24" s="114"/>
    </row>
    <row r="25" spans="2:41" x14ac:dyDescent="0.25">
      <c r="R25" s="114">
        <v>0.4</v>
      </c>
      <c r="S25" s="114">
        <v>0.152</v>
      </c>
      <c r="T25" s="114">
        <f t="shared" si="4"/>
        <v>0.15196000000000004</v>
      </c>
      <c r="U25" s="114">
        <f t="shared" si="5"/>
        <v>3.9999999999956737E-5</v>
      </c>
      <c r="X25" s="114">
        <v>2.5</v>
      </c>
      <c r="Y25" s="114">
        <v>0.37999999999999995</v>
      </c>
      <c r="Z25" s="114">
        <f t="shared" si="2"/>
        <v>0.37990000000000007</v>
      </c>
      <c r="AA25" s="114">
        <f t="shared" si="6"/>
        <v>9.9999999999877964E-5</v>
      </c>
      <c r="AD25" s="114">
        <f t="shared" si="8"/>
        <v>0.39999999999999997</v>
      </c>
      <c r="AE25" s="114">
        <f t="shared" si="8"/>
        <v>0.35499999999999993</v>
      </c>
      <c r="AF25" s="114">
        <f t="shared" si="7"/>
        <v>0.34833333333333333</v>
      </c>
      <c r="AG25" s="114">
        <f t="shared" si="7"/>
        <v>0.39374999999999999</v>
      </c>
      <c r="AH25" s="114">
        <f t="shared" si="7"/>
        <v>0.39600000000000002</v>
      </c>
      <c r="AI25" s="114" t="str">
        <f t="shared" si="7"/>
        <v/>
      </c>
      <c r="AJ25" s="114" t="str">
        <f t="shared" si="7"/>
        <v/>
      </c>
      <c r="AK25" s="114" t="str">
        <f t="shared" si="7"/>
        <v/>
      </c>
      <c r="AL25" s="114" t="str">
        <f t="shared" si="7"/>
        <v/>
      </c>
      <c r="AM25" s="114" t="str">
        <f t="shared" si="7"/>
        <v/>
      </c>
      <c r="AN25" s="114"/>
      <c r="AO25" s="114"/>
    </row>
    <row r="26" spans="2:41" x14ac:dyDescent="0.25">
      <c r="R26" s="114">
        <v>0.4</v>
      </c>
      <c r="S26" s="114">
        <v>0.155</v>
      </c>
      <c r="T26" s="114">
        <f t="shared" si="4"/>
        <v>0.15196000000000004</v>
      </c>
      <c r="U26" s="114">
        <f t="shared" si="5"/>
        <v>3.0399999999999594E-3</v>
      </c>
      <c r="X26" s="114">
        <v>2.5</v>
      </c>
      <c r="Y26" s="114">
        <v>0.38749999999999996</v>
      </c>
      <c r="Z26" s="114">
        <f t="shared" si="2"/>
        <v>0.37990000000000007</v>
      </c>
      <c r="AA26" s="114">
        <f t="shared" si="6"/>
        <v>7.5999999999998846E-3</v>
      </c>
      <c r="AD26" s="114">
        <f t="shared" si="8"/>
        <v>0.36999999999999994</v>
      </c>
      <c r="AE26" s="114">
        <f t="shared" si="8"/>
        <v>0.37249999999999994</v>
      </c>
      <c r="AF26" s="114">
        <f t="shared" si="7"/>
        <v>0.38833333333333336</v>
      </c>
      <c r="AG26" s="114">
        <f t="shared" si="7"/>
        <v>0.38624999999999998</v>
      </c>
      <c r="AH26" s="114">
        <f t="shared" si="7"/>
        <v>0.40500000000000003</v>
      </c>
      <c r="AI26" s="114" t="str">
        <f t="shared" si="7"/>
        <v/>
      </c>
      <c r="AJ26" s="114" t="str">
        <f t="shared" si="7"/>
        <v/>
      </c>
      <c r="AK26" s="114" t="str">
        <f t="shared" si="7"/>
        <v/>
      </c>
      <c r="AL26" s="114" t="str">
        <f t="shared" si="7"/>
        <v/>
      </c>
      <c r="AM26" s="114" t="str">
        <f t="shared" si="7"/>
        <v/>
      </c>
      <c r="AN26" s="114"/>
      <c r="AO26" s="114"/>
    </row>
    <row r="27" spans="2:41" x14ac:dyDescent="0.25">
      <c r="R27" s="114">
        <v>0.4</v>
      </c>
      <c r="S27" s="114">
        <v>0.14599999999999999</v>
      </c>
      <c r="T27" s="114">
        <f t="shared" si="4"/>
        <v>0.15196000000000004</v>
      </c>
      <c r="U27" s="114">
        <f t="shared" si="5"/>
        <v>-5.9600000000000486E-3</v>
      </c>
      <c r="X27" s="114">
        <v>2.5</v>
      </c>
      <c r="Y27" s="114">
        <v>0.36499999999999994</v>
      </c>
      <c r="Z27" s="114">
        <f t="shared" si="2"/>
        <v>0.37990000000000007</v>
      </c>
      <c r="AA27" s="114">
        <f t="shared" si="6"/>
        <v>-1.4900000000000135E-2</v>
      </c>
      <c r="AD27" s="114" t="str">
        <f t="shared" si="8"/>
        <v/>
      </c>
      <c r="AE27" s="114" t="str">
        <f t="shared" si="8"/>
        <v/>
      </c>
      <c r="AF27" s="114" t="str">
        <f t="shared" si="7"/>
        <v/>
      </c>
      <c r="AG27" s="114" t="str">
        <f t="shared" si="7"/>
        <v/>
      </c>
      <c r="AH27" s="114" t="str">
        <f t="shared" si="7"/>
        <v/>
      </c>
      <c r="AI27" s="114" t="str">
        <f t="shared" si="7"/>
        <v/>
      </c>
      <c r="AJ27" s="114" t="str">
        <f t="shared" si="7"/>
        <v/>
      </c>
      <c r="AK27" s="114" t="str">
        <f t="shared" si="7"/>
        <v/>
      </c>
      <c r="AL27" s="114" t="str">
        <f t="shared" si="7"/>
        <v/>
      </c>
      <c r="AM27" s="114" t="str">
        <f t="shared" si="7"/>
        <v/>
      </c>
      <c r="AN27" s="114"/>
      <c r="AO27" s="114"/>
    </row>
    <row r="28" spans="2:41" x14ac:dyDescent="0.25">
      <c r="R28" s="114">
        <v>0.4</v>
      </c>
      <c r="S28" s="114">
        <v>0.14199999999999999</v>
      </c>
      <c r="T28" s="114">
        <f t="shared" si="4"/>
        <v>0.15196000000000004</v>
      </c>
      <c r="U28" s="114">
        <f t="shared" si="5"/>
        <v>-9.9600000000000521E-3</v>
      </c>
      <c r="X28" s="114">
        <v>2.5</v>
      </c>
      <c r="Y28" s="114">
        <v>0.35499999999999993</v>
      </c>
      <c r="Z28" s="114">
        <f t="shared" si="2"/>
        <v>0.37990000000000007</v>
      </c>
      <c r="AA28" s="114">
        <f t="shared" si="6"/>
        <v>-2.4900000000000144E-2</v>
      </c>
      <c r="AD28" s="114">
        <f>IF(C9&lt;&gt;0,DEVSQ(AD22:AD27),"")</f>
        <v>6.0499999999999929E-3</v>
      </c>
      <c r="AE28" s="114">
        <f t="shared" ref="AE28:AM28" si="9">IF(D9&lt;&gt;0,DEVSQ(AE22:AE27),"")</f>
        <v>6.4250000000000114E-4</v>
      </c>
      <c r="AF28" s="114">
        <f t="shared" si="9"/>
        <v>1.1533333333333352E-3</v>
      </c>
      <c r="AG28" s="114">
        <f t="shared" si="9"/>
        <v>7.3750000000000139E-4</v>
      </c>
      <c r="AH28" s="114">
        <f t="shared" si="9"/>
        <v>4.212000000000007E-4</v>
      </c>
      <c r="AI28" s="114" t="str">
        <f t="shared" si="9"/>
        <v/>
      </c>
      <c r="AJ28" s="114" t="str">
        <f t="shared" si="9"/>
        <v/>
      </c>
      <c r="AK28" s="114" t="str">
        <f t="shared" si="9"/>
        <v/>
      </c>
      <c r="AL28" s="114" t="str">
        <f t="shared" si="9"/>
        <v/>
      </c>
      <c r="AM28" s="114" t="str">
        <f t="shared" si="9"/>
        <v/>
      </c>
      <c r="AN28" s="114"/>
      <c r="AO28" s="114">
        <f>SUM(AD28:AM28)</f>
        <v>9.0045333333333318E-3</v>
      </c>
    </row>
    <row r="29" spans="2:41" x14ac:dyDescent="0.25">
      <c r="R29" s="114">
        <v>0.4</v>
      </c>
      <c r="S29" s="114">
        <v>0.14899999999999999</v>
      </c>
      <c r="T29" s="114">
        <f t="shared" si="4"/>
        <v>0.15196000000000004</v>
      </c>
      <c r="U29" s="114">
        <f t="shared" si="5"/>
        <v>-2.9600000000000459E-3</v>
      </c>
      <c r="X29" s="114">
        <v>2.5</v>
      </c>
      <c r="Y29" s="114">
        <v>0.37249999999999994</v>
      </c>
      <c r="Z29" s="114">
        <f t="shared" si="2"/>
        <v>0.37990000000000007</v>
      </c>
      <c r="AA29" s="114">
        <f t="shared" si="6"/>
        <v>-7.4000000000001287E-3</v>
      </c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</row>
    <row r="30" spans="2:41" x14ac:dyDescent="0.25">
      <c r="R30" s="114">
        <v>0.6</v>
      </c>
      <c r="S30" s="114">
        <v>0.217</v>
      </c>
      <c r="T30" s="114">
        <f t="shared" si="4"/>
        <v>0.23300000000000004</v>
      </c>
      <c r="U30" s="114">
        <f t="shared" si="5"/>
        <v>-1.6000000000000042E-2</v>
      </c>
      <c r="X30" s="114">
        <v>1.6666666666666667</v>
      </c>
      <c r="Y30" s="114">
        <v>0.36166666666666669</v>
      </c>
      <c r="Z30" s="114">
        <f t="shared" si="2"/>
        <v>0.38833333333333342</v>
      </c>
      <c r="AA30" s="114">
        <f t="shared" si="6"/>
        <v>-2.6666666666666727E-2</v>
      </c>
    </row>
    <row r="31" spans="2:41" x14ac:dyDescent="0.25">
      <c r="R31" s="114">
        <v>0.6</v>
      </c>
      <c r="S31" s="114">
        <v>0.23</v>
      </c>
      <c r="T31" s="114">
        <f t="shared" si="4"/>
        <v>0.23300000000000004</v>
      </c>
      <c r="U31" s="114">
        <f t="shared" si="5"/>
        <v>-3.0000000000000304E-3</v>
      </c>
      <c r="X31" s="114">
        <v>1.6666666666666667</v>
      </c>
      <c r="Y31" s="114">
        <v>0.38333333333333336</v>
      </c>
      <c r="Z31" s="114">
        <f t="shared" si="2"/>
        <v>0.38833333333333342</v>
      </c>
      <c r="AA31" s="114">
        <f t="shared" si="6"/>
        <v>-5.00000000000006E-3</v>
      </c>
    </row>
    <row r="32" spans="2:41" x14ac:dyDescent="0.25">
      <c r="R32" s="114">
        <v>0.6</v>
      </c>
      <c r="S32" s="114">
        <v>0.22900000000000001</v>
      </c>
      <c r="T32" s="114">
        <f t="shared" si="4"/>
        <v>0.23300000000000004</v>
      </c>
      <c r="U32" s="114">
        <f t="shared" si="5"/>
        <v>-4.0000000000000313E-3</v>
      </c>
      <c r="X32" s="114">
        <v>1.6666666666666667</v>
      </c>
      <c r="Y32" s="114">
        <v>0.38166666666666671</v>
      </c>
      <c r="Z32" s="114">
        <f t="shared" si="2"/>
        <v>0.38833333333333342</v>
      </c>
      <c r="AA32" s="114">
        <f t="shared" si="6"/>
        <v>-6.6666666666667096E-3</v>
      </c>
    </row>
    <row r="33" spans="2:27" x14ac:dyDescent="0.25">
      <c r="R33" s="114">
        <v>0.6</v>
      </c>
      <c r="S33" s="114">
        <v>0.20899999999999999</v>
      </c>
      <c r="T33" s="114">
        <f t="shared" si="4"/>
        <v>0.23300000000000004</v>
      </c>
      <c r="U33" s="114">
        <f t="shared" si="5"/>
        <v>-2.4000000000000049E-2</v>
      </c>
      <c r="X33" s="114">
        <v>1.6666666666666667</v>
      </c>
      <c r="Y33" s="114">
        <v>0.34833333333333333</v>
      </c>
      <c r="Z33" s="114">
        <f t="shared" si="2"/>
        <v>0.38833333333333342</v>
      </c>
      <c r="AA33" s="114">
        <f t="shared" si="6"/>
        <v>-4.0000000000000091E-2</v>
      </c>
    </row>
    <row r="34" spans="2:27" x14ac:dyDescent="0.25">
      <c r="R34" s="114">
        <v>0.6</v>
      </c>
      <c r="S34" s="114">
        <v>0.23300000000000001</v>
      </c>
      <c r="T34" s="114">
        <f t="shared" si="4"/>
        <v>0.23300000000000004</v>
      </c>
      <c r="U34" s="114">
        <f t="shared" si="5"/>
        <v>-2.7755575615628914E-17</v>
      </c>
      <c r="X34" s="114">
        <v>1.6666666666666667</v>
      </c>
      <c r="Y34" s="114">
        <v>0.38833333333333336</v>
      </c>
      <c r="Z34" s="114">
        <f t="shared" si="2"/>
        <v>0.38833333333333342</v>
      </c>
      <c r="AA34" s="114">
        <f t="shared" si="6"/>
        <v>-5.5511151231257827E-17</v>
      </c>
    </row>
    <row r="35" spans="2:27" x14ac:dyDescent="0.25">
      <c r="R35" s="114">
        <v>0.8</v>
      </c>
      <c r="S35" s="114">
        <v>0.33500000000000002</v>
      </c>
      <c r="T35" s="114">
        <f t="shared" si="4"/>
        <v>0.3140400000000001</v>
      </c>
      <c r="U35" s="114">
        <f t="shared" si="5"/>
        <v>2.0959999999999923E-2</v>
      </c>
      <c r="X35" s="114">
        <v>1.25</v>
      </c>
      <c r="Y35" s="114">
        <v>0.41875000000000001</v>
      </c>
      <c r="Z35" s="114">
        <f t="shared" si="2"/>
        <v>0.39255000000000007</v>
      </c>
      <c r="AA35" s="114">
        <f t="shared" si="6"/>
        <v>2.6199999999999946E-2</v>
      </c>
    </row>
    <row r="36" spans="2:27" x14ac:dyDescent="0.25">
      <c r="R36" s="114">
        <v>0.8</v>
      </c>
      <c r="S36" s="114">
        <v>0.33100000000000002</v>
      </c>
      <c r="T36" s="114">
        <f t="shared" si="4"/>
        <v>0.3140400000000001</v>
      </c>
      <c r="U36" s="114">
        <f t="shared" si="5"/>
        <v>1.695999999999992E-2</v>
      </c>
      <c r="X36" s="114">
        <v>1.25</v>
      </c>
      <c r="Y36" s="114">
        <v>0.41375000000000001</v>
      </c>
      <c r="Z36" s="114">
        <f t="shared" si="2"/>
        <v>0.39255000000000007</v>
      </c>
      <c r="AA36" s="114">
        <f t="shared" si="6"/>
        <v>2.1199999999999941E-2</v>
      </c>
    </row>
    <row r="37" spans="2:27" x14ac:dyDescent="0.25">
      <c r="R37" s="114">
        <v>0.8</v>
      </c>
      <c r="S37" s="114">
        <v>0.32</v>
      </c>
      <c r="T37" s="114">
        <f t="shared" si="4"/>
        <v>0.3140400000000001</v>
      </c>
      <c r="U37" s="114">
        <f t="shared" si="5"/>
        <v>5.9599999999999098E-3</v>
      </c>
      <c r="X37" s="114">
        <v>1.25</v>
      </c>
      <c r="Y37" s="114">
        <v>0.39999999999999997</v>
      </c>
      <c r="Z37" s="114">
        <f t="shared" si="2"/>
        <v>0.39255000000000007</v>
      </c>
      <c r="AA37" s="114">
        <f t="shared" si="6"/>
        <v>7.4499999999999011E-3</v>
      </c>
    </row>
    <row r="38" spans="2:27" x14ac:dyDescent="0.25">
      <c r="R38" s="114">
        <v>0.8</v>
      </c>
      <c r="S38" s="114">
        <v>0.315</v>
      </c>
      <c r="T38" s="114">
        <f t="shared" si="4"/>
        <v>0.3140400000000001</v>
      </c>
      <c r="U38" s="114">
        <f t="shared" si="5"/>
        <v>9.5999999999990537E-4</v>
      </c>
      <c r="X38" s="114">
        <v>1.25</v>
      </c>
      <c r="Y38" s="114">
        <v>0.39374999999999999</v>
      </c>
      <c r="Z38" s="114">
        <f t="shared" si="2"/>
        <v>0.39255000000000007</v>
      </c>
      <c r="AA38" s="114">
        <f t="shared" si="6"/>
        <v>1.1999999999999234E-3</v>
      </c>
    </row>
    <row r="39" spans="2:27" x14ac:dyDescent="0.25">
      <c r="R39" s="114">
        <v>0.8</v>
      </c>
      <c r="S39" s="114">
        <v>0.309</v>
      </c>
      <c r="T39" s="114">
        <f t="shared" si="4"/>
        <v>0.3140400000000001</v>
      </c>
      <c r="U39" s="114">
        <f t="shared" si="5"/>
        <v>-5.0400000000001E-3</v>
      </c>
      <c r="X39" s="114">
        <v>1.25</v>
      </c>
      <c r="Y39" s="114">
        <v>0.38624999999999998</v>
      </c>
      <c r="Z39" s="114">
        <f t="shared" si="2"/>
        <v>0.39255000000000007</v>
      </c>
      <c r="AA39" s="114">
        <f t="shared" si="6"/>
        <v>-6.3000000000000833E-3</v>
      </c>
    </row>
    <row r="40" spans="2:27" x14ac:dyDescent="0.25">
      <c r="R40" s="114">
        <v>1</v>
      </c>
      <c r="S40" s="114">
        <v>0.39100000000000001</v>
      </c>
      <c r="T40" s="114">
        <f t="shared" si="4"/>
        <v>0.3950800000000001</v>
      </c>
      <c r="U40" s="114">
        <f t="shared" si="5"/>
        <v>-4.0800000000000836E-3</v>
      </c>
      <c r="X40" s="114">
        <v>1</v>
      </c>
      <c r="Y40" s="114">
        <v>0.39100000000000001</v>
      </c>
      <c r="Z40" s="114">
        <f t="shared" si="2"/>
        <v>0.3950800000000001</v>
      </c>
      <c r="AA40" s="114">
        <f t="shared" si="6"/>
        <v>-4.0800000000000836E-3</v>
      </c>
    </row>
    <row r="41" spans="2:27" x14ac:dyDescent="0.25">
      <c r="R41" s="114">
        <v>1</v>
      </c>
      <c r="S41" s="114">
        <v>0.40200000000000002</v>
      </c>
      <c r="T41" s="114">
        <f t="shared" si="4"/>
        <v>0.3950800000000001</v>
      </c>
      <c r="U41" s="114">
        <f t="shared" si="5"/>
        <v>6.9199999999999262E-3</v>
      </c>
      <c r="X41" s="114">
        <v>1</v>
      </c>
      <c r="Y41" s="114">
        <v>0.40200000000000002</v>
      </c>
      <c r="Z41" s="114">
        <f t="shared" si="2"/>
        <v>0.3950800000000001</v>
      </c>
      <c r="AA41" s="114">
        <f t="shared" si="6"/>
        <v>6.9199999999999262E-3</v>
      </c>
    </row>
    <row r="42" spans="2:27" x14ac:dyDescent="0.25">
      <c r="R42" s="114">
        <v>1</v>
      </c>
      <c r="S42" s="114">
        <v>0.379</v>
      </c>
      <c r="T42" s="114">
        <f t="shared" si="4"/>
        <v>0.3950800000000001</v>
      </c>
      <c r="U42" s="114">
        <f t="shared" si="5"/>
        <v>-1.6080000000000094E-2</v>
      </c>
      <c r="X42" s="114">
        <v>1</v>
      </c>
      <c r="Y42" s="114">
        <v>0.379</v>
      </c>
      <c r="Z42" s="114">
        <f t="shared" si="2"/>
        <v>0.3950800000000001</v>
      </c>
      <c r="AA42" s="114">
        <f t="shared" si="6"/>
        <v>-1.6080000000000094E-2</v>
      </c>
    </row>
    <row r="43" spans="2:27" x14ac:dyDescent="0.25">
      <c r="R43" s="114">
        <v>1</v>
      </c>
      <c r="S43" s="114">
        <v>0.39600000000000002</v>
      </c>
      <c r="T43" s="114">
        <f t="shared" si="4"/>
        <v>0.3950800000000001</v>
      </c>
      <c r="U43" s="114">
        <f t="shared" si="5"/>
        <v>9.1999999999992088E-4</v>
      </c>
      <c r="X43" s="114">
        <v>1</v>
      </c>
      <c r="Y43" s="114">
        <v>0.39600000000000002</v>
      </c>
      <c r="Z43" s="114">
        <f t="shared" si="2"/>
        <v>0.3950800000000001</v>
      </c>
      <c r="AA43" s="114">
        <f t="shared" si="6"/>
        <v>9.1999999999992088E-4</v>
      </c>
    </row>
    <row r="44" spans="2:27" ht="15.75" thickBot="1" x14ac:dyDescent="0.3">
      <c r="B44" s="2" t="s">
        <v>42</v>
      </c>
      <c r="R44" s="114">
        <v>1</v>
      </c>
      <c r="S44" s="114">
        <v>0.40500000000000003</v>
      </c>
      <c r="T44" s="114">
        <f t="shared" si="4"/>
        <v>0.3950800000000001</v>
      </c>
      <c r="U44" s="114">
        <f t="shared" si="5"/>
        <v>9.9199999999999289E-3</v>
      </c>
      <c r="X44" s="114">
        <v>1</v>
      </c>
      <c r="Y44" s="114">
        <v>0.40500000000000003</v>
      </c>
      <c r="Z44" s="114">
        <f t="shared" si="2"/>
        <v>0.3950800000000001</v>
      </c>
      <c r="AA44" s="114">
        <f t="shared" si="6"/>
        <v>9.9199999999999289E-3</v>
      </c>
    </row>
    <row r="45" spans="2:27" x14ac:dyDescent="0.25">
      <c r="B45" s="118">
        <f t="array" ref="B45:C49">LINEST(S20:S44,R20:R44,1,1)</f>
        <v>0.40520000000000006</v>
      </c>
      <c r="C45" s="119">
        <v>-1.011999999999999E-2</v>
      </c>
      <c r="D45" s="250" t="s">
        <v>216</v>
      </c>
      <c r="E45" s="251"/>
      <c r="F45" s="251"/>
      <c r="G45">
        <v>0.40520000000000006</v>
      </c>
      <c r="T45" s="114" t="str">
        <f t="shared" si="4"/>
        <v/>
      </c>
      <c r="U45" s="114" t="str">
        <f t="shared" si="5"/>
        <v/>
      </c>
      <c r="X45" s="114"/>
      <c r="Y45" s="114"/>
      <c r="Z45" s="114" t="str">
        <f t="shared" si="2"/>
        <v/>
      </c>
      <c r="AA45" s="114" t="str">
        <f t="shared" si="6"/>
        <v/>
      </c>
    </row>
    <row r="46" spans="2:27" x14ac:dyDescent="0.25">
      <c r="B46" s="120">
        <v>7.5064030638196996E-3</v>
      </c>
      <c r="C46" s="121">
        <v>4.9791844975728286E-3</v>
      </c>
      <c r="D46" s="250" t="s">
        <v>217</v>
      </c>
      <c r="E46" s="251"/>
      <c r="F46" s="251"/>
      <c r="G46">
        <v>-1.011999999999999E-2</v>
      </c>
      <c r="T46" s="114" t="str">
        <f t="shared" si="4"/>
        <v/>
      </c>
      <c r="U46" s="114" t="str">
        <f t="shared" si="5"/>
        <v/>
      </c>
      <c r="X46" s="114"/>
      <c r="Y46" s="114"/>
      <c r="Z46" s="114" t="str">
        <f t="shared" si="2"/>
        <v/>
      </c>
      <c r="AA46" s="114" t="str">
        <f t="shared" si="6"/>
        <v/>
      </c>
    </row>
    <row r="47" spans="2:27" x14ac:dyDescent="0.25">
      <c r="B47" s="120">
        <v>0.99216862155024976</v>
      </c>
      <c r="C47" s="121">
        <v>1.0615657017492773E-2</v>
      </c>
      <c r="D47" s="250" t="s">
        <v>220</v>
      </c>
      <c r="E47" s="251"/>
      <c r="F47" s="251"/>
      <c r="G47">
        <v>1.0615657017492773E-2</v>
      </c>
      <c r="T47" s="114" t="str">
        <f t="shared" si="4"/>
        <v/>
      </c>
      <c r="U47" s="114" t="str">
        <f t="shared" si="5"/>
        <v/>
      </c>
      <c r="X47" s="114"/>
      <c r="Y47" s="114"/>
      <c r="Z47" s="114" t="str">
        <f t="shared" si="2"/>
        <v/>
      </c>
      <c r="AA47" s="114" t="str">
        <f t="shared" si="6"/>
        <v/>
      </c>
    </row>
    <row r="48" spans="2:27" x14ac:dyDescent="0.25">
      <c r="B48" s="120">
        <v>2913.9031451587994</v>
      </c>
      <c r="C48" s="121">
        <v>23</v>
      </c>
      <c r="T48" s="114" t="str">
        <f t="shared" si="4"/>
        <v/>
      </c>
      <c r="U48" s="114" t="str">
        <f t="shared" si="5"/>
        <v/>
      </c>
      <c r="X48" s="114"/>
      <c r="Y48" s="114"/>
      <c r="Z48" s="114" t="str">
        <f t="shared" si="2"/>
        <v/>
      </c>
      <c r="AA48" s="114" t="str">
        <f t="shared" si="6"/>
        <v/>
      </c>
    </row>
    <row r="49" spans="2:27" ht="15.75" thickBot="1" x14ac:dyDescent="0.3">
      <c r="B49" s="122">
        <v>0.32837408000000007</v>
      </c>
      <c r="C49" s="123">
        <v>2.5919200000000019E-3</v>
      </c>
      <c r="T49" s="114" t="str">
        <f t="shared" si="4"/>
        <v/>
      </c>
      <c r="U49" s="114" t="str">
        <f t="shared" si="5"/>
        <v/>
      </c>
      <c r="X49" s="114"/>
      <c r="Y49" s="114"/>
      <c r="Z49" s="114" t="str">
        <f t="shared" si="2"/>
        <v/>
      </c>
      <c r="AA49" s="114" t="str">
        <f t="shared" si="6"/>
        <v/>
      </c>
    </row>
    <row r="50" spans="2:27" x14ac:dyDescent="0.25">
      <c r="T50" s="114" t="str">
        <f t="shared" si="4"/>
        <v/>
      </c>
      <c r="U50" s="114" t="str">
        <f t="shared" si="5"/>
        <v/>
      </c>
      <c r="X50" s="114"/>
      <c r="Y50" s="114"/>
      <c r="Z50" s="114" t="str">
        <f t="shared" si="2"/>
        <v/>
      </c>
      <c r="AA50" s="114" t="str">
        <f t="shared" si="6"/>
        <v/>
      </c>
    </row>
    <row r="51" spans="2:27" ht="15.75" thickBot="1" x14ac:dyDescent="0.3">
      <c r="B51" s="2" t="s">
        <v>221</v>
      </c>
      <c r="T51" s="114" t="str">
        <f t="shared" si="4"/>
        <v/>
      </c>
      <c r="U51" s="114" t="str">
        <f t="shared" si="5"/>
        <v/>
      </c>
      <c r="X51" s="114"/>
      <c r="Y51" s="114"/>
      <c r="Z51" s="114" t="str">
        <f t="shared" si="2"/>
        <v/>
      </c>
      <c r="AA51" s="114" t="str">
        <f t="shared" si="6"/>
        <v/>
      </c>
    </row>
    <row r="52" spans="2:27" ht="15.75" x14ac:dyDescent="0.25">
      <c r="B52" s="124" t="s">
        <v>202</v>
      </c>
      <c r="C52" s="125">
        <f>G47^2*(F19*J19-2)</f>
        <v>2.5919200000000019E-3</v>
      </c>
      <c r="D52" s="119"/>
      <c r="T52" s="114" t="str">
        <f t="shared" si="4"/>
        <v/>
      </c>
      <c r="U52" s="114" t="str">
        <f t="shared" si="5"/>
        <v/>
      </c>
      <c r="X52" s="114"/>
      <c r="Y52" s="114"/>
      <c r="Z52" s="114" t="str">
        <f t="shared" si="2"/>
        <v/>
      </c>
      <c r="AA52" s="114" t="str">
        <f t="shared" si="6"/>
        <v/>
      </c>
    </row>
    <row r="53" spans="2:27" ht="15.75" x14ac:dyDescent="0.25">
      <c r="B53" s="126" t="s">
        <v>203</v>
      </c>
      <c r="C53" s="96">
        <f>AO20</f>
        <v>1.6532000000000022E-3</v>
      </c>
      <c r="D53" s="127"/>
      <c r="T53" s="114" t="str">
        <f t="shared" si="4"/>
        <v/>
      </c>
      <c r="U53" s="114" t="str">
        <f t="shared" si="5"/>
        <v/>
      </c>
      <c r="X53" s="114"/>
      <c r="Y53" s="114"/>
      <c r="Z53" s="114" t="str">
        <f t="shared" si="2"/>
        <v/>
      </c>
      <c r="AA53" s="114" t="str">
        <f t="shared" si="6"/>
        <v/>
      </c>
    </row>
    <row r="54" spans="2:27" x14ac:dyDescent="0.25">
      <c r="B54" s="128" t="s">
        <v>222</v>
      </c>
      <c r="C54" s="96">
        <f>((C52-C53)/(F19-2))/(C53/(F19*J19-F19))</f>
        <v>3.7854665698846617</v>
      </c>
      <c r="D54" s="127"/>
      <c r="T54" s="114" t="str">
        <f t="shared" si="4"/>
        <v/>
      </c>
      <c r="U54" s="114" t="str">
        <f t="shared" si="5"/>
        <v/>
      </c>
      <c r="X54" s="114"/>
      <c r="Y54" s="114"/>
      <c r="Z54" s="114" t="str">
        <f t="shared" si="2"/>
        <v/>
      </c>
      <c r="AA54" s="114" t="str">
        <f t="shared" si="6"/>
        <v/>
      </c>
    </row>
    <row r="55" spans="2:27" ht="17.25" customHeight="1" x14ac:dyDescent="0.25">
      <c r="B55" s="128" t="s">
        <v>223</v>
      </c>
      <c r="C55" s="96">
        <f>_xlfn.F.INV(0.99,F19-2,F19*J19-F19)</f>
        <v>4.9381933823105379</v>
      </c>
      <c r="D55" s="129" t="s">
        <v>225</v>
      </c>
      <c r="T55" s="114" t="str">
        <f t="shared" si="4"/>
        <v/>
      </c>
      <c r="U55" s="114" t="str">
        <f t="shared" si="5"/>
        <v/>
      </c>
      <c r="X55" s="114"/>
      <c r="Y55" s="114"/>
      <c r="Z55" s="114" t="str">
        <f t="shared" si="2"/>
        <v/>
      </c>
      <c r="AA55" s="114" t="str">
        <f t="shared" si="6"/>
        <v/>
      </c>
    </row>
    <row r="56" spans="2:27" ht="15.75" thickBot="1" x14ac:dyDescent="0.3">
      <c r="B56" s="130" t="s">
        <v>224</v>
      </c>
      <c r="C56" s="131">
        <f>_xlfn.F.INV(0.95,F19-2,F19*J19-F19)</f>
        <v>3.0983912121407773</v>
      </c>
      <c r="D56" s="132" t="s">
        <v>246</v>
      </c>
      <c r="T56" s="114" t="str">
        <f t="shared" si="4"/>
        <v/>
      </c>
      <c r="U56" s="114" t="str">
        <f t="shared" si="5"/>
        <v/>
      </c>
      <c r="X56" s="114"/>
      <c r="Y56" s="114"/>
      <c r="Z56" s="114" t="str">
        <f t="shared" si="2"/>
        <v/>
      </c>
      <c r="AA56" s="114" t="str">
        <f t="shared" si="6"/>
        <v/>
      </c>
    </row>
    <row r="57" spans="2:27" x14ac:dyDescent="0.25">
      <c r="B57" s="133"/>
      <c r="C57" s="133"/>
      <c r="D57" s="133"/>
      <c r="T57" s="114" t="str">
        <f t="shared" si="4"/>
        <v/>
      </c>
      <c r="U57" s="114" t="str">
        <f t="shared" si="5"/>
        <v/>
      </c>
      <c r="X57" s="114"/>
      <c r="Y57" s="114"/>
      <c r="Z57" s="114" t="str">
        <f t="shared" si="2"/>
        <v/>
      </c>
      <c r="AA57" s="114" t="str">
        <f t="shared" si="6"/>
        <v/>
      </c>
    </row>
    <row r="58" spans="2:27" x14ac:dyDescent="0.25">
      <c r="B58" s="134"/>
      <c r="C58" s="133"/>
      <c r="D58" s="133"/>
      <c r="T58" s="114" t="str">
        <f t="shared" si="4"/>
        <v/>
      </c>
      <c r="U58" s="114" t="str">
        <f t="shared" si="5"/>
        <v/>
      </c>
      <c r="X58" s="114"/>
      <c r="Y58" s="114"/>
      <c r="Z58" s="114" t="str">
        <f t="shared" si="2"/>
        <v/>
      </c>
      <c r="AA58" s="114" t="str">
        <f t="shared" si="6"/>
        <v/>
      </c>
    </row>
    <row r="59" spans="2:27" x14ac:dyDescent="0.25">
      <c r="B59" s="133"/>
      <c r="C59" s="133"/>
      <c r="D59" s="133"/>
      <c r="T59" s="114" t="str">
        <f t="shared" si="4"/>
        <v/>
      </c>
      <c r="U59" s="114" t="str">
        <f t="shared" si="5"/>
        <v/>
      </c>
      <c r="X59" s="114"/>
      <c r="Y59" s="114"/>
      <c r="Z59" s="114" t="str">
        <f t="shared" si="2"/>
        <v/>
      </c>
      <c r="AA59" s="114" t="str">
        <f t="shared" si="6"/>
        <v/>
      </c>
    </row>
    <row r="60" spans="2:27" x14ac:dyDescent="0.25">
      <c r="B60" s="134" t="s">
        <v>226</v>
      </c>
      <c r="C60" s="133"/>
      <c r="D60" s="133"/>
      <c r="T60" s="114" t="str">
        <f t="shared" si="4"/>
        <v/>
      </c>
      <c r="U60" s="114" t="str">
        <f t="shared" si="5"/>
        <v/>
      </c>
      <c r="X60" s="114"/>
      <c r="Y60" s="114"/>
      <c r="Z60" s="114" t="str">
        <f t="shared" si="2"/>
        <v/>
      </c>
      <c r="AA60" s="114" t="str">
        <f t="shared" si="6"/>
        <v/>
      </c>
    </row>
    <row r="61" spans="2:27" x14ac:dyDescent="0.25">
      <c r="T61" s="114" t="str">
        <f t="shared" si="4"/>
        <v/>
      </c>
      <c r="U61" s="114" t="str">
        <f t="shared" si="5"/>
        <v/>
      </c>
      <c r="X61" s="114"/>
      <c r="Y61" s="114"/>
      <c r="Z61" s="114" t="str">
        <f t="shared" si="2"/>
        <v/>
      </c>
      <c r="AA61" s="114" t="str">
        <f t="shared" si="6"/>
        <v/>
      </c>
    </row>
    <row r="62" spans="2:27" x14ac:dyDescent="0.25">
      <c r="B62" s="135" t="s">
        <v>230</v>
      </c>
      <c r="C62" s="135">
        <v>1</v>
      </c>
      <c r="D62" s="135">
        <v>2</v>
      </c>
      <c r="E62" s="135">
        <v>3</v>
      </c>
      <c r="F62" s="135">
        <v>4</v>
      </c>
      <c r="G62" s="135">
        <v>5</v>
      </c>
      <c r="H62" s="135">
        <v>6</v>
      </c>
      <c r="T62" s="114" t="str">
        <f t="shared" si="4"/>
        <v/>
      </c>
      <c r="U62" s="114" t="str">
        <f t="shared" si="5"/>
        <v/>
      </c>
      <c r="X62" s="114"/>
      <c r="Y62" s="114"/>
      <c r="Z62" s="114" t="str">
        <f t="shared" si="2"/>
        <v/>
      </c>
      <c r="AA62" s="114" t="str">
        <f t="shared" si="6"/>
        <v/>
      </c>
    </row>
    <row r="63" spans="2:27" x14ac:dyDescent="0.25">
      <c r="B63" s="136" t="s">
        <v>41</v>
      </c>
      <c r="C63" s="149">
        <v>0.252</v>
      </c>
      <c r="D63" s="149">
        <v>0.25600000000000001</v>
      </c>
      <c r="E63" s="149"/>
      <c r="F63" s="149"/>
      <c r="G63" s="149"/>
      <c r="H63" s="35"/>
      <c r="T63" s="114" t="str">
        <f t="shared" si="4"/>
        <v/>
      </c>
      <c r="U63" s="114" t="str">
        <f t="shared" si="5"/>
        <v/>
      </c>
      <c r="X63" s="114"/>
      <c r="Y63" s="114"/>
      <c r="Z63" s="114" t="str">
        <f t="shared" si="2"/>
        <v/>
      </c>
      <c r="AA63" s="114" t="str">
        <f t="shared" si="6"/>
        <v/>
      </c>
    </row>
    <row r="64" spans="2:27" x14ac:dyDescent="0.25">
      <c r="B64" s="136" t="s">
        <v>228</v>
      </c>
      <c r="C64" s="137">
        <f>IF(C63&lt;&gt;"",(C63-$G$46)/$G$45,"")</f>
        <v>0.64689042448173739</v>
      </c>
      <c r="D64" s="137">
        <f t="shared" ref="D64:G64" si="10">IF(D63&lt;&gt;"",(D63-$G$46)/$G$45,"")</f>
        <v>0.65676209279368214</v>
      </c>
      <c r="E64" s="137" t="str">
        <f t="shared" si="10"/>
        <v/>
      </c>
      <c r="F64" s="137" t="str">
        <f t="shared" si="10"/>
        <v/>
      </c>
      <c r="G64" s="137" t="str">
        <f t="shared" si="10"/>
        <v/>
      </c>
      <c r="H64" s="5"/>
      <c r="T64" s="114" t="str">
        <f t="shared" si="4"/>
        <v/>
      </c>
      <c r="U64" s="114" t="str">
        <f t="shared" si="5"/>
        <v/>
      </c>
      <c r="X64" s="114"/>
      <c r="Y64" s="114"/>
      <c r="Z64" s="114" t="str">
        <f t="shared" si="2"/>
        <v/>
      </c>
      <c r="AA64" s="114" t="str">
        <f t="shared" si="6"/>
        <v/>
      </c>
    </row>
    <row r="65" spans="2:27" x14ac:dyDescent="0.25">
      <c r="T65" s="114" t="str">
        <f t="shared" si="4"/>
        <v/>
      </c>
      <c r="U65" s="114" t="str">
        <f t="shared" si="5"/>
        <v/>
      </c>
      <c r="X65" s="114"/>
      <c r="Y65" s="114"/>
      <c r="Z65" s="114" t="str">
        <f t="shared" si="2"/>
        <v/>
      </c>
      <c r="AA65" s="114" t="str">
        <f t="shared" si="6"/>
        <v/>
      </c>
    </row>
    <row r="66" spans="2:27" x14ac:dyDescent="0.25">
      <c r="B66" s="96" t="s">
        <v>227</v>
      </c>
      <c r="C66" s="96"/>
      <c r="D66" s="96">
        <f>COUNTA(C63:H63)</f>
        <v>2</v>
      </c>
      <c r="T66" s="114" t="str">
        <f t="shared" si="4"/>
        <v/>
      </c>
      <c r="U66" s="114" t="str">
        <f t="shared" si="5"/>
        <v/>
      </c>
      <c r="X66" s="114"/>
      <c r="Y66" s="114"/>
      <c r="Z66" s="114" t="str">
        <f t="shared" si="2"/>
        <v/>
      </c>
      <c r="AA66" s="114" t="str">
        <f t="shared" si="6"/>
        <v/>
      </c>
    </row>
    <row r="67" spans="2:27" x14ac:dyDescent="0.25">
      <c r="B67" s="96" t="s">
        <v>229</v>
      </c>
      <c r="D67">
        <f>AVERAGE(C64:H64)</f>
        <v>0.65182625863770971</v>
      </c>
      <c r="T67" s="114" t="str">
        <f t="shared" si="4"/>
        <v/>
      </c>
      <c r="U67" s="114" t="str">
        <f t="shared" si="5"/>
        <v/>
      </c>
      <c r="X67" s="114"/>
      <c r="Y67" s="114"/>
      <c r="Z67" s="114" t="str">
        <f t="shared" si="2"/>
        <v/>
      </c>
      <c r="AA67" s="114" t="str">
        <f t="shared" si="6"/>
        <v/>
      </c>
    </row>
    <row r="68" spans="2:27" ht="18.75" x14ac:dyDescent="0.3">
      <c r="B68" s="96"/>
      <c r="D68" s="138"/>
      <c r="T68" s="114" t="str">
        <f t="shared" si="4"/>
        <v/>
      </c>
      <c r="U68" s="114" t="str">
        <f t="shared" si="5"/>
        <v/>
      </c>
      <c r="X68" s="114"/>
      <c r="Y68" s="114"/>
      <c r="Z68" s="114" t="str">
        <f t="shared" si="2"/>
        <v/>
      </c>
      <c r="AA68" s="114" t="str">
        <f t="shared" si="6"/>
        <v/>
      </c>
    </row>
    <row r="69" spans="2:27" ht="15" customHeight="1" x14ac:dyDescent="0.25">
      <c r="B69" s="161" t="s">
        <v>231</v>
      </c>
      <c r="C69" s="139"/>
      <c r="D69" s="140">
        <f>IF(B52="SSE",G47/G45*SQRT(1/D66+1/(F19*J19)+(D67-AVERAGE(C9:L9))^2/DEVSQ(R20:R80)),G47*D67/G45*SQRT(1/D66+1/(F19*J19)+(D67-AVERAGE(C9:L9))^2/DEVSQ(R20:R80)))</f>
        <v>1.9275857036600997E-2</v>
      </c>
      <c r="T69" s="114" t="str">
        <f t="shared" si="4"/>
        <v/>
      </c>
      <c r="U69" s="114" t="str">
        <f t="shared" si="5"/>
        <v/>
      </c>
      <c r="X69" s="114"/>
      <c r="Y69" s="114"/>
      <c r="Z69" s="114" t="str">
        <f t="shared" si="2"/>
        <v/>
      </c>
      <c r="AA69" s="114" t="str">
        <f t="shared" si="6"/>
        <v/>
      </c>
    </row>
    <row r="70" spans="2:27" ht="16.5" customHeight="1" x14ac:dyDescent="0.25">
      <c r="B70" s="252" t="s">
        <v>232</v>
      </c>
      <c r="C70" s="252"/>
      <c r="D70" s="141">
        <f>100*D69/D67</f>
        <v>2.9572078113095275</v>
      </c>
      <c r="T70" s="114" t="str">
        <f t="shared" si="4"/>
        <v/>
      </c>
      <c r="U70" s="114" t="str">
        <f t="shared" si="5"/>
        <v/>
      </c>
      <c r="X70" s="114"/>
      <c r="Y70" s="114"/>
      <c r="Z70" s="114" t="str">
        <f t="shared" si="2"/>
        <v/>
      </c>
      <c r="AA70" s="114" t="str">
        <f t="shared" si="6"/>
        <v/>
      </c>
    </row>
    <row r="71" spans="2:27" ht="18" customHeight="1" x14ac:dyDescent="0.25">
      <c r="T71" s="114" t="str">
        <f t="shared" si="4"/>
        <v/>
      </c>
      <c r="U71" s="114" t="str">
        <f t="shared" si="5"/>
        <v/>
      </c>
      <c r="X71" s="114"/>
      <c r="Y71" s="114"/>
      <c r="Z71" s="114" t="str">
        <f t="shared" si="2"/>
        <v/>
      </c>
      <c r="AA71" s="114" t="str">
        <f t="shared" si="6"/>
        <v/>
      </c>
    </row>
    <row r="72" spans="2:27" ht="18.75" x14ac:dyDescent="0.3">
      <c r="B72" s="142"/>
      <c r="C72" s="142"/>
      <c r="D72" s="143"/>
      <c r="F72" s="142"/>
      <c r="T72" s="114" t="str">
        <f t="shared" si="4"/>
        <v/>
      </c>
      <c r="U72" s="114" t="str">
        <f t="shared" si="5"/>
        <v/>
      </c>
      <c r="X72" s="114"/>
      <c r="Y72" s="114"/>
      <c r="Z72" s="114" t="str">
        <f t="shared" si="2"/>
        <v/>
      </c>
      <c r="AA72" s="114" t="str">
        <f t="shared" si="6"/>
        <v/>
      </c>
    </row>
    <row r="73" spans="2:27" ht="18.75" x14ac:dyDescent="0.3">
      <c r="B73" s="144" t="s">
        <v>234</v>
      </c>
      <c r="C73" s="142"/>
      <c r="D73" s="145" t="s">
        <v>241</v>
      </c>
      <c r="E73">
        <f>INDEX(Справочник!C58:C107,MATCH(F19*J19-2,Справочник!B58:B107))</f>
        <v>2.069</v>
      </c>
      <c r="F73" s="146"/>
      <c r="G73" s="146"/>
      <c r="H73" s="146"/>
      <c r="T73" s="114" t="str">
        <f t="shared" si="4"/>
        <v/>
      </c>
      <c r="U73" s="114" t="str">
        <f t="shared" si="5"/>
        <v/>
      </c>
      <c r="X73" s="114"/>
      <c r="Y73" s="114"/>
      <c r="Z73" s="114" t="str">
        <f t="shared" si="2"/>
        <v/>
      </c>
      <c r="AA73" s="114" t="str">
        <f t="shared" si="6"/>
        <v/>
      </c>
    </row>
    <row r="74" spans="2:27" ht="18.75" x14ac:dyDescent="0.3">
      <c r="B74" s="146"/>
      <c r="C74" s="146"/>
      <c r="D74" s="145" t="s">
        <v>238</v>
      </c>
      <c r="E74" s="96">
        <f>(G47/G45)*E73</f>
        <v>5.4204823221106972E-2</v>
      </c>
      <c r="F74" s="134" t="s">
        <v>239</v>
      </c>
      <c r="G74" s="147">
        <f>-E74</f>
        <v>-5.4204823221106972E-2</v>
      </c>
      <c r="H74" s="146"/>
      <c r="T74" s="114" t="str">
        <f t="shared" si="4"/>
        <v/>
      </c>
      <c r="U74" s="114" t="str">
        <f t="shared" si="5"/>
        <v/>
      </c>
      <c r="X74" s="114"/>
      <c r="Y74" s="114"/>
      <c r="Z74" s="114" t="str">
        <f t="shared" si="2"/>
        <v/>
      </c>
      <c r="AA74" s="114" t="str">
        <f t="shared" si="6"/>
        <v/>
      </c>
    </row>
    <row r="75" spans="2:27" ht="19.5" thickBot="1" x14ac:dyDescent="0.35">
      <c r="B75" s="146"/>
      <c r="C75" s="146"/>
      <c r="D75" s="146"/>
      <c r="F75" s="146"/>
      <c r="G75" s="146"/>
      <c r="H75" s="146"/>
      <c r="T75" s="114" t="str">
        <f t="shared" si="4"/>
        <v/>
      </c>
      <c r="U75" s="114" t="str">
        <f t="shared" si="5"/>
        <v/>
      </c>
      <c r="X75" s="114"/>
      <c r="Y75" s="114"/>
      <c r="Z75" s="114" t="str">
        <f t="shared" si="2"/>
        <v/>
      </c>
      <c r="AA75" s="114" t="str">
        <f t="shared" si="6"/>
        <v/>
      </c>
    </row>
    <row r="76" spans="2:27" ht="35.25" customHeight="1" x14ac:dyDescent="0.25">
      <c r="B76" s="150" t="s">
        <v>240</v>
      </c>
      <c r="C76" s="151" t="s">
        <v>235</v>
      </c>
      <c r="D76" s="152" t="s">
        <v>243</v>
      </c>
      <c r="E76" s="152" t="s">
        <v>244</v>
      </c>
      <c r="F76" s="152" t="s">
        <v>245</v>
      </c>
      <c r="G76" s="152" t="s">
        <v>242</v>
      </c>
      <c r="H76" s="151" t="s">
        <v>236</v>
      </c>
      <c r="I76" s="153" t="s">
        <v>237</v>
      </c>
      <c r="T76" s="114" t="str">
        <f t="shared" si="4"/>
        <v/>
      </c>
      <c r="U76" s="114" t="str">
        <f t="shared" si="5"/>
        <v/>
      </c>
      <c r="X76" s="114"/>
      <c r="Y76" s="114"/>
      <c r="Z76" s="114" t="str">
        <f t="shared" si="2"/>
        <v/>
      </c>
      <c r="AA76" s="114" t="str">
        <f t="shared" si="6"/>
        <v/>
      </c>
    </row>
    <row r="77" spans="2:27" x14ac:dyDescent="0.25">
      <c r="B77" s="156">
        <v>1</v>
      </c>
      <c r="C77" s="154">
        <v>44241</v>
      </c>
      <c r="D77" s="35">
        <v>0.2</v>
      </c>
      <c r="E77" s="35">
        <v>8.5000000000000006E-2</v>
      </c>
      <c r="F77" s="155">
        <f>IF(E77&lt;&gt;"",(E77-$G$46)/$G$45,"0")</f>
        <v>0.23474827245804536</v>
      </c>
      <c r="G77" s="155">
        <f>IF($B$52="WSSE",(F77-D77)/D77,F77-D77)</f>
        <v>3.4748272458045348E-2</v>
      </c>
      <c r="H77" s="5">
        <f t="shared" ref="H77:H83" si="11">IF(G77&lt;&gt;"",$E$74,"")</f>
        <v>5.4204823221106972E-2</v>
      </c>
      <c r="I77" s="157">
        <f>IF(G77&lt;&gt;"",$G$74,"")</f>
        <v>-5.4204823221106972E-2</v>
      </c>
      <c r="T77" s="114" t="str">
        <f t="shared" si="4"/>
        <v/>
      </c>
      <c r="U77" s="114" t="str">
        <f t="shared" si="5"/>
        <v/>
      </c>
      <c r="X77" s="114"/>
      <c r="Y77" s="114"/>
      <c r="Z77" s="114" t="str">
        <f t="shared" si="2"/>
        <v/>
      </c>
      <c r="AA77" s="114" t="str">
        <f t="shared" si="6"/>
        <v/>
      </c>
    </row>
    <row r="78" spans="2:27" x14ac:dyDescent="0.25">
      <c r="B78" s="156">
        <v>1</v>
      </c>
      <c r="C78" s="154">
        <v>44241</v>
      </c>
      <c r="D78" s="35">
        <v>0.6</v>
      </c>
      <c r="E78" s="35">
        <v>0.22</v>
      </c>
      <c r="F78" s="155">
        <f t="shared" ref="F78:F96" si="12">IF(E78&lt;&gt;"",(E78-$G$46)/$G$45,"0")</f>
        <v>0.56791707798617952</v>
      </c>
      <c r="G78" s="155">
        <f t="shared" ref="G78:G96" si="13">IF($B$52="WSSE",(F78-D78)/D78,F78-D78)</f>
        <v>-3.2082922013820458E-2</v>
      </c>
      <c r="H78" s="5">
        <f t="shared" si="11"/>
        <v>5.4204823221106972E-2</v>
      </c>
      <c r="I78" s="157">
        <f t="shared" ref="I78:I96" si="14">IF(G78&lt;&gt;"",$G$74,"")</f>
        <v>-5.4204823221106972E-2</v>
      </c>
      <c r="T78" s="114" t="str">
        <f t="shared" si="4"/>
        <v/>
      </c>
      <c r="U78" s="114" t="str">
        <f t="shared" si="5"/>
        <v/>
      </c>
      <c r="X78" s="114"/>
      <c r="Y78" s="114"/>
      <c r="Z78" s="114" t="str">
        <f t="shared" si="2"/>
        <v/>
      </c>
      <c r="AA78" s="114" t="str">
        <f t="shared" si="6"/>
        <v/>
      </c>
    </row>
    <row r="79" spans="2:27" x14ac:dyDescent="0.25">
      <c r="B79" s="156">
        <v>1</v>
      </c>
      <c r="C79" s="154">
        <v>44241</v>
      </c>
      <c r="D79" s="35">
        <v>1</v>
      </c>
      <c r="E79" s="35">
        <v>0.4</v>
      </c>
      <c r="F79" s="155">
        <f t="shared" si="12"/>
        <v>1.012142152023692</v>
      </c>
      <c r="G79" s="155">
        <f t="shared" si="13"/>
        <v>1.2142152023691954E-2</v>
      </c>
      <c r="H79" s="5">
        <f t="shared" si="11"/>
        <v>5.4204823221106972E-2</v>
      </c>
      <c r="I79" s="157">
        <f t="shared" si="14"/>
        <v>-5.4204823221106972E-2</v>
      </c>
      <c r="T79" s="114" t="str">
        <f t="shared" si="4"/>
        <v/>
      </c>
      <c r="U79" s="114" t="str">
        <f t="shared" si="5"/>
        <v/>
      </c>
      <c r="X79" s="114"/>
      <c r="Y79" s="114"/>
      <c r="Z79" s="114" t="str">
        <f t="shared" si="2"/>
        <v/>
      </c>
      <c r="AA79" s="114" t="str">
        <f t="shared" si="6"/>
        <v/>
      </c>
    </row>
    <row r="80" spans="2:27" x14ac:dyDescent="0.25">
      <c r="B80" s="156">
        <v>2</v>
      </c>
      <c r="C80" s="154">
        <v>44302</v>
      </c>
      <c r="D80" s="35">
        <v>0.2</v>
      </c>
      <c r="E80" s="35">
        <v>7.9000000000000001E-2</v>
      </c>
      <c r="F80" s="155">
        <f t="shared" si="12"/>
        <v>0.21994076999012827</v>
      </c>
      <c r="G80" s="155">
        <f t="shared" si="13"/>
        <v>1.9940769990128254E-2</v>
      </c>
      <c r="H80" s="5">
        <f t="shared" si="11"/>
        <v>5.4204823221106972E-2</v>
      </c>
      <c r="I80" s="157">
        <f t="shared" si="14"/>
        <v>-5.4204823221106972E-2</v>
      </c>
      <c r="T80" s="114" t="str">
        <f t="shared" si="4"/>
        <v/>
      </c>
      <c r="X80" s="114"/>
      <c r="Y80" s="114"/>
      <c r="Z80" s="114" t="str">
        <f t="shared" si="2"/>
        <v/>
      </c>
      <c r="AA80" s="114" t="str">
        <f t="shared" si="6"/>
        <v/>
      </c>
    </row>
    <row r="81" spans="2:27" x14ac:dyDescent="0.25">
      <c r="B81" s="156">
        <v>2</v>
      </c>
      <c r="C81" s="154">
        <v>44302</v>
      </c>
      <c r="D81" s="35">
        <v>0.6</v>
      </c>
      <c r="E81" s="35">
        <v>0.215</v>
      </c>
      <c r="F81" s="155">
        <f t="shared" si="12"/>
        <v>0.55557749259624867</v>
      </c>
      <c r="G81" s="155">
        <f t="shared" si="13"/>
        <v>-4.442250740375131E-2</v>
      </c>
      <c r="H81" s="5">
        <f t="shared" si="11"/>
        <v>5.4204823221106972E-2</v>
      </c>
      <c r="I81" s="157">
        <f t="shared" si="14"/>
        <v>-5.4204823221106972E-2</v>
      </c>
      <c r="X81" s="114"/>
      <c r="Y81" s="114"/>
      <c r="Z81" s="114" t="str">
        <f t="shared" si="2"/>
        <v/>
      </c>
      <c r="AA81" s="114"/>
    </row>
    <row r="82" spans="2:27" x14ac:dyDescent="0.25">
      <c r="B82" s="156">
        <v>2</v>
      </c>
      <c r="C82" s="154">
        <v>44302</v>
      </c>
      <c r="D82" s="35">
        <v>1</v>
      </c>
      <c r="E82" s="35">
        <v>0.39200000000000002</v>
      </c>
      <c r="F82" s="155">
        <f t="shared" si="12"/>
        <v>0.99239881539980246</v>
      </c>
      <c r="G82" s="155">
        <f t="shared" si="13"/>
        <v>-7.6011846001975414E-3</v>
      </c>
      <c r="H82" s="5">
        <f t="shared" si="11"/>
        <v>5.4204823221106972E-2</v>
      </c>
      <c r="I82" s="157">
        <f t="shared" si="14"/>
        <v>-5.4204823221106972E-2</v>
      </c>
      <c r="X82" s="114"/>
      <c r="Y82" s="114"/>
      <c r="Z82" s="114"/>
      <c r="AA82" s="114"/>
    </row>
    <row r="83" spans="2:27" x14ac:dyDescent="0.25">
      <c r="B83" s="156">
        <v>3</v>
      </c>
      <c r="C83" s="154">
        <v>43989</v>
      </c>
      <c r="D83" s="35">
        <v>0.2</v>
      </c>
      <c r="E83" s="35">
        <v>8.1000000000000003E-2</v>
      </c>
      <c r="F83" s="155">
        <f t="shared" si="12"/>
        <v>0.22487660414610064</v>
      </c>
      <c r="G83" s="155">
        <f t="shared" si="13"/>
        <v>2.4876604146100628E-2</v>
      </c>
      <c r="H83" s="5">
        <f t="shared" si="11"/>
        <v>5.4204823221106972E-2</v>
      </c>
      <c r="I83" s="157">
        <f t="shared" si="14"/>
        <v>-5.4204823221106972E-2</v>
      </c>
      <c r="X83" s="114"/>
      <c r="Y83" s="114"/>
      <c r="Z83" s="114"/>
      <c r="AA83" s="114"/>
    </row>
    <row r="84" spans="2:27" x14ac:dyDescent="0.25">
      <c r="B84" s="156">
        <v>3</v>
      </c>
      <c r="C84" s="154">
        <v>44354</v>
      </c>
      <c r="D84" s="35">
        <v>0.6</v>
      </c>
      <c r="E84" s="35">
        <v>0.21299999999999999</v>
      </c>
      <c r="F84" s="155">
        <f t="shared" si="12"/>
        <v>0.55064165844027624</v>
      </c>
      <c r="G84" s="155">
        <f t="shared" si="13"/>
        <v>-4.935834155972374E-2</v>
      </c>
      <c r="H84" s="5">
        <f>IF(G84&lt;&gt;"",$E$74,"")</f>
        <v>5.4204823221106972E-2</v>
      </c>
      <c r="I84" s="157">
        <f t="shared" si="14"/>
        <v>-5.4204823221106972E-2</v>
      </c>
      <c r="X84" s="114"/>
      <c r="Y84" s="114"/>
      <c r="Z84" s="114"/>
      <c r="AA84" s="114"/>
    </row>
    <row r="85" spans="2:27" x14ac:dyDescent="0.25">
      <c r="B85" s="156">
        <v>3</v>
      </c>
      <c r="C85" s="154">
        <v>44354</v>
      </c>
      <c r="D85" s="35">
        <v>1</v>
      </c>
      <c r="E85" s="35">
        <v>0.38800000000000001</v>
      </c>
      <c r="F85" s="155">
        <f t="shared" si="12"/>
        <v>0.98252714708785782</v>
      </c>
      <c r="G85" s="155">
        <f t="shared" si="13"/>
        <v>-1.7472852912142178E-2</v>
      </c>
      <c r="H85" s="5">
        <f t="shared" ref="H85:H96" si="15">IF(G85&lt;&gt;"",$E$74,"")</f>
        <v>5.4204823221106972E-2</v>
      </c>
      <c r="I85" s="157">
        <f t="shared" si="14"/>
        <v>-5.4204823221106972E-2</v>
      </c>
      <c r="X85" s="114"/>
      <c r="Y85" s="114"/>
      <c r="Z85" s="114"/>
      <c r="AA85" s="114"/>
    </row>
    <row r="86" spans="2:27" x14ac:dyDescent="0.25">
      <c r="B86" s="156">
        <v>4</v>
      </c>
      <c r="C86" s="154">
        <v>44409</v>
      </c>
      <c r="D86" s="35">
        <v>0.2</v>
      </c>
      <c r="E86" s="35">
        <v>8.7999999999999995E-2</v>
      </c>
      <c r="F86" s="155">
        <f t="shared" si="12"/>
        <v>0.24215202369200386</v>
      </c>
      <c r="G86" s="155">
        <f t="shared" si="13"/>
        <v>4.2152023692003854E-2</v>
      </c>
      <c r="H86" s="5">
        <f t="shared" si="15"/>
        <v>5.4204823221106972E-2</v>
      </c>
      <c r="I86" s="157">
        <f t="shared" si="14"/>
        <v>-5.4204823221106972E-2</v>
      </c>
      <c r="X86" s="114"/>
      <c r="Y86" s="114"/>
      <c r="Z86" s="114"/>
      <c r="AA86" s="114"/>
    </row>
    <row r="87" spans="2:27" x14ac:dyDescent="0.25">
      <c r="B87" s="156">
        <v>4</v>
      </c>
      <c r="C87" s="154">
        <v>44409</v>
      </c>
      <c r="D87" s="35">
        <v>0.6</v>
      </c>
      <c r="E87" s="35">
        <v>0.22500000000000001</v>
      </c>
      <c r="F87" s="155">
        <f t="shared" si="12"/>
        <v>0.58025666337611048</v>
      </c>
      <c r="G87" s="155">
        <f t="shared" si="13"/>
        <v>-1.9743336623889496E-2</v>
      </c>
      <c r="H87" s="5">
        <f t="shared" si="15"/>
        <v>5.4204823221106972E-2</v>
      </c>
      <c r="I87" s="157">
        <f t="shared" si="14"/>
        <v>-5.4204823221106972E-2</v>
      </c>
      <c r="X87" s="114"/>
      <c r="Y87" s="114"/>
      <c r="Z87" s="114"/>
      <c r="AA87" s="114"/>
    </row>
    <row r="88" spans="2:27" x14ac:dyDescent="0.25">
      <c r="B88" s="156">
        <v>4</v>
      </c>
      <c r="C88" s="154">
        <v>44409</v>
      </c>
      <c r="D88" s="35">
        <v>1</v>
      </c>
      <c r="E88" s="35">
        <v>0.40200000000000002</v>
      </c>
      <c r="F88" s="155">
        <f t="shared" si="12"/>
        <v>1.0170779861796644</v>
      </c>
      <c r="G88" s="155">
        <f t="shared" si="13"/>
        <v>1.7077986179664384E-2</v>
      </c>
      <c r="H88" s="5">
        <f t="shared" si="15"/>
        <v>5.4204823221106972E-2</v>
      </c>
      <c r="I88" s="157">
        <f t="shared" si="14"/>
        <v>-5.4204823221106972E-2</v>
      </c>
      <c r="X88" s="114"/>
      <c r="Y88" s="114"/>
      <c r="Z88" s="114"/>
      <c r="AA88" s="114"/>
    </row>
    <row r="89" spans="2:27" x14ac:dyDescent="0.25">
      <c r="B89" s="156">
        <v>5</v>
      </c>
      <c r="C89" s="154">
        <v>44479</v>
      </c>
      <c r="D89" s="35">
        <v>0.2</v>
      </c>
      <c r="E89" s="35">
        <v>8.4000000000000005E-2</v>
      </c>
      <c r="F89" s="155">
        <f t="shared" si="12"/>
        <v>0.23228035538005917</v>
      </c>
      <c r="G89" s="155">
        <f t="shared" si="13"/>
        <v>3.2280355380059161E-2</v>
      </c>
      <c r="H89" s="5">
        <f t="shared" si="15"/>
        <v>5.4204823221106972E-2</v>
      </c>
      <c r="I89" s="157">
        <f t="shared" si="14"/>
        <v>-5.4204823221106972E-2</v>
      </c>
      <c r="X89" s="114"/>
      <c r="Y89" s="114"/>
      <c r="Z89" s="114"/>
      <c r="AA89" s="114"/>
    </row>
    <row r="90" spans="2:27" x14ac:dyDescent="0.25">
      <c r="B90" s="156">
        <v>5</v>
      </c>
      <c r="C90" s="154">
        <v>44479</v>
      </c>
      <c r="D90" s="35">
        <v>0.6</v>
      </c>
      <c r="E90" s="35">
        <v>0.221</v>
      </c>
      <c r="F90" s="155">
        <f t="shared" si="12"/>
        <v>0.57038499506416573</v>
      </c>
      <c r="G90" s="155">
        <f t="shared" si="13"/>
        <v>-2.9615004935834244E-2</v>
      </c>
      <c r="H90" s="5">
        <f t="shared" si="15"/>
        <v>5.4204823221106972E-2</v>
      </c>
      <c r="I90" s="157">
        <f t="shared" si="14"/>
        <v>-5.4204823221106972E-2</v>
      </c>
      <c r="X90" s="114"/>
      <c r="Y90" s="114"/>
      <c r="Z90" s="114"/>
      <c r="AA90" s="114"/>
    </row>
    <row r="91" spans="2:27" x14ac:dyDescent="0.25">
      <c r="B91" s="156">
        <v>5</v>
      </c>
      <c r="C91" s="154">
        <v>44479</v>
      </c>
      <c r="D91" s="35">
        <v>1</v>
      </c>
      <c r="E91" s="35">
        <v>0.39900000000000002</v>
      </c>
      <c r="F91" s="155">
        <f t="shared" si="12"/>
        <v>1.0096742349457057</v>
      </c>
      <c r="G91" s="155">
        <f t="shared" si="13"/>
        <v>9.6742349457057397E-3</v>
      </c>
      <c r="H91" s="5">
        <f t="shared" si="15"/>
        <v>5.4204823221106972E-2</v>
      </c>
      <c r="I91" s="157">
        <f t="shared" si="14"/>
        <v>-5.4204823221106972E-2</v>
      </c>
      <c r="X91" s="114"/>
      <c r="Y91" s="114"/>
      <c r="Z91" s="114"/>
      <c r="AA91" s="114"/>
    </row>
    <row r="92" spans="2:27" x14ac:dyDescent="0.25">
      <c r="B92" s="156">
        <v>6</v>
      </c>
      <c r="C92" s="154">
        <v>44541</v>
      </c>
      <c r="D92" s="35">
        <v>0.2</v>
      </c>
      <c r="E92" s="35">
        <v>7.9000000000000001E-2</v>
      </c>
      <c r="F92" s="155">
        <f t="shared" si="12"/>
        <v>0.21994076999012827</v>
      </c>
      <c r="G92" s="155">
        <f t="shared" si="13"/>
        <v>1.9940769990128254E-2</v>
      </c>
      <c r="H92" s="5">
        <f t="shared" si="15"/>
        <v>5.4204823221106972E-2</v>
      </c>
      <c r="I92" s="157">
        <f t="shared" si="14"/>
        <v>-5.4204823221106972E-2</v>
      </c>
      <c r="X92" s="114"/>
      <c r="Y92" s="114"/>
      <c r="Z92" s="114"/>
      <c r="AA92" s="114"/>
    </row>
    <row r="93" spans="2:27" x14ac:dyDescent="0.25">
      <c r="B93" s="156">
        <v>6</v>
      </c>
      <c r="C93" s="154">
        <v>44541</v>
      </c>
      <c r="D93" s="35">
        <v>0.6</v>
      </c>
      <c r="E93" s="35">
        <v>0.25900000000000001</v>
      </c>
      <c r="F93" s="155">
        <f t="shared" si="12"/>
        <v>0.66416584402764067</v>
      </c>
      <c r="G93" s="155">
        <f t="shared" si="13"/>
        <v>6.4165844027640695E-2</v>
      </c>
      <c r="H93" s="5">
        <f t="shared" si="15"/>
        <v>5.4204823221106972E-2</v>
      </c>
      <c r="I93" s="157">
        <f t="shared" si="14"/>
        <v>-5.4204823221106972E-2</v>
      </c>
      <c r="X93" s="114"/>
      <c r="Y93" s="114"/>
      <c r="Z93" s="114"/>
      <c r="AA93" s="114"/>
    </row>
    <row r="94" spans="2:27" x14ac:dyDescent="0.25">
      <c r="B94" s="156">
        <v>6</v>
      </c>
      <c r="C94" s="154">
        <v>44511</v>
      </c>
      <c r="D94" s="35">
        <v>1</v>
      </c>
      <c r="E94" s="35">
        <v>0.41499999999999998</v>
      </c>
      <c r="F94" s="155">
        <f t="shared" si="12"/>
        <v>1.0491609081934845</v>
      </c>
      <c r="G94" s="155">
        <f t="shared" si="13"/>
        <v>4.9160908193484509E-2</v>
      </c>
      <c r="H94" s="5">
        <f t="shared" si="15"/>
        <v>5.4204823221106972E-2</v>
      </c>
      <c r="I94" s="157">
        <f t="shared" si="14"/>
        <v>-5.4204823221106972E-2</v>
      </c>
      <c r="X94" s="114"/>
      <c r="Y94" s="114"/>
      <c r="Z94" s="114"/>
      <c r="AA94" s="114"/>
    </row>
    <row r="95" spans="2:27" x14ac:dyDescent="0.25">
      <c r="B95" s="156"/>
      <c r="C95" s="35"/>
      <c r="D95" s="35"/>
      <c r="E95" s="35"/>
      <c r="F95" s="155" t="str">
        <f t="shared" si="12"/>
        <v>0</v>
      </c>
      <c r="G95" s="155">
        <f t="shared" si="13"/>
        <v>0</v>
      </c>
      <c r="H95" s="5">
        <f t="shared" si="15"/>
        <v>5.4204823221106972E-2</v>
      </c>
      <c r="I95" s="157">
        <f t="shared" si="14"/>
        <v>-5.4204823221106972E-2</v>
      </c>
      <c r="X95" s="114"/>
      <c r="Y95" s="114"/>
      <c r="Z95" s="114"/>
      <c r="AA95" s="114"/>
    </row>
    <row r="96" spans="2:27" ht="15.75" thickBot="1" x14ac:dyDescent="0.3">
      <c r="B96" s="158"/>
      <c r="C96" s="159"/>
      <c r="D96" s="159"/>
      <c r="E96" s="159"/>
      <c r="F96" s="160" t="str">
        <f t="shared" si="12"/>
        <v>0</v>
      </c>
      <c r="G96" s="155">
        <f t="shared" si="13"/>
        <v>0</v>
      </c>
      <c r="H96" s="22">
        <f t="shared" si="15"/>
        <v>5.4204823221106972E-2</v>
      </c>
      <c r="I96" s="23">
        <f t="shared" si="14"/>
        <v>-5.4204823221106972E-2</v>
      </c>
      <c r="X96" s="114"/>
      <c r="Y96" s="114"/>
      <c r="Z96" s="114"/>
      <c r="AA96" s="114"/>
    </row>
    <row r="97" spans="24:27" x14ac:dyDescent="0.25">
      <c r="X97" s="114"/>
      <c r="Y97" s="114"/>
      <c r="Z97" s="114"/>
      <c r="AA97" s="114"/>
    </row>
    <row r="98" spans="24:27" x14ac:dyDescent="0.25">
      <c r="X98" s="114"/>
      <c r="Y98" s="114"/>
      <c r="Z98" s="114"/>
      <c r="AA98" s="114"/>
    </row>
    <row r="99" spans="24:27" x14ac:dyDescent="0.25">
      <c r="X99" s="114"/>
      <c r="Y99" s="114"/>
      <c r="Z99" s="114"/>
      <c r="AA99" s="114"/>
    </row>
  </sheetData>
  <mergeCells count="5">
    <mergeCell ref="I7:K7"/>
    <mergeCell ref="D45:F45"/>
    <mergeCell ref="D46:F46"/>
    <mergeCell ref="D47:F47"/>
    <mergeCell ref="B70:C70"/>
  </mergeCells>
  <dataValidations count="1">
    <dataValidation type="decimal" allowBlank="1" showInputMessage="1" showErrorMessage="1" sqref="C9:L15" xr:uid="{00000000-0002-0000-0300-000000000000}">
      <formula1>-10000000</formula1>
      <formula2>100000000</formula2>
    </dataValidation>
  </dataValidations>
  <pageMargins left="0.7" right="0.7" top="0.75" bottom="0.75" header="0.3" footer="0.3"/>
  <pageSetup paperSize="9" scale="71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297" r:id="rId4" name="RascGradNewBut">
              <controlPr defaultSize="0" print="0" autoFill="0" autoPict="0" macro="[0]!RascGradNewBut_Щелчок">
                <anchor moveWithCells="1" sizeWithCells="1">
                  <from>
                    <xdr:col>0</xdr:col>
                    <xdr:colOff>590550</xdr:colOff>
                    <xdr:row>17</xdr:row>
                    <xdr:rowOff>114300</xdr:rowOff>
                  </from>
                  <to>
                    <xdr:col>2</xdr:col>
                    <xdr:colOff>171450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Списки!$D$2:$D$3</xm:f>
          </x14:formula1>
          <xm:sqref>I7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3"/>
  <dimension ref="B1:V76"/>
  <sheetViews>
    <sheetView zoomScaleNormal="100" workbookViewId="0">
      <selection activeCell="D8" sqref="D8"/>
    </sheetView>
  </sheetViews>
  <sheetFormatPr defaultRowHeight="15" x14ac:dyDescent="0.25"/>
  <cols>
    <col min="1" max="1" width="2.85546875" customWidth="1"/>
    <col min="2" max="2" width="15.42578125" customWidth="1"/>
    <col min="3" max="3" width="9.85546875" customWidth="1"/>
    <col min="4" max="4" width="12.28515625" customWidth="1"/>
    <col min="5" max="5" width="9.85546875" customWidth="1"/>
    <col min="7" max="7" width="12" bestFit="1" customWidth="1"/>
    <col min="9" max="9" width="15" customWidth="1"/>
    <col min="10" max="10" width="11.28515625" customWidth="1"/>
    <col min="11" max="11" width="9.140625" customWidth="1"/>
    <col min="12" max="12" width="11.42578125" customWidth="1"/>
    <col min="14" max="14" width="9.85546875" customWidth="1"/>
    <col min="15" max="15" width="12" bestFit="1" customWidth="1"/>
  </cols>
  <sheetData>
    <row r="1" spans="2:22" ht="35.25" customHeight="1" thickBot="1" x14ac:dyDescent="0.3">
      <c r="B1" s="247" t="s">
        <v>295</v>
      </c>
      <c r="C1" s="247"/>
      <c r="D1" s="253" t="str">
        <f>Крагтен!C1</f>
        <v>ПНДФ 14.1:2.159-2000 Методика выполнения измерений массовой концентрации сульфат-ионов в пробах природных и сточных вод турбидиметрическим методом</v>
      </c>
      <c r="E1" s="254"/>
      <c r="F1" s="254"/>
      <c r="G1" s="254"/>
      <c r="H1" s="254"/>
      <c r="I1" s="254"/>
      <c r="J1" s="254"/>
      <c r="K1" s="254"/>
      <c r="L1" s="255"/>
    </row>
    <row r="2" spans="2:22" ht="15.75" customHeight="1" x14ac:dyDescent="0.25">
      <c r="B2" s="16" t="s">
        <v>301</v>
      </c>
    </row>
    <row r="4" spans="2:22" x14ac:dyDescent="0.25">
      <c r="D4" s="211" t="s">
        <v>279</v>
      </c>
    </row>
    <row r="5" spans="2:22" ht="15.75" thickBot="1" x14ac:dyDescent="0.3">
      <c r="D5" s="211" t="s">
        <v>294</v>
      </c>
      <c r="E5" s="115">
        <f>INT(COUNTA(D8:D23)/2)</f>
        <v>8</v>
      </c>
    </row>
    <row r="6" spans="2:22" ht="38.25" customHeight="1" x14ac:dyDescent="0.25">
      <c r="B6" s="282" t="s">
        <v>263</v>
      </c>
      <c r="C6" s="284" t="s">
        <v>264</v>
      </c>
      <c r="D6" s="257" t="s">
        <v>269</v>
      </c>
      <c r="E6" s="258"/>
      <c r="U6" s="223"/>
      <c r="V6" s="223"/>
    </row>
    <row r="7" spans="2:22" ht="15.75" thickBot="1" x14ac:dyDescent="0.3">
      <c r="B7" s="283"/>
      <c r="C7" s="285"/>
      <c r="D7" s="225">
        <v>1</v>
      </c>
      <c r="E7" s="226">
        <v>2</v>
      </c>
      <c r="G7" s="2" t="s">
        <v>268</v>
      </c>
      <c r="U7" s="224"/>
      <c r="V7" s="224"/>
    </row>
    <row r="8" spans="2:22" ht="16.5" x14ac:dyDescent="0.25">
      <c r="B8" s="286">
        <v>1</v>
      </c>
      <c r="C8" s="233">
        <v>1</v>
      </c>
      <c r="D8" s="227">
        <v>50.1</v>
      </c>
      <c r="E8" s="228">
        <v>52.8</v>
      </c>
      <c r="U8" s="224"/>
      <c r="V8" s="224"/>
    </row>
    <row r="9" spans="2:22" ht="16.5" x14ac:dyDescent="0.25">
      <c r="B9" s="280"/>
      <c r="C9" s="234">
        <v>2</v>
      </c>
      <c r="D9" s="229">
        <v>49.9</v>
      </c>
      <c r="E9" s="230">
        <v>47.3</v>
      </c>
      <c r="U9" s="224"/>
      <c r="V9" s="224"/>
    </row>
    <row r="10" spans="2:22" ht="16.5" x14ac:dyDescent="0.25">
      <c r="B10" s="280">
        <v>2</v>
      </c>
      <c r="C10" s="234">
        <v>1</v>
      </c>
      <c r="D10" s="229">
        <v>61.3</v>
      </c>
      <c r="E10" s="230">
        <v>63.4</v>
      </c>
      <c r="U10" s="224"/>
      <c r="V10" s="224"/>
    </row>
    <row r="11" spans="2:22" ht="16.5" x14ac:dyDescent="0.25">
      <c r="B11" s="280"/>
      <c r="C11" s="234">
        <v>2</v>
      </c>
      <c r="D11" s="229">
        <v>59.3</v>
      </c>
      <c r="E11" s="230">
        <v>60.5</v>
      </c>
      <c r="U11" s="224"/>
      <c r="V11" s="224"/>
    </row>
    <row r="12" spans="2:22" ht="16.5" x14ac:dyDescent="0.25">
      <c r="B12" s="280">
        <v>3</v>
      </c>
      <c r="C12" s="234">
        <v>1</v>
      </c>
      <c r="D12" s="229">
        <v>48.8</v>
      </c>
      <c r="E12" s="230">
        <v>48.2</v>
      </c>
      <c r="U12" s="224"/>
      <c r="V12" s="224"/>
    </row>
    <row r="13" spans="2:22" ht="16.5" x14ac:dyDescent="0.25">
      <c r="B13" s="280"/>
      <c r="C13" s="234">
        <v>2</v>
      </c>
      <c r="D13" s="229">
        <v>48.3</v>
      </c>
      <c r="E13" s="230">
        <v>49.5</v>
      </c>
      <c r="U13" s="224"/>
      <c r="V13" s="224"/>
    </row>
    <row r="14" spans="2:22" ht="16.5" x14ac:dyDescent="0.25">
      <c r="B14" s="280">
        <v>4</v>
      </c>
      <c r="C14" s="234">
        <v>1</v>
      </c>
      <c r="D14" s="229">
        <v>55.8</v>
      </c>
      <c r="E14" s="230">
        <v>57.2</v>
      </c>
    </row>
    <row r="15" spans="2:22" ht="16.5" x14ac:dyDescent="0.25">
      <c r="B15" s="280"/>
      <c r="C15" s="234">
        <v>2</v>
      </c>
      <c r="D15" s="229">
        <v>58.3</v>
      </c>
      <c r="E15" s="230">
        <v>58.4</v>
      </c>
    </row>
    <row r="16" spans="2:22" ht="16.5" x14ac:dyDescent="0.25">
      <c r="B16" s="280">
        <v>5</v>
      </c>
      <c r="C16" s="234">
        <v>1</v>
      </c>
      <c r="D16" s="229">
        <v>53.3</v>
      </c>
      <c r="E16" s="230">
        <v>55.6</v>
      </c>
    </row>
    <row r="17" spans="2:15" ht="16.5" x14ac:dyDescent="0.25">
      <c r="B17" s="280"/>
      <c r="C17" s="234">
        <v>2</v>
      </c>
      <c r="D17" s="229">
        <v>58.8</v>
      </c>
      <c r="E17" s="230">
        <v>56.7</v>
      </c>
    </row>
    <row r="18" spans="2:15" ht="16.5" x14ac:dyDescent="0.25">
      <c r="B18" s="280">
        <v>6</v>
      </c>
      <c r="C18" s="234">
        <v>1</v>
      </c>
      <c r="D18" s="229">
        <v>68.900000000000006</v>
      </c>
      <c r="E18" s="230">
        <v>72.2</v>
      </c>
    </row>
    <row r="19" spans="2:15" ht="16.5" x14ac:dyDescent="0.25">
      <c r="B19" s="280"/>
      <c r="C19" s="234">
        <v>2</v>
      </c>
      <c r="D19" s="229">
        <v>67.3</v>
      </c>
      <c r="E19" s="230">
        <v>65.5</v>
      </c>
    </row>
    <row r="20" spans="2:15" ht="16.5" x14ac:dyDescent="0.25">
      <c r="B20" s="280">
        <v>7</v>
      </c>
      <c r="C20" s="234">
        <v>1</v>
      </c>
      <c r="D20" s="229">
        <v>64.5</v>
      </c>
      <c r="E20" s="230">
        <v>67.2</v>
      </c>
    </row>
    <row r="21" spans="2:15" ht="16.5" x14ac:dyDescent="0.25">
      <c r="B21" s="280"/>
      <c r="C21" s="234">
        <v>2</v>
      </c>
      <c r="D21" s="229">
        <v>60.5</v>
      </c>
      <c r="E21" s="230">
        <v>63.2</v>
      </c>
    </row>
    <row r="22" spans="2:15" ht="16.5" x14ac:dyDescent="0.25">
      <c r="B22" s="280">
        <v>8</v>
      </c>
      <c r="C22" s="234">
        <v>1</v>
      </c>
      <c r="D22" s="229">
        <v>48.8</v>
      </c>
      <c r="E22" s="230">
        <v>50.2</v>
      </c>
    </row>
    <row r="23" spans="2:15" ht="17.25" thickBot="1" x14ac:dyDescent="0.3">
      <c r="B23" s="281"/>
      <c r="C23" s="235">
        <v>2</v>
      </c>
      <c r="D23" s="231">
        <v>51.1</v>
      </c>
      <c r="E23" s="232">
        <v>52.3</v>
      </c>
    </row>
    <row r="27" spans="2:15" x14ac:dyDescent="0.25">
      <c r="B27" s="2" t="s">
        <v>265</v>
      </c>
      <c r="I27" s="2" t="s">
        <v>266</v>
      </c>
    </row>
    <row r="29" spans="2:15" ht="48" customHeight="1" x14ac:dyDescent="0.25">
      <c r="B29" s="213" t="str">
        <f>B6</f>
        <v>Номер объекта пробоотбора, i</v>
      </c>
      <c r="C29" s="213" t="str">
        <f>C6</f>
        <v>Номер пробы, j</v>
      </c>
      <c r="D29" s="277" t="str">
        <f>D6</f>
        <v>Результат измерений, yijk</v>
      </c>
      <c r="E29" s="278"/>
      <c r="F29" s="213" t="s">
        <v>280</v>
      </c>
      <c r="G29" s="213" t="s">
        <v>281</v>
      </c>
      <c r="H29" s="212"/>
      <c r="I29" s="213" t="str">
        <f>B6</f>
        <v>Номер объекта пробоотбора, i</v>
      </c>
      <c r="J29" s="213" t="str">
        <f>C6</f>
        <v>Номер пробы, j</v>
      </c>
      <c r="K29" s="277" t="str">
        <f>D6</f>
        <v>Результат измерений, yijk</v>
      </c>
      <c r="L29" s="278"/>
      <c r="M29" s="214" t="s">
        <v>289</v>
      </c>
      <c r="N29" s="214" t="s">
        <v>290</v>
      </c>
      <c r="O29" s="214" t="s">
        <v>291</v>
      </c>
    </row>
    <row r="30" spans="2:15" x14ac:dyDescent="0.25">
      <c r="B30" s="5"/>
      <c r="C30" s="5"/>
      <c r="D30" s="5">
        <f>D7</f>
        <v>1</v>
      </c>
      <c r="E30" s="5">
        <f>E7</f>
        <v>2</v>
      </c>
      <c r="F30" s="5"/>
      <c r="G30" s="5"/>
      <c r="I30" s="5"/>
      <c r="J30" s="5"/>
      <c r="K30" s="5">
        <f>D7</f>
        <v>1</v>
      </c>
      <c r="L30" s="5">
        <f>E7</f>
        <v>2</v>
      </c>
      <c r="M30" s="5"/>
      <c r="N30" s="5"/>
      <c r="O30" s="5"/>
    </row>
    <row r="31" spans="2:15" x14ac:dyDescent="0.25">
      <c r="B31" s="5">
        <f>B8</f>
        <v>1</v>
      </c>
      <c r="C31" s="5">
        <f>C8</f>
        <v>1</v>
      </c>
      <c r="D31" s="5">
        <f t="shared" ref="D31:E42" si="0">IF(D8&lt;&gt;"",D8,"")</f>
        <v>50.1</v>
      </c>
      <c r="E31" s="5">
        <f t="shared" si="0"/>
        <v>52.8</v>
      </c>
      <c r="F31" s="5">
        <f t="shared" ref="F31:F46" si="1">IF(D31&lt;&gt;"",ABS(D31-E31),"")</f>
        <v>2.6999999999999957</v>
      </c>
      <c r="G31" s="5">
        <f t="shared" ref="G31:G42" si="2">IF(F31&lt;&gt;"",F31^2,"")</f>
        <v>7.2899999999999769</v>
      </c>
      <c r="I31" s="5">
        <f>B8</f>
        <v>1</v>
      </c>
      <c r="J31" s="5">
        <f>C8</f>
        <v>1</v>
      </c>
      <c r="K31" s="5">
        <f t="shared" ref="K31:K42" si="3">IF(D8&lt;&gt;"",D8,"")</f>
        <v>50.1</v>
      </c>
      <c r="L31" s="5">
        <f t="shared" ref="L31:L42" si="4">IF(E8&lt;&gt;"",E8,"")</f>
        <v>52.8</v>
      </c>
      <c r="M31" s="5">
        <f t="shared" ref="M31:M42" si="5">IF(K31&lt;&gt;"",AVERAGE(K31:L31),"")</f>
        <v>51.45</v>
      </c>
      <c r="N31" s="5">
        <f>IF(M31&lt;&gt;"",ABS(M31-M32),"")</f>
        <v>2.8500000000000085</v>
      </c>
      <c r="O31" s="5">
        <f>IF(N31&lt;&gt;"",N31^2,"")</f>
        <v>8.1225000000000485</v>
      </c>
    </row>
    <row r="32" spans="2:15" x14ac:dyDescent="0.25">
      <c r="B32" s="5"/>
      <c r="C32" s="5">
        <f t="shared" ref="C32:C46" si="6">C9</f>
        <v>2</v>
      </c>
      <c r="D32" s="5">
        <f t="shared" si="0"/>
        <v>49.9</v>
      </c>
      <c r="E32" s="5">
        <f t="shared" si="0"/>
        <v>47.3</v>
      </c>
      <c r="F32" s="5">
        <f t="shared" si="1"/>
        <v>2.6000000000000014</v>
      </c>
      <c r="G32" s="5">
        <f t="shared" si="2"/>
        <v>6.7600000000000078</v>
      </c>
      <c r="I32" s="5"/>
      <c r="J32" s="5">
        <f t="shared" ref="J32:J46" si="7">C9</f>
        <v>2</v>
      </c>
      <c r="K32" s="5">
        <f t="shared" si="3"/>
        <v>49.9</v>
      </c>
      <c r="L32" s="5">
        <f t="shared" si="4"/>
        <v>47.3</v>
      </c>
      <c r="M32" s="5">
        <f t="shared" si="5"/>
        <v>48.599999999999994</v>
      </c>
      <c r="N32" s="5"/>
      <c r="O32" s="5"/>
    </row>
    <row r="33" spans="2:15" x14ac:dyDescent="0.25">
      <c r="B33" s="5">
        <f>B10</f>
        <v>2</v>
      </c>
      <c r="C33" s="5">
        <f t="shared" si="6"/>
        <v>1</v>
      </c>
      <c r="D33" s="5">
        <f t="shared" si="0"/>
        <v>61.3</v>
      </c>
      <c r="E33" s="5">
        <f t="shared" si="0"/>
        <v>63.4</v>
      </c>
      <c r="F33" s="5">
        <f t="shared" si="1"/>
        <v>2.1000000000000014</v>
      </c>
      <c r="G33" s="5">
        <f t="shared" si="2"/>
        <v>4.4100000000000064</v>
      </c>
      <c r="I33" s="5">
        <f>B10</f>
        <v>2</v>
      </c>
      <c r="J33" s="5">
        <f t="shared" si="7"/>
        <v>1</v>
      </c>
      <c r="K33" s="5">
        <f t="shared" si="3"/>
        <v>61.3</v>
      </c>
      <c r="L33" s="5">
        <f t="shared" si="4"/>
        <v>63.4</v>
      </c>
      <c r="M33" s="5">
        <f t="shared" si="5"/>
        <v>62.349999999999994</v>
      </c>
      <c r="N33" s="5">
        <f>IF(M33&lt;&gt;"",ABS(M33-M34),"")</f>
        <v>2.4499999999999957</v>
      </c>
      <c r="O33" s="5">
        <f>IF(N33&lt;&gt;"",N33^2,"")</f>
        <v>6.0024999999999791</v>
      </c>
    </row>
    <row r="34" spans="2:15" x14ac:dyDescent="0.25">
      <c r="B34" s="5"/>
      <c r="C34" s="5">
        <f t="shared" si="6"/>
        <v>2</v>
      </c>
      <c r="D34" s="5">
        <f t="shared" si="0"/>
        <v>59.3</v>
      </c>
      <c r="E34" s="5">
        <f t="shared" si="0"/>
        <v>60.5</v>
      </c>
      <c r="F34" s="5">
        <f t="shared" si="1"/>
        <v>1.2000000000000028</v>
      </c>
      <c r="G34" s="5">
        <f t="shared" si="2"/>
        <v>1.4400000000000068</v>
      </c>
      <c r="I34" s="5"/>
      <c r="J34" s="5">
        <f t="shared" si="7"/>
        <v>2</v>
      </c>
      <c r="K34" s="5">
        <f t="shared" si="3"/>
        <v>59.3</v>
      </c>
      <c r="L34" s="5">
        <f t="shared" si="4"/>
        <v>60.5</v>
      </c>
      <c r="M34" s="5">
        <f t="shared" si="5"/>
        <v>59.9</v>
      </c>
      <c r="N34" s="5"/>
      <c r="O34" s="5"/>
    </row>
    <row r="35" spans="2:15" x14ac:dyDescent="0.25">
      <c r="B35" s="5">
        <f>B12</f>
        <v>3</v>
      </c>
      <c r="C35" s="5">
        <f t="shared" si="6"/>
        <v>1</v>
      </c>
      <c r="D35" s="5">
        <f t="shared" si="0"/>
        <v>48.8</v>
      </c>
      <c r="E35" s="5">
        <f t="shared" si="0"/>
        <v>48.2</v>
      </c>
      <c r="F35" s="5">
        <f t="shared" si="1"/>
        <v>0.59999999999999432</v>
      </c>
      <c r="G35" s="5">
        <f t="shared" si="2"/>
        <v>0.35999999999999316</v>
      </c>
      <c r="I35" s="5">
        <f>B12</f>
        <v>3</v>
      </c>
      <c r="J35" s="5">
        <f t="shared" si="7"/>
        <v>1</v>
      </c>
      <c r="K35" s="5">
        <f t="shared" si="3"/>
        <v>48.8</v>
      </c>
      <c r="L35" s="5">
        <f t="shared" si="4"/>
        <v>48.2</v>
      </c>
      <c r="M35" s="5">
        <f t="shared" si="5"/>
        <v>48.5</v>
      </c>
      <c r="N35" s="5">
        <f>IF(M35&lt;&gt;"",ABS(M35-M36),"")</f>
        <v>0.39999999999999858</v>
      </c>
      <c r="O35" s="5">
        <f>IF(N35&lt;&gt;"",N35^2,"")</f>
        <v>0.15999999999999887</v>
      </c>
    </row>
    <row r="36" spans="2:15" x14ac:dyDescent="0.25">
      <c r="B36" s="5"/>
      <c r="C36" s="5">
        <f t="shared" si="6"/>
        <v>2</v>
      </c>
      <c r="D36" s="5">
        <f t="shared" si="0"/>
        <v>48.3</v>
      </c>
      <c r="E36" s="5">
        <f t="shared" si="0"/>
        <v>49.5</v>
      </c>
      <c r="F36" s="5">
        <f t="shared" si="1"/>
        <v>1.2000000000000028</v>
      </c>
      <c r="G36" s="5">
        <f t="shared" si="2"/>
        <v>1.4400000000000068</v>
      </c>
      <c r="I36" s="5"/>
      <c r="J36" s="5">
        <f t="shared" si="7"/>
        <v>2</v>
      </c>
      <c r="K36" s="5">
        <f t="shared" si="3"/>
        <v>48.3</v>
      </c>
      <c r="L36" s="5">
        <f t="shared" si="4"/>
        <v>49.5</v>
      </c>
      <c r="M36" s="5">
        <f t="shared" si="5"/>
        <v>48.9</v>
      </c>
      <c r="N36" s="5"/>
      <c r="O36" s="5"/>
    </row>
    <row r="37" spans="2:15" x14ac:dyDescent="0.25">
      <c r="B37" s="5">
        <f>B14</f>
        <v>4</v>
      </c>
      <c r="C37" s="5">
        <f t="shared" si="6"/>
        <v>1</v>
      </c>
      <c r="D37" s="5">
        <f t="shared" si="0"/>
        <v>55.8</v>
      </c>
      <c r="E37" s="5">
        <f t="shared" si="0"/>
        <v>57.2</v>
      </c>
      <c r="F37" s="5">
        <f t="shared" si="1"/>
        <v>1.4000000000000057</v>
      </c>
      <c r="G37" s="5">
        <f t="shared" si="2"/>
        <v>1.960000000000016</v>
      </c>
      <c r="I37" s="5">
        <f>B14</f>
        <v>4</v>
      </c>
      <c r="J37" s="5">
        <f t="shared" si="7"/>
        <v>1</v>
      </c>
      <c r="K37" s="5">
        <f t="shared" si="3"/>
        <v>55.8</v>
      </c>
      <c r="L37" s="5">
        <f t="shared" si="4"/>
        <v>57.2</v>
      </c>
      <c r="M37" s="5">
        <f t="shared" si="5"/>
        <v>56.5</v>
      </c>
      <c r="N37" s="5">
        <f>IF(M37&lt;&gt;"",ABS(M37-M38),"")</f>
        <v>1.8499999999999943</v>
      </c>
      <c r="O37" s="5">
        <f>IF(N37&lt;&gt;"",N37^2,"")</f>
        <v>3.422499999999979</v>
      </c>
    </row>
    <row r="38" spans="2:15" x14ac:dyDescent="0.25">
      <c r="B38" s="5"/>
      <c r="C38" s="5">
        <f t="shared" si="6"/>
        <v>2</v>
      </c>
      <c r="D38" s="5">
        <f t="shared" si="0"/>
        <v>58.3</v>
      </c>
      <c r="E38" s="5">
        <f t="shared" si="0"/>
        <v>58.4</v>
      </c>
      <c r="F38" s="5">
        <f t="shared" si="1"/>
        <v>0.10000000000000142</v>
      </c>
      <c r="G38" s="5">
        <f t="shared" si="2"/>
        <v>1.0000000000000285E-2</v>
      </c>
      <c r="I38" s="5"/>
      <c r="J38" s="5">
        <f t="shared" si="7"/>
        <v>2</v>
      </c>
      <c r="K38" s="5">
        <f t="shared" si="3"/>
        <v>58.3</v>
      </c>
      <c r="L38" s="5">
        <f t="shared" si="4"/>
        <v>58.4</v>
      </c>
      <c r="M38" s="5">
        <f t="shared" si="5"/>
        <v>58.349999999999994</v>
      </c>
      <c r="N38" s="5"/>
      <c r="O38" s="5"/>
    </row>
    <row r="39" spans="2:15" x14ac:dyDescent="0.25">
      <c r="B39" s="5">
        <f>B16</f>
        <v>5</v>
      </c>
      <c r="C39" s="5">
        <f t="shared" si="6"/>
        <v>1</v>
      </c>
      <c r="D39" s="5">
        <f t="shared" si="0"/>
        <v>53.3</v>
      </c>
      <c r="E39" s="5">
        <f t="shared" si="0"/>
        <v>55.6</v>
      </c>
      <c r="F39" s="5">
        <f t="shared" si="1"/>
        <v>2.3000000000000043</v>
      </c>
      <c r="G39" s="5">
        <f t="shared" si="2"/>
        <v>5.2900000000000196</v>
      </c>
      <c r="I39" s="5">
        <f>B16</f>
        <v>5</v>
      </c>
      <c r="J39" s="5">
        <f t="shared" si="7"/>
        <v>1</v>
      </c>
      <c r="K39" s="5">
        <f t="shared" si="3"/>
        <v>53.3</v>
      </c>
      <c r="L39" s="5">
        <f t="shared" si="4"/>
        <v>55.6</v>
      </c>
      <c r="M39" s="5">
        <f t="shared" si="5"/>
        <v>54.45</v>
      </c>
      <c r="N39" s="5">
        <f>IF(M39&lt;&gt;"",ABS(M39-M40),"")</f>
        <v>3.2999999999999972</v>
      </c>
      <c r="O39" s="5">
        <f>IF(N39&lt;&gt;"",N39^2,"")</f>
        <v>10.889999999999981</v>
      </c>
    </row>
    <row r="40" spans="2:15" x14ac:dyDescent="0.25">
      <c r="B40" s="5"/>
      <c r="C40" s="5">
        <f t="shared" si="6"/>
        <v>2</v>
      </c>
      <c r="D40" s="5">
        <f t="shared" si="0"/>
        <v>58.8</v>
      </c>
      <c r="E40" s="5">
        <f t="shared" si="0"/>
        <v>56.7</v>
      </c>
      <c r="F40" s="5">
        <f t="shared" si="1"/>
        <v>2.0999999999999943</v>
      </c>
      <c r="G40" s="5">
        <f t="shared" si="2"/>
        <v>4.4099999999999762</v>
      </c>
      <c r="I40" s="5"/>
      <c r="J40" s="5">
        <f t="shared" si="7"/>
        <v>2</v>
      </c>
      <c r="K40" s="5">
        <f t="shared" si="3"/>
        <v>58.8</v>
      </c>
      <c r="L40" s="5">
        <f t="shared" si="4"/>
        <v>56.7</v>
      </c>
      <c r="M40" s="5">
        <f t="shared" si="5"/>
        <v>57.75</v>
      </c>
      <c r="N40" s="5"/>
      <c r="O40" s="5"/>
    </row>
    <row r="41" spans="2:15" x14ac:dyDescent="0.25">
      <c r="B41" s="5">
        <f>B18</f>
        <v>6</v>
      </c>
      <c r="C41" s="5">
        <f t="shared" si="6"/>
        <v>1</v>
      </c>
      <c r="D41" s="5">
        <f t="shared" si="0"/>
        <v>68.900000000000006</v>
      </c>
      <c r="E41" s="5">
        <f t="shared" si="0"/>
        <v>72.2</v>
      </c>
      <c r="F41" s="5">
        <f t="shared" si="1"/>
        <v>3.2999999999999972</v>
      </c>
      <c r="G41" s="5">
        <f t="shared" si="2"/>
        <v>10.889999999999981</v>
      </c>
      <c r="I41" s="5">
        <f>B18</f>
        <v>6</v>
      </c>
      <c r="J41" s="5">
        <f t="shared" si="7"/>
        <v>1</v>
      </c>
      <c r="K41" s="5">
        <f t="shared" si="3"/>
        <v>68.900000000000006</v>
      </c>
      <c r="L41" s="5">
        <f t="shared" si="4"/>
        <v>72.2</v>
      </c>
      <c r="M41" s="5">
        <f t="shared" si="5"/>
        <v>70.550000000000011</v>
      </c>
      <c r="N41" s="5">
        <f>IF(M41&lt;&gt;"",ABS(M41-M42),"")</f>
        <v>4.1500000000000057</v>
      </c>
      <c r="O41" s="5">
        <f>IF(N41&lt;&gt;"",N41^2,"")</f>
        <v>17.222500000000046</v>
      </c>
    </row>
    <row r="42" spans="2:15" x14ac:dyDescent="0.25">
      <c r="B42" s="5"/>
      <c r="C42" s="5">
        <f t="shared" si="6"/>
        <v>2</v>
      </c>
      <c r="D42" s="5">
        <f t="shared" si="0"/>
        <v>67.3</v>
      </c>
      <c r="E42" s="5">
        <f t="shared" si="0"/>
        <v>65.5</v>
      </c>
      <c r="F42" s="5">
        <f t="shared" si="1"/>
        <v>1.7999999999999972</v>
      </c>
      <c r="G42" s="5">
        <f t="shared" si="2"/>
        <v>3.2399999999999896</v>
      </c>
      <c r="I42" s="5"/>
      <c r="J42" s="5">
        <f t="shared" si="7"/>
        <v>2</v>
      </c>
      <c r="K42" s="5">
        <f t="shared" si="3"/>
        <v>67.3</v>
      </c>
      <c r="L42" s="5">
        <f t="shared" si="4"/>
        <v>65.5</v>
      </c>
      <c r="M42" s="5">
        <f t="shared" si="5"/>
        <v>66.400000000000006</v>
      </c>
      <c r="N42" s="5"/>
      <c r="O42" s="5"/>
    </row>
    <row r="43" spans="2:15" x14ac:dyDescent="0.25">
      <c r="B43" s="5">
        <f>B20</f>
        <v>7</v>
      </c>
      <c r="C43" s="5">
        <f t="shared" si="6"/>
        <v>1</v>
      </c>
      <c r="D43" s="5">
        <f>IF(D20&lt;&gt;"",D20,"")</f>
        <v>64.5</v>
      </c>
      <c r="E43" s="5">
        <f>IF(E20&lt;&gt;"",E20,"")</f>
        <v>67.2</v>
      </c>
      <c r="F43" s="5">
        <f>IF(D43&lt;&gt;"",ABS(D43-E43),"")</f>
        <v>2.7000000000000028</v>
      </c>
      <c r="G43" s="5">
        <f>IF(F43&lt;&gt;"",F43^2,"")</f>
        <v>7.2900000000000151</v>
      </c>
      <c r="I43" s="5">
        <f>B20</f>
        <v>7</v>
      </c>
      <c r="J43" s="5">
        <f t="shared" si="7"/>
        <v>1</v>
      </c>
      <c r="K43" s="5">
        <f>IF(D20&lt;&gt;"",D20,"")</f>
        <v>64.5</v>
      </c>
      <c r="L43" s="5">
        <f>IF(E20&lt;&gt;"",E20,"")</f>
        <v>67.2</v>
      </c>
      <c r="M43" s="5">
        <f>IF(K43&lt;&gt;"",AVERAGE(K43:L43),"")</f>
        <v>65.849999999999994</v>
      </c>
      <c r="N43" s="5">
        <f>IF(M43&lt;&gt;"",ABS(M43-M44),"")</f>
        <v>3.9999999999999929</v>
      </c>
      <c r="O43" s="5">
        <f>IF(N43&lt;&gt;"",N43^2,"")</f>
        <v>15.999999999999943</v>
      </c>
    </row>
    <row r="44" spans="2:15" x14ac:dyDescent="0.25">
      <c r="B44" s="5"/>
      <c r="C44" s="5">
        <f t="shared" si="6"/>
        <v>2</v>
      </c>
      <c r="D44" s="5">
        <f t="shared" ref="D44:E46" si="8">IF(D21&lt;&gt;"",D21,"")</f>
        <v>60.5</v>
      </c>
      <c r="E44" s="5">
        <f t="shared" si="8"/>
        <v>63.2</v>
      </c>
      <c r="F44" s="5">
        <f t="shared" si="1"/>
        <v>2.7000000000000028</v>
      </c>
      <c r="G44" s="5">
        <f t="shared" ref="G44:G46" si="9">IF(F44&lt;&gt;"",F44^2,"")</f>
        <v>7.2900000000000151</v>
      </c>
      <c r="I44" s="5"/>
      <c r="J44" s="5">
        <f t="shared" si="7"/>
        <v>2</v>
      </c>
      <c r="K44" s="5">
        <f t="shared" ref="K44:K46" si="10">IF(D21&lt;&gt;"",D21,"")</f>
        <v>60.5</v>
      </c>
      <c r="L44" s="5">
        <f t="shared" ref="L44:L46" si="11">IF(E21&lt;&gt;"",E21,"")</f>
        <v>63.2</v>
      </c>
      <c r="M44" s="5">
        <f t="shared" ref="M44:M46" si="12">IF(K44&lt;&gt;"",AVERAGE(K44:L44),"")</f>
        <v>61.85</v>
      </c>
      <c r="N44" s="5"/>
      <c r="O44" s="5"/>
    </row>
    <row r="45" spans="2:15" x14ac:dyDescent="0.25">
      <c r="B45" s="5">
        <f>B22</f>
        <v>8</v>
      </c>
      <c r="C45" s="5">
        <f t="shared" si="6"/>
        <v>1</v>
      </c>
      <c r="D45" s="5">
        <f t="shared" si="8"/>
        <v>48.8</v>
      </c>
      <c r="E45" s="5">
        <f t="shared" si="8"/>
        <v>50.2</v>
      </c>
      <c r="F45" s="5">
        <f t="shared" si="1"/>
        <v>1.4000000000000057</v>
      </c>
      <c r="G45" s="5">
        <f t="shared" si="9"/>
        <v>1.960000000000016</v>
      </c>
      <c r="I45" s="5">
        <f>B22</f>
        <v>8</v>
      </c>
      <c r="J45" s="5">
        <f t="shared" si="7"/>
        <v>1</v>
      </c>
      <c r="K45" s="5">
        <f t="shared" si="10"/>
        <v>48.8</v>
      </c>
      <c r="L45" s="5">
        <f t="shared" si="11"/>
        <v>50.2</v>
      </c>
      <c r="M45" s="5">
        <f t="shared" si="12"/>
        <v>49.5</v>
      </c>
      <c r="N45" s="5">
        <f>IF(M45&lt;&gt;"",ABS(M45-M46),"")</f>
        <v>2.2000000000000028</v>
      </c>
      <c r="O45" s="5">
        <f>IF(N45&lt;&gt;"",N45^2,"")</f>
        <v>4.8400000000000123</v>
      </c>
    </row>
    <row r="46" spans="2:15" x14ac:dyDescent="0.25">
      <c r="B46" s="5"/>
      <c r="C46" s="5">
        <f t="shared" si="6"/>
        <v>2</v>
      </c>
      <c r="D46" s="5">
        <f t="shared" si="8"/>
        <v>51.1</v>
      </c>
      <c r="E46" s="5">
        <f t="shared" si="8"/>
        <v>52.3</v>
      </c>
      <c r="F46" s="5">
        <f t="shared" si="1"/>
        <v>1.1999999999999957</v>
      </c>
      <c r="G46" s="5">
        <f t="shared" si="9"/>
        <v>1.4399999999999897</v>
      </c>
      <c r="I46" s="5"/>
      <c r="J46" s="5">
        <f t="shared" si="7"/>
        <v>2</v>
      </c>
      <c r="K46" s="5">
        <f t="shared" si="10"/>
        <v>51.1</v>
      </c>
      <c r="L46" s="5">
        <f t="shared" si="11"/>
        <v>52.3</v>
      </c>
      <c r="M46" s="5">
        <f t="shared" si="12"/>
        <v>51.7</v>
      </c>
      <c r="N46" s="5"/>
      <c r="O46" s="5"/>
    </row>
    <row r="47" spans="2:15" ht="8.25" customHeight="1" x14ac:dyDescent="0.25"/>
    <row r="48" spans="2:15" x14ac:dyDescent="0.25">
      <c r="F48" s="211" t="s">
        <v>271</v>
      </c>
      <c r="G48" s="2">
        <f>SUM(G31:G46)/2</f>
        <v>32.74</v>
      </c>
      <c r="N48" s="211" t="s">
        <v>272</v>
      </c>
      <c r="O48" s="2">
        <f>SUM(O31:O46)</f>
        <v>66.66</v>
      </c>
    </row>
    <row r="49" spans="2:17" x14ac:dyDescent="0.25">
      <c r="F49" s="211" t="s">
        <v>270</v>
      </c>
      <c r="G49" s="2">
        <f>G48/(2*E5)</f>
        <v>2.0462500000000001</v>
      </c>
      <c r="N49" s="211" t="s">
        <v>273</v>
      </c>
      <c r="O49" s="2">
        <f>O48/E5</f>
        <v>8.3324999999999996</v>
      </c>
    </row>
    <row r="50" spans="2:17" x14ac:dyDescent="0.25">
      <c r="N50" s="2" t="s">
        <v>261</v>
      </c>
      <c r="O50" s="2">
        <f>(O49-G49)/2</f>
        <v>3.1431249999999995</v>
      </c>
    </row>
    <row r="52" spans="2:17" x14ac:dyDescent="0.25">
      <c r="B52" s="2" t="s">
        <v>267</v>
      </c>
      <c r="J52" s="49" t="s">
        <v>277</v>
      </c>
    </row>
    <row r="53" spans="2:17" ht="15.75" thickBot="1" x14ac:dyDescent="0.3"/>
    <row r="54" spans="2:17" ht="45" customHeight="1" x14ac:dyDescent="0.25">
      <c r="B54" s="213" t="str">
        <f>B6</f>
        <v>Номер объекта пробоотбора, i</v>
      </c>
      <c r="C54" s="213" t="str">
        <f>C6</f>
        <v>Номер пробы, j</v>
      </c>
      <c r="D54" s="277" t="str">
        <f>D6</f>
        <v>Результат измерений, yijk</v>
      </c>
      <c r="E54" s="278"/>
      <c r="F54" s="214" t="s">
        <v>289</v>
      </c>
      <c r="G54" s="214" t="s">
        <v>288</v>
      </c>
      <c r="H54" s="214" t="s">
        <v>287</v>
      </c>
      <c r="J54" s="275" t="s">
        <v>278</v>
      </c>
      <c r="K54" s="276"/>
      <c r="L54" s="257" t="s">
        <v>259</v>
      </c>
      <c r="M54" s="257"/>
      <c r="N54" s="279" t="s">
        <v>260</v>
      </c>
      <c r="O54" s="279"/>
      <c r="P54" s="257" t="s">
        <v>262</v>
      </c>
      <c r="Q54" s="258"/>
    </row>
    <row r="55" spans="2:17" x14ac:dyDescent="0.25">
      <c r="B55" s="5"/>
      <c r="C55" s="5"/>
      <c r="D55" s="5">
        <f>D7</f>
        <v>1</v>
      </c>
      <c r="E55" s="5">
        <f>E7</f>
        <v>2</v>
      </c>
      <c r="F55" s="5"/>
      <c r="G55" s="5"/>
      <c r="H55" s="5"/>
      <c r="J55" s="259">
        <f>H73</f>
        <v>57.037500000000009</v>
      </c>
      <c r="K55" s="260"/>
      <c r="L55" s="263">
        <f>G49</f>
        <v>2.0462500000000001</v>
      </c>
      <c r="M55" s="264"/>
      <c r="N55" s="267">
        <f>O50</f>
        <v>3.1431249999999995</v>
      </c>
      <c r="O55" s="268"/>
      <c r="P55" s="271">
        <f>H76</f>
        <v>48.644553571427529</v>
      </c>
      <c r="Q55" s="272"/>
    </row>
    <row r="56" spans="2:17" ht="15.75" thickBot="1" x14ac:dyDescent="0.3">
      <c r="B56" s="5">
        <f>B8</f>
        <v>1</v>
      </c>
      <c r="C56" s="5">
        <f>C8</f>
        <v>1</v>
      </c>
      <c r="D56" s="5">
        <f t="shared" ref="D56:E71" si="13">IF(D8&lt;&gt;"",D8,"")</f>
        <v>50.1</v>
      </c>
      <c r="E56" s="5">
        <f t="shared" si="13"/>
        <v>52.8</v>
      </c>
      <c r="F56" s="5">
        <f t="shared" ref="F56:F67" si="14">IF(D56&lt;&gt;"",AVERAGE(D56:E56),"")</f>
        <v>51.45</v>
      </c>
      <c r="G56" s="5">
        <f>IF(F56&lt;&gt;"",AVERAGE(F56:F57),"")</f>
        <v>50.024999999999999</v>
      </c>
      <c r="H56" s="5">
        <f>IF(G56&lt;&gt;"",G56^2,"")</f>
        <v>2502.5006249999997</v>
      </c>
      <c r="J56" s="261"/>
      <c r="K56" s="262"/>
      <c r="L56" s="265"/>
      <c r="M56" s="266"/>
      <c r="N56" s="269"/>
      <c r="O56" s="270"/>
      <c r="P56" s="273"/>
      <c r="Q56" s="274"/>
    </row>
    <row r="57" spans="2:17" ht="15.75" thickBot="1" x14ac:dyDescent="0.3">
      <c r="B57" s="5"/>
      <c r="C57" s="5">
        <f t="shared" ref="C57:C71" si="15">C9</f>
        <v>2</v>
      </c>
      <c r="D57" s="5">
        <f t="shared" si="13"/>
        <v>49.9</v>
      </c>
      <c r="E57" s="5">
        <f t="shared" si="13"/>
        <v>47.3</v>
      </c>
      <c r="F57" s="5">
        <f t="shared" si="14"/>
        <v>48.599999999999994</v>
      </c>
      <c r="G57" s="5"/>
      <c r="H57" s="5"/>
      <c r="L57" s="256"/>
      <c r="M57" s="256"/>
    </row>
    <row r="58" spans="2:17" x14ac:dyDescent="0.25">
      <c r="B58" s="5">
        <f>B10</f>
        <v>2</v>
      </c>
      <c r="C58" s="5">
        <f t="shared" si="15"/>
        <v>1</v>
      </c>
      <c r="D58" s="5">
        <f t="shared" si="13"/>
        <v>61.3</v>
      </c>
      <c r="E58" s="5">
        <f t="shared" si="13"/>
        <v>63.4</v>
      </c>
      <c r="F58" s="5">
        <f t="shared" si="14"/>
        <v>62.349999999999994</v>
      </c>
      <c r="G58" s="5">
        <f>IF(F58&lt;&gt;"",AVERAGE(F58:F59),"")</f>
        <v>61.125</v>
      </c>
      <c r="H58" s="5">
        <f>IF(G58&lt;&gt;"",G58^2,"")</f>
        <v>3736.265625</v>
      </c>
      <c r="J58" s="168" t="s">
        <v>285</v>
      </c>
      <c r="K58" s="165"/>
      <c r="L58" s="215">
        <f>SQRT(L55)</f>
        <v>1.4304719500919967</v>
      </c>
    </row>
    <row r="59" spans="2:17" x14ac:dyDescent="0.25">
      <c r="B59" s="5"/>
      <c r="C59" s="5">
        <f t="shared" si="15"/>
        <v>2</v>
      </c>
      <c r="D59" s="5">
        <f t="shared" si="13"/>
        <v>59.3</v>
      </c>
      <c r="E59" s="5">
        <f t="shared" si="13"/>
        <v>60.5</v>
      </c>
      <c r="F59" s="5">
        <f t="shared" si="14"/>
        <v>59.9</v>
      </c>
      <c r="G59" s="5"/>
      <c r="H59" s="5"/>
      <c r="J59" s="216" t="s">
        <v>283</v>
      </c>
      <c r="K59" s="2"/>
      <c r="L59" s="217">
        <f>100*L58/J55</f>
        <v>2.5079499453727747</v>
      </c>
    </row>
    <row r="60" spans="2:17" x14ac:dyDescent="0.25">
      <c r="B60" s="5">
        <f>B12</f>
        <v>3</v>
      </c>
      <c r="C60" s="5">
        <f t="shared" si="15"/>
        <v>1</v>
      </c>
      <c r="D60" s="5">
        <f t="shared" si="13"/>
        <v>48.8</v>
      </c>
      <c r="E60" s="5">
        <f t="shared" si="13"/>
        <v>48.2</v>
      </c>
      <c r="F60" s="5">
        <f t="shared" si="14"/>
        <v>48.5</v>
      </c>
      <c r="G60" s="5">
        <f>IF(F60&lt;&gt;"",AVERAGE(F60:F61),"")</f>
        <v>48.7</v>
      </c>
      <c r="H60" s="5">
        <f>IF(G60&lt;&gt;"",G60^2,"")</f>
        <v>2371.69</v>
      </c>
      <c r="J60" s="120"/>
      <c r="L60" s="121"/>
    </row>
    <row r="61" spans="2:17" x14ac:dyDescent="0.25">
      <c r="B61" s="5"/>
      <c r="C61" s="5">
        <f t="shared" si="15"/>
        <v>2</v>
      </c>
      <c r="D61" s="5">
        <f t="shared" si="13"/>
        <v>48.3</v>
      </c>
      <c r="E61" s="5">
        <f t="shared" si="13"/>
        <v>49.5</v>
      </c>
      <c r="F61" s="5">
        <f t="shared" si="14"/>
        <v>48.9</v>
      </c>
      <c r="G61" s="5"/>
      <c r="H61" s="5"/>
      <c r="J61" s="218" t="s">
        <v>282</v>
      </c>
      <c r="K61" s="49"/>
      <c r="L61" s="219">
        <f>SQRT(N55)</f>
        <v>1.7728860651491396</v>
      </c>
    </row>
    <row r="62" spans="2:17" x14ac:dyDescent="0.25">
      <c r="B62" s="5">
        <f>B14</f>
        <v>4</v>
      </c>
      <c r="C62" s="5">
        <f t="shared" si="15"/>
        <v>1</v>
      </c>
      <c r="D62" s="5">
        <f t="shared" si="13"/>
        <v>55.8</v>
      </c>
      <c r="E62" s="5">
        <f t="shared" si="13"/>
        <v>57.2</v>
      </c>
      <c r="F62" s="5">
        <f t="shared" si="14"/>
        <v>56.5</v>
      </c>
      <c r="G62" s="5">
        <f>IF(F62&lt;&gt;"",AVERAGE(F62:F63),"")</f>
        <v>57.424999999999997</v>
      </c>
      <c r="H62" s="5">
        <f>IF(G62&lt;&gt;"",G62^2,"")</f>
        <v>3297.6306249999998</v>
      </c>
      <c r="J62" s="218" t="s">
        <v>283</v>
      </c>
      <c r="K62" s="49"/>
      <c r="L62" s="219">
        <f>100*L61/J55</f>
        <v>3.1082815080414452</v>
      </c>
    </row>
    <row r="63" spans="2:17" x14ac:dyDescent="0.25">
      <c r="B63" s="5"/>
      <c r="C63" s="5">
        <f t="shared" si="15"/>
        <v>2</v>
      </c>
      <c r="D63" s="5">
        <f t="shared" si="13"/>
        <v>58.3</v>
      </c>
      <c r="E63" s="5">
        <f t="shared" si="13"/>
        <v>58.4</v>
      </c>
      <c r="F63" s="5">
        <f t="shared" si="14"/>
        <v>58.349999999999994</v>
      </c>
      <c r="G63" s="5"/>
      <c r="H63" s="5"/>
      <c r="J63" s="120"/>
      <c r="L63" s="121"/>
    </row>
    <row r="64" spans="2:17" x14ac:dyDescent="0.25">
      <c r="B64" s="5">
        <f>B16</f>
        <v>5</v>
      </c>
      <c r="C64" s="5">
        <f t="shared" si="15"/>
        <v>1</v>
      </c>
      <c r="D64" s="5">
        <f t="shared" si="13"/>
        <v>53.3</v>
      </c>
      <c r="E64" s="5">
        <f t="shared" si="13"/>
        <v>55.6</v>
      </c>
      <c r="F64" s="5">
        <f t="shared" si="14"/>
        <v>54.45</v>
      </c>
      <c r="G64" s="5">
        <f>IF(F64&lt;&gt;"",AVERAGE(F64:F65),"")</f>
        <v>56.1</v>
      </c>
      <c r="H64" s="5">
        <f>IF(G64&lt;&gt;"",G64^2,"")</f>
        <v>3147.21</v>
      </c>
      <c r="J64" s="216" t="s">
        <v>284</v>
      </c>
      <c r="K64" s="2"/>
      <c r="L64" s="217">
        <f>SQRT(L55+N55)</f>
        <v>2.2780199735735418</v>
      </c>
    </row>
    <row r="65" spans="2:12" x14ac:dyDescent="0.25">
      <c r="B65" s="5"/>
      <c r="C65" s="5">
        <f t="shared" si="15"/>
        <v>2</v>
      </c>
      <c r="D65" s="5">
        <f t="shared" si="13"/>
        <v>58.8</v>
      </c>
      <c r="E65" s="5">
        <f t="shared" si="13"/>
        <v>56.7</v>
      </c>
      <c r="F65" s="5">
        <f t="shared" si="14"/>
        <v>57.75</v>
      </c>
      <c r="G65" s="5"/>
      <c r="H65" s="5"/>
      <c r="J65" s="216" t="s">
        <v>283</v>
      </c>
      <c r="K65" s="2"/>
      <c r="L65" s="217">
        <f>100*L64/J55</f>
        <v>3.9938987044901011</v>
      </c>
    </row>
    <row r="66" spans="2:12" x14ac:dyDescent="0.25">
      <c r="B66" s="5">
        <f>B18</f>
        <v>6</v>
      </c>
      <c r="C66" s="5">
        <f t="shared" si="15"/>
        <v>1</v>
      </c>
      <c r="D66" s="5">
        <f t="shared" si="13"/>
        <v>68.900000000000006</v>
      </c>
      <c r="E66" s="5">
        <f t="shared" si="13"/>
        <v>72.2</v>
      </c>
      <c r="F66" s="5">
        <f t="shared" si="14"/>
        <v>70.550000000000011</v>
      </c>
      <c r="G66" s="5">
        <f>IF(F66&lt;&gt;"",AVERAGE(F66:F67),"")</f>
        <v>68.475000000000009</v>
      </c>
      <c r="H66" s="5">
        <f>IF(G66&lt;&gt;"",G66^2,"")</f>
        <v>4688.8256250000013</v>
      </c>
      <c r="J66" s="120"/>
      <c r="L66" s="121"/>
    </row>
    <row r="67" spans="2:12" x14ac:dyDescent="0.25">
      <c r="B67" s="5"/>
      <c r="C67" s="5">
        <f t="shared" si="15"/>
        <v>2</v>
      </c>
      <c r="D67" s="5">
        <f t="shared" si="13"/>
        <v>67.3</v>
      </c>
      <c r="E67" s="5">
        <f t="shared" si="13"/>
        <v>65.5</v>
      </c>
      <c r="F67" s="5">
        <f t="shared" si="14"/>
        <v>66.400000000000006</v>
      </c>
      <c r="G67" s="5"/>
      <c r="H67" s="5"/>
      <c r="J67" s="216" t="s">
        <v>292</v>
      </c>
      <c r="K67" s="2"/>
      <c r="L67" s="217">
        <f>SQRT(P55)</f>
        <v>6.9745647585657649</v>
      </c>
    </row>
    <row r="68" spans="2:12" ht="15.75" thickBot="1" x14ac:dyDescent="0.3">
      <c r="B68" s="5">
        <f>B20</f>
        <v>7</v>
      </c>
      <c r="C68" s="5">
        <f t="shared" si="15"/>
        <v>1</v>
      </c>
      <c r="D68" s="5">
        <f>IF(D20&lt;&gt;"",D20,"")</f>
        <v>64.5</v>
      </c>
      <c r="E68" s="5">
        <f>IF(E20&lt;&gt;"",E20,"")</f>
        <v>67.2</v>
      </c>
      <c r="F68" s="5">
        <f>IF(D68&lt;&gt;"",AVERAGE(D68:E68),"")</f>
        <v>65.849999999999994</v>
      </c>
      <c r="G68" s="5">
        <f>IF(F68&lt;&gt;"",AVERAGE(F68:F69),"")</f>
        <v>63.849999999999994</v>
      </c>
      <c r="H68" s="5">
        <f>IF(G68&lt;&gt;"",G68^2,"")</f>
        <v>4076.8224999999993</v>
      </c>
      <c r="J68" s="220" t="s">
        <v>283</v>
      </c>
      <c r="K68" s="221"/>
      <c r="L68" s="222">
        <f>100*L67/J55</f>
        <v>12.228033764743833</v>
      </c>
    </row>
    <row r="69" spans="2:12" x14ac:dyDescent="0.25">
      <c r="B69" s="5"/>
      <c r="C69" s="5">
        <f t="shared" si="15"/>
        <v>2</v>
      </c>
      <c r="D69" s="5">
        <f t="shared" si="13"/>
        <v>60.5</v>
      </c>
      <c r="E69" s="5">
        <f t="shared" ref="E69" si="16">IF(E21&lt;&gt;"",E21,"")</f>
        <v>63.2</v>
      </c>
      <c r="F69" s="5">
        <f t="shared" ref="F69:F71" si="17">IF(D69&lt;&gt;"",AVERAGE(D69:E69),"")</f>
        <v>61.85</v>
      </c>
      <c r="G69" s="5"/>
      <c r="H69" s="5"/>
    </row>
    <row r="70" spans="2:12" x14ac:dyDescent="0.25">
      <c r="B70" s="5">
        <f>B22</f>
        <v>8</v>
      </c>
      <c r="C70" s="5">
        <f t="shared" si="15"/>
        <v>1</v>
      </c>
      <c r="D70" s="5">
        <f t="shared" si="13"/>
        <v>48.8</v>
      </c>
      <c r="E70" s="5">
        <f t="shared" ref="E70" si="18">IF(E22&lt;&gt;"",E22,"")</f>
        <v>50.2</v>
      </c>
      <c r="F70" s="5">
        <f t="shared" si="17"/>
        <v>49.5</v>
      </c>
      <c r="G70" s="5">
        <f>IF(F70&lt;&gt;"",AVERAGE(F70:F71),"")</f>
        <v>50.6</v>
      </c>
      <c r="H70" s="5">
        <f>IF(G70&lt;&gt;"",G70^2,"")</f>
        <v>2560.36</v>
      </c>
    </row>
    <row r="71" spans="2:12" x14ac:dyDescent="0.25">
      <c r="B71" s="5"/>
      <c r="C71" s="5">
        <f t="shared" si="15"/>
        <v>2</v>
      </c>
      <c r="D71" s="5">
        <f t="shared" si="13"/>
        <v>51.1</v>
      </c>
      <c r="E71" s="5">
        <f t="shared" ref="E71" si="19">IF(E23&lt;&gt;"",E23,"")</f>
        <v>52.3</v>
      </c>
      <c r="F71" s="5">
        <f t="shared" si="17"/>
        <v>51.7</v>
      </c>
      <c r="G71" s="5"/>
      <c r="H71" s="5"/>
    </row>
    <row r="72" spans="2:12" ht="15.75" customHeight="1" x14ac:dyDescent="0.25"/>
    <row r="73" spans="2:12" x14ac:dyDescent="0.25">
      <c r="G73" s="211" t="s">
        <v>276</v>
      </c>
      <c r="H73" s="2">
        <f>AVERAGE(G56:G71)</f>
        <v>57.037500000000009</v>
      </c>
    </row>
    <row r="74" spans="2:12" x14ac:dyDescent="0.25">
      <c r="G74" s="211" t="s">
        <v>274</v>
      </c>
      <c r="H74" s="2">
        <f>4*SUM(H56:H71)-4*E5*H73^2</f>
        <v>1420.3749999999709</v>
      </c>
    </row>
    <row r="75" spans="2:12" x14ac:dyDescent="0.25">
      <c r="G75" s="211" t="s">
        <v>275</v>
      </c>
      <c r="H75" s="2">
        <f>H74/(E5-1)</f>
        <v>202.91071428571013</v>
      </c>
    </row>
    <row r="76" spans="2:12" ht="17.25" x14ac:dyDescent="0.25">
      <c r="G76" s="2" t="s">
        <v>286</v>
      </c>
      <c r="H76" s="2">
        <f>(H75-O49)/4</f>
        <v>48.644553571427529</v>
      </c>
    </row>
  </sheetData>
  <mergeCells count="25">
    <mergeCell ref="K29:L29"/>
    <mergeCell ref="B16:B17"/>
    <mergeCell ref="B6:B7"/>
    <mergeCell ref="C6:C7"/>
    <mergeCell ref="D6:E6"/>
    <mergeCell ref="B8:B9"/>
    <mergeCell ref="B10:B11"/>
    <mergeCell ref="B12:B13"/>
    <mergeCell ref="B14:B15"/>
    <mergeCell ref="B1:C1"/>
    <mergeCell ref="D1:L1"/>
    <mergeCell ref="L57:M57"/>
    <mergeCell ref="P54:Q54"/>
    <mergeCell ref="J55:K56"/>
    <mergeCell ref="L55:M56"/>
    <mergeCell ref="N55:O56"/>
    <mergeCell ref="P55:Q56"/>
    <mergeCell ref="J54:K54"/>
    <mergeCell ref="D54:E54"/>
    <mergeCell ref="L54:M54"/>
    <mergeCell ref="N54:O54"/>
    <mergeCell ref="B18:B19"/>
    <mergeCell ref="B20:B21"/>
    <mergeCell ref="B22:B23"/>
    <mergeCell ref="D29:E29"/>
  </mergeCells>
  <dataValidations count="3">
    <dataValidation type="decimal" allowBlank="1" showInputMessage="1" showErrorMessage="1" sqref="U6:V13 D8:E23" xr:uid="{00000000-0002-0000-0400-000000000000}">
      <formula1>0</formula1>
      <formula2>1000000</formula2>
    </dataValidation>
    <dataValidation type="whole" allowBlank="1" showInputMessage="1" showErrorMessage="1" sqref="C8:C23" xr:uid="{00000000-0002-0000-0400-000001000000}">
      <formula1>1</formula1>
      <formula2>2</formula2>
    </dataValidation>
    <dataValidation type="whole" allowBlank="1" showInputMessage="1" showErrorMessage="1" sqref="B8:B23" xr:uid="{00000000-0002-0000-0400-000002000000}">
      <formula1>1</formula1>
      <formula2>8</formula2>
    </dataValidation>
  </dataValidations>
  <pageMargins left="0.7" right="0.7" top="0.75" bottom="0.75" header="0.3" footer="0.3"/>
  <pageSetup paperSize="9" scale="51" orientation="landscape" horizontalDpi="4294967293" verticalDpi="0" r:id="rId1"/>
  <rowBreaks count="1" manualBreakCount="1">
    <brk id="50" max="16383" man="1"/>
  </rowBreaks>
  <ignoredErrors>
    <ignoredError sqref="E5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0"/>
  <dimension ref="B1:Y49"/>
  <sheetViews>
    <sheetView zoomScaleNormal="100" workbookViewId="0">
      <selection activeCell="K14" sqref="K14"/>
    </sheetView>
  </sheetViews>
  <sheetFormatPr defaultRowHeight="15" x14ac:dyDescent="0.25"/>
  <cols>
    <col min="1" max="1" width="2.85546875" customWidth="1"/>
    <col min="2" max="2" width="11.85546875" customWidth="1"/>
    <col min="3" max="3" width="12.140625" customWidth="1"/>
    <col min="4" max="4" width="8" customWidth="1"/>
    <col min="5" max="5" width="8.7109375" customWidth="1"/>
    <col min="6" max="6" width="8" customWidth="1"/>
    <col min="7" max="7" width="16" customWidth="1"/>
    <col min="8" max="8" width="19" customWidth="1"/>
    <col min="9" max="9" width="14" customWidth="1"/>
    <col min="10" max="10" width="15.85546875" customWidth="1"/>
    <col min="11" max="11" width="16.85546875" customWidth="1"/>
    <col min="12" max="12" width="12.140625" customWidth="1"/>
    <col min="13" max="13" width="14" customWidth="1"/>
    <col min="14" max="14" width="6.85546875" customWidth="1"/>
    <col min="15" max="15" width="10.7109375" customWidth="1"/>
    <col min="20" max="20" width="12.42578125" customWidth="1"/>
  </cols>
  <sheetData>
    <row r="1" spans="2:23" ht="33" customHeight="1" thickBot="1" x14ac:dyDescent="0.3">
      <c r="B1" s="247" t="s">
        <v>295</v>
      </c>
      <c r="C1" s="247"/>
      <c r="D1" s="253" t="str">
        <f>Крагтен!C1</f>
        <v>ПНДФ 14.1:2.159-2000 Методика выполнения измерений массовой концентрации сульфат-ионов в пробах природных и сточных вод турбидиметрическим методом</v>
      </c>
      <c r="E1" s="254"/>
      <c r="F1" s="254"/>
      <c r="G1" s="254"/>
      <c r="H1" s="254"/>
      <c r="I1" s="254"/>
      <c r="J1" s="254"/>
      <c r="K1" s="254"/>
      <c r="L1" s="255"/>
    </row>
    <row r="2" spans="2:23" x14ac:dyDescent="0.25">
      <c r="B2" s="2" t="s">
        <v>293</v>
      </c>
    </row>
    <row r="3" spans="2:23" x14ac:dyDescent="0.25">
      <c r="B3" t="s">
        <v>22</v>
      </c>
      <c r="C3" s="148" t="s">
        <v>250</v>
      </c>
    </row>
    <row r="4" spans="2:23" ht="15.75" thickBot="1" x14ac:dyDescent="0.3"/>
    <row r="5" spans="2:23" s="21" customFormat="1" ht="33.75" customHeight="1" thickBot="1" x14ac:dyDescent="0.3">
      <c r="B5" s="174" t="s">
        <v>28</v>
      </c>
      <c r="C5" s="175"/>
      <c r="D5" s="204"/>
      <c r="E5" s="204"/>
      <c r="F5" s="204"/>
      <c r="G5" s="176"/>
      <c r="H5" s="176"/>
      <c r="I5" s="176"/>
      <c r="J5" s="176"/>
      <c r="K5" s="176"/>
      <c r="L5" s="176"/>
      <c r="M5" s="176"/>
      <c r="N5" s="287"/>
      <c r="O5" s="288"/>
    </row>
    <row r="6" spans="2:23" s="21" customFormat="1" ht="15" customHeight="1" thickBot="1" x14ac:dyDescent="0.3">
      <c r="B6" s="181"/>
      <c r="C6" s="182" t="str">
        <f>$C$3</f>
        <v>мг/дм3</v>
      </c>
      <c r="D6" s="182" t="str">
        <f t="shared" ref="D6:H6" si="0">$C$3</f>
        <v>мг/дм3</v>
      </c>
      <c r="E6" s="182" t="str">
        <f t="shared" si="0"/>
        <v>мг/дм3</v>
      </c>
      <c r="F6" s="182" t="str">
        <f t="shared" si="0"/>
        <v>мг/дм3</v>
      </c>
      <c r="G6" s="182" t="str">
        <f t="shared" si="0"/>
        <v>мг/дм3</v>
      </c>
      <c r="H6" s="182" t="str">
        <f t="shared" si="0"/>
        <v>мг/дм3</v>
      </c>
      <c r="I6" s="183" t="s">
        <v>249</v>
      </c>
      <c r="J6" s="184" t="str">
        <f>$C$3</f>
        <v>мг/дм3</v>
      </c>
      <c r="K6" s="184" t="str">
        <f>$C$3</f>
        <v>мг/дм3</v>
      </c>
      <c r="L6" s="183" t="s">
        <v>249</v>
      </c>
      <c r="M6" s="184" t="str">
        <f>$C$3</f>
        <v>мг/дм3</v>
      </c>
      <c r="N6" s="184"/>
      <c r="O6" s="185" t="s">
        <v>249</v>
      </c>
    </row>
    <row r="7" spans="2:23" ht="15.75" thickBot="1" x14ac:dyDescent="0.3">
      <c r="B7" s="186">
        <v>1</v>
      </c>
      <c r="C7" s="239">
        <v>50.1</v>
      </c>
      <c r="D7" s="239">
        <v>52.8</v>
      </c>
      <c r="E7" s="239">
        <v>49.9</v>
      </c>
      <c r="F7" s="239">
        <v>47.3</v>
      </c>
      <c r="G7" s="208">
        <f t="shared" ref="G7:G22" si="1">IF(AND(C7&lt;&gt;"",D7&lt;&gt;""),ABS(C7-D7),"")</f>
        <v>2.6999999999999957</v>
      </c>
      <c r="H7" s="208">
        <f t="shared" ref="H7:H22" si="2">IF(AND(C7&lt;&gt;"",D7&lt;&gt;""),(C7+D7)/2,"")</f>
        <v>51.45</v>
      </c>
      <c r="I7" s="179">
        <f>IF(AND(G7&lt;&gt;"",H7&lt;&gt;""),100*G7/H7,"")</f>
        <v>5.2478134110787078</v>
      </c>
      <c r="J7" s="208">
        <f t="shared" ref="J7:J22" si="3">IF(AND(E7&lt;&gt;"",F7&lt;&gt;""),ABS(E7-F7),"")</f>
        <v>2.6000000000000014</v>
      </c>
      <c r="K7" s="208">
        <f t="shared" ref="K7:K22" si="4">IF(AND(E7&lt;&gt;"",F7&lt;&gt;""),(E7+F7)/2,"")</f>
        <v>48.599999999999994</v>
      </c>
      <c r="L7" s="179">
        <f>IF(AND(G7&lt;&gt;"",K7&lt;&gt;""),100*J7/K7,"")</f>
        <v>5.3497942386831303</v>
      </c>
      <c r="M7" s="208">
        <f>IF(AND(H7&lt;&gt;"",K7&lt;&gt;""),(H7+K7)/2,"")</f>
        <v>50.024999999999999</v>
      </c>
      <c r="N7" s="179"/>
      <c r="O7" s="180">
        <f t="shared" ref="O7:O22" si="5">IF(AND(H7&lt;&gt;"",K7&lt;&gt;""),100*ABS(H7-K7)/M7,"")</f>
        <v>5.6971514242878731</v>
      </c>
      <c r="T7" s="24"/>
      <c r="U7" s="24"/>
      <c r="V7" s="24"/>
      <c r="W7" s="24"/>
    </row>
    <row r="8" spans="2:23" x14ac:dyDescent="0.25">
      <c r="B8" s="187">
        <v>2</v>
      </c>
      <c r="C8" s="188">
        <v>61.3</v>
      </c>
      <c r="D8" s="188">
        <v>63.4</v>
      </c>
      <c r="E8" s="188">
        <v>59.3</v>
      </c>
      <c r="F8" s="188">
        <v>60.5</v>
      </c>
      <c r="G8" s="208">
        <f t="shared" si="1"/>
        <v>2.1000000000000014</v>
      </c>
      <c r="H8" s="209">
        <f t="shared" si="2"/>
        <v>62.349999999999994</v>
      </c>
      <c r="I8" s="155">
        <f t="shared" ref="I8:I22" si="6">IF(AND(G8&lt;&gt;"",H8&lt;&gt;""),100*G8/H8,"")</f>
        <v>3.3680834001603874</v>
      </c>
      <c r="J8" s="209">
        <f t="shared" si="3"/>
        <v>1.2000000000000028</v>
      </c>
      <c r="K8" s="209">
        <f t="shared" si="4"/>
        <v>59.9</v>
      </c>
      <c r="L8" s="155">
        <f t="shared" ref="L8:L22" si="7">IF(AND(G8&lt;&gt;"",K8&lt;&gt;""),100*J8/K8,"")</f>
        <v>2.0033388981636109</v>
      </c>
      <c r="M8" s="209">
        <f t="shared" ref="M8:M22" si="8">IF(AND(H8&lt;&gt;"",K8&lt;&gt;""),(H8+K8)/2,"")</f>
        <v>61.125</v>
      </c>
      <c r="N8" s="155"/>
      <c r="O8" s="178">
        <f t="shared" si="5"/>
        <v>4.0081799591001976</v>
      </c>
      <c r="T8" s="25"/>
      <c r="U8" s="25"/>
      <c r="V8" s="25"/>
      <c r="W8" s="25"/>
    </row>
    <row r="9" spans="2:23" x14ac:dyDescent="0.25">
      <c r="B9" s="187">
        <v>3</v>
      </c>
      <c r="C9" s="188">
        <v>48.8</v>
      </c>
      <c r="D9" s="188">
        <v>48.2</v>
      </c>
      <c r="E9" s="188">
        <v>48.3</v>
      </c>
      <c r="F9" s="188">
        <v>49.5</v>
      </c>
      <c r="G9" s="209">
        <f t="shared" si="1"/>
        <v>0.59999999999999432</v>
      </c>
      <c r="H9" s="209">
        <f t="shared" si="2"/>
        <v>48.5</v>
      </c>
      <c r="I9" s="155">
        <f t="shared" si="6"/>
        <v>1.2371134020618439</v>
      </c>
      <c r="J9" s="209">
        <f t="shared" si="3"/>
        <v>1.2000000000000028</v>
      </c>
      <c r="K9" s="209">
        <f t="shared" si="4"/>
        <v>48.9</v>
      </c>
      <c r="L9" s="155">
        <f t="shared" si="7"/>
        <v>2.4539877300613555</v>
      </c>
      <c r="M9" s="209">
        <f t="shared" si="8"/>
        <v>48.7</v>
      </c>
      <c r="N9" s="155"/>
      <c r="O9" s="178">
        <f t="shared" si="5"/>
        <v>0.82135523613962746</v>
      </c>
      <c r="T9" s="25"/>
      <c r="U9" s="25"/>
      <c r="V9" s="25"/>
      <c r="W9" s="25"/>
    </row>
    <row r="10" spans="2:23" x14ac:dyDescent="0.25">
      <c r="B10" s="187">
        <v>4</v>
      </c>
      <c r="C10" s="188">
        <v>55.8</v>
      </c>
      <c r="D10" s="188">
        <v>57.2</v>
      </c>
      <c r="E10" s="188">
        <v>58.3</v>
      </c>
      <c r="F10" s="188">
        <v>58.4</v>
      </c>
      <c r="G10" s="209">
        <f t="shared" si="1"/>
        <v>1.4000000000000057</v>
      </c>
      <c r="H10" s="209">
        <f t="shared" si="2"/>
        <v>56.5</v>
      </c>
      <c r="I10" s="155">
        <f t="shared" si="6"/>
        <v>2.4778761061947003</v>
      </c>
      <c r="J10" s="209">
        <f t="shared" si="3"/>
        <v>0.10000000000000142</v>
      </c>
      <c r="K10" s="209">
        <f t="shared" si="4"/>
        <v>58.349999999999994</v>
      </c>
      <c r="L10" s="155">
        <f t="shared" si="7"/>
        <v>0.17137960582690906</v>
      </c>
      <c r="M10" s="209">
        <f t="shared" si="8"/>
        <v>57.424999999999997</v>
      </c>
      <c r="N10" s="155"/>
      <c r="O10" s="178">
        <f t="shared" si="5"/>
        <v>3.2215933826730421</v>
      </c>
      <c r="T10" s="25"/>
      <c r="U10" s="25"/>
      <c r="V10" s="25"/>
      <c r="W10" s="25"/>
    </row>
    <row r="11" spans="2:23" x14ac:dyDescent="0.25">
      <c r="B11" s="187">
        <v>5</v>
      </c>
      <c r="C11" s="188">
        <v>53.3</v>
      </c>
      <c r="D11" s="188">
        <v>55.6</v>
      </c>
      <c r="E11" s="188">
        <v>58.8</v>
      </c>
      <c r="F11" s="188">
        <v>56.7</v>
      </c>
      <c r="G11" s="209">
        <f t="shared" si="1"/>
        <v>2.3000000000000043</v>
      </c>
      <c r="H11" s="209">
        <f t="shared" si="2"/>
        <v>54.45</v>
      </c>
      <c r="I11" s="155">
        <f t="shared" si="6"/>
        <v>4.2240587695133227</v>
      </c>
      <c r="J11" s="209">
        <f t="shared" si="3"/>
        <v>2.0999999999999943</v>
      </c>
      <c r="K11" s="209">
        <f t="shared" si="4"/>
        <v>57.75</v>
      </c>
      <c r="L11" s="155">
        <f t="shared" si="7"/>
        <v>3.6363636363636265</v>
      </c>
      <c r="M11" s="209">
        <f t="shared" si="8"/>
        <v>56.1</v>
      </c>
      <c r="N11" s="155"/>
      <c r="O11" s="178">
        <f t="shared" si="5"/>
        <v>5.8823529411764657</v>
      </c>
      <c r="T11" s="25"/>
      <c r="U11" s="25"/>
      <c r="V11" s="25"/>
      <c r="W11" s="25"/>
    </row>
    <row r="12" spans="2:23" x14ac:dyDescent="0.25">
      <c r="B12" s="187">
        <v>6</v>
      </c>
      <c r="C12" s="188">
        <v>68.900000000000006</v>
      </c>
      <c r="D12" s="188">
        <v>72.2</v>
      </c>
      <c r="E12" s="188">
        <v>67.3</v>
      </c>
      <c r="F12" s="188">
        <v>65.5</v>
      </c>
      <c r="G12" s="209">
        <f t="shared" si="1"/>
        <v>3.2999999999999972</v>
      </c>
      <c r="H12" s="209">
        <f t="shared" si="2"/>
        <v>70.550000000000011</v>
      </c>
      <c r="I12" s="155">
        <f t="shared" si="6"/>
        <v>4.6775336640680321</v>
      </c>
      <c r="J12" s="209">
        <f t="shared" si="3"/>
        <v>1.7999999999999972</v>
      </c>
      <c r="K12" s="209">
        <f t="shared" si="4"/>
        <v>66.400000000000006</v>
      </c>
      <c r="L12" s="155">
        <f t="shared" si="7"/>
        <v>2.7108433734939714</v>
      </c>
      <c r="M12" s="209">
        <f t="shared" si="8"/>
        <v>68.475000000000009</v>
      </c>
      <c r="N12" s="155"/>
      <c r="O12" s="178">
        <f t="shared" si="5"/>
        <v>6.0606060606060685</v>
      </c>
      <c r="T12" s="25"/>
      <c r="U12" s="25"/>
      <c r="V12" s="25"/>
      <c r="W12" s="25"/>
    </row>
    <row r="13" spans="2:23" x14ac:dyDescent="0.25">
      <c r="B13" s="187">
        <v>7</v>
      </c>
      <c r="C13" s="188">
        <v>64.5</v>
      </c>
      <c r="D13" s="188">
        <v>67.2</v>
      </c>
      <c r="E13" s="188">
        <v>60.5</v>
      </c>
      <c r="F13" s="188">
        <v>63.2</v>
      </c>
      <c r="G13" s="209">
        <f t="shared" si="1"/>
        <v>2.7000000000000028</v>
      </c>
      <c r="H13" s="209">
        <f t="shared" si="2"/>
        <v>65.849999999999994</v>
      </c>
      <c r="I13" s="5">
        <f t="shared" si="6"/>
        <v>4.1002277904328066</v>
      </c>
      <c r="J13" s="209">
        <f t="shared" si="3"/>
        <v>2.7000000000000028</v>
      </c>
      <c r="K13" s="209">
        <f t="shared" si="4"/>
        <v>61.85</v>
      </c>
      <c r="L13" s="5">
        <f t="shared" si="7"/>
        <v>4.3654001616814924</v>
      </c>
      <c r="M13" s="209">
        <f t="shared" si="8"/>
        <v>63.849999999999994</v>
      </c>
      <c r="N13" s="5"/>
      <c r="O13" s="157">
        <f t="shared" si="5"/>
        <v>6.2646828504306864</v>
      </c>
    </row>
    <row r="14" spans="2:23" x14ac:dyDescent="0.25">
      <c r="B14" s="187">
        <v>8</v>
      </c>
      <c r="C14" s="188">
        <v>48.8</v>
      </c>
      <c r="D14" s="188">
        <v>50.2</v>
      </c>
      <c r="E14" s="188">
        <v>51.1</v>
      </c>
      <c r="F14" s="188">
        <v>52.3</v>
      </c>
      <c r="G14" s="209">
        <f t="shared" si="1"/>
        <v>1.4000000000000057</v>
      </c>
      <c r="H14" s="209">
        <f t="shared" si="2"/>
        <v>49.5</v>
      </c>
      <c r="I14" s="5">
        <f t="shared" si="6"/>
        <v>2.8282828282828398</v>
      </c>
      <c r="J14" s="209">
        <f t="shared" si="3"/>
        <v>1.1999999999999957</v>
      </c>
      <c r="K14" s="209">
        <f t="shared" si="4"/>
        <v>51.7</v>
      </c>
      <c r="L14" s="5">
        <f t="shared" si="7"/>
        <v>2.3210831721469938</v>
      </c>
      <c r="M14" s="209">
        <f t="shared" si="8"/>
        <v>50.6</v>
      </c>
      <c r="N14" s="5"/>
      <c r="O14" s="157">
        <f t="shared" si="5"/>
        <v>4.3478260869565268</v>
      </c>
    </row>
    <row r="15" spans="2:23" x14ac:dyDescent="0.25">
      <c r="B15" s="187"/>
      <c r="C15" s="188"/>
      <c r="D15" s="188"/>
      <c r="E15" s="188"/>
      <c r="F15" s="188"/>
      <c r="G15" s="209" t="str">
        <f t="shared" si="1"/>
        <v/>
      </c>
      <c r="H15" s="209" t="str">
        <f t="shared" si="2"/>
        <v/>
      </c>
      <c r="I15" s="5" t="str">
        <f t="shared" si="6"/>
        <v/>
      </c>
      <c r="J15" s="209" t="str">
        <f t="shared" si="3"/>
        <v/>
      </c>
      <c r="K15" s="209" t="str">
        <f t="shared" si="4"/>
        <v/>
      </c>
      <c r="L15" s="5" t="str">
        <f t="shared" si="7"/>
        <v/>
      </c>
      <c r="M15" s="209" t="str">
        <f t="shared" si="8"/>
        <v/>
      </c>
      <c r="N15" s="5"/>
      <c r="O15" s="157" t="str">
        <f t="shared" si="5"/>
        <v/>
      </c>
    </row>
    <row r="16" spans="2:23" x14ac:dyDescent="0.25">
      <c r="B16" s="187"/>
      <c r="C16" s="188"/>
      <c r="D16" s="188"/>
      <c r="E16" s="188"/>
      <c r="F16" s="188"/>
      <c r="G16" s="209" t="str">
        <f t="shared" si="1"/>
        <v/>
      </c>
      <c r="H16" s="209" t="str">
        <f t="shared" si="2"/>
        <v/>
      </c>
      <c r="I16" s="5" t="str">
        <f t="shared" si="6"/>
        <v/>
      </c>
      <c r="J16" s="209" t="str">
        <f t="shared" si="3"/>
        <v/>
      </c>
      <c r="K16" s="209" t="str">
        <f t="shared" si="4"/>
        <v/>
      </c>
      <c r="L16" s="5" t="str">
        <f t="shared" si="7"/>
        <v/>
      </c>
      <c r="M16" s="209" t="str">
        <f t="shared" si="8"/>
        <v/>
      </c>
      <c r="N16" s="5"/>
      <c r="O16" s="157" t="str">
        <f t="shared" si="5"/>
        <v/>
      </c>
    </row>
    <row r="17" spans="2:25" x14ac:dyDescent="0.25">
      <c r="B17" s="187"/>
      <c r="C17" s="188"/>
      <c r="D17" s="188"/>
      <c r="E17" s="188"/>
      <c r="F17" s="188"/>
      <c r="G17" s="209" t="str">
        <f t="shared" si="1"/>
        <v/>
      </c>
      <c r="H17" s="209" t="str">
        <f t="shared" si="2"/>
        <v/>
      </c>
      <c r="I17" s="5" t="str">
        <f t="shared" si="6"/>
        <v/>
      </c>
      <c r="J17" s="209" t="str">
        <f t="shared" si="3"/>
        <v/>
      </c>
      <c r="K17" s="209" t="str">
        <f t="shared" si="4"/>
        <v/>
      </c>
      <c r="L17" s="5" t="str">
        <f t="shared" si="7"/>
        <v/>
      </c>
      <c r="M17" s="209" t="str">
        <f t="shared" si="8"/>
        <v/>
      </c>
      <c r="N17" s="5"/>
      <c r="O17" s="157" t="str">
        <f t="shared" si="5"/>
        <v/>
      </c>
    </row>
    <row r="18" spans="2:25" x14ac:dyDescent="0.25">
      <c r="B18" s="187"/>
      <c r="C18" s="188"/>
      <c r="D18" s="188"/>
      <c r="E18" s="188"/>
      <c r="F18" s="188"/>
      <c r="G18" s="209" t="str">
        <f t="shared" si="1"/>
        <v/>
      </c>
      <c r="H18" s="209" t="str">
        <f t="shared" si="2"/>
        <v/>
      </c>
      <c r="I18" s="5" t="str">
        <f t="shared" si="6"/>
        <v/>
      </c>
      <c r="J18" s="209" t="str">
        <f t="shared" si="3"/>
        <v/>
      </c>
      <c r="K18" s="209" t="str">
        <f t="shared" si="4"/>
        <v/>
      </c>
      <c r="L18" s="5" t="str">
        <f t="shared" si="7"/>
        <v/>
      </c>
      <c r="M18" s="209" t="str">
        <f t="shared" si="8"/>
        <v/>
      </c>
      <c r="N18" s="5"/>
      <c r="O18" s="157" t="str">
        <f t="shared" si="5"/>
        <v/>
      </c>
    </row>
    <row r="19" spans="2:25" x14ac:dyDescent="0.25">
      <c r="B19" s="187"/>
      <c r="C19" s="188"/>
      <c r="D19" s="188"/>
      <c r="E19" s="188"/>
      <c r="F19" s="188"/>
      <c r="G19" s="209" t="str">
        <f t="shared" si="1"/>
        <v/>
      </c>
      <c r="H19" s="209" t="str">
        <f t="shared" si="2"/>
        <v/>
      </c>
      <c r="I19" s="5" t="str">
        <f t="shared" si="6"/>
        <v/>
      </c>
      <c r="J19" s="209" t="str">
        <f t="shared" si="3"/>
        <v/>
      </c>
      <c r="K19" s="209" t="str">
        <f t="shared" si="4"/>
        <v/>
      </c>
      <c r="L19" s="5" t="str">
        <f t="shared" si="7"/>
        <v/>
      </c>
      <c r="M19" s="209" t="str">
        <f t="shared" si="8"/>
        <v/>
      </c>
      <c r="N19" s="5"/>
      <c r="O19" s="157" t="str">
        <f t="shared" si="5"/>
        <v/>
      </c>
    </row>
    <row r="20" spans="2:25" x14ac:dyDescent="0.25">
      <c r="B20" s="187"/>
      <c r="C20" s="188"/>
      <c r="D20" s="188"/>
      <c r="E20" s="188"/>
      <c r="F20" s="188"/>
      <c r="G20" s="209" t="str">
        <f t="shared" si="1"/>
        <v/>
      </c>
      <c r="H20" s="209" t="str">
        <f t="shared" si="2"/>
        <v/>
      </c>
      <c r="I20" s="5" t="str">
        <f t="shared" si="6"/>
        <v/>
      </c>
      <c r="J20" s="209" t="str">
        <f t="shared" si="3"/>
        <v/>
      </c>
      <c r="K20" s="209" t="str">
        <f t="shared" si="4"/>
        <v/>
      </c>
      <c r="L20" s="5" t="str">
        <f t="shared" si="7"/>
        <v/>
      </c>
      <c r="M20" s="209" t="str">
        <f t="shared" si="8"/>
        <v/>
      </c>
      <c r="N20" s="5"/>
      <c r="O20" s="157" t="str">
        <f t="shared" si="5"/>
        <v/>
      </c>
    </row>
    <row r="21" spans="2:25" x14ac:dyDescent="0.25">
      <c r="B21" s="187"/>
      <c r="C21" s="188"/>
      <c r="D21" s="188"/>
      <c r="E21" s="188"/>
      <c r="F21" s="188"/>
      <c r="G21" s="209" t="str">
        <f t="shared" si="1"/>
        <v/>
      </c>
      <c r="H21" s="209" t="str">
        <f t="shared" si="2"/>
        <v/>
      </c>
      <c r="I21" s="5" t="str">
        <f t="shared" si="6"/>
        <v/>
      </c>
      <c r="J21" s="209" t="str">
        <f t="shared" si="3"/>
        <v/>
      </c>
      <c r="K21" s="209" t="str">
        <f t="shared" si="4"/>
        <v/>
      </c>
      <c r="L21" s="5" t="str">
        <f t="shared" si="7"/>
        <v/>
      </c>
      <c r="M21" s="209" t="str">
        <f t="shared" si="8"/>
        <v/>
      </c>
      <c r="N21" s="5"/>
      <c r="O21" s="157" t="str">
        <f t="shared" si="5"/>
        <v/>
      </c>
    </row>
    <row r="22" spans="2:25" ht="15.75" thickBot="1" x14ac:dyDescent="0.3">
      <c r="B22" s="189"/>
      <c r="C22" s="159"/>
      <c r="D22" s="159"/>
      <c r="E22" s="159"/>
      <c r="F22" s="159"/>
      <c r="G22" s="210" t="str">
        <f t="shared" si="1"/>
        <v/>
      </c>
      <c r="H22" s="210" t="str">
        <f t="shared" si="2"/>
        <v/>
      </c>
      <c r="I22" s="22" t="str">
        <f t="shared" si="6"/>
        <v/>
      </c>
      <c r="J22" s="210" t="str">
        <f t="shared" si="3"/>
        <v/>
      </c>
      <c r="K22" s="210" t="str">
        <f t="shared" si="4"/>
        <v/>
      </c>
      <c r="L22" s="22" t="str">
        <f t="shared" si="7"/>
        <v/>
      </c>
      <c r="M22" s="210" t="str">
        <f t="shared" si="8"/>
        <v/>
      </c>
      <c r="N22" s="22"/>
      <c r="O22" s="23" t="str">
        <f t="shared" si="5"/>
        <v/>
      </c>
    </row>
    <row r="23" spans="2:25" ht="25.5" customHeight="1" x14ac:dyDescent="0.25">
      <c r="I23" s="166">
        <f>SUM(I7:I22)</f>
        <v>28.160989371792645</v>
      </c>
      <c r="J23" s="162"/>
      <c r="K23" s="162"/>
      <c r="L23" s="166">
        <f>SUM(L7:L22)</f>
        <v>23.012190816421089</v>
      </c>
      <c r="M23" s="166">
        <f>SUM(M7:M22)</f>
        <v>456.30000000000007</v>
      </c>
      <c r="N23" s="162"/>
      <c r="O23" s="166">
        <f>SUM(O7:O22)</f>
        <v>36.303747941370489</v>
      </c>
    </row>
    <row r="24" spans="2:25" ht="26.25" customHeight="1" thickBot="1" x14ac:dyDescent="0.3">
      <c r="B24" s="162"/>
      <c r="C24" s="162"/>
      <c r="D24" s="162"/>
      <c r="E24" s="162"/>
      <c r="F24" s="162"/>
      <c r="G24" s="162"/>
      <c r="H24" s="167"/>
      <c r="I24" s="166">
        <f>COUNT(I7:I22)</f>
        <v>8</v>
      </c>
      <c r="J24" s="162"/>
      <c r="K24" s="162"/>
      <c r="L24" s="166">
        <f t="shared" ref="L24:O24" si="9">COUNT(L7:L22)</f>
        <v>8</v>
      </c>
      <c r="M24" s="166">
        <f t="shared" si="9"/>
        <v>8</v>
      </c>
      <c r="N24" s="162"/>
      <c r="O24" s="166">
        <f t="shared" si="9"/>
        <v>8</v>
      </c>
    </row>
    <row r="25" spans="2:25" x14ac:dyDescent="0.25">
      <c r="B25" s="168" t="s">
        <v>29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19"/>
      <c r="V25" s="24"/>
      <c r="W25" s="24"/>
      <c r="X25" s="24"/>
      <c r="Y25" s="24"/>
    </row>
    <row r="26" spans="2:25" x14ac:dyDescent="0.25">
      <c r="B26" s="120"/>
      <c r="E26" s="2">
        <f>(I23+L23)/(I24+L24)</f>
        <v>3.1983237617633584</v>
      </c>
      <c r="I26" s="2">
        <f>E26/1.128</f>
        <v>2.8353934058185803</v>
      </c>
      <c r="J26" s="134" t="s">
        <v>248</v>
      </c>
      <c r="O26" s="121"/>
      <c r="V26" s="25"/>
      <c r="W26" s="25"/>
      <c r="X26" s="25"/>
      <c r="Y26" s="25"/>
    </row>
    <row r="27" spans="2:25" ht="15.75" thickBot="1" x14ac:dyDescent="0.3">
      <c r="B27" s="122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23"/>
      <c r="V27" s="25"/>
      <c r="W27" s="25"/>
      <c r="X27" s="25"/>
      <c r="Y27" s="25"/>
    </row>
    <row r="28" spans="2:25" ht="15.75" thickBot="1" x14ac:dyDescent="0.3">
      <c r="B28" s="169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1"/>
      <c r="V28" s="25"/>
      <c r="W28" s="25"/>
      <c r="X28" s="25"/>
      <c r="Y28" s="25"/>
    </row>
    <row r="29" spans="2:25" x14ac:dyDescent="0.25">
      <c r="B29" s="168" t="s">
        <v>247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19"/>
      <c r="V29" s="25"/>
      <c r="W29" s="25"/>
      <c r="X29" s="25"/>
      <c r="Y29" s="25"/>
    </row>
    <row r="30" spans="2:25" x14ac:dyDescent="0.25">
      <c r="B30" s="120"/>
      <c r="E30" s="2">
        <f>O23/O24</f>
        <v>4.5379684926713111</v>
      </c>
      <c r="I30" s="2">
        <f>E30/1.128</f>
        <v>4.0230217133610919</v>
      </c>
      <c r="M30" s="49">
        <f>IF(I26&gt;I30,I30,SQRT(I30^2-I26^2/2))</f>
        <v>3.4878325394570009</v>
      </c>
      <c r="N30" s="49" t="s">
        <v>248</v>
      </c>
      <c r="O30" s="121"/>
      <c r="V30" s="25"/>
      <c r="W30" s="25"/>
      <c r="X30" s="25"/>
      <c r="Y30" s="25"/>
    </row>
    <row r="31" spans="2:25" ht="15.75" thickBot="1" x14ac:dyDescent="0.3">
      <c r="B31" s="122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23"/>
      <c r="V31" s="25"/>
      <c r="W31" s="25"/>
      <c r="X31" s="25"/>
      <c r="Y31" s="25"/>
    </row>
    <row r="32" spans="2:25" ht="15.75" thickBot="1" x14ac:dyDescent="0.3">
      <c r="V32" s="25"/>
      <c r="W32" s="25"/>
      <c r="X32" s="25"/>
      <c r="Y32" s="25"/>
    </row>
    <row r="33" spans="2:25" x14ac:dyDescent="0.25">
      <c r="B33" s="168" t="s">
        <v>30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65">
        <f>100*I34/E34</f>
        <v>12.487112154155392</v>
      </c>
      <c r="N33" s="177" t="s">
        <v>248</v>
      </c>
      <c r="O33" s="119"/>
      <c r="V33" s="25"/>
      <c r="W33" s="25"/>
      <c r="X33" s="25"/>
      <c r="Y33" s="25"/>
    </row>
    <row r="34" spans="2:25" ht="42" customHeight="1" x14ac:dyDescent="0.25">
      <c r="B34" s="164"/>
      <c r="E34" s="166">
        <f>M23/M24</f>
        <v>57.037500000000009</v>
      </c>
      <c r="I34" s="166">
        <f>_xlfn.STDEV.S(M7:M22)</f>
        <v>7.1223365949263826</v>
      </c>
      <c r="M34" s="2">
        <f>IF(M33&lt;M30,M33,SQRT(M33^2-M30^2/2))</f>
        <v>12.241138919185902</v>
      </c>
      <c r="N34" s="134" t="s">
        <v>248</v>
      </c>
      <c r="O34" s="121"/>
      <c r="V34" s="25"/>
      <c r="W34" s="25"/>
      <c r="X34" s="25"/>
      <c r="Y34" s="25"/>
    </row>
    <row r="35" spans="2:25" ht="18.75" customHeight="1" thickBot="1" x14ac:dyDescent="0.3">
      <c r="B35" s="122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23"/>
    </row>
    <row r="40" spans="2:25" x14ac:dyDescent="0.25">
      <c r="B40" s="24"/>
      <c r="C40" s="24"/>
      <c r="D40" s="24"/>
      <c r="E40" s="24"/>
    </row>
    <row r="41" spans="2:25" x14ac:dyDescent="0.25">
      <c r="B41" s="25"/>
      <c r="C41" s="25"/>
      <c r="D41" s="25"/>
      <c r="E41" s="25"/>
    </row>
    <row r="42" spans="2:25" x14ac:dyDescent="0.25">
      <c r="B42" s="25"/>
      <c r="C42" s="25"/>
      <c r="D42" s="25"/>
      <c r="E42" s="25"/>
    </row>
    <row r="43" spans="2:25" x14ac:dyDescent="0.25">
      <c r="B43" s="25"/>
      <c r="C43" s="25"/>
      <c r="D43" s="25"/>
      <c r="E43" s="25"/>
    </row>
    <row r="44" spans="2:25" ht="15.75" x14ac:dyDescent="0.25">
      <c r="B44" s="25"/>
      <c r="C44" s="25"/>
      <c r="D44" s="25"/>
      <c r="E44" s="25"/>
      <c r="T44" s="172"/>
      <c r="U44" s="172"/>
      <c r="V44" s="172"/>
      <c r="W44" s="172"/>
    </row>
    <row r="45" spans="2:25" ht="15.75" x14ac:dyDescent="0.25">
      <c r="B45" s="25"/>
      <c r="C45" s="25"/>
      <c r="D45" s="25"/>
      <c r="E45" s="25"/>
      <c r="T45" s="173"/>
      <c r="U45" s="173"/>
      <c r="V45" s="173"/>
      <c r="W45" s="173"/>
    </row>
    <row r="46" spans="2:25" ht="15.75" x14ac:dyDescent="0.25">
      <c r="B46" s="25"/>
      <c r="C46" s="25"/>
      <c r="D46" s="25"/>
      <c r="E46" s="25"/>
      <c r="T46" s="173"/>
      <c r="U46" s="173"/>
      <c r="V46" s="173"/>
      <c r="W46" s="173"/>
    </row>
    <row r="47" spans="2:25" ht="15.75" x14ac:dyDescent="0.25">
      <c r="B47" s="25"/>
      <c r="C47" s="25"/>
      <c r="D47" s="25"/>
      <c r="E47" s="25"/>
      <c r="T47" s="173"/>
      <c r="U47" s="173"/>
      <c r="V47" s="173"/>
      <c r="W47" s="173"/>
    </row>
    <row r="48" spans="2:25" ht="15.75" x14ac:dyDescent="0.25">
      <c r="T48" s="173"/>
      <c r="U48" s="173"/>
      <c r="V48" s="173"/>
      <c r="W48" s="173"/>
    </row>
    <row r="49" spans="20:23" ht="15.75" x14ac:dyDescent="0.25">
      <c r="T49" s="173"/>
      <c r="U49" s="173"/>
      <c r="V49" s="173"/>
      <c r="W49" s="173"/>
    </row>
  </sheetData>
  <mergeCells count="3">
    <mergeCell ref="N5:O5"/>
    <mergeCell ref="B1:C1"/>
    <mergeCell ref="D1:L1"/>
  </mergeCells>
  <dataValidations count="1">
    <dataValidation type="decimal" allowBlank="1" showInputMessage="1" showErrorMessage="1" sqref="T7:W12 V25:Y34 C7:F22" xr:uid="{00000000-0002-0000-0500-000000000000}">
      <formula1>0</formula1>
      <formula2>1000000</formula2>
    </dataValidation>
  </dataValidations>
  <pageMargins left="0.7" right="0.7" top="0.75" bottom="0.75" header="0.3" footer="0.3"/>
  <pageSetup paperSize="9" scale="75" orientation="landscape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/>
  <dimension ref="A1:C18"/>
  <sheetViews>
    <sheetView workbookViewId="0">
      <selection activeCell="B19" sqref="B19"/>
    </sheetView>
  </sheetViews>
  <sheetFormatPr defaultRowHeight="15" x14ac:dyDescent="0.25"/>
  <cols>
    <col min="2" max="2" width="19.42578125" customWidth="1"/>
    <col min="3" max="3" width="18.5703125" customWidth="1"/>
  </cols>
  <sheetData>
    <row r="1" spans="1:3" ht="21" x14ac:dyDescent="0.35">
      <c r="A1" s="4" t="s">
        <v>50</v>
      </c>
    </row>
    <row r="3" spans="1:3" x14ac:dyDescent="0.25">
      <c r="B3" t="s">
        <v>51</v>
      </c>
      <c r="C3">
        <v>5</v>
      </c>
    </row>
    <row r="8" spans="1:3" x14ac:dyDescent="0.25">
      <c r="B8" t="s">
        <v>52</v>
      </c>
      <c r="C8" t="s">
        <v>8</v>
      </c>
    </row>
    <row r="9" spans="1:3" ht="15.75" x14ac:dyDescent="0.25">
      <c r="B9" s="5">
        <v>1</v>
      </c>
      <c r="C9" s="51"/>
    </row>
    <row r="10" spans="1:3" ht="15.75" x14ac:dyDescent="0.25">
      <c r="B10" s="5">
        <v>2</v>
      </c>
      <c r="C10" s="51"/>
    </row>
    <row r="11" spans="1:3" ht="15.75" x14ac:dyDescent="0.25">
      <c r="B11" s="5">
        <v>3</v>
      </c>
      <c r="C11" s="51"/>
    </row>
    <row r="12" spans="1:3" ht="15.75" x14ac:dyDescent="0.25">
      <c r="B12" s="5">
        <v>4</v>
      </c>
      <c r="C12" s="51"/>
    </row>
    <row r="13" spans="1:3" ht="15.75" x14ac:dyDescent="0.25">
      <c r="B13" s="5">
        <v>5</v>
      </c>
      <c r="C13" s="51"/>
    </row>
    <row r="14" spans="1:3" ht="15.75" x14ac:dyDescent="0.25">
      <c r="B14" t="s">
        <v>53</v>
      </c>
      <c r="C14" s="241" t="e">
        <f>AVERAGE(C9:C13)</f>
        <v>#DIV/0!</v>
      </c>
    </row>
    <row r="15" spans="1:3" ht="15.75" x14ac:dyDescent="0.25">
      <c r="B15" t="s">
        <v>54</v>
      </c>
      <c r="C15" s="241" t="e">
        <f>STDEV(C9:C13)/SQRT(5)</f>
        <v>#DIV/0!</v>
      </c>
    </row>
    <row r="16" spans="1:3" ht="15.75" x14ac:dyDescent="0.25">
      <c r="B16" t="s">
        <v>55</v>
      </c>
      <c r="C16" s="241" t="e">
        <f>100*C15/C14</f>
        <v>#DIV/0!</v>
      </c>
    </row>
    <row r="17" spans="3:3" ht="15.75" x14ac:dyDescent="0.25">
      <c r="C17" s="241"/>
    </row>
    <row r="18" spans="3:3" ht="15.75" x14ac:dyDescent="0.25">
      <c r="C18" s="241"/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9809" r:id="rId4" name="GenerateTableTypeA">
              <controlPr defaultSize="0" print="0" autoFill="0" autoPict="0" macro="[0]!GenerateTableTypeA_Щелчок">
                <anchor moveWithCells="1" sizeWithCells="1">
                  <from>
                    <xdr:col>1</xdr:col>
                    <xdr:colOff>9525</xdr:colOff>
                    <xdr:row>4</xdr:row>
                    <xdr:rowOff>28575</xdr:rowOff>
                  </from>
                  <to>
                    <xdr:col>1</xdr:col>
                    <xdr:colOff>1304925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6"/>
  <dimension ref="A1:R185"/>
  <sheetViews>
    <sheetView workbookViewId="0">
      <selection activeCell="G17" sqref="G17"/>
    </sheetView>
  </sheetViews>
  <sheetFormatPr defaultRowHeight="15" x14ac:dyDescent="0.25"/>
  <cols>
    <col min="2" max="2" width="15.28515625" customWidth="1"/>
    <col min="3" max="3" width="11.5703125" customWidth="1"/>
    <col min="5" max="5" width="11.85546875" customWidth="1"/>
    <col min="6" max="6" width="10.85546875" customWidth="1"/>
    <col min="9" max="9" width="16.5703125" customWidth="1"/>
    <col min="10" max="10" width="14.7109375" customWidth="1"/>
    <col min="15" max="15" width="15.7109375" customWidth="1"/>
    <col min="16" max="16" width="15.42578125" customWidth="1"/>
  </cols>
  <sheetData>
    <row r="1" spans="1:18" x14ac:dyDescent="0.25">
      <c r="B1" s="63" t="s">
        <v>80</v>
      </c>
      <c r="I1" s="63" t="s">
        <v>78</v>
      </c>
      <c r="O1" s="63" t="s">
        <v>85</v>
      </c>
    </row>
    <row r="2" spans="1:18" ht="15.75" x14ac:dyDescent="0.25">
      <c r="B2" s="63" t="s">
        <v>81</v>
      </c>
      <c r="I2" t="s">
        <v>79</v>
      </c>
      <c r="O2" s="68" t="s">
        <v>86</v>
      </c>
    </row>
    <row r="3" spans="1:18" x14ac:dyDescent="0.25">
      <c r="B3" t="s">
        <v>82</v>
      </c>
    </row>
    <row r="4" spans="1:18" ht="15.75" thickBot="1" x14ac:dyDescent="0.3"/>
    <row r="5" spans="1:18" ht="63.75" customHeight="1" thickBot="1" x14ac:dyDescent="0.3">
      <c r="A5" s="61"/>
      <c r="B5" s="53" t="s">
        <v>56</v>
      </c>
      <c r="C5" s="290" t="s">
        <v>57</v>
      </c>
      <c r="D5" s="293"/>
      <c r="E5" s="293"/>
      <c r="F5" s="293"/>
      <c r="G5" s="291"/>
      <c r="I5" s="64" t="s">
        <v>56</v>
      </c>
      <c r="J5" s="65" t="s">
        <v>64</v>
      </c>
      <c r="K5" s="66"/>
      <c r="O5" s="53" t="s">
        <v>56</v>
      </c>
      <c r="P5" s="60" t="s">
        <v>83</v>
      </c>
      <c r="Q5" s="290" t="s">
        <v>84</v>
      </c>
      <c r="R5" s="291"/>
    </row>
    <row r="6" spans="1:18" ht="32.25" thickBot="1" x14ac:dyDescent="0.3">
      <c r="A6" s="41"/>
      <c r="B6" s="54"/>
      <c r="C6" s="290" t="s">
        <v>58</v>
      </c>
      <c r="D6" s="291"/>
      <c r="E6" s="56" t="s">
        <v>59</v>
      </c>
      <c r="F6" s="290" t="s">
        <v>60</v>
      </c>
      <c r="G6" s="291"/>
      <c r="I6" s="57"/>
      <c r="J6" s="58" t="s">
        <v>46</v>
      </c>
      <c r="K6" s="58" t="s">
        <v>45</v>
      </c>
      <c r="O6" s="54"/>
      <c r="P6" s="67"/>
      <c r="Q6" s="56" t="s">
        <v>62</v>
      </c>
      <c r="R6" s="56" t="s">
        <v>63</v>
      </c>
    </row>
    <row r="7" spans="1:18" ht="32.25" thickBot="1" x14ac:dyDescent="0.3">
      <c r="A7" s="41"/>
      <c r="B7" s="57" t="s">
        <v>61</v>
      </c>
      <c r="C7" s="56" t="s">
        <v>62</v>
      </c>
      <c r="D7" s="56" t="s">
        <v>63</v>
      </c>
      <c r="E7" s="58" t="s">
        <v>61</v>
      </c>
      <c r="F7" s="56" t="s">
        <v>62</v>
      </c>
      <c r="G7" s="56" t="s">
        <v>63</v>
      </c>
      <c r="I7" s="57">
        <v>0.5</v>
      </c>
      <c r="J7" s="58" t="s">
        <v>65</v>
      </c>
      <c r="K7" s="58" t="s">
        <v>66</v>
      </c>
      <c r="O7" s="59">
        <v>1</v>
      </c>
      <c r="P7" s="56">
        <v>0.01</v>
      </c>
      <c r="Q7" s="56" t="s">
        <v>66</v>
      </c>
      <c r="R7" s="56" t="s">
        <v>69</v>
      </c>
    </row>
    <row r="8" spans="1:18" ht="16.5" thickBot="1" x14ac:dyDescent="0.3">
      <c r="A8" s="40"/>
      <c r="B8" s="59">
        <v>5</v>
      </c>
      <c r="C8" s="56">
        <v>0.1</v>
      </c>
      <c r="D8" s="56">
        <v>0.1</v>
      </c>
      <c r="E8" s="56" t="s">
        <v>44</v>
      </c>
      <c r="F8" s="56">
        <v>2.5000000000000001E-2</v>
      </c>
      <c r="G8" s="56">
        <v>0.05</v>
      </c>
      <c r="I8" s="57">
        <v>1</v>
      </c>
      <c r="J8" s="58" t="s">
        <v>67</v>
      </c>
      <c r="K8" s="58" t="s">
        <v>68</v>
      </c>
      <c r="O8" s="59">
        <v>2</v>
      </c>
      <c r="P8" s="56">
        <v>0.01</v>
      </c>
      <c r="Q8" s="56" t="s">
        <v>66</v>
      </c>
      <c r="R8" s="56" t="s">
        <v>69</v>
      </c>
    </row>
    <row r="9" spans="1:18" ht="16.5" thickBot="1" x14ac:dyDescent="0.3">
      <c r="A9" s="41"/>
      <c r="B9" s="59">
        <v>10</v>
      </c>
      <c r="C9" s="56">
        <v>0.1</v>
      </c>
      <c r="D9" s="56">
        <v>0.2</v>
      </c>
      <c r="E9" s="56" t="s">
        <v>44</v>
      </c>
      <c r="F9" s="56">
        <v>2.5000000000000001E-2</v>
      </c>
      <c r="G9" s="56">
        <v>0.05</v>
      </c>
      <c r="I9" s="57">
        <v>2</v>
      </c>
      <c r="J9" s="58" t="s">
        <v>66</v>
      </c>
      <c r="K9" s="58" t="s">
        <v>69</v>
      </c>
      <c r="O9" s="59">
        <v>5</v>
      </c>
      <c r="P9" s="56">
        <v>0.02</v>
      </c>
      <c r="Q9" s="56" t="s">
        <v>66</v>
      </c>
      <c r="R9" s="56" t="s">
        <v>69</v>
      </c>
    </row>
    <row r="10" spans="1:18" ht="16.5" thickBot="1" x14ac:dyDescent="0.3">
      <c r="A10" s="40"/>
      <c r="B10" s="59">
        <v>25</v>
      </c>
      <c r="C10" s="56">
        <v>0.25</v>
      </c>
      <c r="D10" s="56">
        <v>0.5</v>
      </c>
      <c r="E10" s="56" t="s">
        <v>44</v>
      </c>
      <c r="F10" s="56">
        <v>0.04</v>
      </c>
      <c r="G10" s="56">
        <v>0.08</v>
      </c>
      <c r="I10" s="57">
        <v>5</v>
      </c>
      <c r="J10" s="58" t="s">
        <v>68</v>
      </c>
      <c r="K10" s="58" t="s">
        <v>70</v>
      </c>
      <c r="O10" s="59">
        <v>10</v>
      </c>
      <c r="P10" s="56">
        <v>0.02</v>
      </c>
      <c r="Q10" s="56" t="s">
        <v>69</v>
      </c>
      <c r="R10" s="56" t="s">
        <v>73</v>
      </c>
    </row>
    <row r="11" spans="1:18" ht="16.5" thickBot="1" x14ac:dyDescent="0.3">
      <c r="A11" s="41"/>
      <c r="B11" s="59">
        <v>50</v>
      </c>
      <c r="C11" s="56">
        <v>0.25</v>
      </c>
      <c r="D11" s="56">
        <v>1</v>
      </c>
      <c r="E11" s="56">
        <v>2.5</v>
      </c>
      <c r="F11" s="56">
        <v>0.06</v>
      </c>
      <c r="G11" s="56">
        <v>0.12</v>
      </c>
      <c r="I11" s="57">
        <v>10</v>
      </c>
      <c r="J11" s="58" t="s">
        <v>69</v>
      </c>
      <c r="K11" s="58" t="s">
        <v>71</v>
      </c>
      <c r="O11" s="54"/>
      <c r="P11" s="56">
        <v>0.05</v>
      </c>
      <c r="Q11" s="56" t="s">
        <v>69</v>
      </c>
      <c r="R11" s="56" t="s">
        <v>73</v>
      </c>
    </row>
    <row r="12" spans="1:18" ht="16.5" thickBot="1" x14ac:dyDescent="0.3">
      <c r="A12" s="41"/>
      <c r="B12" s="59">
        <v>100</v>
      </c>
      <c r="C12" s="56">
        <v>0.5</v>
      </c>
      <c r="D12" s="56">
        <v>1</v>
      </c>
      <c r="E12" s="56">
        <v>5</v>
      </c>
      <c r="F12" s="56">
        <v>0.1</v>
      </c>
      <c r="G12" s="56">
        <v>0.2</v>
      </c>
      <c r="I12" s="57">
        <v>10.77</v>
      </c>
      <c r="J12" s="58" t="s">
        <v>69</v>
      </c>
      <c r="K12" s="58" t="s">
        <v>71</v>
      </c>
      <c r="O12" s="59">
        <v>25</v>
      </c>
      <c r="P12" s="56">
        <v>0.05</v>
      </c>
      <c r="Q12" s="56" t="s">
        <v>70</v>
      </c>
      <c r="R12" s="56" t="s">
        <v>73</v>
      </c>
    </row>
    <row r="13" spans="1:18" ht="16.5" thickBot="1" x14ac:dyDescent="0.3">
      <c r="A13" s="41"/>
      <c r="B13" s="59">
        <v>200</v>
      </c>
      <c r="C13" s="56" t="s">
        <v>44</v>
      </c>
      <c r="D13" s="56" t="s">
        <v>44</v>
      </c>
      <c r="E13" s="56" t="s">
        <v>44</v>
      </c>
      <c r="F13" s="56">
        <v>0.15</v>
      </c>
      <c r="G13" s="56">
        <v>0.3</v>
      </c>
      <c r="I13" s="57">
        <v>20</v>
      </c>
      <c r="J13" s="58" t="s">
        <v>70</v>
      </c>
      <c r="K13" s="58" t="s">
        <v>72</v>
      </c>
      <c r="O13" s="54"/>
      <c r="P13" s="56">
        <v>0.1</v>
      </c>
      <c r="Q13" s="56" t="s">
        <v>73</v>
      </c>
      <c r="R13" s="56" t="s">
        <v>74</v>
      </c>
    </row>
    <row r="14" spans="1:18" ht="16.5" thickBot="1" x14ac:dyDescent="0.3">
      <c r="A14" s="41"/>
      <c r="B14" s="59">
        <v>250</v>
      </c>
      <c r="C14" s="56">
        <v>1.25</v>
      </c>
      <c r="D14" s="56">
        <v>2</v>
      </c>
      <c r="E14" s="56">
        <v>5</v>
      </c>
      <c r="F14" s="56">
        <v>0.15</v>
      </c>
      <c r="G14" s="56">
        <v>0.3</v>
      </c>
      <c r="I14" s="57">
        <v>25</v>
      </c>
      <c r="J14" s="58" t="s">
        <v>70</v>
      </c>
      <c r="K14" s="58" t="s">
        <v>72</v>
      </c>
      <c r="O14" s="59">
        <v>50</v>
      </c>
      <c r="P14" s="56">
        <v>0.1</v>
      </c>
      <c r="Q14" s="56" t="s">
        <v>73</v>
      </c>
      <c r="R14" s="56" t="s">
        <v>74</v>
      </c>
    </row>
    <row r="15" spans="1:18" ht="16.5" thickBot="1" x14ac:dyDescent="0.3">
      <c r="A15" s="41"/>
      <c r="B15" s="59">
        <v>300</v>
      </c>
      <c r="C15" s="56" t="s">
        <v>44</v>
      </c>
      <c r="D15" s="56" t="s">
        <v>44</v>
      </c>
      <c r="E15" s="56" t="s">
        <v>44</v>
      </c>
      <c r="F15" s="56">
        <v>0.2</v>
      </c>
      <c r="G15" s="56">
        <v>0.4</v>
      </c>
      <c r="I15" s="57">
        <v>50</v>
      </c>
      <c r="J15" s="58" t="s">
        <v>73</v>
      </c>
      <c r="K15" s="58" t="s">
        <v>74</v>
      </c>
      <c r="O15" s="59">
        <v>100</v>
      </c>
      <c r="P15" s="56">
        <v>0.2</v>
      </c>
      <c r="Q15" s="56" t="s">
        <v>74</v>
      </c>
      <c r="R15" s="56" t="s">
        <v>77</v>
      </c>
    </row>
    <row r="16" spans="1:18" ht="16.5" thickBot="1" x14ac:dyDescent="0.3">
      <c r="A16" s="41"/>
      <c r="B16" s="59">
        <v>500</v>
      </c>
      <c r="C16" s="56">
        <v>2.5</v>
      </c>
      <c r="D16" s="56">
        <v>5</v>
      </c>
      <c r="E16" s="56">
        <v>12.5</v>
      </c>
      <c r="F16" s="56">
        <v>0.25</v>
      </c>
      <c r="G16" s="56">
        <v>0.5</v>
      </c>
      <c r="I16" s="57">
        <v>100</v>
      </c>
      <c r="J16" s="58" t="s">
        <v>75</v>
      </c>
      <c r="K16" s="58" t="s">
        <v>76</v>
      </c>
    </row>
    <row r="17" spans="1:13" ht="16.5" thickBot="1" x14ac:dyDescent="0.3">
      <c r="B17" s="59">
        <v>1000</v>
      </c>
      <c r="C17" s="56">
        <v>5</v>
      </c>
      <c r="D17" s="56">
        <v>10</v>
      </c>
      <c r="E17" s="56">
        <v>25</v>
      </c>
      <c r="F17" s="56">
        <v>0.4</v>
      </c>
      <c r="G17" s="56">
        <v>0.8</v>
      </c>
      <c r="I17" s="57">
        <v>200</v>
      </c>
      <c r="J17" s="58" t="s">
        <v>74</v>
      </c>
      <c r="K17" s="58" t="s">
        <v>77</v>
      </c>
    </row>
    <row r="18" spans="1:13" ht="16.5" thickBot="1" x14ac:dyDescent="0.3">
      <c r="B18" s="59">
        <v>2000</v>
      </c>
      <c r="C18" s="56">
        <v>10</v>
      </c>
      <c r="D18" s="56">
        <v>20</v>
      </c>
      <c r="E18" s="56" t="s">
        <v>44</v>
      </c>
      <c r="F18" s="56">
        <v>0.6</v>
      </c>
      <c r="G18" s="56">
        <v>1.2</v>
      </c>
      <c r="I18" s="63"/>
    </row>
    <row r="20" spans="1:13" ht="15.75" x14ac:dyDescent="0.25">
      <c r="A20" s="61"/>
      <c r="B20" s="40"/>
      <c r="C20" s="40"/>
    </row>
    <row r="21" spans="1:13" ht="15.75" x14ac:dyDescent="0.25">
      <c r="A21" s="61"/>
      <c r="B21" s="69" t="s">
        <v>91</v>
      </c>
      <c r="C21" s="40"/>
      <c r="J21" s="68" t="s">
        <v>117</v>
      </c>
    </row>
    <row r="22" spans="1:13" ht="16.5" thickBot="1" x14ac:dyDescent="0.3">
      <c r="A22" s="40"/>
      <c r="B22" s="70" t="s">
        <v>92</v>
      </c>
      <c r="C22" s="40"/>
      <c r="J22" t="s">
        <v>118</v>
      </c>
    </row>
    <row r="23" spans="1:13" ht="79.5" thickBot="1" x14ac:dyDescent="0.3">
      <c r="A23" s="40"/>
      <c r="B23" s="53" t="s">
        <v>56</v>
      </c>
      <c r="C23" s="60" t="s">
        <v>87</v>
      </c>
      <c r="D23" s="290" t="s">
        <v>88</v>
      </c>
      <c r="E23" s="291"/>
      <c r="J23" s="292" t="s">
        <v>93</v>
      </c>
      <c r="K23" s="292"/>
      <c r="L23" s="292"/>
      <c r="M23" s="71" t="s">
        <v>94</v>
      </c>
    </row>
    <row r="24" spans="1:13" ht="32.25" thickBot="1" x14ac:dyDescent="0.3">
      <c r="A24" s="40"/>
      <c r="B24" s="54"/>
      <c r="C24" s="67"/>
      <c r="D24" s="56" t="s">
        <v>62</v>
      </c>
      <c r="E24" s="56" t="s">
        <v>63</v>
      </c>
      <c r="J24" s="289" t="s">
        <v>95</v>
      </c>
      <c r="K24" s="289"/>
      <c r="L24" s="289"/>
      <c r="M24" s="72">
        <v>85</v>
      </c>
    </row>
    <row r="25" spans="1:13" ht="16.5" thickBot="1" x14ac:dyDescent="0.3">
      <c r="A25" s="40"/>
      <c r="B25" s="59">
        <v>0.5</v>
      </c>
      <c r="C25" s="56">
        <v>0.01</v>
      </c>
      <c r="D25" s="56" t="s">
        <v>65</v>
      </c>
      <c r="E25" s="56" t="s">
        <v>89</v>
      </c>
      <c r="J25" s="289" t="s">
        <v>96</v>
      </c>
      <c r="K25" s="289"/>
      <c r="L25" s="289"/>
      <c r="M25" s="72">
        <v>143</v>
      </c>
    </row>
    <row r="26" spans="1:13" ht="16.5" thickBot="1" x14ac:dyDescent="0.3">
      <c r="A26" s="40"/>
      <c r="B26" s="59">
        <v>1</v>
      </c>
      <c r="C26" s="56">
        <v>0.01</v>
      </c>
      <c r="D26" s="56" t="s">
        <v>90</v>
      </c>
      <c r="E26" s="56" t="s">
        <v>66</v>
      </c>
      <c r="J26" s="289" t="s">
        <v>97</v>
      </c>
      <c r="K26" s="289"/>
      <c r="L26" s="289"/>
      <c r="M26" s="72">
        <v>122</v>
      </c>
    </row>
    <row r="27" spans="1:13" ht="16.5" thickBot="1" x14ac:dyDescent="0.3">
      <c r="A27" s="40"/>
      <c r="B27" s="59">
        <v>2</v>
      </c>
      <c r="C27" s="56">
        <v>0.02</v>
      </c>
      <c r="D27" s="56" t="s">
        <v>66</v>
      </c>
      <c r="E27" s="56" t="s">
        <v>69</v>
      </c>
      <c r="J27" s="289" t="s">
        <v>98</v>
      </c>
      <c r="K27" s="289"/>
      <c r="L27" s="289"/>
      <c r="M27" s="72">
        <v>21</v>
      </c>
    </row>
    <row r="28" spans="1:13" ht="16.5" thickBot="1" x14ac:dyDescent="0.3">
      <c r="A28" s="40"/>
      <c r="B28" s="59">
        <v>5</v>
      </c>
      <c r="C28" s="56">
        <v>0.05</v>
      </c>
      <c r="D28" s="56" t="s">
        <v>70</v>
      </c>
      <c r="E28" s="56" t="s">
        <v>73</v>
      </c>
      <c r="J28" s="289" t="s">
        <v>99</v>
      </c>
      <c r="K28" s="289"/>
      <c r="L28" s="289"/>
      <c r="M28" s="72">
        <v>47</v>
      </c>
    </row>
    <row r="29" spans="1:13" ht="16.5" thickBot="1" x14ac:dyDescent="0.3">
      <c r="A29" s="40"/>
      <c r="B29" s="59">
        <v>10</v>
      </c>
      <c r="C29" s="56">
        <v>0.1</v>
      </c>
      <c r="D29" s="56" t="s">
        <v>73</v>
      </c>
      <c r="E29" s="56" t="s">
        <v>74</v>
      </c>
      <c r="J29" s="289" t="s">
        <v>100</v>
      </c>
      <c r="K29" s="289"/>
      <c r="L29" s="289"/>
      <c r="M29" s="72">
        <v>99</v>
      </c>
    </row>
    <row r="30" spans="1:13" ht="16.5" thickBot="1" x14ac:dyDescent="0.3">
      <c r="A30" s="40"/>
      <c r="B30" s="54"/>
      <c r="C30" s="56">
        <v>0.1</v>
      </c>
      <c r="D30" s="56" t="s">
        <v>74</v>
      </c>
      <c r="E30" s="56" t="s">
        <v>89</v>
      </c>
      <c r="J30" s="289" t="s">
        <v>101</v>
      </c>
      <c r="K30" s="289"/>
      <c r="L30" s="289"/>
      <c r="M30" s="72">
        <v>120</v>
      </c>
    </row>
    <row r="31" spans="1:13" ht="16.5" thickBot="1" x14ac:dyDescent="0.3">
      <c r="B31" s="59">
        <v>25</v>
      </c>
      <c r="C31" s="56">
        <v>0.2</v>
      </c>
      <c r="D31" s="56" t="s">
        <v>74</v>
      </c>
      <c r="E31" s="56" t="s">
        <v>77</v>
      </c>
      <c r="J31" s="289" t="s">
        <v>102</v>
      </c>
      <c r="K31" s="289"/>
      <c r="L31" s="289"/>
      <c r="M31" s="72">
        <v>155</v>
      </c>
    </row>
    <row r="32" spans="1:13" ht="16.5" thickBot="1" x14ac:dyDescent="0.3">
      <c r="A32" s="42"/>
      <c r="J32" s="289" t="s">
        <v>103</v>
      </c>
      <c r="K32" s="289"/>
      <c r="L32" s="289"/>
      <c r="M32" s="72">
        <v>18.100000000000001</v>
      </c>
    </row>
    <row r="33" spans="1:13" ht="16.5" thickBot="1" x14ac:dyDescent="0.3">
      <c r="A33" s="61"/>
      <c r="B33" s="62"/>
      <c r="J33" s="289" t="s">
        <v>104</v>
      </c>
      <c r="K33" s="289"/>
      <c r="L33" s="289"/>
      <c r="M33" s="72">
        <v>119</v>
      </c>
    </row>
    <row r="34" spans="1:13" ht="16.5" thickBot="1" x14ac:dyDescent="0.3">
      <c r="A34" s="62"/>
      <c r="B34" s="80" t="s">
        <v>152</v>
      </c>
      <c r="J34" s="289" t="s">
        <v>105</v>
      </c>
      <c r="K34" s="289"/>
      <c r="L34" s="289"/>
      <c r="M34" s="72">
        <v>96</v>
      </c>
    </row>
    <row r="35" spans="1:13" ht="16.5" thickBot="1" x14ac:dyDescent="0.3">
      <c r="A35" s="62"/>
      <c r="B35" s="80" t="s">
        <v>153</v>
      </c>
      <c r="J35" s="289" t="s">
        <v>106</v>
      </c>
      <c r="K35" s="289"/>
      <c r="L35" s="289"/>
      <c r="M35" s="72">
        <v>119</v>
      </c>
    </row>
    <row r="36" spans="1:13" ht="32.25" thickBot="1" x14ac:dyDescent="0.3">
      <c r="A36" s="62"/>
      <c r="B36" s="74" t="s">
        <v>119</v>
      </c>
      <c r="C36" s="75" t="s">
        <v>120</v>
      </c>
      <c r="D36" s="66" t="s">
        <v>121</v>
      </c>
      <c r="E36" s="75" t="s">
        <v>122</v>
      </c>
      <c r="F36" s="75" t="s">
        <v>123</v>
      </c>
      <c r="G36" s="76" t="s">
        <v>124</v>
      </c>
      <c r="J36" s="289" t="s">
        <v>107</v>
      </c>
      <c r="K36" s="289"/>
      <c r="L36" s="289"/>
      <c r="M36" s="72">
        <v>108</v>
      </c>
    </row>
    <row r="37" spans="1:13" ht="32.25" thickBot="1" x14ac:dyDescent="0.3">
      <c r="A37" s="62"/>
      <c r="B37" s="77">
        <v>1</v>
      </c>
      <c r="C37" s="58" t="s">
        <v>125</v>
      </c>
      <c r="D37" s="58" t="s">
        <v>126</v>
      </c>
      <c r="E37" s="56">
        <v>1.0078400000000001</v>
      </c>
      <c r="F37" s="78">
        <v>1.0081100000000001</v>
      </c>
      <c r="G37" s="55">
        <v>2.7E-4</v>
      </c>
      <c r="J37" s="289" t="s">
        <v>108</v>
      </c>
      <c r="K37" s="289"/>
      <c r="L37" s="289"/>
      <c r="M37" s="72">
        <v>107</v>
      </c>
    </row>
    <row r="38" spans="1:13" ht="16.5" thickBot="1" x14ac:dyDescent="0.3">
      <c r="A38" s="62"/>
      <c r="B38" s="57">
        <v>3</v>
      </c>
      <c r="C38" s="58" t="s">
        <v>127</v>
      </c>
      <c r="D38" s="79" t="s">
        <v>128</v>
      </c>
      <c r="E38" s="78">
        <v>6.9379999999999997</v>
      </c>
      <c r="F38" s="78">
        <v>6.9969999999999999</v>
      </c>
      <c r="G38" s="55">
        <v>5.8999999999999997E-2</v>
      </c>
      <c r="J38" s="289" t="s">
        <v>109</v>
      </c>
      <c r="K38" s="289"/>
      <c r="L38" s="289"/>
      <c r="M38" s="72">
        <v>107</v>
      </c>
    </row>
    <row r="39" spans="1:13" ht="16.5" thickBot="1" x14ac:dyDescent="0.3">
      <c r="B39" s="57">
        <v>5</v>
      </c>
      <c r="C39" s="58" t="s">
        <v>18</v>
      </c>
      <c r="D39" s="79" t="s">
        <v>129</v>
      </c>
      <c r="E39" s="56">
        <v>10.805999999999999</v>
      </c>
      <c r="F39" s="78">
        <v>10.821</v>
      </c>
      <c r="G39" s="55">
        <v>1.4999999999999999E-2</v>
      </c>
      <c r="J39" s="289" t="s">
        <v>110</v>
      </c>
      <c r="K39" s="289"/>
      <c r="L39" s="289"/>
      <c r="M39" s="72">
        <v>79</v>
      </c>
    </row>
    <row r="40" spans="1:13" ht="16.5" thickBot="1" x14ac:dyDescent="0.3">
      <c r="B40" s="77">
        <v>6</v>
      </c>
      <c r="C40" s="58" t="s">
        <v>130</v>
      </c>
      <c r="D40" s="58" t="s">
        <v>131</v>
      </c>
      <c r="E40" s="56">
        <v>12.009600000000001</v>
      </c>
      <c r="F40" s="78">
        <v>12.0116</v>
      </c>
      <c r="G40" s="55">
        <v>2E-3</v>
      </c>
      <c r="J40" s="289" t="s">
        <v>111</v>
      </c>
      <c r="K40" s="289"/>
      <c r="L40" s="289"/>
      <c r="M40" s="72">
        <v>127</v>
      </c>
    </row>
    <row r="41" spans="1:13" ht="16.5" thickBot="1" x14ac:dyDescent="0.3">
      <c r="B41" s="57">
        <v>7</v>
      </c>
      <c r="C41" s="58" t="s">
        <v>132</v>
      </c>
      <c r="D41" s="58" t="s">
        <v>133</v>
      </c>
      <c r="E41" s="56">
        <v>14.00643</v>
      </c>
      <c r="F41" s="78">
        <v>14.00728</v>
      </c>
      <c r="G41" s="55">
        <v>8.4999999999999995E-4</v>
      </c>
      <c r="J41" s="289" t="s">
        <v>112</v>
      </c>
      <c r="K41" s="289"/>
      <c r="L41" s="289"/>
      <c r="M41" s="72">
        <v>122</v>
      </c>
    </row>
    <row r="42" spans="1:13" ht="16.5" thickBot="1" x14ac:dyDescent="0.3">
      <c r="A42" s="61"/>
      <c r="B42" s="57">
        <v>8</v>
      </c>
      <c r="C42" s="79" t="s">
        <v>134</v>
      </c>
      <c r="D42" s="58" t="s">
        <v>135</v>
      </c>
      <c r="E42" s="56">
        <v>15.999029999999999</v>
      </c>
      <c r="F42" s="78">
        <v>15.99977</v>
      </c>
      <c r="G42" s="55">
        <v>7.3999999999999999E-4</v>
      </c>
      <c r="J42" s="289" t="s">
        <v>113</v>
      </c>
      <c r="K42" s="289"/>
      <c r="L42" s="289"/>
      <c r="M42" s="72">
        <v>140</v>
      </c>
    </row>
    <row r="43" spans="1:13" ht="32.25" thickBot="1" x14ac:dyDescent="0.3">
      <c r="A43" s="62"/>
      <c r="B43" s="57">
        <v>12</v>
      </c>
      <c r="C43" s="79" t="s">
        <v>136</v>
      </c>
      <c r="D43" s="58" t="s">
        <v>137</v>
      </c>
      <c r="E43" s="78">
        <v>24.303999999999998</v>
      </c>
      <c r="F43" s="78">
        <v>24.306999999999999</v>
      </c>
      <c r="G43" s="55">
        <v>3.0000000000000001E-3</v>
      </c>
      <c r="J43" s="289" t="s">
        <v>114</v>
      </c>
      <c r="K43" s="289"/>
      <c r="L43" s="289"/>
      <c r="M43" s="72">
        <v>163</v>
      </c>
    </row>
    <row r="44" spans="1:13" ht="16.5" thickBot="1" x14ac:dyDescent="0.3">
      <c r="A44" s="62"/>
      <c r="B44" s="57">
        <v>14</v>
      </c>
      <c r="C44" s="58" t="s">
        <v>138</v>
      </c>
      <c r="D44" s="79" t="s">
        <v>139</v>
      </c>
      <c r="E44" s="56">
        <v>28.084</v>
      </c>
      <c r="F44" s="78">
        <v>28.085999999999999</v>
      </c>
      <c r="G44" s="55">
        <v>2E-3</v>
      </c>
      <c r="J44" s="289" t="s">
        <v>115</v>
      </c>
      <c r="K44" s="289"/>
      <c r="L44" s="289"/>
      <c r="M44" s="72">
        <v>56</v>
      </c>
    </row>
    <row r="45" spans="1:13" ht="19.5" thickBot="1" x14ac:dyDescent="0.3">
      <c r="A45" s="62"/>
      <c r="B45" s="77">
        <v>16</v>
      </c>
      <c r="C45" s="58" t="s">
        <v>140</v>
      </c>
      <c r="D45" s="79" t="s">
        <v>141</v>
      </c>
      <c r="E45" s="56">
        <v>32.058999999999997</v>
      </c>
      <c r="F45" s="78">
        <v>32.076000000000001</v>
      </c>
      <c r="G45" s="55">
        <v>1.7000000000000001E-2</v>
      </c>
      <c r="J45" s="73" t="s">
        <v>116</v>
      </c>
      <c r="K45" s="73"/>
      <c r="L45" s="73"/>
      <c r="M45" s="72"/>
    </row>
    <row r="46" spans="1:13" ht="16.5" thickBot="1" x14ac:dyDescent="0.3">
      <c r="A46" s="62"/>
      <c r="B46" s="57">
        <v>17</v>
      </c>
      <c r="C46" s="79" t="s">
        <v>142</v>
      </c>
      <c r="D46" s="79" t="s">
        <v>143</v>
      </c>
      <c r="E46" s="56">
        <v>35.445999999999998</v>
      </c>
      <c r="F46" s="78">
        <v>35.457000000000001</v>
      </c>
      <c r="G46" s="55">
        <v>1.0999999999999999E-2</v>
      </c>
    </row>
    <row r="47" spans="1:13" ht="16.5" thickBot="1" x14ac:dyDescent="0.3">
      <c r="A47" s="62"/>
      <c r="B47" s="77">
        <v>18</v>
      </c>
      <c r="C47" s="58" t="s">
        <v>144</v>
      </c>
      <c r="D47" s="58" t="s">
        <v>145</v>
      </c>
      <c r="E47" s="56">
        <v>39.792000000000002</v>
      </c>
      <c r="F47" s="78">
        <v>39.963000000000001</v>
      </c>
      <c r="G47" s="55">
        <v>0.17100000000000001</v>
      </c>
    </row>
    <row r="48" spans="1:13" ht="16.5" thickBot="1" x14ac:dyDescent="0.3">
      <c r="A48" s="62"/>
      <c r="B48" s="57">
        <v>35</v>
      </c>
      <c r="C48" s="58" t="s">
        <v>146</v>
      </c>
      <c r="D48" s="79" t="s">
        <v>147</v>
      </c>
      <c r="E48" s="56">
        <v>79.900999999999996</v>
      </c>
      <c r="F48" s="78">
        <v>79.906999999999996</v>
      </c>
      <c r="G48" s="55">
        <v>6.0000000000000001E-3</v>
      </c>
    </row>
    <row r="49" spans="1:7" ht="16.5" thickBot="1" x14ac:dyDescent="0.3">
      <c r="A49" s="62"/>
      <c r="B49" s="77">
        <v>81</v>
      </c>
      <c r="C49" s="79" t="s">
        <v>148</v>
      </c>
      <c r="D49" s="79" t="s">
        <v>149</v>
      </c>
      <c r="E49" s="56">
        <v>204.38200000000001</v>
      </c>
      <c r="F49" s="56">
        <v>204.38499999999999</v>
      </c>
      <c r="G49" s="55">
        <v>3.0000000000000001E-3</v>
      </c>
    </row>
    <row r="50" spans="1:7" ht="16.5" thickBot="1" x14ac:dyDescent="0.3">
      <c r="A50" s="62"/>
      <c r="B50" s="57">
        <v>82</v>
      </c>
      <c r="C50" s="58" t="s">
        <v>150</v>
      </c>
      <c r="D50" s="79" t="s">
        <v>151</v>
      </c>
      <c r="E50" s="56">
        <v>206.14</v>
      </c>
      <c r="F50" s="78">
        <v>207.94</v>
      </c>
      <c r="G50" s="55">
        <v>1.8</v>
      </c>
    </row>
    <row r="51" spans="1:7" ht="15.75" x14ac:dyDescent="0.25">
      <c r="A51" s="62"/>
      <c r="B51" s="68"/>
    </row>
    <row r="52" spans="1:7" ht="15.75" x14ac:dyDescent="0.25">
      <c r="A52" s="62"/>
      <c r="B52" s="62"/>
      <c r="C52" s="62"/>
    </row>
    <row r="53" spans="1:7" ht="15.75" x14ac:dyDescent="0.25">
      <c r="A53" s="62"/>
      <c r="B53" s="62"/>
      <c r="C53" s="62"/>
    </row>
    <row r="56" spans="1:7" x14ac:dyDescent="0.25">
      <c r="B56" t="s">
        <v>159</v>
      </c>
    </row>
    <row r="57" spans="1:7" ht="47.25" x14ac:dyDescent="0.25">
      <c r="A57" s="61"/>
      <c r="B57" s="87" t="s">
        <v>160</v>
      </c>
      <c r="C57" s="87" t="s">
        <v>161</v>
      </c>
      <c r="D57" s="87" t="s">
        <v>162</v>
      </c>
      <c r="E57" s="87" t="s">
        <v>163</v>
      </c>
    </row>
    <row r="58" spans="1:7" ht="15.75" x14ac:dyDescent="0.25">
      <c r="A58" s="62"/>
      <c r="B58" s="87">
        <v>1</v>
      </c>
      <c r="C58" s="92">
        <v>12.7</v>
      </c>
      <c r="D58" s="87"/>
      <c r="E58" s="87"/>
    </row>
    <row r="59" spans="1:7" ht="15.75" x14ac:dyDescent="0.25">
      <c r="A59" s="62"/>
      <c r="B59" s="87">
        <v>2</v>
      </c>
      <c r="C59" s="92">
        <v>4.3029999999999999</v>
      </c>
      <c r="D59" s="87"/>
      <c r="E59" s="87"/>
    </row>
    <row r="60" spans="1:7" ht="15.75" x14ac:dyDescent="0.25">
      <c r="A60" s="62"/>
      <c r="B60" s="87">
        <v>3</v>
      </c>
      <c r="C60" s="92">
        <v>3.1819999999999999</v>
      </c>
      <c r="D60" s="87"/>
      <c r="E60" s="87"/>
    </row>
    <row r="61" spans="1:7" ht="15.75" x14ac:dyDescent="0.25">
      <c r="A61" s="62"/>
      <c r="B61" s="87">
        <v>4</v>
      </c>
      <c r="C61" s="92">
        <v>2.7759999999999998</v>
      </c>
      <c r="D61" s="87"/>
      <c r="E61" s="87"/>
    </row>
    <row r="62" spans="1:7" ht="15.75" x14ac:dyDescent="0.25">
      <c r="A62" s="62"/>
      <c r="B62" s="87">
        <v>5</v>
      </c>
      <c r="C62" s="92">
        <v>2.5710000000000002</v>
      </c>
      <c r="D62" s="87"/>
      <c r="E62" s="87"/>
    </row>
    <row r="63" spans="1:7" ht="15.75" x14ac:dyDescent="0.25">
      <c r="A63" s="62"/>
      <c r="B63" s="87">
        <v>6</v>
      </c>
      <c r="C63" s="92">
        <v>2.4470000000000001</v>
      </c>
      <c r="D63" s="87"/>
      <c r="E63" s="87"/>
    </row>
    <row r="64" spans="1:7" ht="15.75" x14ac:dyDescent="0.25">
      <c r="B64" s="87">
        <v>7</v>
      </c>
      <c r="C64" s="92">
        <v>2.3650000000000002</v>
      </c>
      <c r="D64" s="87"/>
      <c r="E64" s="87"/>
    </row>
    <row r="65" spans="2:5" ht="15.75" x14ac:dyDescent="0.25">
      <c r="B65" s="87">
        <v>8</v>
      </c>
      <c r="C65" s="92">
        <v>2.306</v>
      </c>
      <c r="D65" s="87"/>
      <c r="E65" s="87"/>
    </row>
    <row r="66" spans="2:5" ht="15.75" x14ac:dyDescent="0.25">
      <c r="B66" s="87">
        <v>9</v>
      </c>
      <c r="C66" s="92">
        <v>2.262</v>
      </c>
      <c r="D66" s="87"/>
      <c r="E66" s="87"/>
    </row>
    <row r="67" spans="2:5" ht="15.75" x14ac:dyDescent="0.25">
      <c r="B67" s="87">
        <v>10</v>
      </c>
      <c r="C67" s="92">
        <v>2.2280000000000002</v>
      </c>
      <c r="D67" s="87"/>
      <c r="E67" s="87"/>
    </row>
    <row r="68" spans="2:5" ht="15.75" x14ac:dyDescent="0.25">
      <c r="B68" s="87">
        <v>11</v>
      </c>
      <c r="C68" s="92">
        <v>2.2010000000000001</v>
      </c>
      <c r="D68" s="87"/>
      <c r="E68" s="87"/>
    </row>
    <row r="69" spans="2:5" ht="15.75" x14ac:dyDescent="0.25">
      <c r="B69" s="87">
        <v>12</v>
      </c>
      <c r="C69" s="92">
        <v>2.1789999999999998</v>
      </c>
      <c r="D69" s="87"/>
      <c r="E69" s="87"/>
    </row>
    <row r="70" spans="2:5" ht="15.75" x14ac:dyDescent="0.25">
      <c r="B70" s="87">
        <v>13</v>
      </c>
      <c r="C70" s="92">
        <v>2.16</v>
      </c>
      <c r="D70" s="87"/>
      <c r="E70" s="87"/>
    </row>
    <row r="71" spans="2:5" ht="15.75" x14ac:dyDescent="0.25">
      <c r="B71" s="87">
        <v>14</v>
      </c>
      <c r="C71" s="92">
        <v>2.145</v>
      </c>
      <c r="D71" s="87"/>
      <c r="E71" s="87"/>
    </row>
    <row r="72" spans="2:5" ht="15.75" x14ac:dyDescent="0.25">
      <c r="B72" s="87">
        <v>15</v>
      </c>
      <c r="C72" s="92">
        <v>2.1309999999999998</v>
      </c>
      <c r="D72" s="87"/>
      <c r="E72" s="87"/>
    </row>
    <row r="73" spans="2:5" ht="15.75" x14ac:dyDescent="0.25">
      <c r="B73" s="87">
        <v>16</v>
      </c>
      <c r="C73" s="92">
        <v>2.12</v>
      </c>
      <c r="D73" s="87"/>
      <c r="E73" s="87"/>
    </row>
    <row r="74" spans="2:5" ht="15.75" x14ac:dyDescent="0.25">
      <c r="B74" s="87">
        <v>17</v>
      </c>
      <c r="C74" s="92">
        <v>2.11</v>
      </c>
      <c r="D74" s="87"/>
      <c r="E74" s="87"/>
    </row>
    <row r="75" spans="2:5" ht="15.75" x14ac:dyDescent="0.25">
      <c r="B75" s="87">
        <v>18</v>
      </c>
      <c r="C75" s="92">
        <v>2.101</v>
      </c>
      <c r="D75" s="87"/>
      <c r="E75" s="87"/>
    </row>
    <row r="76" spans="2:5" ht="15.75" x14ac:dyDescent="0.25">
      <c r="B76" s="87">
        <v>19</v>
      </c>
      <c r="C76" s="92">
        <v>2.093</v>
      </c>
      <c r="D76" s="87"/>
      <c r="E76" s="87"/>
    </row>
    <row r="77" spans="2:5" ht="15.75" x14ac:dyDescent="0.25">
      <c r="B77" s="87">
        <v>20</v>
      </c>
      <c r="C77" s="92">
        <v>2.0859999999999999</v>
      </c>
      <c r="D77" s="87"/>
      <c r="E77" s="87"/>
    </row>
    <row r="78" spans="2:5" ht="15.75" x14ac:dyDescent="0.25">
      <c r="B78" s="87">
        <v>21</v>
      </c>
      <c r="C78" s="92">
        <v>2.08</v>
      </c>
      <c r="D78" s="87"/>
      <c r="E78" s="87"/>
    </row>
    <row r="79" spans="2:5" ht="15.75" x14ac:dyDescent="0.25">
      <c r="B79" s="87">
        <v>22</v>
      </c>
      <c r="C79" s="92">
        <v>2.0739999999999998</v>
      </c>
      <c r="D79" s="87"/>
      <c r="E79" s="87"/>
    </row>
    <row r="80" spans="2:5" ht="15.75" x14ac:dyDescent="0.25">
      <c r="B80" s="87">
        <v>23</v>
      </c>
      <c r="C80" s="92">
        <v>2.069</v>
      </c>
      <c r="D80" s="87"/>
      <c r="E80" s="87"/>
    </row>
    <row r="81" spans="2:5" ht="15.75" x14ac:dyDescent="0.25">
      <c r="B81" s="87">
        <v>24</v>
      </c>
      <c r="C81" s="92">
        <v>2.0640000000000001</v>
      </c>
      <c r="D81" s="87"/>
      <c r="E81" s="87"/>
    </row>
    <row r="82" spans="2:5" ht="15.75" x14ac:dyDescent="0.25">
      <c r="B82" s="87">
        <v>25</v>
      </c>
      <c r="C82" s="92">
        <v>2.06</v>
      </c>
      <c r="D82" s="87"/>
      <c r="E82" s="87"/>
    </row>
    <row r="83" spans="2:5" ht="15.75" x14ac:dyDescent="0.25">
      <c r="B83" s="87">
        <v>26</v>
      </c>
      <c r="C83" s="92">
        <v>2.056</v>
      </c>
      <c r="D83" s="87"/>
      <c r="E83" s="87"/>
    </row>
    <row r="84" spans="2:5" ht="15.75" x14ac:dyDescent="0.25">
      <c r="B84" s="87">
        <v>27</v>
      </c>
      <c r="C84" s="92">
        <v>2.052</v>
      </c>
      <c r="D84" s="87"/>
      <c r="E84" s="87"/>
    </row>
    <row r="85" spans="2:5" ht="15.75" x14ac:dyDescent="0.25">
      <c r="B85" s="87">
        <v>28</v>
      </c>
      <c r="C85" s="92">
        <v>2.0489999999999999</v>
      </c>
      <c r="D85" s="87"/>
      <c r="E85" s="87"/>
    </row>
    <row r="86" spans="2:5" ht="15.75" x14ac:dyDescent="0.25">
      <c r="B86" s="87">
        <v>29</v>
      </c>
      <c r="C86" s="92">
        <v>2.0449999999999999</v>
      </c>
      <c r="D86" s="87"/>
      <c r="E86" s="87"/>
    </row>
    <row r="87" spans="2:5" ht="15.75" x14ac:dyDescent="0.25">
      <c r="B87" s="87">
        <v>30</v>
      </c>
      <c r="C87" s="92">
        <v>2.0419999999999998</v>
      </c>
      <c r="D87" s="87"/>
      <c r="E87" s="87"/>
    </row>
    <row r="88" spans="2:5" ht="15.75" x14ac:dyDescent="0.25">
      <c r="B88" s="87">
        <v>31</v>
      </c>
      <c r="C88" s="92">
        <v>2.04</v>
      </c>
      <c r="D88" s="87"/>
      <c r="E88" s="87"/>
    </row>
    <row r="89" spans="2:5" ht="15.75" x14ac:dyDescent="0.25">
      <c r="B89" s="87">
        <v>32</v>
      </c>
      <c r="C89" s="92">
        <v>2.0369999999999999</v>
      </c>
      <c r="D89" s="87"/>
      <c r="E89" s="87"/>
    </row>
    <row r="90" spans="2:5" ht="15.75" x14ac:dyDescent="0.25">
      <c r="B90" s="87">
        <v>33</v>
      </c>
      <c r="C90" s="92">
        <v>2.0350000000000001</v>
      </c>
      <c r="D90" s="87"/>
      <c r="E90" s="87"/>
    </row>
    <row r="91" spans="2:5" ht="15.75" x14ac:dyDescent="0.25">
      <c r="B91" s="87">
        <v>34</v>
      </c>
      <c r="C91" s="92">
        <v>2.032</v>
      </c>
      <c r="D91" s="87"/>
      <c r="E91" s="87"/>
    </row>
    <row r="92" spans="2:5" ht="15.75" x14ac:dyDescent="0.25">
      <c r="B92" s="87">
        <v>35</v>
      </c>
      <c r="C92" s="92">
        <v>2.0299999999999998</v>
      </c>
      <c r="D92" s="87"/>
      <c r="E92" s="87"/>
    </row>
    <row r="93" spans="2:5" ht="15.75" x14ac:dyDescent="0.25">
      <c r="B93" s="87">
        <v>36</v>
      </c>
      <c r="C93" s="92">
        <v>2.028</v>
      </c>
      <c r="D93" s="87"/>
      <c r="E93" s="87"/>
    </row>
    <row r="94" spans="2:5" ht="15.75" x14ac:dyDescent="0.25">
      <c r="B94" s="87">
        <v>37</v>
      </c>
      <c r="C94" s="92">
        <v>2.0259999999999998</v>
      </c>
      <c r="D94" s="87"/>
      <c r="E94" s="87"/>
    </row>
    <row r="95" spans="2:5" ht="15.75" x14ac:dyDescent="0.25">
      <c r="B95" s="87">
        <v>38</v>
      </c>
      <c r="C95" s="92">
        <v>2.024</v>
      </c>
      <c r="D95" s="87"/>
      <c r="E95" s="87"/>
    </row>
    <row r="96" spans="2:5" ht="15.75" x14ac:dyDescent="0.25">
      <c r="B96" s="87">
        <v>39</v>
      </c>
      <c r="C96" s="92">
        <v>2.0230000000000001</v>
      </c>
      <c r="D96" s="87"/>
      <c r="E96" s="87"/>
    </row>
    <row r="97" spans="2:16" ht="15.75" x14ac:dyDescent="0.25">
      <c r="B97" s="87">
        <v>40</v>
      </c>
      <c r="C97" s="92">
        <v>2.0209999999999999</v>
      </c>
      <c r="D97" s="87"/>
      <c r="E97" s="87"/>
    </row>
    <row r="98" spans="2:16" ht="15.75" x14ac:dyDescent="0.25">
      <c r="B98" s="87">
        <v>41</v>
      </c>
      <c r="C98" s="92">
        <v>2.02</v>
      </c>
      <c r="D98" s="87"/>
      <c r="E98" s="87"/>
    </row>
    <row r="99" spans="2:16" ht="15.75" x14ac:dyDescent="0.25">
      <c r="B99" s="87">
        <v>42</v>
      </c>
      <c r="C99" s="92">
        <v>2.0179999999999998</v>
      </c>
      <c r="D99" s="87"/>
      <c r="E99" s="87"/>
    </row>
    <row r="100" spans="2:16" ht="15.75" x14ac:dyDescent="0.25">
      <c r="B100" s="87">
        <v>43</v>
      </c>
      <c r="C100" s="92">
        <v>2.0169999999999999</v>
      </c>
      <c r="D100" s="87"/>
      <c r="E100" s="87"/>
    </row>
    <row r="101" spans="2:16" ht="15.75" x14ac:dyDescent="0.25">
      <c r="B101" s="87">
        <v>44</v>
      </c>
      <c r="C101" s="92">
        <v>2.0150000000000001</v>
      </c>
      <c r="D101" s="87"/>
      <c r="E101" s="87"/>
    </row>
    <row r="102" spans="2:16" ht="15.75" x14ac:dyDescent="0.25">
      <c r="B102" s="87">
        <v>45</v>
      </c>
      <c r="C102" s="92">
        <v>2.0139999999999998</v>
      </c>
      <c r="D102" s="87"/>
      <c r="E102" s="87"/>
    </row>
    <row r="103" spans="2:16" ht="15.75" x14ac:dyDescent="0.25">
      <c r="B103" s="87">
        <v>46</v>
      </c>
      <c r="C103" s="92">
        <v>2.0129999999999999</v>
      </c>
      <c r="D103" s="87"/>
      <c r="E103" s="87"/>
    </row>
    <row r="104" spans="2:16" ht="15.75" x14ac:dyDescent="0.25">
      <c r="B104" s="87">
        <v>47</v>
      </c>
      <c r="C104" s="92">
        <v>2.012</v>
      </c>
      <c r="D104" s="87"/>
      <c r="E104" s="87"/>
    </row>
    <row r="105" spans="2:16" ht="15.75" x14ac:dyDescent="0.25">
      <c r="B105" s="87">
        <v>48</v>
      </c>
      <c r="C105" s="92">
        <v>2.0110000000000001</v>
      </c>
      <c r="D105" s="87"/>
      <c r="E105" s="87"/>
    </row>
    <row r="106" spans="2:16" ht="15.75" x14ac:dyDescent="0.25">
      <c r="B106" s="87">
        <v>49</v>
      </c>
      <c r="C106" s="92">
        <v>2.0099999999999998</v>
      </c>
      <c r="D106" s="87"/>
      <c r="E106" s="87"/>
    </row>
    <row r="107" spans="2:16" ht="15.75" x14ac:dyDescent="0.25">
      <c r="B107" s="87" t="s">
        <v>179</v>
      </c>
      <c r="C107" s="92">
        <v>2.0089999999999999</v>
      </c>
      <c r="D107" s="88"/>
      <c r="E107" s="88"/>
    </row>
    <row r="111" spans="2:16" ht="15.75" thickBot="1" x14ac:dyDescent="0.3">
      <c r="B111" s="2" t="s">
        <v>253</v>
      </c>
    </row>
    <row r="112" spans="2:16" ht="15.75" thickBot="1" x14ac:dyDescent="0.3">
      <c r="B112" s="190" t="s">
        <v>251</v>
      </c>
      <c r="C112" s="191">
        <v>1</v>
      </c>
      <c r="D112" s="191">
        <v>2</v>
      </c>
      <c r="E112" s="191">
        <v>3</v>
      </c>
      <c r="F112" s="191">
        <v>4</v>
      </c>
      <c r="G112" s="191">
        <v>5</v>
      </c>
      <c r="H112" s="191">
        <v>6</v>
      </c>
      <c r="I112" s="191">
        <v>8</v>
      </c>
      <c r="J112" s="191">
        <v>10</v>
      </c>
      <c r="K112" s="191">
        <v>12</v>
      </c>
      <c r="L112" s="191">
        <v>16</v>
      </c>
      <c r="M112" s="191">
        <v>20</v>
      </c>
      <c r="N112" s="191">
        <v>24</v>
      </c>
      <c r="O112" s="191">
        <v>50</v>
      </c>
      <c r="P112" s="192" t="s">
        <v>252</v>
      </c>
    </row>
    <row r="113" spans="2:16" ht="15.75" thickBot="1" x14ac:dyDescent="0.3">
      <c r="B113" s="193">
        <v>1</v>
      </c>
      <c r="C113" s="194">
        <v>4052</v>
      </c>
      <c r="D113" s="194">
        <v>4999</v>
      </c>
      <c r="E113" s="194">
        <v>5403</v>
      </c>
      <c r="F113" s="195">
        <v>5625</v>
      </c>
      <c r="G113" s="194">
        <v>5764</v>
      </c>
      <c r="H113" s="195">
        <v>5859</v>
      </c>
      <c r="I113" s="195">
        <v>5981</v>
      </c>
      <c r="J113" s="194">
        <v>6056</v>
      </c>
      <c r="K113" s="194">
        <v>6106</v>
      </c>
      <c r="L113" s="194">
        <v>6169</v>
      </c>
      <c r="M113" s="194">
        <v>6208</v>
      </c>
      <c r="N113" s="194">
        <v>6234</v>
      </c>
      <c r="O113" s="195">
        <v>6302</v>
      </c>
      <c r="P113" s="194">
        <v>6366</v>
      </c>
    </row>
    <row r="114" spans="2:16" ht="15.75" thickBot="1" x14ac:dyDescent="0.3">
      <c r="B114" s="193">
        <v>2</v>
      </c>
      <c r="C114" s="194">
        <v>98.49</v>
      </c>
      <c r="D114" s="194">
        <v>99</v>
      </c>
      <c r="E114" s="194">
        <v>99.17</v>
      </c>
      <c r="F114" s="194">
        <v>99.25</v>
      </c>
      <c r="G114" s="194">
        <v>99.3</v>
      </c>
      <c r="H114" s="194">
        <v>99.33</v>
      </c>
      <c r="I114" s="194">
        <v>99.36</v>
      </c>
      <c r="J114" s="194">
        <v>99.4</v>
      </c>
      <c r="K114" s="194">
        <v>99.42</v>
      </c>
      <c r="L114" s="194">
        <v>99.44</v>
      </c>
      <c r="M114" s="194">
        <v>99.45</v>
      </c>
      <c r="N114" s="194">
        <v>99.46</v>
      </c>
      <c r="O114" s="194">
        <v>99.48</v>
      </c>
      <c r="P114" s="194">
        <v>99.5</v>
      </c>
    </row>
    <row r="115" spans="2:16" ht="15.75" thickBot="1" x14ac:dyDescent="0.3">
      <c r="B115" s="193">
        <v>3</v>
      </c>
      <c r="C115" s="194">
        <v>34.119999999999997</v>
      </c>
      <c r="D115" s="194">
        <v>30.81</v>
      </c>
      <c r="E115" s="194">
        <v>29.46</v>
      </c>
      <c r="F115" s="194">
        <v>28.71</v>
      </c>
      <c r="G115" s="194">
        <v>28.24</v>
      </c>
      <c r="H115" s="194">
        <v>27.91</v>
      </c>
      <c r="I115" s="194">
        <v>27.49</v>
      </c>
      <c r="J115" s="194">
        <v>27.23</v>
      </c>
      <c r="K115" s="194">
        <v>27.05</v>
      </c>
      <c r="L115" s="194">
        <v>26.83</v>
      </c>
      <c r="M115" s="194">
        <v>26.65</v>
      </c>
      <c r="N115" s="194">
        <v>26.6</v>
      </c>
      <c r="O115" s="194">
        <v>25.35</v>
      </c>
      <c r="P115" s="194">
        <v>26.12</v>
      </c>
    </row>
    <row r="116" spans="2:16" ht="15.75" thickBot="1" x14ac:dyDescent="0.3">
      <c r="B116" s="193">
        <v>4</v>
      </c>
      <c r="C116" s="194">
        <v>21.2</v>
      </c>
      <c r="D116" s="194">
        <v>18</v>
      </c>
      <c r="E116" s="194">
        <v>16.690000000000001</v>
      </c>
      <c r="F116" s="194">
        <v>15.98</v>
      </c>
      <c r="G116" s="194">
        <v>15.52</v>
      </c>
      <c r="H116" s="194">
        <v>15.21</v>
      </c>
      <c r="I116" s="194">
        <v>14.8</v>
      </c>
      <c r="J116" s="194">
        <v>14.54</v>
      </c>
      <c r="K116" s="194">
        <v>14.37</v>
      </c>
      <c r="L116" s="194">
        <v>14.15</v>
      </c>
      <c r="M116" s="194">
        <v>14.02</v>
      </c>
      <c r="N116" s="194">
        <v>13.93</v>
      </c>
      <c r="O116" s="194">
        <v>13.69</v>
      </c>
      <c r="P116" s="194">
        <v>13.46</v>
      </c>
    </row>
    <row r="117" spans="2:16" ht="15.75" thickBot="1" x14ac:dyDescent="0.3">
      <c r="B117" s="193">
        <v>5</v>
      </c>
      <c r="C117" s="194">
        <v>16.260000000000002</v>
      </c>
      <c r="D117" s="194">
        <v>13.27</v>
      </c>
      <c r="E117" s="194">
        <v>12.06</v>
      </c>
      <c r="F117" s="194">
        <v>11.39</v>
      </c>
      <c r="G117" s="194">
        <v>10.97</v>
      </c>
      <c r="H117" s="194">
        <v>10.67</v>
      </c>
      <c r="I117" s="194">
        <v>10.27</v>
      </c>
      <c r="J117" s="194">
        <v>10.050000000000001</v>
      </c>
      <c r="K117" s="194">
        <v>9.89</v>
      </c>
      <c r="L117" s="194">
        <v>9.68</v>
      </c>
      <c r="M117" s="194">
        <v>9.5500000000000007</v>
      </c>
      <c r="N117" s="194">
        <v>9.4700000000000006</v>
      </c>
      <c r="O117" s="194">
        <v>9.24</v>
      </c>
      <c r="P117" s="194">
        <v>9.02</v>
      </c>
    </row>
    <row r="118" spans="2:16" ht="15.75" thickBot="1" x14ac:dyDescent="0.3">
      <c r="B118" s="193">
        <v>6</v>
      </c>
      <c r="C118" s="194">
        <v>13.74</v>
      </c>
      <c r="D118" s="194">
        <v>10.92</v>
      </c>
      <c r="E118" s="194">
        <v>9.7799999999999994</v>
      </c>
      <c r="F118" s="194">
        <v>9.15</v>
      </c>
      <c r="G118" s="194">
        <v>8.75</v>
      </c>
      <c r="H118" s="194">
        <v>8.4700000000000006</v>
      </c>
      <c r="I118" s="194">
        <v>8.1</v>
      </c>
      <c r="J118" s="194">
        <v>7.87</v>
      </c>
      <c r="K118" s="194">
        <v>7.72</v>
      </c>
      <c r="L118" s="194">
        <v>7.52</v>
      </c>
      <c r="M118" s="194">
        <v>7.39</v>
      </c>
      <c r="N118" s="194">
        <v>7.31</v>
      </c>
      <c r="O118" s="194">
        <v>7.09</v>
      </c>
      <c r="P118" s="194">
        <v>6.88</v>
      </c>
    </row>
    <row r="119" spans="2:16" ht="15.75" thickBot="1" x14ac:dyDescent="0.3">
      <c r="B119" s="193">
        <v>7</v>
      </c>
      <c r="C119" s="194">
        <v>12.25</v>
      </c>
      <c r="D119" s="194">
        <v>9.5500000000000007</v>
      </c>
      <c r="E119" s="194">
        <v>8.4499999999999993</v>
      </c>
      <c r="F119" s="194">
        <v>7.85</v>
      </c>
      <c r="G119" s="194">
        <v>7.46</v>
      </c>
      <c r="H119" s="194">
        <v>7.19</v>
      </c>
      <c r="I119" s="194">
        <v>6.84</v>
      </c>
      <c r="J119" s="194">
        <v>6.62</v>
      </c>
      <c r="K119" s="194">
        <v>6.47</v>
      </c>
      <c r="L119" s="194">
        <v>6.27</v>
      </c>
      <c r="M119" s="194">
        <v>6.15</v>
      </c>
      <c r="N119" s="194">
        <v>6.07</v>
      </c>
      <c r="O119" s="194">
        <v>5.85</v>
      </c>
      <c r="P119" s="194">
        <v>5.65</v>
      </c>
    </row>
    <row r="120" spans="2:16" ht="15.75" thickBot="1" x14ac:dyDescent="0.3">
      <c r="B120" s="193">
        <v>8</v>
      </c>
      <c r="C120" s="194">
        <v>11.26</v>
      </c>
      <c r="D120" s="194">
        <v>8.65</v>
      </c>
      <c r="E120" s="194">
        <v>7.59</v>
      </c>
      <c r="F120" s="194">
        <v>7.01</v>
      </c>
      <c r="G120" s="194">
        <v>6.63</v>
      </c>
      <c r="H120" s="194">
        <v>6.37</v>
      </c>
      <c r="I120" s="194">
        <v>6.03</v>
      </c>
      <c r="J120" s="194">
        <v>5.82</v>
      </c>
      <c r="K120" s="194">
        <v>5.67</v>
      </c>
      <c r="L120" s="194">
        <v>5.48</v>
      </c>
      <c r="M120" s="194">
        <v>5.36</v>
      </c>
      <c r="N120" s="194">
        <v>5.38</v>
      </c>
      <c r="O120" s="194">
        <v>5.0599999999999996</v>
      </c>
      <c r="P120" s="194">
        <v>4.8600000000000003</v>
      </c>
    </row>
    <row r="121" spans="2:16" ht="15.75" thickBot="1" x14ac:dyDescent="0.3">
      <c r="B121" s="193">
        <v>9</v>
      </c>
      <c r="C121" s="194">
        <v>10.56</v>
      </c>
      <c r="D121" s="194">
        <v>8.02</v>
      </c>
      <c r="E121" s="194">
        <v>6.99</v>
      </c>
      <c r="F121" s="194">
        <v>6.42</v>
      </c>
      <c r="G121" s="194">
        <v>6.06</v>
      </c>
      <c r="H121" s="194">
        <v>5.8</v>
      </c>
      <c r="I121" s="194">
        <v>5.47</v>
      </c>
      <c r="J121" s="194">
        <v>5.26</v>
      </c>
      <c r="K121" s="194">
        <v>5.1100000000000003</v>
      </c>
      <c r="L121" s="194">
        <v>4.92</v>
      </c>
      <c r="M121" s="194">
        <v>4.8</v>
      </c>
      <c r="N121" s="194">
        <v>4.7300000000000004</v>
      </c>
      <c r="O121" s="194">
        <v>4.51</v>
      </c>
      <c r="P121" s="194">
        <v>4.3099999999999996</v>
      </c>
    </row>
    <row r="122" spans="2:16" ht="15.75" thickBot="1" x14ac:dyDescent="0.3">
      <c r="B122" s="193">
        <v>10</v>
      </c>
      <c r="C122" s="194">
        <v>10.039999999999999</v>
      </c>
      <c r="D122" s="194">
        <v>7.56</v>
      </c>
      <c r="E122" s="194">
        <v>6.55</v>
      </c>
      <c r="F122" s="194">
        <v>5.99</v>
      </c>
      <c r="G122" s="194">
        <v>5.64</v>
      </c>
      <c r="H122" s="194">
        <v>5.39</v>
      </c>
      <c r="I122" s="194">
        <v>5.0599999999999996</v>
      </c>
      <c r="J122" s="194">
        <v>4.8499999999999996</v>
      </c>
      <c r="K122" s="194">
        <v>4.71</v>
      </c>
      <c r="L122" s="194">
        <v>4.5199999999999996</v>
      </c>
      <c r="M122" s="194">
        <v>4.41</v>
      </c>
      <c r="N122" s="194">
        <v>4.33</v>
      </c>
      <c r="O122" s="194">
        <v>4.12</v>
      </c>
      <c r="P122" s="194">
        <v>3.91</v>
      </c>
    </row>
    <row r="123" spans="2:16" ht="15.75" thickBot="1" x14ac:dyDescent="0.3">
      <c r="B123" s="193">
        <v>11</v>
      </c>
      <c r="C123" s="194">
        <v>9.65</v>
      </c>
      <c r="D123" s="194">
        <v>7.2</v>
      </c>
      <c r="E123" s="194">
        <v>6.22</v>
      </c>
      <c r="F123" s="194">
        <v>5.67</v>
      </c>
      <c r="G123" s="194">
        <v>5.32</v>
      </c>
      <c r="H123" s="194">
        <v>5.07</v>
      </c>
      <c r="I123" s="194">
        <v>4.74</v>
      </c>
      <c r="J123" s="194">
        <v>4.54</v>
      </c>
      <c r="K123" s="194">
        <v>4.4000000000000004</v>
      </c>
      <c r="L123" s="194">
        <v>4.21</v>
      </c>
      <c r="M123" s="194">
        <v>4.0999999999999996</v>
      </c>
      <c r="N123" s="194">
        <v>4.0199999999999996</v>
      </c>
      <c r="O123" s="194">
        <v>3.8</v>
      </c>
      <c r="P123" s="194">
        <v>3.6</v>
      </c>
    </row>
    <row r="124" spans="2:16" ht="15.75" thickBot="1" x14ac:dyDescent="0.3">
      <c r="B124" s="193">
        <v>12</v>
      </c>
      <c r="C124" s="194">
        <v>9.33</v>
      </c>
      <c r="D124" s="194">
        <v>6.93</v>
      </c>
      <c r="E124" s="194">
        <v>5.95</v>
      </c>
      <c r="F124" s="194">
        <v>5.41</v>
      </c>
      <c r="G124" s="194">
        <v>5.0599999999999996</v>
      </c>
      <c r="H124" s="194">
        <v>4.82</v>
      </c>
      <c r="I124" s="194">
        <v>4.5</v>
      </c>
      <c r="J124" s="194">
        <v>4.3</v>
      </c>
      <c r="K124" s="194">
        <v>4.16</v>
      </c>
      <c r="L124" s="194">
        <v>3.98</v>
      </c>
      <c r="M124" s="194">
        <v>3.86</v>
      </c>
      <c r="N124" s="194">
        <v>3.78</v>
      </c>
      <c r="O124" s="194">
        <v>3.56</v>
      </c>
      <c r="P124" s="194">
        <v>3.36</v>
      </c>
    </row>
    <row r="125" spans="2:16" ht="15.75" thickBot="1" x14ac:dyDescent="0.3">
      <c r="B125" s="193">
        <v>13</v>
      </c>
      <c r="C125" s="194">
        <v>9.07</v>
      </c>
      <c r="D125" s="194">
        <v>6.7</v>
      </c>
      <c r="E125" s="194">
        <v>5.74</v>
      </c>
      <c r="F125" s="194">
        <v>5.2</v>
      </c>
      <c r="G125" s="194">
        <v>4.8600000000000003</v>
      </c>
      <c r="H125" s="194">
        <v>4.62</v>
      </c>
      <c r="I125" s="194">
        <v>4.3</v>
      </c>
      <c r="J125" s="194">
        <v>4.0999999999999996</v>
      </c>
      <c r="K125" s="194">
        <v>3.96</v>
      </c>
      <c r="L125" s="194">
        <v>3.78</v>
      </c>
      <c r="M125" s="194">
        <v>3.67</v>
      </c>
      <c r="N125" s="194">
        <v>3.59</v>
      </c>
      <c r="O125" s="194">
        <v>3.37</v>
      </c>
      <c r="P125" s="194">
        <v>3.16</v>
      </c>
    </row>
    <row r="126" spans="2:16" ht="15.75" thickBot="1" x14ac:dyDescent="0.3">
      <c r="B126" s="193">
        <v>14</v>
      </c>
      <c r="C126" s="194">
        <v>8.86</v>
      </c>
      <c r="D126" s="194">
        <v>6.51</v>
      </c>
      <c r="E126" s="194">
        <v>5.56</v>
      </c>
      <c r="F126" s="194">
        <v>5.03</v>
      </c>
      <c r="G126" s="194">
        <v>4.6900000000000004</v>
      </c>
      <c r="H126" s="194">
        <v>4.46</v>
      </c>
      <c r="I126" s="194">
        <v>4.1399999999999997</v>
      </c>
      <c r="J126" s="194">
        <v>3.94</v>
      </c>
      <c r="K126" s="194">
        <v>3.8</v>
      </c>
      <c r="L126" s="194">
        <v>3.62</v>
      </c>
      <c r="M126" s="194">
        <v>3.51</v>
      </c>
      <c r="N126" s="194">
        <v>3.43</v>
      </c>
      <c r="O126" s="194">
        <v>3.21</v>
      </c>
      <c r="P126" s="194">
        <v>3</v>
      </c>
    </row>
    <row r="127" spans="2:16" ht="15.75" thickBot="1" x14ac:dyDescent="0.3">
      <c r="B127" s="193">
        <v>15</v>
      </c>
      <c r="C127" s="194">
        <v>8.68</v>
      </c>
      <c r="D127" s="194">
        <v>6.36</v>
      </c>
      <c r="E127" s="194">
        <v>5.42</v>
      </c>
      <c r="F127" s="194">
        <v>4.8899999999999997</v>
      </c>
      <c r="G127" s="194">
        <v>4.5599999999999996</v>
      </c>
      <c r="H127" s="194">
        <v>4.32</v>
      </c>
      <c r="I127" s="194">
        <v>4</v>
      </c>
      <c r="J127" s="194">
        <v>3.8</v>
      </c>
      <c r="K127" s="194">
        <v>3.67</v>
      </c>
      <c r="L127" s="194">
        <v>3.48</v>
      </c>
      <c r="M127" s="194">
        <v>3.36</v>
      </c>
      <c r="N127" s="194">
        <v>3.29</v>
      </c>
      <c r="O127" s="194">
        <v>3.07</v>
      </c>
      <c r="P127" s="194">
        <v>2.87</v>
      </c>
    </row>
    <row r="128" spans="2:16" ht="15.75" thickBot="1" x14ac:dyDescent="0.3">
      <c r="B128" s="193">
        <v>16</v>
      </c>
      <c r="C128" s="194">
        <v>8.5299999999999994</v>
      </c>
      <c r="D128" s="194">
        <v>6.23</v>
      </c>
      <c r="E128" s="194">
        <v>5.29</v>
      </c>
      <c r="F128" s="194">
        <v>4.7699999999999996</v>
      </c>
      <c r="G128" s="194">
        <v>4.4400000000000004</v>
      </c>
      <c r="H128" s="194">
        <v>4.2</v>
      </c>
      <c r="I128" s="194">
        <v>3.89</v>
      </c>
      <c r="J128" s="194">
        <v>3.69</v>
      </c>
      <c r="K128" s="194">
        <v>3.55</v>
      </c>
      <c r="L128" s="194">
        <v>3.37</v>
      </c>
      <c r="M128" s="194">
        <v>3.25</v>
      </c>
      <c r="N128" s="194">
        <v>3.18</v>
      </c>
      <c r="O128" s="194">
        <v>2.96</v>
      </c>
      <c r="P128" s="194">
        <v>2.75</v>
      </c>
    </row>
    <row r="129" spans="2:16" ht="15.75" thickBot="1" x14ac:dyDescent="0.3">
      <c r="B129" s="193">
        <v>17</v>
      </c>
      <c r="C129" s="194">
        <v>8.4</v>
      </c>
      <c r="D129" s="194">
        <v>6.11</v>
      </c>
      <c r="E129" s="194">
        <v>5.18</v>
      </c>
      <c r="F129" s="194">
        <v>4.67</v>
      </c>
      <c r="G129" s="194">
        <v>4.34</v>
      </c>
      <c r="H129" s="194">
        <v>4.0999999999999996</v>
      </c>
      <c r="I129" s="194">
        <v>3.79</v>
      </c>
      <c r="J129" s="194">
        <v>3.59</v>
      </c>
      <c r="K129" s="194">
        <v>3.45</v>
      </c>
      <c r="L129" s="194">
        <v>3.27</v>
      </c>
      <c r="M129" s="194">
        <v>3.16</v>
      </c>
      <c r="N129" s="194">
        <v>3.08</v>
      </c>
      <c r="O129" s="194">
        <v>2.86</v>
      </c>
      <c r="P129" s="194">
        <v>2.65</v>
      </c>
    </row>
    <row r="130" spans="2:16" ht="15.75" thickBot="1" x14ac:dyDescent="0.3">
      <c r="B130" s="193">
        <v>18</v>
      </c>
      <c r="C130" s="194">
        <v>8.2799999999999994</v>
      </c>
      <c r="D130" s="194">
        <v>6.01</v>
      </c>
      <c r="E130" s="194">
        <v>5.09</v>
      </c>
      <c r="F130" s="194">
        <v>4.58</v>
      </c>
      <c r="G130" s="194">
        <v>4.25</v>
      </c>
      <c r="H130" s="194">
        <v>4.01</v>
      </c>
      <c r="I130" s="194">
        <v>3.71</v>
      </c>
      <c r="J130" s="194">
        <v>3.51</v>
      </c>
      <c r="K130" s="194">
        <v>3.37</v>
      </c>
      <c r="L130" s="194">
        <v>3.19</v>
      </c>
      <c r="M130" s="194">
        <v>3.07</v>
      </c>
      <c r="N130" s="194">
        <v>3</v>
      </c>
      <c r="O130" s="194">
        <v>2.78</v>
      </c>
      <c r="P130" s="194">
        <v>2.57</v>
      </c>
    </row>
    <row r="131" spans="2:16" ht="15.75" thickBot="1" x14ac:dyDescent="0.3">
      <c r="B131" s="193">
        <v>19</v>
      </c>
      <c r="C131" s="194">
        <v>8.18</v>
      </c>
      <c r="D131" s="194">
        <v>5.93</v>
      </c>
      <c r="E131" s="194">
        <v>5.01</v>
      </c>
      <c r="F131" s="194">
        <v>4.5</v>
      </c>
      <c r="G131" s="194">
        <v>4.17</v>
      </c>
      <c r="H131" s="194">
        <v>3.94</v>
      </c>
      <c r="I131" s="194">
        <v>3.63</v>
      </c>
      <c r="J131" s="194">
        <v>3.43</v>
      </c>
      <c r="K131" s="194">
        <v>3.3</v>
      </c>
      <c r="L131" s="194">
        <v>3.12</v>
      </c>
      <c r="M131" s="194">
        <v>3</v>
      </c>
      <c r="N131" s="194">
        <v>2.92</v>
      </c>
      <c r="O131" s="194">
        <v>2.7</v>
      </c>
      <c r="P131" s="194">
        <v>2.4900000000000002</v>
      </c>
    </row>
    <row r="132" spans="2:16" ht="15.75" thickBot="1" x14ac:dyDescent="0.3">
      <c r="B132" s="193">
        <v>20</v>
      </c>
      <c r="C132" s="194">
        <v>8.1</v>
      </c>
      <c r="D132" s="194">
        <v>5.85</v>
      </c>
      <c r="E132" s="194">
        <v>4.9400000000000004</v>
      </c>
      <c r="F132" s="194">
        <v>4.43</v>
      </c>
      <c r="G132" s="194">
        <v>4.0999999999999996</v>
      </c>
      <c r="H132" s="194">
        <v>3.87</v>
      </c>
      <c r="I132" s="194">
        <v>3.56</v>
      </c>
      <c r="J132" s="194">
        <v>3.37</v>
      </c>
      <c r="K132" s="194">
        <v>3.23</v>
      </c>
      <c r="L132" s="194">
        <v>3.05</v>
      </c>
      <c r="M132" s="194">
        <v>2.94</v>
      </c>
      <c r="N132" s="194">
        <v>2.86</v>
      </c>
      <c r="O132" s="194">
        <v>2.63</v>
      </c>
      <c r="P132" s="194">
        <v>2.42</v>
      </c>
    </row>
    <row r="133" spans="2:16" ht="15.75" thickBot="1" x14ac:dyDescent="0.3">
      <c r="B133" s="193">
        <v>21</v>
      </c>
      <c r="C133" s="194">
        <v>8.02</v>
      </c>
      <c r="D133" s="194">
        <v>5.78</v>
      </c>
      <c r="E133" s="194">
        <v>4.87</v>
      </c>
      <c r="F133" s="194">
        <v>4.37</v>
      </c>
      <c r="G133" s="194">
        <v>4.04</v>
      </c>
      <c r="H133" s="194">
        <v>3.81</v>
      </c>
      <c r="I133" s="194">
        <v>3.51</v>
      </c>
      <c r="J133" s="194">
        <v>3.31</v>
      </c>
      <c r="K133" s="194">
        <v>3.17</v>
      </c>
      <c r="L133" s="194">
        <v>2.99</v>
      </c>
      <c r="M133" s="194">
        <v>2.88</v>
      </c>
      <c r="N133" s="194">
        <v>2.8</v>
      </c>
      <c r="O133" s="194">
        <v>2.58</v>
      </c>
      <c r="P133" s="194">
        <v>2.36</v>
      </c>
    </row>
    <row r="134" spans="2:16" ht="15.75" thickBot="1" x14ac:dyDescent="0.3">
      <c r="B134" s="193">
        <v>22</v>
      </c>
      <c r="C134" s="194">
        <v>7.94</v>
      </c>
      <c r="D134" s="194">
        <v>5.72</v>
      </c>
      <c r="E134" s="194">
        <v>4.82</v>
      </c>
      <c r="F134" s="194">
        <v>4.3099999999999996</v>
      </c>
      <c r="G134" s="194">
        <v>3.99</v>
      </c>
      <c r="H134" s="194">
        <v>3.76</v>
      </c>
      <c r="I134" s="194">
        <v>3.45</v>
      </c>
      <c r="J134" s="194">
        <v>3.26</v>
      </c>
      <c r="K134" s="194">
        <v>3.12</v>
      </c>
      <c r="L134" s="194">
        <v>2.94</v>
      </c>
      <c r="M134" s="194">
        <v>2.83</v>
      </c>
      <c r="N134" s="194">
        <v>2.75</v>
      </c>
      <c r="O134" s="194">
        <v>2.5299999999999998</v>
      </c>
      <c r="P134" s="194">
        <v>2.31</v>
      </c>
    </row>
    <row r="135" spans="2:16" ht="15.75" thickBot="1" x14ac:dyDescent="0.3">
      <c r="B135" s="193">
        <v>23</v>
      </c>
      <c r="C135" s="194">
        <v>7.88</v>
      </c>
      <c r="D135" s="194">
        <v>5.66</v>
      </c>
      <c r="E135" s="194">
        <v>4.76</v>
      </c>
      <c r="F135" s="194">
        <v>4.26</v>
      </c>
      <c r="G135" s="194">
        <v>3.94</v>
      </c>
      <c r="H135" s="194">
        <v>3.71</v>
      </c>
      <c r="I135" s="194">
        <v>3.41</v>
      </c>
      <c r="J135" s="194">
        <v>3.21</v>
      </c>
      <c r="K135" s="194">
        <v>3.07</v>
      </c>
      <c r="L135" s="194">
        <v>2.89</v>
      </c>
      <c r="M135" s="194">
        <v>2.78</v>
      </c>
      <c r="N135" s="194">
        <v>2.7</v>
      </c>
      <c r="O135" s="194">
        <v>2.48</v>
      </c>
      <c r="P135" s="194">
        <v>2.2599999999999998</v>
      </c>
    </row>
    <row r="136" spans="2:16" ht="15.75" thickBot="1" x14ac:dyDescent="0.3">
      <c r="B136" s="193">
        <v>24</v>
      </c>
      <c r="C136" s="194">
        <v>7.82</v>
      </c>
      <c r="D136" s="194">
        <v>5.61</v>
      </c>
      <c r="E136" s="194">
        <v>4.72</v>
      </c>
      <c r="F136" s="194">
        <v>4.22</v>
      </c>
      <c r="G136" s="194">
        <v>3.9</v>
      </c>
      <c r="H136" s="194">
        <v>3.67</v>
      </c>
      <c r="I136" s="194">
        <v>3.36</v>
      </c>
      <c r="J136" s="194">
        <v>3.17</v>
      </c>
      <c r="K136" s="194">
        <v>3.03</v>
      </c>
      <c r="L136" s="194">
        <v>2.85</v>
      </c>
      <c r="M136" s="194">
        <v>2.74</v>
      </c>
      <c r="N136" s="194">
        <v>2.66</v>
      </c>
      <c r="O136" s="194">
        <v>2.44</v>
      </c>
      <c r="P136" s="194">
        <v>2.21</v>
      </c>
    </row>
    <row r="137" spans="2:16" ht="15.75" thickBot="1" x14ac:dyDescent="0.3">
      <c r="B137" s="193">
        <v>25</v>
      </c>
      <c r="C137" s="194">
        <v>7.77</v>
      </c>
      <c r="D137" s="194">
        <v>5.57</v>
      </c>
      <c r="E137" s="194">
        <v>4.68</v>
      </c>
      <c r="F137" s="194">
        <v>4.18</v>
      </c>
      <c r="G137" s="194">
        <v>3.86</v>
      </c>
      <c r="H137" s="194">
        <v>3.63</v>
      </c>
      <c r="I137" s="194">
        <v>3.32</v>
      </c>
      <c r="J137" s="194">
        <v>3.13</v>
      </c>
      <c r="K137" s="194">
        <v>2.99</v>
      </c>
      <c r="L137" s="194">
        <v>2.81</v>
      </c>
      <c r="M137" s="194">
        <v>2.7</v>
      </c>
      <c r="N137" s="194">
        <v>2.62</v>
      </c>
      <c r="O137" s="194">
        <v>2.4</v>
      </c>
      <c r="P137" s="194">
        <v>2.17</v>
      </c>
    </row>
    <row r="138" spans="2:16" ht="15.75" thickBot="1" x14ac:dyDescent="0.3">
      <c r="B138" s="193">
        <v>26</v>
      </c>
      <c r="C138" s="194">
        <v>7.72</v>
      </c>
      <c r="D138" s="194">
        <v>5.53</v>
      </c>
      <c r="E138" s="194">
        <v>4.6399999999999997</v>
      </c>
      <c r="F138" s="194">
        <v>4.1399999999999997</v>
      </c>
      <c r="G138" s="194">
        <v>3.82</v>
      </c>
      <c r="H138" s="194">
        <v>3.59</v>
      </c>
      <c r="I138" s="194">
        <v>3.29</v>
      </c>
      <c r="J138" s="194">
        <v>3.09</v>
      </c>
      <c r="K138" s="194">
        <v>2.96</v>
      </c>
      <c r="L138" s="194">
        <v>2.77</v>
      </c>
      <c r="M138" s="194">
        <v>2.66</v>
      </c>
      <c r="N138" s="194">
        <v>2.58</v>
      </c>
      <c r="O138" s="194">
        <v>2.36</v>
      </c>
      <c r="P138" s="194">
        <v>2.13</v>
      </c>
    </row>
    <row r="139" spans="2:16" ht="15.75" thickBot="1" x14ac:dyDescent="0.3">
      <c r="B139" s="193">
        <v>27</v>
      </c>
      <c r="C139" s="194">
        <v>7.68</v>
      </c>
      <c r="D139" s="194">
        <v>5.49</v>
      </c>
      <c r="E139" s="194">
        <v>4.5999999999999996</v>
      </c>
      <c r="F139" s="194">
        <v>4.1100000000000003</v>
      </c>
      <c r="G139" s="194">
        <v>3.78</v>
      </c>
      <c r="H139" s="194">
        <v>3.56</v>
      </c>
      <c r="I139" s="194">
        <v>3.26</v>
      </c>
      <c r="J139" s="194">
        <v>3.06</v>
      </c>
      <c r="K139" s="194">
        <v>2.93</v>
      </c>
      <c r="L139" s="194">
        <v>2.74</v>
      </c>
      <c r="M139" s="194">
        <v>2.63</v>
      </c>
      <c r="N139" s="194">
        <v>2.5499999999999998</v>
      </c>
      <c r="O139" s="194">
        <v>2.33</v>
      </c>
      <c r="P139" s="194">
        <v>2.1</v>
      </c>
    </row>
    <row r="140" spans="2:16" ht="15.75" thickBot="1" x14ac:dyDescent="0.3">
      <c r="B140" s="193">
        <v>28</v>
      </c>
      <c r="C140" s="194">
        <v>7.64</v>
      </c>
      <c r="D140" s="194">
        <v>5.45</v>
      </c>
      <c r="E140" s="194">
        <v>4.57</v>
      </c>
      <c r="F140" s="194">
        <v>4.07</v>
      </c>
      <c r="G140" s="194">
        <v>3.75</v>
      </c>
      <c r="H140" s="194">
        <v>3.53</v>
      </c>
      <c r="I140" s="196">
        <v>3.23</v>
      </c>
      <c r="J140" s="194">
        <v>3.03</v>
      </c>
      <c r="K140" s="194">
        <v>2.9</v>
      </c>
      <c r="L140" s="194">
        <v>2.71</v>
      </c>
      <c r="M140" s="194">
        <v>2.6</v>
      </c>
      <c r="N140" s="194">
        <v>2.52</v>
      </c>
      <c r="O140" s="194">
        <v>2.2999999999999998</v>
      </c>
      <c r="P140" s="194">
        <v>2.06</v>
      </c>
    </row>
    <row r="141" spans="2:16" ht="15.75" thickBot="1" x14ac:dyDescent="0.3">
      <c r="B141" s="193">
        <v>29</v>
      </c>
      <c r="C141" s="194">
        <v>7.6</v>
      </c>
      <c r="D141" s="194">
        <v>5.42</v>
      </c>
      <c r="E141" s="194">
        <v>4.54</v>
      </c>
      <c r="F141" s="194">
        <v>4.04</v>
      </c>
      <c r="G141" s="194">
        <v>3.73</v>
      </c>
      <c r="H141" s="194">
        <v>3.5</v>
      </c>
      <c r="I141" s="194">
        <v>3.2</v>
      </c>
      <c r="J141" s="194">
        <v>3</v>
      </c>
      <c r="K141" s="194">
        <v>2.87</v>
      </c>
      <c r="L141" s="194">
        <v>2.68</v>
      </c>
      <c r="M141" s="194">
        <v>2.57</v>
      </c>
      <c r="N141" s="194">
        <v>2.4900000000000002</v>
      </c>
      <c r="O141" s="194">
        <v>2.27</v>
      </c>
      <c r="P141" s="194">
        <v>2.0299999999999998</v>
      </c>
    </row>
    <row r="142" spans="2:16" ht="15.75" thickBot="1" x14ac:dyDescent="0.3">
      <c r="B142" s="193">
        <v>30</v>
      </c>
      <c r="C142" s="194">
        <v>7.56</v>
      </c>
      <c r="D142" s="194">
        <v>5.39</v>
      </c>
      <c r="E142" s="194">
        <v>4.51</v>
      </c>
      <c r="F142" s="194">
        <v>4.0199999999999996</v>
      </c>
      <c r="G142" s="194">
        <v>3.7</v>
      </c>
      <c r="H142" s="194">
        <v>3.47</v>
      </c>
      <c r="I142" s="194">
        <v>3.17</v>
      </c>
      <c r="J142" s="194">
        <v>2.98</v>
      </c>
      <c r="K142" s="194">
        <v>2.84</v>
      </c>
      <c r="L142" s="194">
        <v>2.66</v>
      </c>
      <c r="M142" s="194">
        <v>2.5499999999999998</v>
      </c>
      <c r="N142" s="194">
        <v>2.4700000000000002</v>
      </c>
      <c r="O142" s="194">
        <v>2.2400000000000002</v>
      </c>
      <c r="P142" s="194">
        <v>2.0099999999999998</v>
      </c>
    </row>
    <row r="143" spans="2:16" ht="15.75" thickBot="1" x14ac:dyDescent="0.3">
      <c r="B143" s="193">
        <v>40</v>
      </c>
      <c r="C143" s="194">
        <v>7.31</v>
      </c>
      <c r="D143" s="194">
        <v>5.18</v>
      </c>
      <c r="E143" s="194">
        <v>4.3099999999999996</v>
      </c>
      <c r="F143" s="194">
        <v>3.83</v>
      </c>
      <c r="G143" s="194">
        <v>3.51</v>
      </c>
      <c r="H143" s="194">
        <v>3.29</v>
      </c>
      <c r="I143" s="194">
        <v>2.99</v>
      </c>
      <c r="J143" s="194">
        <v>2.8</v>
      </c>
      <c r="K143" s="194">
        <v>2.66</v>
      </c>
      <c r="L143" s="194">
        <v>2.4900000000000002</v>
      </c>
      <c r="M143" s="194">
        <v>2.37</v>
      </c>
      <c r="N143" s="194">
        <v>2.29</v>
      </c>
      <c r="O143" s="194">
        <v>2.0499999999999998</v>
      </c>
      <c r="P143" s="194">
        <v>1.8</v>
      </c>
    </row>
    <row r="144" spans="2:16" ht="15.75" thickBot="1" x14ac:dyDescent="0.3">
      <c r="B144" s="193">
        <v>60</v>
      </c>
      <c r="C144" s="194">
        <v>7.08</v>
      </c>
      <c r="D144" s="194">
        <v>4.9800000000000004</v>
      </c>
      <c r="E144" s="194">
        <v>4.13</v>
      </c>
      <c r="F144" s="194">
        <v>3.65</v>
      </c>
      <c r="G144" s="194">
        <v>3.34</v>
      </c>
      <c r="H144" s="194">
        <v>3.12</v>
      </c>
      <c r="I144" s="194">
        <v>2.82</v>
      </c>
      <c r="J144" s="194">
        <v>2.63</v>
      </c>
      <c r="K144" s="194">
        <v>2.5</v>
      </c>
      <c r="L144" s="194">
        <v>2.3199999999999998</v>
      </c>
      <c r="M144" s="194">
        <v>2.2000000000000002</v>
      </c>
      <c r="N144" s="194">
        <v>2.12</v>
      </c>
      <c r="O144" s="194">
        <v>1.87</v>
      </c>
      <c r="P144" s="194">
        <v>1.6</v>
      </c>
    </row>
    <row r="145" spans="2:16" ht="15.75" thickBot="1" x14ac:dyDescent="0.3">
      <c r="B145" s="193">
        <v>120</v>
      </c>
      <c r="C145" s="194">
        <v>6.85</v>
      </c>
      <c r="D145" s="194">
        <v>4.79</v>
      </c>
      <c r="E145" s="194">
        <v>3.95</v>
      </c>
      <c r="F145" s="194">
        <v>3.48</v>
      </c>
      <c r="G145" s="194">
        <v>3.17</v>
      </c>
      <c r="H145" s="194">
        <v>2.96</v>
      </c>
      <c r="I145" s="194">
        <v>2.66</v>
      </c>
      <c r="J145" s="194">
        <v>2.4700000000000002</v>
      </c>
      <c r="K145" s="194">
        <v>2.34</v>
      </c>
      <c r="L145" s="194">
        <v>2.15</v>
      </c>
      <c r="M145" s="194">
        <v>2.0299999999999998</v>
      </c>
      <c r="N145" s="194">
        <v>1.95</v>
      </c>
      <c r="O145" s="194">
        <v>1.68</v>
      </c>
      <c r="P145" s="194">
        <v>1.38</v>
      </c>
    </row>
    <row r="146" spans="2:16" ht="15.75" thickBot="1" x14ac:dyDescent="0.3">
      <c r="B146" s="197" t="s">
        <v>252</v>
      </c>
      <c r="C146" s="194">
        <v>6.64</v>
      </c>
      <c r="D146" s="194">
        <v>4.5999999999999996</v>
      </c>
      <c r="E146" s="194">
        <v>3.78</v>
      </c>
      <c r="F146" s="194">
        <v>3.32</v>
      </c>
      <c r="G146" s="194">
        <v>3.02</v>
      </c>
      <c r="H146" s="194">
        <v>2.8</v>
      </c>
      <c r="I146" s="194">
        <v>2.5099999999999998</v>
      </c>
      <c r="J146" s="194">
        <v>2.23</v>
      </c>
      <c r="K146" s="194">
        <v>2.1800000000000002</v>
      </c>
      <c r="L146" s="194">
        <v>1.99</v>
      </c>
      <c r="M146" s="194">
        <v>1.87</v>
      </c>
      <c r="N146" s="194">
        <v>1.79</v>
      </c>
      <c r="O146" s="194">
        <v>1.52</v>
      </c>
      <c r="P146" s="194">
        <v>1</v>
      </c>
    </row>
    <row r="150" spans="2:16" ht="15.75" thickBot="1" x14ac:dyDescent="0.3">
      <c r="B150" s="166" t="s">
        <v>254</v>
      </c>
    </row>
    <row r="151" spans="2:16" ht="15.75" thickBot="1" x14ac:dyDescent="0.3">
      <c r="B151" s="198" t="s">
        <v>251</v>
      </c>
      <c r="C151" s="199">
        <v>1</v>
      </c>
      <c r="D151" s="199">
        <v>2</v>
      </c>
      <c r="E151" s="199">
        <v>3</v>
      </c>
      <c r="F151" s="199">
        <v>4</v>
      </c>
      <c r="G151" s="199">
        <v>5</v>
      </c>
      <c r="H151" s="199">
        <v>6</v>
      </c>
      <c r="I151" s="199">
        <v>8</v>
      </c>
      <c r="J151" s="199">
        <v>10</v>
      </c>
      <c r="K151" s="199">
        <v>12</v>
      </c>
      <c r="L151" s="199">
        <v>16</v>
      </c>
      <c r="M151" s="199">
        <v>20</v>
      </c>
      <c r="N151" s="199">
        <v>24</v>
      </c>
      <c r="O151" s="199">
        <v>50</v>
      </c>
      <c r="P151" s="200" t="s">
        <v>252</v>
      </c>
    </row>
    <row r="152" spans="2:16" ht="15.75" thickBot="1" x14ac:dyDescent="0.3">
      <c r="B152" s="201">
        <v>1</v>
      </c>
      <c r="C152" s="202">
        <v>161</v>
      </c>
      <c r="D152" s="202">
        <v>200</v>
      </c>
      <c r="E152" s="202">
        <v>216</v>
      </c>
      <c r="F152" s="202">
        <v>225</v>
      </c>
      <c r="G152" s="202">
        <v>230</v>
      </c>
      <c r="H152" s="202">
        <v>234</v>
      </c>
      <c r="I152" s="202">
        <v>239</v>
      </c>
      <c r="J152" s="202">
        <v>242</v>
      </c>
      <c r="K152" s="202">
        <v>244</v>
      </c>
      <c r="L152" s="202">
        <v>246</v>
      </c>
      <c r="M152" s="202">
        <v>248</v>
      </c>
      <c r="N152" s="202">
        <v>249</v>
      </c>
      <c r="O152" s="202">
        <v>252</v>
      </c>
      <c r="P152" s="202">
        <v>254</v>
      </c>
    </row>
    <row r="153" spans="2:16" ht="15.75" thickBot="1" x14ac:dyDescent="0.3">
      <c r="B153" s="201">
        <v>2</v>
      </c>
      <c r="C153" s="202">
        <v>18.510000000000002</v>
      </c>
      <c r="D153" s="202">
        <v>19</v>
      </c>
      <c r="E153" s="202">
        <v>19.16</v>
      </c>
      <c r="F153" s="202">
        <v>19.25</v>
      </c>
      <c r="G153" s="202">
        <v>19.3</v>
      </c>
      <c r="H153" s="202">
        <v>19.329999999999998</v>
      </c>
      <c r="I153" s="202">
        <v>19.37</v>
      </c>
      <c r="J153" s="202">
        <v>19.39</v>
      </c>
      <c r="K153" s="202">
        <v>19.41</v>
      </c>
      <c r="L153" s="202">
        <v>19.43</v>
      </c>
      <c r="M153" s="202">
        <v>19.440000000000001</v>
      </c>
      <c r="N153" s="202">
        <v>19.45</v>
      </c>
      <c r="O153" s="202">
        <v>19.47</v>
      </c>
      <c r="P153" s="202">
        <v>19.5</v>
      </c>
    </row>
    <row r="154" spans="2:16" ht="15.75" thickBot="1" x14ac:dyDescent="0.3">
      <c r="B154" s="201">
        <v>3</v>
      </c>
      <c r="C154" s="202">
        <v>10.130000000000001</v>
      </c>
      <c r="D154" s="202">
        <v>9.5500000000000007</v>
      </c>
      <c r="E154" s="202">
        <v>9.2799999999999994</v>
      </c>
      <c r="F154" s="202">
        <v>9.1199999999999992</v>
      </c>
      <c r="G154" s="202">
        <v>9.01</v>
      </c>
      <c r="H154" s="202">
        <v>8.94</v>
      </c>
      <c r="I154" s="202">
        <v>8.84</v>
      </c>
      <c r="J154" s="202">
        <v>8.7799999999999994</v>
      </c>
      <c r="K154" s="202">
        <v>8.74</v>
      </c>
      <c r="L154" s="202">
        <v>8.69</v>
      </c>
      <c r="M154" s="202">
        <v>8.66</v>
      </c>
      <c r="N154" s="202">
        <v>8.64</v>
      </c>
      <c r="O154" s="202">
        <v>8.58</v>
      </c>
      <c r="P154" s="202">
        <v>8.5299999999999994</v>
      </c>
    </row>
    <row r="155" spans="2:16" ht="15.75" thickBot="1" x14ac:dyDescent="0.3">
      <c r="B155" s="201">
        <v>4</v>
      </c>
      <c r="C155" s="202">
        <v>7.71</v>
      </c>
      <c r="D155" s="202">
        <v>6.94</v>
      </c>
      <c r="E155" s="202">
        <v>6.59</v>
      </c>
      <c r="F155" s="202">
        <v>6.39</v>
      </c>
      <c r="G155" s="202">
        <v>6.26</v>
      </c>
      <c r="H155" s="202">
        <v>6.16</v>
      </c>
      <c r="I155" s="202">
        <v>6.04</v>
      </c>
      <c r="J155" s="202">
        <v>5.96</v>
      </c>
      <c r="K155" s="202">
        <v>5.91</v>
      </c>
      <c r="L155" s="202">
        <v>5.84</v>
      </c>
      <c r="M155" s="202">
        <v>5.8</v>
      </c>
      <c r="N155" s="202">
        <v>5.77</v>
      </c>
      <c r="O155" s="202">
        <v>5.7</v>
      </c>
      <c r="P155" s="202">
        <v>5.63</v>
      </c>
    </row>
    <row r="156" spans="2:16" ht="15.75" thickBot="1" x14ac:dyDescent="0.3">
      <c r="B156" s="201">
        <v>5</v>
      </c>
      <c r="C156" s="202">
        <v>6.61</v>
      </c>
      <c r="D156" s="202">
        <v>5.79</v>
      </c>
      <c r="E156" s="202">
        <v>5.41</v>
      </c>
      <c r="F156" s="202">
        <v>5.19</v>
      </c>
      <c r="G156" s="202">
        <v>5.05</v>
      </c>
      <c r="H156" s="202">
        <v>4.95</v>
      </c>
      <c r="I156" s="202">
        <v>4.82</v>
      </c>
      <c r="J156" s="202">
        <v>4.74</v>
      </c>
      <c r="K156" s="202">
        <v>4.68</v>
      </c>
      <c r="L156" s="202">
        <v>4.5999999999999996</v>
      </c>
      <c r="M156" s="202">
        <v>4.5599999999999996</v>
      </c>
      <c r="N156" s="202">
        <v>4.53</v>
      </c>
      <c r="O156" s="202">
        <v>4.4400000000000004</v>
      </c>
      <c r="P156" s="202">
        <v>4.3600000000000003</v>
      </c>
    </row>
    <row r="157" spans="2:16" ht="15.75" thickBot="1" x14ac:dyDescent="0.3">
      <c r="B157" s="201">
        <v>6</v>
      </c>
      <c r="C157" s="202">
        <v>5.99</v>
      </c>
      <c r="D157" s="202">
        <v>5.14</v>
      </c>
      <c r="E157" s="202">
        <v>4.76</v>
      </c>
      <c r="F157" s="202">
        <v>4.53</v>
      </c>
      <c r="G157" s="202">
        <v>4.3899999999999997</v>
      </c>
      <c r="H157" s="202">
        <v>4.28</v>
      </c>
      <c r="I157" s="202">
        <v>4.1500000000000004</v>
      </c>
      <c r="J157" s="202">
        <v>4.0599999999999996</v>
      </c>
      <c r="K157" s="202">
        <v>4</v>
      </c>
      <c r="L157" s="202">
        <v>3.92</v>
      </c>
      <c r="M157" s="202">
        <v>3.87</v>
      </c>
      <c r="N157" s="202">
        <v>3.84</v>
      </c>
      <c r="O157" s="202">
        <v>3.75</v>
      </c>
      <c r="P157" s="202">
        <v>3.67</v>
      </c>
    </row>
    <row r="158" spans="2:16" ht="15.75" thickBot="1" x14ac:dyDescent="0.3">
      <c r="B158" s="201">
        <v>7</v>
      </c>
      <c r="C158" s="202">
        <v>5.59</v>
      </c>
      <c r="D158" s="202">
        <v>4.74</v>
      </c>
      <c r="E158" s="202">
        <v>4.3499999999999996</v>
      </c>
      <c r="F158" s="202">
        <v>4.12</v>
      </c>
      <c r="G158" s="202">
        <v>3.97</v>
      </c>
      <c r="H158" s="202">
        <v>3.87</v>
      </c>
      <c r="I158" s="202">
        <v>3.73</v>
      </c>
      <c r="J158" s="202">
        <v>3.63</v>
      </c>
      <c r="K158" s="202">
        <v>3.57</v>
      </c>
      <c r="L158" s="202">
        <v>3.49</v>
      </c>
      <c r="M158" s="202">
        <v>3.44</v>
      </c>
      <c r="N158" s="202">
        <v>3.41</v>
      </c>
      <c r="O158" s="202">
        <v>3.32</v>
      </c>
      <c r="P158" s="202">
        <v>3.23</v>
      </c>
    </row>
    <row r="159" spans="2:16" ht="15.75" thickBot="1" x14ac:dyDescent="0.3">
      <c r="B159" s="201">
        <v>8</v>
      </c>
      <c r="C159" s="202">
        <v>5.32</v>
      </c>
      <c r="D159" s="202">
        <v>4.46</v>
      </c>
      <c r="E159" s="202">
        <v>4.07</v>
      </c>
      <c r="F159" s="202">
        <v>3.84</v>
      </c>
      <c r="G159" s="202">
        <v>3.69</v>
      </c>
      <c r="H159" s="202">
        <v>3.58</v>
      </c>
      <c r="I159" s="202">
        <v>3.44</v>
      </c>
      <c r="J159" s="202">
        <v>3.34</v>
      </c>
      <c r="K159" s="202">
        <v>3.28</v>
      </c>
      <c r="L159" s="202">
        <v>3.2</v>
      </c>
      <c r="M159" s="202">
        <v>3.15</v>
      </c>
      <c r="N159" s="202">
        <v>3.12</v>
      </c>
      <c r="O159" s="202">
        <v>3.03</v>
      </c>
      <c r="P159" s="202">
        <v>2.93</v>
      </c>
    </row>
    <row r="160" spans="2:16" ht="15.75" thickBot="1" x14ac:dyDescent="0.3">
      <c r="B160" s="201">
        <v>9</v>
      </c>
      <c r="C160" s="202">
        <v>5.12</v>
      </c>
      <c r="D160" s="202">
        <v>4.26</v>
      </c>
      <c r="E160" s="202">
        <v>3.86</v>
      </c>
      <c r="F160" s="202">
        <v>3.63</v>
      </c>
      <c r="G160" s="202">
        <v>3.48</v>
      </c>
      <c r="H160" s="202">
        <v>3.37</v>
      </c>
      <c r="I160" s="202">
        <v>3.23</v>
      </c>
      <c r="J160" s="202">
        <v>3.13</v>
      </c>
      <c r="K160" s="202">
        <v>3.07</v>
      </c>
      <c r="L160" s="202">
        <v>2.98</v>
      </c>
      <c r="M160" s="202">
        <v>2.93</v>
      </c>
      <c r="N160" s="202">
        <v>2.9</v>
      </c>
      <c r="O160" s="202">
        <v>2.8</v>
      </c>
      <c r="P160" s="202">
        <v>2.71</v>
      </c>
    </row>
    <row r="161" spans="2:16" ht="15.75" thickBot="1" x14ac:dyDescent="0.3">
      <c r="B161" s="201">
        <v>10</v>
      </c>
      <c r="C161" s="202">
        <v>4.96</v>
      </c>
      <c r="D161" s="202">
        <v>4.0999999999999996</v>
      </c>
      <c r="E161" s="202">
        <v>3.71</v>
      </c>
      <c r="F161" s="202">
        <v>3.48</v>
      </c>
      <c r="G161" s="194">
        <v>3.33</v>
      </c>
      <c r="H161" s="202">
        <v>3.22</v>
      </c>
      <c r="I161" s="202">
        <v>3.07</v>
      </c>
      <c r="J161" s="202">
        <v>2.97</v>
      </c>
      <c r="K161" s="202">
        <v>2.91</v>
      </c>
      <c r="L161" s="202">
        <v>2.82</v>
      </c>
      <c r="M161" s="202">
        <v>2.77</v>
      </c>
      <c r="N161" s="202">
        <v>2.74</v>
      </c>
      <c r="O161" s="202">
        <v>2.64</v>
      </c>
      <c r="P161" s="202">
        <v>2.54</v>
      </c>
    </row>
    <row r="162" spans="2:16" ht="15.75" thickBot="1" x14ac:dyDescent="0.3">
      <c r="B162" s="201">
        <v>11</v>
      </c>
      <c r="C162" s="202">
        <v>4.84</v>
      </c>
      <c r="D162" s="202">
        <v>3.98</v>
      </c>
      <c r="E162" s="202">
        <v>3.59</v>
      </c>
      <c r="F162" s="202">
        <v>3.36</v>
      </c>
      <c r="G162" s="202">
        <v>3.2</v>
      </c>
      <c r="H162" s="202">
        <v>3.09</v>
      </c>
      <c r="I162" s="202">
        <v>2.95</v>
      </c>
      <c r="J162" s="202">
        <v>2.86</v>
      </c>
      <c r="K162" s="202">
        <v>2.79</v>
      </c>
      <c r="L162" s="202">
        <v>2.7</v>
      </c>
      <c r="M162" s="202">
        <v>2.65</v>
      </c>
      <c r="N162" s="202">
        <v>2.61</v>
      </c>
      <c r="O162" s="202">
        <v>2.5</v>
      </c>
      <c r="P162" s="202">
        <v>2.4</v>
      </c>
    </row>
    <row r="163" spans="2:16" ht="15.75" thickBot="1" x14ac:dyDescent="0.3">
      <c r="B163" s="201">
        <v>12</v>
      </c>
      <c r="C163" s="202">
        <v>4.75</v>
      </c>
      <c r="D163" s="202">
        <v>3.88</v>
      </c>
      <c r="E163" s="202">
        <v>3.49</v>
      </c>
      <c r="F163" s="202">
        <v>3.26</v>
      </c>
      <c r="G163" s="194">
        <v>3.11</v>
      </c>
      <c r="H163" s="202">
        <v>3</v>
      </c>
      <c r="I163" s="202">
        <v>2.85</v>
      </c>
      <c r="J163" s="202">
        <v>2.76</v>
      </c>
      <c r="K163" s="202">
        <v>2.69</v>
      </c>
      <c r="L163" s="202">
        <v>2.6</v>
      </c>
      <c r="M163" s="202">
        <v>2.54</v>
      </c>
      <c r="N163" s="202">
        <v>2.5</v>
      </c>
      <c r="O163" s="202">
        <v>2.4</v>
      </c>
      <c r="P163" s="202">
        <v>2.2999999999999998</v>
      </c>
    </row>
    <row r="164" spans="2:16" ht="15.75" thickBot="1" x14ac:dyDescent="0.3">
      <c r="B164" s="201">
        <v>13</v>
      </c>
      <c r="C164" s="202">
        <v>4.67</v>
      </c>
      <c r="D164" s="202">
        <v>3.8</v>
      </c>
      <c r="E164" s="202">
        <v>3.41</v>
      </c>
      <c r="F164" s="202">
        <v>3.18</v>
      </c>
      <c r="G164" s="202">
        <v>3.02</v>
      </c>
      <c r="H164" s="202">
        <v>2.92</v>
      </c>
      <c r="I164" s="202">
        <v>2.77</v>
      </c>
      <c r="J164" s="202">
        <v>2.67</v>
      </c>
      <c r="K164" s="202">
        <v>2.6</v>
      </c>
      <c r="L164" s="202">
        <v>2.5099999999999998</v>
      </c>
      <c r="M164" s="202">
        <v>2.46</v>
      </c>
      <c r="N164" s="202">
        <v>2.42</v>
      </c>
      <c r="O164" s="202">
        <v>2.3199999999999998</v>
      </c>
      <c r="P164" s="202">
        <v>2.21</v>
      </c>
    </row>
    <row r="165" spans="2:16" ht="15.75" thickBot="1" x14ac:dyDescent="0.3">
      <c r="B165" s="201">
        <v>14</v>
      </c>
      <c r="C165" s="202">
        <v>4.5999999999999996</v>
      </c>
      <c r="D165" s="202">
        <v>3.74</v>
      </c>
      <c r="E165" s="202">
        <v>3.34</v>
      </c>
      <c r="F165" s="202">
        <v>3.11</v>
      </c>
      <c r="G165" s="202">
        <v>2.96</v>
      </c>
      <c r="H165" s="202">
        <v>2.85</v>
      </c>
      <c r="I165" s="202">
        <v>2.7</v>
      </c>
      <c r="J165" s="202">
        <v>2.6</v>
      </c>
      <c r="K165" s="202">
        <v>2.5299999999999998</v>
      </c>
      <c r="L165" s="202">
        <v>2.44</v>
      </c>
      <c r="M165" s="202">
        <v>2.39</v>
      </c>
      <c r="N165" s="202">
        <v>2.35</v>
      </c>
      <c r="O165" s="202">
        <v>2.2400000000000002</v>
      </c>
      <c r="P165" s="202">
        <v>2.13</v>
      </c>
    </row>
    <row r="166" spans="2:16" ht="15.75" thickBot="1" x14ac:dyDescent="0.3">
      <c r="B166" s="201">
        <v>15</v>
      </c>
      <c r="C166" s="202">
        <v>4.54</v>
      </c>
      <c r="D166" s="202">
        <v>3.68</v>
      </c>
      <c r="E166" s="202">
        <v>3.29</v>
      </c>
      <c r="F166" s="202">
        <v>3.06</v>
      </c>
      <c r="G166" s="202">
        <v>2.9</v>
      </c>
      <c r="H166" s="202">
        <v>2.79</v>
      </c>
      <c r="I166" s="202">
        <v>2.64</v>
      </c>
      <c r="J166" s="202">
        <v>2.5499999999999998</v>
      </c>
      <c r="K166" s="202">
        <v>2.48</v>
      </c>
      <c r="L166" s="202">
        <v>2.39</v>
      </c>
      <c r="M166" s="202">
        <v>2.33</v>
      </c>
      <c r="N166" s="202">
        <v>2.29</v>
      </c>
      <c r="O166" s="202">
        <v>2.1800000000000002</v>
      </c>
      <c r="P166" s="202">
        <v>2.0699999999999998</v>
      </c>
    </row>
    <row r="167" spans="2:16" ht="15.75" thickBot="1" x14ac:dyDescent="0.3">
      <c r="B167" s="201">
        <v>16</v>
      </c>
      <c r="C167" s="202">
        <v>4.49</v>
      </c>
      <c r="D167" s="202">
        <v>3.63</v>
      </c>
      <c r="E167" s="202">
        <v>3.24</v>
      </c>
      <c r="F167" s="202">
        <v>3.01</v>
      </c>
      <c r="G167" s="202">
        <v>2.85</v>
      </c>
      <c r="H167" s="202">
        <v>2.74</v>
      </c>
      <c r="I167" s="202">
        <v>2.59</v>
      </c>
      <c r="J167" s="202">
        <v>2.4900000000000002</v>
      </c>
      <c r="K167" s="202">
        <v>2.42</v>
      </c>
      <c r="L167" s="202">
        <v>2.33</v>
      </c>
      <c r="M167" s="202">
        <v>2.2799999999999998</v>
      </c>
      <c r="N167" s="202">
        <v>2.2400000000000002</v>
      </c>
      <c r="O167" s="202">
        <v>2.13</v>
      </c>
      <c r="P167" s="202">
        <v>2.0099999999999998</v>
      </c>
    </row>
    <row r="168" spans="2:16" ht="15.75" thickBot="1" x14ac:dyDescent="0.3">
      <c r="B168" s="201">
        <v>17</v>
      </c>
      <c r="C168" s="202">
        <v>4.45</v>
      </c>
      <c r="D168" s="202">
        <v>3.59</v>
      </c>
      <c r="E168" s="202">
        <v>3.2</v>
      </c>
      <c r="F168" s="202">
        <v>2.96</v>
      </c>
      <c r="G168" s="202">
        <v>2.81</v>
      </c>
      <c r="H168" s="202">
        <v>2.7</v>
      </c>
      <c r="I168" s="202">
        <v>2.5499999999999998</v>
      </c>
      <c r="J168" s="202">
        <v>2.4500000000000002</v>
      </c>
      <c r="K168" s="202">
        <v>2.38</v>
      </c>
      <c r="L168" s="202">
        <v>2.29</v>
      </c>
      <c r="M168" s="202">
        <v>2.23</v>
      </c>
      <c r="N168" s="202">
        <v>2.19</v>
      </c>
      <c r="O168" s="202">
        <v>2.08</v>
      </c>
      <c r="P168" s="202">
        <v>1.96</v>
      </c>
    </row>
    <row r="169" spans="2:16" ht="15.75" thickBot="1" x14ac:dyDescent="0.3">
      <c r="B169" s="201">
        <v>18</v>
      </c>
      <c r="C169" s="202">
        <v>4.41</v>
      </c>
      <c r="D169" s="202">
        <v>3.55</v>
      </c>
      <c r="E169" s="202">
        <v>3.16</v>
      </c>
      <c r="F169" s="202">
        <v>2.93</v>
      </c>
      <c r="G169" s="202">
        <v>2.77</v>
      </c>
      <c r="H169" s="202">
        <v>2.66</v>
      </c>
      <c r="I169" s="202">
        <v>2.5099999999999998</v>
      </c>
      <c r="J169" s="202">
        <v>2.41</v>
      </c>
      <c r="K169" s="202">
        <v>2.34</v>
      </c>
      <c r="L169" s="202">
        <v>2.25</v>
      </c>
      <c r="M169" s="202">
        <v>2.19</v>
      </c>
      <c r="N169" s="202">
        <v>2.15</v>
      </c>
      <c r="O169" s="202">
        <v>2.04</v>
      </c>
      <c r="P169" s="202">
        <v>1.92</v>
      </c>
    </row>
    <row r="170" spans="2:16" ht="15.75" thickBot="1" x14ac:dyDescent="0.3">
      <c r="B170" s="201">
        <v>19</v>
      </c>
      <c r="C170" s="202">
        <v>4.38</v>
      </c>
      <c r="D170" s="202">
        <v>3.52</v>
      </c>
      <c r="E170" s="202">
        <v>3.13</v>
      </c>
      <c r="F170" s="202">
        <v>2.9</v>
      </c>
      <c r="G170" s="202">
        <v>2.74</v>
      </c>
      <c r="H170" s="202">
        <v>2.63</v>
      </c>
      <c r="I170" s="202">
        <v>2.48</v>
      </c>
      <c r="J170" s="202">
        <v>2.38</v>
      </c>
      <c r="K170" s="202">
        <v>2.31</v>
      </c>
      <c r="L170" s="202">
        <v>2.21</v>
      </c>
      <c r="M170" s="202">
        <v>2.15</v>
      </c>
      <c r="N170" s="202">
        <v>2.11</v>
      </c>
      <c r="O170" s="202">
        <v>2</v>
      </c>
      <c r="P170" s="202">
        <v>1.88</v>
      </c>
    </row>
    <row r="171" spans="2:16" ht="15.75" thickBot="1" x14ac:dyDescent="0.3">
      <c r="B171" s="201">
        <v>20</v>
      </c>
      <c r="C171" s="202">
        <v>4.3499999999999996</v>
      </c>
      <c r="D171" s="202">
        <v>3.49</v>
      </c>
      <c r="E171" s="202">
        <v>3.1</v>
      </c>
      <c r="F171" s="202">
        <v>2.87</v>
      </c>
      <c r="G171" s="202">
        <v>2.71</v>
      </c>
      <c r="H171" s="202">
        <v>2.6</v>
      </c>
      <c r="I171" s="202">
        <v>2.4500000000000002</v>
      </c>
      <c r="J171" s="202">
        <v>2.35</v>
      </c>
      <c r="K171" s="202">
        <v>2.2799999999999998</v>
      </c>
      <c r="L171" s="202">
        <v>2.1800000000000002</v>
      </c>
      <c r="M171" s="202">
        <v>2.12</v>
      </c>
      <c r="N171" s="202">
        <v>2.08</v>
      </c>
      <c r="O171" s="202">
        <v>1.96</v>
      </c>
      <c r="P171" s="202">
        <v>1.84</v>
      </c>
    </row>
    <row r="172" spans="2:16" ht="15.75" thickBot="1" x14ac:dyDescent="0.3">
      <c r="B172" s="201">
        <v>21</v>
      </c>
      <c r="C172" s="202">
        <v>4.32</v>
      </c>
      <c r="D172" s="202">
        <v>3.47</v>
      </c>
      <c r="E172" s="202">
        <v>3.07</v>
      </c>
      <c r="F172" s="202">
        <v>2.84</v>
      </c>
      <c r="G172" s="202">
        <v>2.68</v>
      </c>
      <c r="H172" s="202">
        <v>2.57</v>
      </c>
      <c r="I172" s="202">
        <v>2.42</v>
      </c>
      <c r="J172" s="202">
        <v>2.3199999999999998</v>
      </c>
      <c r="K172" s="202">
        <v>2.25</v>
      </c>
      <c r="L172" s="202">
        <v>2.15</v>
      </c>
      <c r="M172" s="202">
        <v>2.09</v>
      </c>
      <c r="N172" s="202">
        <v>2.0499999999999998</v>
      </c>
      <c r="O172" s="202">
        <v>1.93</v>
      </c>
      <c r="P172" s="202">
        <v>1.81</v>
      </c>
    </row>
    <row r="173" spans="2:16" ht="15.75" thickBot="1" x14ac:dyDescent="0.3">
      <c r="B173" s="201">
        <v>22</v>
      </c>
      <c r="C173" s="202">
        <v>4.3</v>
      </c>
      <c r="D173" s="202">
        <v>3.44</v>
      </c>
      <c r="E173" s="202">
        <v>3.05</v>
      </c>
      <c r="F173" s="202">
        <v>2.82</v>
      </c>
      <c r="G173" s="202">
        <v>2.66</v>
      </c>
      <c r="H173" s="202">
        <v>2.5499999999999998</v>
      </c>
      <c r="I173" s="202">
        <v>2.4</v>
      </c>
      <c r="J173" s="202">
        <v>2.2999999999999998</v>
      </c>
      <c r="K173" s="202">
        <v>2.23</v>
      </c>
      <c r="L173" s="202">
        <v>2.13</v>
      </c>
      <c r="M173" s="202">
        <v>2.0699999999999998</v>
      </c>
      <c r="N173" s="202">
        <v>2.0299999999999998</v>
      </c>
      <c r="O173" s="202">
        <v>1.91</v>
      </c>
      <c r="P173" s="202">
        <v>1.78</v>
      </c>
    </row>
    <row r="174" spans="2:16" ht="15.75" thickBot="1" x14ac:dyDescent="0.3">
      <c r="B174" s="201">
        <v>23</v>
      </c>
      <c r="C174" s="202">
        <v>4.28</v>
      </c>
      <c r="D174" s="202">
        <v>3.42</v>
      </c>
      <c r="E174" s="202">
        <v>3.03</v>
      </c>
      <c r="F174" s="202">
        <v>2.8</v>
      </c>
      <c r="G174" s="202">
        <v>2.64</v>
      </c>
      <c r="H174" s="202">
        <v>2.5299999999999998</v>
      </c>
      <c r="I174" s="202">
        <v>2.38</v>
      </c>
      <c r="J174" s="202">
        <v>2.2799999999999998</v>
      </c>
      <c r="K174" s="202">
        <v>2.2000000000000002</v>
      </c>
      <c r="L174" s="202">
        <v>2.1</v>
      </c>
      <c r="M174" s="202">
        <v>2.0499999999999998</v>
      </c>
      <c r="N174" s="202">
        <v>2</v>
      </c>
      <c r="O174" s="202">
        <v>1.88</v>
      </c>
      <c r="P174" s="202">
        <v>1.76</v>
      </c>
    </row>
    <row r="175" spans="2:16" ht="15.75" thickBot="1" x14ac:dyDescent="0.3">
      <c r="B175" s="201">
        <v>24</v>
      </c>
      <c r="C175" s="202">
        <v>4.26</v>
      </c>
      <c r="D175" s="202">
        <v>3.4</v>
      </c>
      <c r="E175" s="202">
        <v>3.01</v>
      </c>
      <c r="F175" s="202">
        <v>2.78</v>
      </c>
      <c r="G175" s="202">
        <v>2.62</v>
      </c>
      <c r="H175" s="202">
        <v>2.5099999999999998</v>
      </c>
      <c r="I175" s="202">
        <v>2.36</v>
      </c>
      <c r="J175" s="202">
        <v>2.2599999999999998</v>
      </c>
      <c r="K175" s="202">
        <v>2.1800000000000002</v>
      </c>
      <c r="L175" s="202">
        <v>2.09</v>
      </c>
      <c r="M175" s="202">
        <v>2.02</v>
      </c>
      <c r="N175" s="202">
        <v>1.98</v>
      </c>
      <c r="O175" s="202">
        <v>1.86</v>
      </c>
      <c r="P175" s="202">
        <v>1.73</v>
      </c>
    </row>
    <row r="176" spans="2:16" ht="15.75" thickBot="1" x14ac:dyDescent="0.3">
      <c r="B176" s="201">
        <v>25</v>
      </c>
      <c r="C176" s="202">
        <v>4.24</v>
      </c>
      <c r="D176" s="202">
        <v>3.38</v>
      </c>
      <c r="E176" s="202">
        <v>2.99</v>
      </c>
      <c r="F176" s="202">
        <v>2.76</v>
      </c>
      <c r="G176" s="202">
        <v>2.6</v>
      </c>
      <c r="H176" s="202">
        <v>2.4900000000000002</v>
      </c>
      <c r="I176" s="202">
        <v>2.34</v>
      </c>
      <c r="J176" s="202">
        <v>2.2400000000000002</v>
      </c>
      <c r="K176" s="202">
        <v>2.16</v>
      </c>
      <c r="L176" s="202">
        <v>2.06</v>
      </c>
      <c r="M176" s="202">
        <v>2</v>
      </c>
      <c r="N176" s="202">
        <v>1.96</v>
      </c>
      <c r="O176" s="202">
        <v>1.84</v>
      </c>
      <c r="P176" s="202">
        <v>1.71</v>
      </c>
    </row>
    <row r="177" spans="2:16" ht="15.75" thickBot="1" x14ac:dyDescent="0.3">
      <c r="B177" s="201">
        <v>26</v>
      </c>
      <c r="C177" s="202">
        <v>4.22</v>
      </c>
      <c r="D177" s="202">
        <v>3.37</v>
      </c>
      <c r="E177" s="202">
        <v>2.98</v>
      </c>
      <c r="F177" s="202">
        <v>2.74</v>
      </c>
      <c r="G177" s="202">
        <v>2.59</v>
      </c>
      <c r="H177" s="202">
        <v>2.4700000000000002</v>
      </c>
      <c r="I177" s="202">
        <v>2.3199999999999998</v>
      </c>
      <c r="J177" s="202">
        <v>2.2200000000000002</v>
      </c>
      <c r="K177" s="202">
        <v>2.15</v>
      </c>
      <c r="L177" s="202">
        <v>2.0499999999999998</v>
      </c>
      <c r="M177" s="202">
        <v>1.99</v>
      </c>
      <c r="N177" s="202">
        <v>1.95</v>
      </c>
      <c r="O177" s="202">
        <v>1.82</v>
      </c>
      <c r="P177" s="202">
        <v>1.69</v>
      </c>
    </row>
    <row r="178" spans="2:16" ht="15.75" thickBot="1" x14ac:dyDescent="0.3">
      <c r="B178" s="201">
        <v>27</v>
      </c>
      <c r="C178" s="202">
        <v>4.21</v>
      </c>
      <c r="D178" s="202">
        <v>3.35</v>
      </c>
      <c r="E178" s="202">
        <v>2.96</v>
      </c>
      <c r="F178" s="202">
        <v>2.73</v>
      </c>
      <c r="G178" s="202">
        <v>2.57</v>
      </c>
      <c r="H178" s="202">
        <v>2.46</v>
      </c>
      <c r="I178" s="202">
        <v>2.2999999999999998</v>
      </c>
      <c r="J178" s="202">
        <v>2.2000000000000002</v>
      </c>
      <c r="K178" s="202">
        <v>2.13</v>
      </c>
      <c r="L178" s="202">
        <v>2.0299999999999998</v>
      </c>
      <c r="M178" s="202">
        <v>1.97</v>
      </c>
      <c r="N178" s="202">
        <v>1.93</v>
      </c>
      <c r="O178" s="202">
        <v>1.8</v>
      </c>
      <c r="P178" s="202">
        <v>1.67</v>
      </c>
    </row>
    <row r="179" spans="2:16" ht="15.75" thickBot="1" x14ac:dyDescent="0.3">
      <c r="B179" s="201">
        <v>28</v>
      </c>
      <c r="C179" s="202">
        <v>4.2</v>
      </c>
      <c r="D179" s="202">
        <v>3.34</v>
      </c>
      <c r="E179" s="202">
        <v>2.95</v>
      </c>
      <c r="F179" s="202">
        <v>2.71</v>
      </c>
      <c r="G179" s="202">
        <v>2.56</v>
      </c>
      <c r="H179" s="202">
        <v>2.44</v>
      </c>
      <c r="I179" s="202">
        <v>2.29</v>
      </c>
      <c r="J179" s="202">
        <v>2.19</v>
      </c>
      <c r="K179" s="202">
        <v>2.12</v>
      </c>
      <c r="L179" s="202">
        <v>2.02</v>
      </c>
      <c r="M179" s="202">
        <v>1.96</v>
      </c>
      <c r="N179" s="202">
        <v>1.91</v>
      </c>
      <c r="O179" s="202">
        <v>1.78</v>
      </c>
      <c r="P179" s="202">
        <v>1.65</v>
      </c>
    </row>
    <row r="180" spans="2:16" ht="15.75" thickBot="1" x14ac:dyDescent="0.3">
      <c r="B180" s="201">
        <v>29</v>
      </c>
      <c r="C180" s="202">
        <v>4.18</v>
      </c>
      <c r="D180" s="202">
        <v>3.33</v>
      </c>
      <c r="E180" s="202">
        <v>2.93</v>
      </c>
      <c r="F180" s="202">
        <v>2.7</v>
      </c>
      <c r="G180" s="202">
        <v>2.54</v>
      </c>
      <c r="H180" s="202">
        <v>2.4300000000000002</v>
      </c>
      <c r="I180" s="202">
        <v>2.2799999999999998</v>
      </c>
      <c r="J180" s="202">
        <v>2.1800000000000002</v>
      </c>
      <c r="K180" s="202">
        <v>2.1</v>
      </c>
      <c r="L180" s="202">
        <v>2</v>
      </c>
      <c r="M180" s="202">
        <v>1.94</v>
      </c>
      <c r="N180" s="202">
        <v>1.9</v>
      </c>
      <c r="O180" s="202">
        <v>1.77</v>
      </c>
      <c r="P180" s="202">
        <v>1.64</v>
      </c>
    </row>
    <row r="181" spans="2:16" ht="15.75" thickBot="1" x14ac:dyDescent="0.3">
      <c r="B181" s="201">
        <v>30</v>
      </c>
      <c r="C181" s="202">
        <v>4.17</v>
      </c>
      <c r="D181" s="202">
        <v>3.32</v>
      </c>
      <c r="E181" s="202">
        <v>2.92</v>
      </c>
      <c r="F181" s="202">
        <v>2.69</v>
      </c>
      <c r="G181" s="202">
        <v>2.5299999999999998</v>
      </c>
      <c r="H181" s="202">
        <v>2.42</v>
      </c>
      <c r="I181" s="202">
        <v>2.27</v>
      </c>
      <c r="J181" s="202">
        <v>2.16</v>
      </c>
      <c r="K181" s="202">
        <v>2.09</v>
      </c>
      <c r="L181" s="202">
        <v>1.99</v>
      </c>
      <c r="M181" s="202">
        <v>1.93</v>
      </c>
      <c r="N181" s="202">
        <v>1.89</v>
      </c>
      <c r="O181" s="202">
        <v>1.76</v>
      </c>
      <c r="P181" s="202">
        <v>1.62</v>
      </c>
    </row>
    <row r="182" spans="2:16" ht="15.75" thickBot="1" x14ac:dyDescent="0.3">
      <c r="B182" s="201">
        <v>40</v>
      </c>
      <c r="C182" s="202">
        <v>4.08</v>
      </c>
      <c r="D182" s="202">
        <v>3.23</v>
      </c>
      <c r="E182" s="202">
        <v>2.84</v>
      </c>
      <c r="F182" s="202">
        <v>2.61</v>
      </c>
      <c r="G182" s="202">
        <v>2.4500000000000002</v>
      </c>
      <c r="H182" s="202">
        <v>2.34</v>
      </c>
      <c r="I182" s="202">
        <v>2.1800000000000002</v>
      </c>
      <c r="J182" s="194">
        <v>2.0699999999999998</v>
      </c>
      <c r="K182" s="194">
        <v>2</v>
      </c>
      <c r="L182" s="194">
        <v>1.9</v>
      </c>
      <c r="M182" s="194">
        <v>1.84</v>
      </c>
      <c r="N182" s="194">
        <v>1.79</v>
      </c>
      <c r="O182" s="194">
        <v>1.66</v>
      </c>
      <c r="P182" s="194">
        <v>1.51</v>
      </c>
    </row>
    <row r="183" spans="2:16" ht="15.75" thickBot="1" x14ac:dyDescent="0.3">
      <c r="B183" s="201">
        <v>60</v>
      </c>
      <c r="C183" s="202">
        <v>4</v>
      </c>
      <c r="D183" s="202">
        <v>3.15</v>
      </c>
      <c r="E183" s="202">
        <v>2.76</v>
      </c>
      <c r="F183" s="202">
        <v>2.52</v>
      </c>
      <c r="G183" s="202">
        <v>2.37</v>
      </c>
      <c r="H183" s="202">
        <v>2.25</v>
      </c>
      <c r="I183" s="202">
        <v>2.1</v>
      </c>
      <c r="J183" s="194">
        <v>1.99</v>
      </c>
      <c r="K183" s="194">
        <v>1.92</v>
      </c>
      <c r="L183" s="194">
        <v>1.81</v>
      </c>
      <c r="M183" s="194">
        <v>1.75</v>
      </c>
      <c r="N183" s="194">
        <v>1.7</v>
      </c>
      <c r="O183" s="194">
        <v>1.6</v>
      </c>
      <c r="P183" s="194">
        <v>1.39</v>
      </c>
    </row>
    <row r="184" spans="2:16" ht="15.75" thickBot="1" x14ac:dyDescent="0.3">
      <c r="B184" s="201">
        <v>120</v>
      </c>
      <c r="C184" s="202">
        <v>3.92</v>
      </c>
      <c r="D184" s="202">
        <v>3.07</v>
      </c>
      <c r="E184" s="202">
        <v>2.68</v>
      </c>
      <c r="F184" s="202">
        <v>2.4500000000000002</v>
      </c>
      <c r="G184" s="202">
        <v>2.29</v>
      </c>
      <c r="H184" s="202">
        <v>2.17</v>
      </c>
      <c r="I184" s="202">
        <v>2.02</v>
      </c>
      <c r="J184" s="194">
        <v>1.9</v>
      </c>
      <c r="K184" s="194">
        <v>1.83</v>
      </c>
      <c r="L184" s="194">
        <v>1.72</v>
      </c>
      <c r="M184" s="194">
        <v>1.65</v>
      </c>
      <c r="N184" s="194">
        <v>1.61</v>
      </c>
      <c r="O184" s="194">
        <v>1.45</v>
      </c>
      <c r="P184" s="194">
        <v>1.25</v>
      </c>
    </row>
    <row r="185" spans="2:16" ht="15.75" thickBot="1" x14ac:dyDescent="0.3">
      <c r="B185" s="203" t="s">
        <v>252</v>
      </c>
      <c r="C185" s="202">
        <v>3.84</v>
      </c>
      <c r="D185" s="202">
        <v>2.99</v>
      </c>
      <c r="E185" s="202">
        <v>2.6</v>
      </c>
      <c r="F185" s="202">
        <v>2.37</v>
      </c>
      <c r="G185" s="202">
        <v>2.21</v>
      </c>
      <c r="H185" s="202">
        <v>2.09</v>
      </c>
      <c r="I185" s="202">
        <v>1.94</v>
      </c>
      <c r="J185" s="194">
        <v>1.83</v>
      </c>
      <c r="K185" s="194">
        <v>1.75</v>
      </c>
      <c r="L185" s="194">
        <v>1.63</v>
      </c>
      <c r="M185" s="194">
        <v>1.57</v>
      </c>
      <c r="N185" s="194">
        <v>1.52</v>
      </c>
      <c r="O185" s="194">
        <v>1.35</v>
      </c>
      <c r="P185" s="194">
        <v>1</v>
      </c>
    </row>
  </sheetData>
  <mergeCells count="27">
    <mergeCell ref="J26:L26"/>
    <mergeCell ref="J27:L27"/>
    <mergeCell ref="Q5:R5"/>
    <mergeCell ref="D23:E23"/>
    <mergeCell ref="J23:L23"/>
    <mergeCell ref="J24:L24"/>
    <mergeCell ref="J25:L25"/>
    <mergeCell ref="C5:G5"/>
    <mergeCell ref="C6:D6"/>
    <mergeCell ref="F6:G6"/>
    <mergeCell ref="J39:L39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40:L40"/>
    <mergeCell ref="J41:L41"/>
    <mergeCell ref="J42:L42"/>
    <mergeCell ref="J43:L43"/>
    <mergeCell ref="J44:L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"/>
  <dimension ref="A1:D16"/>
  <sheetViews>
    <sheetView workbookViewId="0">
      <selection activeCell="D3" sqref="D3"/>
    </sheetView>
  </sheetViews>
  <sheetFormatPr defaultRowHeight="15" x14ac:dyDescent="0.25"/>
  <cols>
    <col min="1" max="1" width="32.5703125" customWidth="1"/>
    <col min="2" max="2" width="30.7109375" customWidth="1"/>
    <col min="3" max="3" width="25.140625" customWidth="1"/>
  </cols>
  <sheetData>
    <row r="1" spans="1:4" x14ac:dyDescent="0.25">
      <c r="A1" t="s">
        <v>10</v>
      </c>
      <c r="B1" t="s">
        <v>16</v>
      </c>
      <c r="C1" t="s">
        <v>31</v>
      </c>
      <c r="D1" t="s">
        <v>213</v>
      </c>
    </row>
    <row r="2" spans="1:4" x14ac:dyDescent="0.25">
      <c r="A2" s="26" t="s">
        <v>4</v>
      </c>
      <c r="B2" s="27" t="s">
        <v>17</v>
      </c>
      <c r="C2" s="27" t="s">
        <v>32</v>
      </c>
      <c r="D2" s="27" t="s">
        <v>214</v>
      </c>
    </row>
    <row r="3" spans="1:4" x14ac:dyDescent="0.25">
      <c r="A3" s="6" t="s">
        <v>0</v>
      </c>
      <c r="B3" s="27" t="s">
        <v>18</v>
      </c>
      <c r="C3" s="27" t="s">
        <v>33</v>
      </c>
      <c r="D3" t="s">
        <v>215</v>
      </c>
    </row>
    <row r="4" spans="1:4" x14ac:dyDescent="0.25">
      <c r="A4" s="6" t="s">
        <v>11</v>
      </c>
      <c r="B4" t="s">
        <v>44</v>
      </c>
      <c r="C4" s="27" t="s">
        <v>34</v>
      </c>
    </row>
    <row r="5" spans="1:4" x14ac:dyDescent="0.25">
      <c r="A5" s="6" t="s">
        <v>12</v>
      </c>
    </row>
    <row r="6" spans="1:4" x14ac:dyDescent="0.25">
      <c r="A6" s="6" t="s">
        <v>13</v>
      </c>
    </row>
    <row r="7" spans="1:4" x14ac:dyDescent="0.25">
      <c r="A7" s="7" t="s">
        <v>14</v>
      </c>
    </row>
    <row r="8" spans="1:4" x14ac:dyDescent="0.25">
      <c r="A8" s="7" t="s">
        <v>26</v>
      </c>
    </row>
    <row r="9" spans="1:4" x14ac:dyDescent="0.25">
      <c r="A9" s="27" t="s">
        <v>27</v>
      </c>
    </row>
    <row r="10" spans="1:4" x14ac:dyDescent="0.25">
      <c r="A10" s="27" t="s">
        <v>35</v>
      </c>
    </row>
    <row r="11" spans="1:4" x14ac:dyDescent="0.25">
      <c r="A11" s="27" t="s">
        <v>36</v>
      </c>
    </row>
    <row r="12" spans="1:4" x14ac:dyDescent="0.25">
      <c r="A12" s="27" t="s">
        <v>37</v>
      </c>
    </row>
    <row r="13" spans="1:4" x14ac:dyDescent="0.25">
      <c r="A13" s="27" t="s">
        <v>39</v>
      </c>
    </row>
    <row r="14" spans="1:4" x14ac:dyDescent="0.25">
      <c r="A14" s="27" t="s">
        <v>47</v>
      </c>
    </row>
    <row r="15" spans="1:4" x14ac:dyDescent="0.25">
      <c r="A15" s="27" t="s">
        <v>48</v>
      </c>
    </row>
    <row r="16" spans="1:4" x14ac:dyDescent="0.25">
      <c r="A16" s="27" t="s">
        <v>156</v>
      </c>
      <c r="D16" s="8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bout"/>
  <dimension ref="A1:B13"/>
  <sheetViews>
    <sheetView workbookViewId="0">
      <selection activeCell="C9" sqref="C9"/>
    </sheetView>
  </sheetViews>
  <sheetFormatPr defaultRowHeight="15" x14ac:dyDescent="0.25"/>
  <cols>
    <col min="1" max="1" width="32.5703125" customWidth="1"/>
    <col min="2" max="2" width="45" customWidth="1"/>
    <col min="3" max="3" width="31.140625" customWidth="1"/>
    <col min="4" max="4" width="31.28515625" customWidth="1"/>
  </cols>
  <sheetData>
    <row r="1" spans="1:2" x14ac:dyDescent="0.25">
      <c r="A1" s="2" t="s">
        <v>315</v>
      </c>
    </row>
    <row r="2" spans="1:2" x14ac:dyDescent="0.25">
      <c r="A2" t="s">
        <v>165</v>
      </c>
      <c r="B2" s="240" t="s">
        <v>319</v>
      </c>
    </row>
    <row r="3" spans="1:2" x14ac:dyDescent="0.25">
      <c r="A3" t="s">
        <v>154</v>
      </c>
      <c r="B3" s="242" t="s">
        <v>322</v>
      </c>
    </row>
    <row r="4" spans="1:2" x14ac:dyDescent="0.25">
      <c r="B4" s="240">
        <v>221208112</v>
      </c>
    </row>
    <row r="5" spans="1:2" x14ac:dyDescent="0.25">
      <c r="A5" t="s">
        <v>316</v>
      </c>
      <c r="B5" s="242">
        <v>220906013</v>
      </c>
    </row>
    <row r="6" spans="1:2" x14ac:dyDescent="0.25">
      <c r="A6" t="s">
        <v>317</v>
      </c>
      <c r="B6" s="240" t="s">
        <v>318</v>
      </c>
    </row>
    <row r="12" spans="1:2" x14ac:dyDescent="0.25">
      <c r="B12" t="s">
        <v>321</v>
      </c>
    </row>
    <row r="13" spans="1:2" x14ac:dyDescent="0.25">
      <c r="B13" t="s">
        <v>318</v>
      </c>
    </row>
  </sheetData>
  <sheetProtection algorithmName="SHA-512" hashValue="rotTPfP9YlIiM5eGcEobyOQLxrStJheewl7zICi8pHQqMKm1ej7WkWezFP3JXi22t+s8q2qTflAw5F2hISVQQA==" saltValue="9nDNfJRJqYwbEaRiUX9g6A==" spinCount="100000" sheet="1" objects="1" scenarios="1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2993" r:id="rId4" name="Button 1">
              <controlPr defaultSize="0" print="0" autoFill="0" autoPict="0" macro="[0]!GetSerialHDD_Щелчок">
                <anchor moveWithCells="1" sizeWithCells="1">
                  <from>
                    <xdr:col>0</xdr:col>
                    <xdr:colOff>142875</xdr:colOff>
                    <xdr:row>7</xdr:row>
                    <xdr:rowOff>104775</xdr:rowOff>
                  </from>
                  <to>
                    <xdr:col>0</xdr:col>
                    <xdr:colOff>1571625</xdr:colOff>
                    <xdr:row>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94" r:id="rId5" name="Button 2">
              <controlPr defaultSize="0" print="0" autoFill="0" autoPict="0" macro="[0]!CheckActiv_Щелчок">
                <anchor moveWithCells="1" sizeWithCells="1">
                  <from>
                    <xdr:col>0</xdr:col>
                    <xdr:colOff>1971675</xdr:colOff>
                    <xdr:row>7</xdr:row>
                    <xdr:rowOff>95250</xdr:rowOff>
                  </from>
                  <to>
                    <xdr:col>1</xdr:col>
                    <xdr:colOff>1304925</xdr:colOff>
                    <xdr:row>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AF870-1DC2-4E99-9990-84F5FFB7C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6</vt:i4>
      </vt:variant>
    </vt:vector>
  </HeadingPairs>
  <TitlesOfParts>
    <vt:vector size="15" baseType="lpstr">
      <vt:lpstr>Крагтен</vt:lpstr>
      <vt:lpstr>Крагтен АС</vt:lpstr>
      <vt:lpstr>Монте-карло</vt:lpstr>
      <vt:lpstr>Град граф</vt:lpstr>
      <vt:lpstr>ОтборПробISO5725</vt:lpstr>
      <vt:lpstr>ОтборПроб Размах</vt:lpstr>
      <vt:lpstr>Тип А</vt:lpstr>
      <vt:lpstr>Справочник</vt:lpstr>
      <vt:lpstr>О программе</vt:lpstr>
      <vt:lpstr>ВидРаспределения</vt:lpstr>
      <vt:lpstr>Крагтен!Область_печати</vt:lpstr>
      <vt:lpstr>'Крагтен АС'!Область_печати</vt:lpstr>
      <vt:lpstr>'ОтборПроб Размах'!Область_печати</vt:lpstr>
      <vt:lpstr>Отн</vt:lpstr>
      <vt:lpstr>Тип_оценивания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Tupitsyn</dc:creator>
  <cp:lastModifiedBy>Dmitriy</cp:lastModifiedBy>
  <dcterms:created xsi:type="dcterms:W3CDTF">2021-06-21T05:36:21Z</dcterms:created>
  <dcterms:modified xsi:type="dcterms:W3CDTF">2023-01-30T17:16:26Z</dcterms:modified>
</cp:coreProperties>
</file>