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9FD72A45-DB1B-4BE8-AF62-87DE5EDA4E6F}" xr6:coauthVersionLast="47" xr6:coauthVersionMax="47" xr10:uidLastSave="{00000000-0000-0000-0000-000000000000}"/>
  <bookViews>
    <workbookView xWindow="2580" yWindow="2160" windowWidth="22245" windowHeight="13995" tabRatio="860" activeTab="2" xr2:uid="{621F8D32-52B7-4CE4-9D99-ED32CD70233E}"/>
  </bookViews>
  <sheets>
    <sheet name="Sources" sheetId="16" r:id="rId1"/>
    <sheet name="legend" sheetId="5" r:id="rId2"/>
    <sheet name="Capacities" sheetId="22" r:id="rId3"/>
    <sheet name="Technologies" sheetId="21" r:id="rId4"/>
    <sheet name="Technologies (2)" sheetId="27" r:id="rId5"/>
    <sheet name="tech_full" sheetId="17" r:id="rId6"/>
    <sheet name="FEASIBLE_INPUT-OUTPUT" sheetId="18" r:id="rId7"/>
    <sheet name="AIR_POLLUTION" sheetId="20" r:id="rId8"/>
    <sheet name="ATC" sheetId="3" r:id="rId9"/>
    <sheet name="ATC_el" sheetId="25" r:id="rId10"/>
    <sheet name="KM" sheetId="4" r:id="rId11"/>
    <sheet name="COST_TRANSPORT" sheetId="11" r:id="rId12"/>
    <sheet name="VALUE_NSE" sheetId="26" r:id="rId13"/>
    <sheet name="ESTIMATES" sheetId="23" r:id="rId14"/>
    <sheet name="CO2_INTENSITY" sheetId="24" r:id="rId15"/>
    <sheet name="WACC" sheetId="7" r:id="rId16"/>
    <sheet name="INITIAL_CAP_R" sheetId="2" r:id="rId17"/>
    <sheet name="CAPITALCOST_R" sheetId="8" r:id="rId18"/>
    <sheet name="CAPITALCOST_S" sheetId="10" r:id="rId19"/>
    <sheet name="parameters_G" sheetId="9" r:id="rId20"/>
    <sheet name="FEASIBLE_INPUT-OUTPUT_BAK" sheetId="6" r:id="rId21"/>
    <sheet name="potentials" sheetId="19" r:id="rId22"/>
  </sheets>
  <definedNames>
    <definedName name="_xlnm._FilterDatabase" localSheetId="9" hidden="1">ATC_el!$A$1:$D$1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2" i="21" l="1"/>
  <c r="I52" i="21"/>
  <c r="H52" i="21"/>
  <c r="S57" i="27" l="1"/>
  <c r="I57" i="27"/>
  <c r="H57" i="27"/>
  <c r="S56" i="27"/>
  <c r="I56" i="27"/>
  <c r="H56" i="27"/>
  <c r="S55" i="27"/>
  <c r="I55" i="27"/>
  <c r="H55" i="27"/>
  <c r="S54" i="27"/>
  <c r="H54" i="27"/>
  <c r="S53" i="27"/>
  <c r="F53" i="27"/>
  <c r="H53" i="27" s="1"/>
  <c r="S52" i="27"/>
  <c r="M52" i="27"/>
  <c r="I52" i="27"/>
  <c r="H52" i="27"/>
  <c r="S51" i="27"/>
  <c r="H51" i="27"/>
  <c r="S50" i="27"/>
  <c r="H50" i="27"/>
  <c r="S49" i="27"/>
  <c r="H49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H48" i="27"/>
  <c r="A48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H47" i="27"/>
  <c r="A47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H46" i="27"/>
  <c r="A46" i="27"/>
  <c r="S45" i="27"/>
  <c r="I45" i="27"/>
  <c r="H45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H44" i="27"/>
  <c r="A44" i="27"/>
  <c r="AC43" i="27"/>
  <c r="AB43" i="27"/>
  <c r="AA43" i="27"/>
  <c r="Z43" i="27"/>
  <c r="Y43" i="27"/>
  <c r="X43" i="27"/>
  <c r="W43" i="27"/>
  <c r="V43" i="27"/>
  <c r="U43" i="27"/>
  <c r="T43" i="27"/>
  <c r="S43" i="27"/>
  <c r="H43" i="27"/>
  <c r="A43" i="27"/>
  <c r="AC42" i="27"/>
  <c r="AB42" i="27"/>
  <c r="AA42" i="27"/>
  <c r="Z42" i="27"/>
  <c r="Y42" i="27"/>
  <c r="X42" i="27"/>
  <c r="W42" i="27"/>
  <c r="V42" i="27"/>
  <c r="U42" i="27"/>
  <c r="T42" i="27"/>
  <c r="S42" i="27"/>
  <c r="H42" i="27"/>
  <c r="A42" i="27"/>
  <c r="AC41" i="27"/>
  <c r="AB41" i="27"/>
  <c r="AA41" i="27"/>
  <c r="Z41" i="27"/>
  <c r="Y41" i="27"/>
  <c r="X41" i="27"/>
  <c r="W41" i="27"/>
  <c r="V41" i="27"/>
  <c r="U41" i="27"/>
  <c r="T41" i="27"/>
  <c r="S41" i="27"/>
  <c r="H41" i="27"/>
  <c r="A41" i="27"/>
  <c r="AC40" i="27"/>
  <c r="AB40" i="27"/>
  <c r="AA40" i="27"/>
  <c r="Z40" i="27"/>
  <c r="Y40" i="27"/>
  <c r="X40" i="27"/>
  <c r="W40" i="27"/>
  <c r="V40" i="27"/>
  <c r="U40" i="27"/>
  <c r="T40" i="27"/>
  <c r="S40" i="27"/>
  <c r="H40" i="27"/>
  <c r="A40" i="27"/>
  <c r="S39" i="27"/>
  <c r="F39" i="27"/>
  <c r="AC38" i="27"/>
  <c r="AB38" i="27"/>
  <c r="AA38" i="27"/>
  <c r="Z38" i="27"/>
  <c r="Y38" i="27"/>
  <c r="X38" i="27"/>
  <c r="W38" i="27"/>
  <c r="V38" i="27"/>
  <c r="U38" i="27"/>
  <c r="T38" i="27"/>
  <c r="S38" i="27"/>
  <c r="H38" i="27"/>
  <c r="A38" i="27"/>
  <c r="AC37" i="27"/>
  <c r="AB37" i="27"/>
  <c r="AA37" i="27"/>
  <c r="Z37" i="27"/>
  <c r="Y37" i="27"/>
  <c r="X37" i="27"/>
  <c r="W37" i="27"/>
  <c r="V37" i="27"/>
  <c r="U37" i="27"/>
  <c r="T37" i="27"/>
  <c r="S37" i="27"/>
  <c r="H37" i="27"/>
  <c r="A37" i="27"/>
  <c r="AC36" i="27"/>
  <c r="AB36" i="27"/>
  <c r="AA36" i="27"/>
  <c r="Z36" i="27"/>
  <c r="Y36" i="27"/>
  <c r="X36" i="27"/>
  <c r="W36" i="27"/>
  <c r="V36" i="27"/>
  <c r="U36" i="27"/>
  <c r="T36" i="27"/>
  <c r="S36" i="27"/>
  <c r="H36" i="27"/>
  <c r="A36" i="27"/>
  <c r="AC35" i="27"/>
  <c r="AB35" i="27"/>
  <c r="AA35" i="27"/>
  <c r="Z35" i="27"/>
  <c r="Y35" i="27"/>
  <c r="X35" i="27"/>
  <c r="W35" i="27"/>
  <c r="V35" i="27"/>
  <c r="U35" i="27"/>
  <c r="T35" i="27"/>
  <c r="S35" i="27"/>
  <c r="H35" i="27"/>
  <c r="A35" i="27"/>
  <c r="AC34" i="27"/>
  <c r="AB34" i="27"/>
  <c r="AA34" i="27"/>
  <c r="Z34" i="27"/>
  <c r="Y34" i="27"/>
  <c r="X34" i="27"/>
  <c r="W34" i="27"/>
  <c r="V34" i="27"/>
  <c r="U34" i="27"/>
  <c r="T34" i="27"/>
  <c r="S34" i="27"/>
  <c r="H34" i="27"/>
  <c r="A34" i="27"/>
  <c r="AC33" i="27"/>
  <c r="AB33" i="27"/>
  <c r="AA33" i="27"/>
  <c r="Z33" i="27"/>
  <c r="Y33" i="27"/>
  <c r="X33" i="27"/>
  <c r="W33" i="27"/>
  <c r="V33" i="27"/>
  <c r="U33" i="27"/>
  <c r="T33" i="27"/>
  <c r="S33" i="27"/>
  <c r="H33" i="27"/>
  <c r="A33" i="27"/>
  <c r="AC32" i="27"/>
  <c r="AB32" i="27"/>
  <c r="AA32" i="27"/>
  <c r="Z32" i="27"/>
  <c r="Y32" i="27"/>
  <c r="X32" i="27"/>
  <c r="W32" i="27"/>
  <c r="V32" i="27"/>
  <c r="U32" i="27"/>
  <c r="T32" i="27"/>
  <c r="S32" i="27"/>
  <c r="H32" i="27"/>
  <c r="A32" i="27"/>
  <c r="AC31" i="27"/>
  <c r="AB31" i="27"/>
  <c r="AA31" i="27"/>
  <c r="Z31" i="27"/>
  <c r="Y31" i="27"/>
  <c r="X31" i="27"/>
  <c r="W31" i="27"/>
  <c r="V31" i="27"/>
  <c r="U31" i="27"/>
  <c r="T31" i="27"/>
  <c r="S31" i="27"/>
  <c r="H31" i="27"/>
  <c r="A31" i="27"/>
  <c r="AC30" i="27"/>
  <c r="AB30" i="27"/>
  <c r="AA30" i="27"/>
  <c r="Z30" i="27"/>
  <c r="Y30" i="27"/>
  <c r="X30" i="27"/>
  <c r="W30" i="27"/>
  <c r="V30" i="27"/>
  <c r="U30" i="27"/>
  <c r="T30" i="27"/>
  <c r="S30" i="27"/>
  <c r="H30" i="27"/>
  <c r="A30" i="27"/>
  <c r="AC29" i="27"/>
  <c r="AB29" i="27"/>
  <c r="AA29" i="27"/>
  <c r="Z29" i="27"/>
  <c r="Y29" i="27"/>
  <c r="X29" i="27"/>
  <c r="W29" i="27"/>
  <c r="V29" i="27"/>
  <c r="U29" i="27"/>
  <c r="T29" i="27"/>
  <c r="S29" i="27"/>
  <c r="H29" i="27"/>
  <c r="A29" i="27"/>
  <c r="S28" i="27"/>
  <c r="F28" i="27"/>
  <c r="T27" i="27"/>
  <c r="S27" i="27"/>
  <c r="H27" i="27"/>
  <c r="A27" i="27"/>
  <c r="S26" i="27"/>
  <c r="F26" i="27"/>
  <c r="T25" i="27"/>
  <c r="S25" i="27"/>
  <c r="H25" i="27"/>
  <c r="A25" i="27"/>
  <c r="T24" i="27"/>
  <c r="S24" i="27"/>
  <c r="H24" i="27"/>
  <c r="A24" i="27"/>
  <c r="T23" i="27"/>
  <c r="S23" i="27"/>
  <c r="H23" i="27"/>
  <c r="A23" i="27"/>
  <c r="T22" i="27"/>
  <c r="S22" i="27"/>
  <c r="H22" i="27"/>
  <c r="A22" i="27"/>
  <c r="T21" i="27"/>
  <c r="S21" i="27"/>
  <c r="H21" i="27"/>
  <c r="A21" i="27"/>
  <c r="T20" i="27"/>
  <c r="S20" i="27"/>
  <c r="H20" i="27"/>
  <c r="A20" i="27"/>
  <c r="T19" i="27"/>
  <c r="S19" i="27"/>
  <c r="H19" i="27"/>
  <c r="A19" i="27"/>
  <c r="T18" i="27"/>
  <c r="S18" i="27"/>
  <c r="H18" i="27"/>
  <c r="A18" i="27"/>
  <c r="T17" i="27"/>
  <c r="S17" i="27"/>
  <c r="H17" i="27"/>
  <c r="A17" i="27"/>
  <c r="T16" i="27"/>
  <c r="S16" i="27"/>
  <c r="H16" i="27"/>
  <c r="A16" i="27"/>
  <c r="T15" i="27"/>
  <c r="S15" i="27"/>
  <c r="H15" i="27"/>
  <c r="A15" i="27"/>
  <c r="T14" i="27"/>
  <c r="S14" i="27"/>
  <c r="H14" i="27"/>
  <c r="A14" i="27"/>
  <c r="T13" i="27"/>
  <c r="S13" i="27"/>
  <c r="H13" i="27"/>
  <c r="A13" i="27"/>
  <c r="T12" i="27"/>
  <c r="S12" i="27"/>
  <c r="H12" i="27"/>
  <c r="A12" i="27"/>
  <c r="T11" i="27"/>
  <c r="S11" i="27"/>
  <c r="H11" i="27"/>
  <c r="A11" i="27"/>
  <c r="S10" i="27"/>
  <c r="H10" i="27"/>
  <c r="T9" i="27"/>
  <c r="S9" i="27"/>
  <c r="H9" i="27"/>
  <c r="A9" i="27"/>
  <c r="T8" i="27"/>
  <c r="S8" i="27"/>
  <c r="H8" i="27"/>
  <c r="A8" i="27"/>
  <c r="S7" i="27"/>
  <c r="H7" i="27"/>
  <c r="S6" i="27"/>
  <c r="H6" i="27"/>
  <c r="S5" i="27"/>
  <c r="H5" i="27"/>
  <c r="S4" i="27"/>
  <c r="H4" i="27"/>
  <c r="H66" i="22"/>
  <c r="U29" i="21"/>
  <c r="V29" i="21"/>
  <c r="W29" i="21"/>
  <c r="X29" i="21"/>
  <c r="Y29" i="21"/>
  <c r="Z29" i="21"/>
  <c r="AA29" i="21"/>
  <c r="AB29" i="21"/>
  <c r="AC29" i="21"/>
  <c r="U30" i="21"/>
  <c r="V30" i="21"/>
  <c r="W30" i="21"/>
  <c r="X30" i="21"/>
  <c r="Y30" i="21"/>
  <c r="Z30" i="21"/>
  <c r="AA30" i="21"/>
  <c r="AB30" i="21"/>
  <c r="AC30" i="21"/>
  <c r="U31" i="21"/>
  <c r="V31" i="21"/>
  <c r="W31" i="21"/>
  <c r="X31" i="21"/>
  <c r="Y31" i="21"/>
  <c r="Z31" i="21"/>
  <c r="AA31" i="21"/>
  <c r="AB31" i="21"/>
  <c r="AC31" i="21"/>
  <c r="U32" i="21"/>
  <c r="V32" i="21"/>
  <c r="W32" i="21"/>
  <c r="X32" i="21"/>
  <c r="Y32" i="21"/>
  <c r="Z32" i="21"/>
  <c r="AA32" i="21"/>
  <c r="AB32" i="21"/>
  <c r="AC32" i="21"/>
  <c r="U33" i="21"/>
  <c r="V33" i="21"/>
  <c r="W33" i="21"/>
  <c r="X33" i="21"/>
  <c r="Y33" i="21"/>
  <c r="Z33" i="21"/>
  <c r="AA33" i="21"/>
  <c r="AB33" i="21"/>
  <c r="AC33" i="21"/>
  <c r="U34" i="21"/>
  <c r="V34" i="21"/>
  <c r="W34" i="21"/>
  <c r="X34" i="21"/>
  <c r="Y34" i="21"/>
  <c r="Z34" i="21"/>
  <c r="AA34" i="21"/>
  <c r="AB34" i="21"/>
  <c r="AC34" i="21"/>
  <c r="U35" i="21"/>
  <c r="V35" i="21"/>
  <c r="W35" i="21"/>
  <c r="X35" i="21"/>
  <c r="Y35" i="21"/>
  <c r="Z35" i="21"/>
  <c r="AA35" i="21"/>
  <c r="AB35" i="21"/>
  <c r="AC35" i="21"/>
  <c r="U36" i="21"/>
  <c r="V36" i="21"/>
  <c r="W36" i="21"/>
  <c r="X36" i="21"/>
  <c r="Y36" i="21"/>
  <c r="Z36" i="21"/>
  <c r="AA36" i="21"/>
  <c r="AB36" i="21"/>
  <c r="AC36" i="21"/>
  <c r="U37" i="21"/>
  <c r="V37" i="21"/>
  <c r="W37" i="21"/>
  <c r="X37" i="21"/>
  <c r="Y37" i="21"/>
  <c r="Z37" i="21"/>
  <c r="AA37" i="21"/>
  <c r="AB37" i="21"/>
  <c r="AC37" i="21"/>
  <c r="U38" i="21"/>
  <c r="V38" i="21"/>
  <c r="W38" i="21"/>
  <c r="X38" i="21"/>
  <c r="Y38" i="21"/>
  <c r="Z38" i="21"/>
  <c r="AA38" i="21"/>
  <c r="AB38" i="21"/>
  <c r="AC38" i="21"/>
  <c r="T29" i="21"/>
  <c r="T30" i="21"/>
  <c r="T31" i="21"/>
  <c r="T32" i="21"/>
  <c r="T33" i="21"/>
  <c r="T34" i="21"/>
  <c r="T35" i="21"/>
  <c r="T36" i="21"/>
  <c r="T37" i="21"/>
  <c r="T38" i="21"/>
  <c r="U40" i="21"/>
  <c r="V40" i="21"/>
  <c r="W40" i="21"/>
  <c r="X40" i="21"/>
  <c r="Y40" i="21"/>
  <c r="Z40" i="21"/>
  <c r="AA40" i="21"/>
  <c r="AB40" i="21"/>
  <c r="AC40" i="21"/>
  <c r="U41" i="21"/>
  <c r="V41" i="21"/>
  <c r="W41" i="21"/>
  <c r="X41" i="21"/>
  <c r="Y41" i="21"/>
  <c r="Z41" i="21"/>
  <c r="AA41" i="21"/>
  <c r="AB41" i="21"/>
  <c r="AC41" i="21"/>
  <c r="U42" i="21"/>
  <c r="V42" i="21"/>
  <c r="W42" i="21"/>
  <c r="X42" i="21"/>
  <c r="Y42" i="21"/>
  <c r="Z42" i="21"/>
  <c r="AA42" i="21"/>
  <c r="AB42" i="21"/>
  <c r="AC42" i="21"/>
  <c r="U43" i="21"/>
  <c r="V43" i="21"/>
  <c r="W43" i="21"/>
  <c r="X43" i="21"/>
  <c r="Y43" i="21"/>
  <c r="Z43" i="21"/>
  <c r="AA43" i="21"/>
  <c r="AB43" i="21"/>
  <c r="AC43" i="21"/>
  <c r="U44" i="21"/>
  <c r="V44" i="21"/>
  <c r="W44" i="21"/>
  <c r="X44" i="21"/>
  <c r="Y44" i="21"/>
  <c r="Z44" i="21"/>
  <c r="AA44" i="21"/>
  <c r="AB44" i="21"/>
  <c r="AC44" i="21"/>
  <c r="AD44" i="21"/>
  <c r="U46" i="21"/>
  <c r="V46" i="21"/>
  <c r="W46" i="21"/>
  <c r="X46" i="21"/>
  <c r="Y46" i="21"/>
  <c r="Z46" i="21"/>
  <c r="AA46" i="21"/>
  <c r="AB46" i="21"/>
  <c r="AC46" i="21"/>
  <c r="AD46" i="21"/>
  <c r="U47" i="21"/>
  <c r="V47" i="21"/>
  <c r="W47" i="21"/>
  <c r="X47" i="21"/>
  <c r="Y47" i="21"/>
  <c r="Z47" i="21"/>
  <c r="AA47" i="21"/>
  <c r="AB47" i="21"/>
  <c r="AC47" i="21"/>
  <c r="AD47" i="21"/>
  <c r="U48" i="21"/>
  <c r="V48" i="21"/>
  <c r="W48" i="21"/>
  <c r="X48" i="21"/>
  <c r="Y48" i="21"/>
  <c r="Z48" i="21"/>
  <c r="AA48" i="21"/>
  <c r="AB48" i="21"/>
  <c r="AC48" i="21"/>
  <c r="AD48" i="21"/>
  <c r="T47" i="21"/>
  <c r="T48" i="21"/>
  <c r="T46" i="21"/>
  <c r="T41" i="21"/>
  <c r="T42" i="21"/>
  <c r="T43" i="21"/>
  <c r="T44" i="21"/>
  <c r="T40" i="21"/>
  <c r="T27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11" i="21"/>
  <c r="T9" i="21"/>
  <c r="T8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7" i="21"/>
  <c r="A29" i="21"/>
  <c r="A30" i="21"/>
  <c r="A31" i="21"/>
  <c r="A32" i="21"/>
  <c r="A33" i="21"/>
  <c r="A34" i="21"/>
  <c r="A35" i="21"/>
  <c r="A36" i="21"/>
  <c r="A37" i="21"/>
  <c r="A38" i="21"/>
  <c r="A40" i="21"/>
  <c r="A41" i="21"/>
  <c r="A46" i="21"/>
  <c r="A47" i="21"/>
  <c r="A48" i="21"/>
  <c r="A8" i="21"/>
  <c r="A9" i="21"/>
  <c r="A42" i="21"/>
  <c r="A43" i="21"/>
  <c r="A44" i="21"/>
  <c r="A11" i="21"/>
  <c r="H5" i="17" l="1"/>
  <c r="H7" i="17"/>
  <c r="H16" i="17"/>
  <c r="H24" i="17"/>
  <c r="S10" i="21" l="1"/>
  <c r="H9" i="21"/>
  <c r="H10" i="21"/>
  <c r="S26" i="21" l="1"/>
  <c r="S28" i="21"/>
  <c r="S39" i="21"/>
  <c r="F39" i="21"/>
  <c r="F28" i="21"/>
  <c r="F26" i="21"/>
  <c r="S5" i="21" l="1"/>
  <c r="S6" i="21"/>
  <c r="S7" i="21"/>
  <c r="S8" i="21"/>
  <c r="S9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7" i="21"/>
  <c r="S29" i="21"/>
  <c r="S30" i="21"/>
  <c r="S31" i="21"/>
  <c r="S32" i="21"/>
  <c r="S33" i="21"/>
  <c r="S34" i="21"/>
  <c r="S35" i="21"/>
  <c r="S36" i="21"/>
  <c r="S37" i="21"/>
  <c r="S38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3" i="21"/>
  <c r="S4" i="21"/>
  <c r="F53" i="21"/>
  <c r="H53" i="21" s="1"/>
  <c r="H50" i="21" l="1"/>
  <c r="H51" i="21"/>
  <c r="H47" i="21"/>
  <c r="H48" i="21"/>
  <c r="I45" i="21"/>
  <c r="H45" i="21"/>
  <c r="H11" i="21" l="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7" i="21"/>
  <c r="H29" i="21"/>
  <c r="H30" i="21"/>
  <c r="H31" i="21"/>
  <c r="H32" i="21"/>
  <c r="H33" i="21"/>
  <c r="H34" i="21"/>
  <c r="H35" i="21"/>
  <c r="H36" i="21"/>
  <c r="H37" i="21"/>
  <c r="H38" i="21"/>
  <c r="H40" i="21"/>
  <c r="H41" i="21"/>
  <c r="H46" i="21"/>
  <c r="H49" i="21"/>
  <c r="H8" i="21"/>
  <c r="H42" i="21"/>
  <c r="H43" i="21"/>
  <c r="H44" i="21"/>
  <c r="H5" i="21"/>
  <c r="H6" i="21"/>
  <c r="H7" i="21"/>
  <c r="H4" i="21"/>
  <c r="H9" i="10"/>
  <c r="I9" i="10"/>
  <c r="B6" i="20" l="1"/>
  <c r="G8" i="8" l="1"/>
  <c r="G9" i="8"/>
  <c r="G7" i="8"/>
  <c r="G6" i="8"/>
  <c r="G4" i="8"/>
  <c r="G5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D46" i="18"/>
  <c r="F46" i="18" s="1"/>
  <c r="F42" i="18"/>
  <c r="D42" i="18"/>
  <c r="F38" i="18"/>
  <c r="D38" i="18"/>
  <c r="F34" i="18"/>
  <c r="D34" i="18"/>
  <c r="F30" i="18"/>
  <c r="D30" i="18"/>
  <c r="D26" i="18"/>
  <c r="F26" i="18" s="1"/>
  <c r="D22" i="18"/>
  <c r="F22" i="18" s="1"/>
  <c r="D18" i="18"/>
  <c r="F18" i="18" s="1"/>
  <c r="F14" i="18"/>
  <c r="D14" i="18"/>
  <c r="D10" i="18"/>
  <c r="F10" i="18" s="1"/>
  <c r="D6" i="18"/>
  <c r="F6" i="18" s="1"/>
  <c r="D2" i="18"/>
  <c r="F2" i="18"/>
  <c r="L35" i="17"/>
  <c r="H35" i="17" s="1"/>
  <c r="V34" i="17"/>
  <c r="U34" i="17"/>
  <c r="T34" i="17"/>
  <c r="S34" i="17"/>
  <c r="L30" i="17"/>
  <c r="H30" i="17" s="1"/>
  <c r="I30" i="17"/>
  <c r="E43" i="18" s="1"/>
  <c r="L27" i="17"/>
  <c r="H27" i="17" s="1"/>
  <c r="I27" i="17"/>
  <c r="E40" i="18" s="1"/>
  <c r="L24" i="17"/>
  <c r="I24" i="17"/>
  <c r="E35" i="18" s="1"/>
  <c r="V23" i="17"/>
  <c r="U23" i="17"/>
  <c r="T23" i="17"/>
  <c r="S23" i="17"/>
  <c r="L22" i="17"/>
  <c r="H22" i="17" s="1"/>
  <c r="I22" i="17"/>
  <c r="E31" i="18" s="1"/>
  <c r="V21" i="17"/>
  <c r="U21" i="17"/>
  <c r="T21" i="17"/>
  <c r="S21" i="17"/>
  <c r="L20" i="17"/>
  <c r="H20" i="17" s="1"/>
  <c r="I20" i="17"/>
  <c r="E27" i="18" s="1"/>
  <c r="I16" i="17"/>
  <c r="E24" i="18" s="1"/>
  <c r="U14" i="17"/>
  <c r="L13" i="17"/>
  <c r="H13" i="17" s="1"/>
  <c r="I13" i="17"/>
  <c r="E19" i="18" s="1"/>
  <c r="L11" i="17"/>
  <c r="H11" i="17" s="1"/>
  <c r="I11" i="17"/>
  <c r="I9" i="17"/>
  <c r="E11" i="18" s="1"/>
  <c r="S7" i="17"/>
  <c r="U7" i="17" s="1"/>
  <c r="L7" i="17"/>
  <c r="I7" i="17"/>
  <c r="E8" i="18" s="1"/>
  <c r="U6" i="17"/>
  <c r="L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D44" i="18" l="1"/>
  <c r="D36" i="18"/>
  <c r="E36" i="18"/>
  <c r="E23" i="18"/>
  <c r="D24" i="18"/>
  <c r="D4" i="18"/>
  <c r="E4" i="18"/>
  <c r="D28" i="18"/>
  <c r="E28" i="18"/>
  <c r="F28" i="18" s="1"/>
  <c r="E44" i="18"/>
  <c r="F44" i="18" s="1"/>
  <c r="E39" i="18"/>
  <c r="E12" i="18"/>
  <c r="N11" i="17"/>
  <c r="E15" i="18"/>
  <c r="F24" i="18"/>
  <c r="D40" i="18"/>
  <c r="F40" i="18" s="1"/>
  <c r="K7" i="17"/>
  <c r="D7" i="18" s="1"/>
  <c r="F36" i="18"/>
  <c r="N7" i="17"/>
  <c r="N13" i="17"/>
  <c r="D8" i="18"/>
  <c r="F8" i="18" s="1"/>
  <c r="D32" i="18"/>
  <c r="K11" i="17"/>
  <c r="D15" i="18" s="1"/>
  <c r="E20" i="18"/>
  <c r="K13" i="17"/>
  <c r="D19" i="18" s="1"/>
  <c r="F19" i="18" s="1"/>
  <c r="M7" i="17"/>
  <c r="M13" i="17"/>
  <c r="E7" i="18"/>
  <c r="E16" i="18"/>
  <c r="E32" i="18"/>
  <c r="N5" i="17"/>
  <c r="M11" i="17"/>
  <c r="D20" i="18"/>
  <c r="D16" i="18"/>
  <c r="F16" i="18" s="1"/>
  <c r="E3" i="18"/>
  <c r="F3" i="18" s="1"/>
  <c r="I35" i="17"/>
  <c r="D48" i="18" s="1"/>
  <c r="Q30" i="9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D23" i="18" s="1"/>
  <c r="F23" i="18" s="1"/>
  <c r="N16" i="17"/>
  <c r="M16" i="17"/>
  <c r="N27" i="17"/>
  <c r="M27" i="17"/>
  <c r="K27" i="17"/>
  <c r="D39" i="18" s="1"/>
  <c r="F39" i="18" s="1"/>
  <c r="M9" i="17"/>
  <c r="K9" i="17"/>
  <c r="D11" i="18" s="1"/>
  <c r="F11" i="18" s="1"/>
  <c r="K22" i="17"/>
  <c r="D31" i="18" s="1"/>
  <c r="F31" i="18" s="1"/>
  <c r="N22" i="17"/>
  <c r="M22" i="17"/>
  <c r="N30" i="17"/>
  <c r="M30" i="17"/>
  <c r="K30" i="17"/>
  <c r="D43" i="18" s="1"/>
  <c r="F43" i="18" s="1"/>
  <c r="N20" i="17"/>
  <c r="M20" i="17"/>
  <c r="K20" i="17"/>
  <c r="D27" i="18" s="1"/>
  <c r="F27" i="18" s="1"/>
  <c r="N24" i="17"/>
  <c r="M24" i="17"/>
  <c r="K24" i="17"/>
  <c r="D35" i="18" s="1"/>
  <c r="F35" i="18" s="1"/>
  <c r="L9" i="17"/>
  <c r="H9" i="17" s="1"/>
  <c r="D12" i="18" s="1"/>
  <c r="F12" i="18" s="1"/>
  <c r="L16" i="17"/>
  <c r="K5" i="17"/>
  <c r="D3" i="18" s="1"/>
  <c r="E2" i="8"/>
  <c r="F2" i="8"/>
  <c r="E3" i="8"/>
  <c r="F3" i="8"/>
  <c r="E4" i="8"/>
  <c r="F4" i="8"/>
  <c r="E5" i="8"/>
  <c r="F5" i="8"/>
  <c r="D3" i="8"/>
  <c r="D4" i="8"/>
  <c r="D5" i="8"/>
  <c r="D2" i="8"/>
  <c r="G2" i="8" s="1"/>
  <c r="C5" i="8"/>
  <c r="C4" i="8"/>
  <c r="C3" i="8"/>
  <c r="G3" i="8" s="1"/>
  <c r="F7" i="18" l="1"/>
  <c r="F4" i="18"/>
  <c r="F15" i="18"/>
  <c r="N9" i="17"/>
  <c r="F20" i="18"/>
  <c r="F32" i="18"/>
  <c r="E47" i="18"/>
  <c r="K35" i="17"/>
  <c r="D47" i="18" s="1"/>
  <c r="M35" i="17"/>
  <c r="N35" i="17"/>
  <c r="E48" i="18"/>
  <c r="F48" i="18" s="1"/>
  <c r="D38" i="5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F47" i="18" l="1"/>
  <c r="I8" i="10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D18" authorId="0" shapeId="0" xr:uid="{9EBCF03B-BA74-4058-87E7-1808BBBFC36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1,033 (e-control Bestandsstatistik Strom, Jahresreihen)</t>
        </r>
      </text>
    </comment>
    <comment ref="E18" authorId="0" shapeId="0" xr:uid="{93FF72D7-EE86-4585-AEB5-52ED06000142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5,7</t>
        </r>
      </text>
    </comment>
    <comment ref="F18" authorId="0" shapeId="0" xr:uid="{4D0951C0-E14D-4F4F-A7BF-F0E433F2F78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2,73</t>
        </r>
      </text>
    </comment>
    <comment ref="I18" authorId="0" shapeId="0" xr:uid="{4B4B343C-8F14-4655-876B-5A6C375794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0,355 in 2016</t>
        </r>
      </text>
    </comment>
    <comment ref="D45" authorId="0" shapeId="0" xr:uid="{6A97567A-D5DD-44A0-A9B7-67C63EEF75E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40,679</t>
        </r>
      </text>
    </comment>
    <comment ref="E45" authorId="0" shapeId="0" xr:uid="{048582FC-3DC9-4483-8C81-1436EA10C2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4,5</t>
        </r>
      </text>
    </comment>
    <comment ref="F45" authorId="0" shapeId="0" xr:uid="{1BE10ECF-326E-4604-B10F-99E84F18F43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45,283</t>
        </r>
      </text>
    </comment>
    <comment ref="G45" authorId="0" shapeId="0" xr:uid="{62BB9CA3-0A1F-4C6B-8BF8-E7652ECCD6D2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4,152</t>
        </r>
      </text>
    </comment>
    <comment ref="H45" authorId="0" shapeId="0" xr:uid="{2775EA62-55DE-47C6-B37C-28FF3CC13FF5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2,504</t>
        </r>
      </text>
    </comment>
    <comment ref="I45" authorId="0" shapeId="0" xr:uid="{799E24EC-1D12-47D8-8937-29DD0434E82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0</t>
        </r>
      </text>
    </comment>
    <comment ref="J45" authorId="0" shapeId="0" xr:uid="{66A437AC-A5B3-420B-B6C5-3A1DBA71C86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1F9ED9B9-EB8F-4B4D-9E7B-53984F123158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5159AB93-51C4-CA4A-B63A-C3A60CB7342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77D4CFA7-8972-4C3A-AC8F-FF531888168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2BF3154B-BA64-E342-BA77-8DD512F08E6D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B6E3E8BC-25DF-4BE3-B63B-3D4B1D5EFE2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70FAEF22-2568-44B4-B8A0-09BC5EF01302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9E017841-893B-4027-951D-E3327763F8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F9AEEDB9-BCA6-4D18-9E5B-FC71CCC2791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F13" authorId="0" shapeId="0" xr:uid="{3B0D2DB2-F31B-487D-AA62-47FE8A5F129D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78DF14D3-78AD-4CD6-9C5A-91F874E7351B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Source: Danish Energy Agency, Technology Data for Power Generation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(except for ror, which is own assumption)</t>
        </r>
      </text>
    </comment>
    <comment ref="B6" authorId="1" shapeId="0" xr:uid="{B232C177-FCE0-284A-94EF-58F7BB66AF97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50% open-space, 50% rooftop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C4A6D375-4FD2-F04F-BADC-D757DA6FDA4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Alkaline Electrolysis + Cavern Storage + PEM Fuel Cell</t>
        </r>
      </text>
    </comment>
  </commentList>
</comments>
</file>

<file path=xl/sharedStrings.xml><?xml version="1.0" encoding="utf-8"?>
<sst xmlns="http://schemas.openxmlformats.org/spreadsheetml/2006/main" count="2568" uniqueCount="369">
  <si>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</si>
  <si>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</si>
  <si>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</si>
  <si>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</si>
  <si>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</si>
  <si>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</si>
  <si>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</si>
  <si>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</si>
  <si>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</si>
  <si>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</si>
  <si>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</si>
  <si>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</si>
  <si>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</si>
  <si>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</si>
  <si>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</si>
  <si>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</si>
  <si>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</si>
  <si>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</si>
  <si>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</si>
  <si>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</si>
  <si>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</si>
  <si>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</si>
  <si>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</si>
  <si>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</si>
  <si>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</si>
  <si>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</si>
  <si>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</si>
  <si>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</si>
  <si>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</si>
  <si>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</si>
  <si>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</si>
  <si>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</si>
  <si>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</si>
  <si>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</si>
  <si>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</si>
  <si>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</si>
  <si>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</si>
  <si>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</si>
  <si>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</si>
  <si>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</si>
  <si>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</si>
  <si>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</si>
  <si>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</si>
  <si>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</si>
  <si>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</si>
  <si>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</si>
  <si>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</si>
  <si>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</si>
  <si>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</si>
  <si>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</si>
  <si>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</si>
  <si>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</si>
  <si>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</si>
  <si>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</si>
  <si>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</si>
  <si>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</si>
  <si>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</si>
  <si>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</si>
  <si>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</si>
  <si>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</si>
  <si>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</si>
  <si>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</si>
  <si>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</si>
  <si>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</si>
  <si>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</si>
  <si>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</si>
  <si>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</si>
  <si>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</si>
  <si>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</si>
  <si>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</si>
  <si>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</si>
  <si>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</si>
  <si>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</si>
  <si>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</si>
  <si>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</si>
  <si>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</si>
  <si>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</si>
  <si>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</si>
  <si>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</si>
  <si>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</si>
  <si>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</si>
  <si>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</si>
  <si>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</si>
  <si>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</si>
  <si>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</si>
  <si>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</si>
  <si>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</si>
  <si>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</si>
  <si>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</si>
  <si>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</si>
  <si>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</si>
  <si>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</si>
  <si>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</si>
  <si>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</si>
  <si>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</si>
  <si>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</si>
  <si>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</si>
  <si>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</si>
  <si>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</si>
  <si>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</si>
  <si>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</si>
  <si>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</si>
  <si>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</si>
  <si>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</si>
  <si>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</si>
  <si>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</si>
  <si>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</si>
  <si>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</si>
  <si>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</si>
  <si>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</si>
  <si>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</si>
  <si>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</si>
  <si>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</si>
  <si>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</si>
  <si>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</si>
  <si>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</si>
  <si>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</si>
  <si>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</si>
  <si>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</si>
  <si>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</si>
  <si>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</si>
  <si>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</si>
  <si>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</si>
  <si>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</si>
  <si>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</si>
  <si>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</si>
  <si>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</si>
  <si>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</si>
  <si>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</si>
  <si>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</si>
  <si>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</si>
  <si>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</si>
  <si>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Biomass</t>
  </si>
  <si>
    <t>Solar</t>
  </si>
  <si>
    <t>Wind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</si>
  <si>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</si>
  <si>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</si>
  <si>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</si>
  <si>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</si>
  <si>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</si>
  <si>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</si>
  <si>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</si>
  <si>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</si>
  <si>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</si>
  <si>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</si>
  <si>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</si>
  <si>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</si>
  <si>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</si>
  <si>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</si>
  <si>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</si>
  <si>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</si>
  <si>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</si>
  <si>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</si>
  <si>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</si>
  <si>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</si>
  <si>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</si>
  <si>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</si>
  <si>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</si>
  <si>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</si>
  <si>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</si>
  <si>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</si>
  <si>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</si>
  <si>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</si>
  <si>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</si>
  <si>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</si>
  <si>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</si>
  <si>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</si>
  <si>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</si>
  <si>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</si>
  <si>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</si>
  <si>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</si>
  <si>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</si>
  <si>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</si>
  <si>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</si>
  <si>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</si>
  <si>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</si>
  <si>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</si>
  <si>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</si>
  <si>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</si>
  <si>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</si>
  <si>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</si>
  <si>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</si>
  <si>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</si>
  <si>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</si>
  <si>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</si>
  <si>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</si>
  <si>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</si>
  <si>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</si>
  <si>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</si>
  <si>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</si>
  <si>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</si>
  <si>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</si>
  <si>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</si>
  <si>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</si>
  <si>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</si>
  <si>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</si>
  <si>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</si>
  <si>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</si>
  <si>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</si>
  <si>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</si>
  <si>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</si>
  <si>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</si>
  <si>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</si>
  <si>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</si>
  <si>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</si>
  <si>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</si>
  <si>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</si>
  <si>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</si>
  <si>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</si>
  <si>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</si>
  <si>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</si>
  <si>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</si>
  <si>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</si>
  <si>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</si>
  <si>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</si>
  <si>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</si>
  <si>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</si>
  <si>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</si>
  <si>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</si>
  <si>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</si>
  <si>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</si>
  <si>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</si>
  <si>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</si>
  <si>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</si>
  <si>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</si>
  <si>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</si>
  <si>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</si>
  <si>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</si>
  <si>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</si>
  <si>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</si>
  <si>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</si>
  <si>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</si>
  <si>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</si>
  <si>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</si>
  <si>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</si>
  <si>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</si>
  <si>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</si>
  <si>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</si>
  <si>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</si>
  <si>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</si>
  <si>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</si>
  <si>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</si>
  <si>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</si>
  <si>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</si>
  <si>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</si>
  <si>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</si>
  <si>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</si>
  <si>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</si>
  <si>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</si>
  <si>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</si>
  <si>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</si>
  <si>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</si>
  <si>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</si>
  <si>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</si>
  <si>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</si>
  <si>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</si>
  <si>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Technology Data. Renewable Fuels. Update May 2020</t>
  </si>
  <si>
    <t>h2_stack</t>
  </si>
  <si>
    <t>Type_ID</t>
  </si>
  <si>
    <t>Name</t>
  </si>
  <si>
    <t>Set_Name</t>
  </si>
  <si>
    <t>CAPEX_Power</t>
  </si>
  <si>
    <t>CAPEX_Energy</t>
  </si>
  <si>
    <t>OPEX_Fix</t>
  </si>
  <si>
    <t>OPEX_Variable</t>
  </si>
  <si>
    <t>Lifetime</t>
  </si>
  <si>
    <t>Source</t>
  </si>
  <si>
    <t>Efficiency (net)</t>
  </si>
  <si>
    <t>Intermittent</t>
  </si>
  <si>
    <t>Solar Photovoltaics</t>
  </si>
  <si>
    <t>Run-of-river Hydro</t>
  </si>
  <si>
    <t>Wind Power Onshore</t>
  </si>
  <si>
    <t>Wind Power Offshore</t>
  </si>
  <si>
    <t>Equivalent Annual CAPEX_Power</t>
  </si>
  <si>
    <t>Equivalent Annual CAPEX_Energy</t>
  </si>
  <si>
    <t>€/kW</t>
  </si>
  <si>
    <t>€/MWh</t>
  </si>
  <si>
    <t>€/MWa</t>
  </si>
  <si>
    <t>Battery (Li-Ion)</t>
  </si>
  <si>
    <t>H2 Electrolysis - Fuel cell stack</t>
  </si>
  <si>
    <t>2, 3, 6</t>
  </si>
  <si>
    <t>1, 2, 15</t>
  </si>
  <si>
    <t>Fuel</t>
  </si>
  <si>
    <t>Heat generation</t>
  </si>
  <si>
    <t>Water</t>
  </si>
  <si>
    <t>Storage</t>
  </si>
  <si>
    <t>Installed Capacity Out</t>
  </si>
  <si>
    <t>Storage Capacity</t>
  </si>
  <si>
    <t>Installed Capacity In</t>
  </si>
  <si>
    <t>id</t>
  </si>
  <si>
    <t>name</t>
  </si>
  <si>
    <t>capex_p</t>
  </si>
  <si>
    <t>capex_e</t>
  </si>
  <si>
    <t>eqacapex_e</t>
  </si>
  <si>
    <t>eqacapex_p</t>
  </si>
  <si>
    <t>opex_f</t>
  </si>
  <si>
    <t>opex_v</t>
  </si>
  <si>
    <t>heat_generation</t>
  </si>
  <si>
    <t>intermittent</t>
  </si>
  <si>
    <t>source_b</t>
  </si>
  <si>
    <t>fuel_consumption</t>
  </si>
  <si>
    <t>eta_mincond</t>
  </si>
  <si>
    <t>q_q</t>
  </si>
  <si>
    <t>storage</t>
  </si>
  <si>
    <t>hyd_res_day</t>
  </si>
  <si>
    <t>hyd_res_week</t>
  </si>
  <si>
    <t>hyd_res_season</t>
  </si>
  <si>
    <t>hyd_psp_day</t>
  </si>
  <si>
    <t>hyd_psp_week</t>
  </si>
  <si>
    <t>hyd_psp_season</t>
  </si>
  <si>
    <t>Hydro - Pumped Storage, day</t>
  </si>
  <si>
    <t>Hydro - Pumped Storage, week</t>
  </si>
  <si>
    <t>Hydro - Pumped Storage, seasonal</t>
  </si>
  <si>
    <t>Hydro - Reservoir, day</t>
  </si>
  <si>
    <t>Hydro - Reservoir, week</t>
  </si>
  <si>
    <t>Hydro - Reservoir, seasonal</t>
  </si>
  <si>
    <t>eta_ec</t>
  </si>
  <si>
    <t>set_id</t>
  </si>
  <si>
    <t>f</t>
  </si>
  <si>
    <t>€/kWh</t>
  </si>
  <si>
    <t>a</t>
  </si>
  <si>
    <t>%</t>
  </si>
  <si>
    <t>bool</t>
  </si>
  <si>
    <t>LAMBDA</t>
  </si>
  <si>
    <t>SIGMA</t>
  </si>
  <si>
    <t>VALUE_NSE</t>
  </si>
  <si>
    <t>CO2_intensity</t>
  </si>
  <si>
    <t>Transmission grid expansion</t>
  </si>
  <si>
    <t>transmission</t>
  </si>
  <si>
    <t>Hagspiel et al.</t>
  </si>
  <si>
    <t>Cost-optimal power system extension under flow-based market coupling. Energy 66, 654-666</t>
  </si>
  <si>
    <t>https://doi.org/10.1016/j.
energy.2014.01.025</t>
  </si>
  <si>
    <t>Brown et al.</t>
  </si>
  <si>
    <t>Synergies of sector coupling and transmission reinforcement in a cost-optimised, highly renewable European energy system. Energy 160, 720-739</t>
  </si>
  <si>
    <t>https: //doi.org/10.1016/j.energy.2018.06.222</t>
  </si>
  <si>
    <t>16, 17</t>
  </si>
  <si>
    <t>Transmission</t>
  </si>
  <si>
    <t>Conventional generation</t>
  </si>
  <si>
    <t>conventional</t>
  </si>
  <si>
    <t>Nat Gas - Old OCGT CoGen</t>
  </si>
  <si>
    <t>Nat Gas - New OCGT CoGen</t>
  </si>
  <si>
    <t>Oil - OCGT CoGen</t>
  </si>
  <si>
    <t>Nat Gas - Old OCGT CHP</t>
  </si>
  <si>
    <t>Primary product</t>
  </si>
  <si>
    <t>primary_product</t>
  </si>
  <si>
    <t>Hydro - Reservoir daily</t>
  </si>
  <si>
    <t>Hydro - Reservoir weekly</t>
  </si>
  <si>
    <t>Hydro - Reservoir seasonal</t>
  </si>
  <si>
    <t>Hydro - Pumped Storage daily</t>
  </si>
  <si>
    <t>Hydro - Pumped Storage weekly</t>
  </si>
  <si>
    <t>Hydro - Pumped Storage seasonal</t>
  </si>
  <si>
    <t>h2stack</t>
  </si>
  <si>
    <t>Biomass Boiler</t>
  </si>
  <si>
    <t>bio_boiler_chp</t>
  </si>
  <si>
    <t>Country from</t>
  </si>
  <si>
    <t>Country to</t>
  </si>
  <si>
    <t>Quantity</t>
  </si>
  <si>
    <t>prim_prod</t>
  </si>
  <si>
    <t>h2</t>
  </si>
  <si>
    <t>Methanation unit</t>
  </si>
  <si>
    <t>meth</t>
  </si>
  <si>
    <t>ch4</t>
  </si>
  <si>
    <t>Hydrogen storage</t>
  </si>
  <si>
    <t>Syngas storage</t>
  </si>
  <si>
    <t>store_h2</t>
  </si>
  <si>
    <t>store_ch4</t>
  </si>
  <si>
    <t>Heat storage</t>
  </si>
  <si>
    <t>store_ht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</si>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</sst>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0" fontId="0" fillId="7" borderId="0" xfId="0" applyFill="1"/>
    <xf numFmtId="0" fontId="0" fillId="0" borderId="0" xfId="0" applyAlignment="1">
      <alignment horizontal="left"/>
    </xf>
    <xf numFmtId="2" fontId="0" fillId="8" borderId="0" xfId="0" applyNumberFormat="1" applyFill="1"/>
    <xf numFmtId="170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2" fontId="0" fillId="0" borderId="0" xfId="0" applyNumberFormat="1" applyFill="1"/>
    <xf numFmtId="170" fontId="0" fillId="0" borderId="0" xfId="0" applyNumberFormat="1" applyFill="1"/>
    <xf numFmtId="166" fontId="0" fillId="0" borderId="0" xfId="0" applyNumberFormat="1" applyFill="1"/>
    <xf numFmtId="0" fontId="1" fillId="8" borderId="0" xfId="0" applyFont="1" applyFill="1" applyAlignment="1">
      <alignment wrapText="1"/>
    </xf>
    <xf numFmtId="0" fontId="0" fillId="9" borderId="0" xfId="0" applyFill="1"/>
    <xf numFmtId="0" fontId="0" fillId="10" borderId="0" xfId="0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doi.org/10.1016/j.energy.2014.01.025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8"/>
  <sheetViews>
    <sheetView workbookViewId="0">
      <selection activeCell="A19" sqref="A19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42578125" customWidth="1"/>
  </cols>
  <sheetData>
    <row r="1" spans="1:6" x14ac:dyDescent="0.25">
      <c r="A1" s="2" t="s">
        <v>149</v>
      </c>
      <c r="B1" s="2" t="s">
        <v>150</v>
      </c>
      <c r="C1" s="2" t="s">
        <v>151</v>
      </c>
      <c r="D1" s="2" t="s">
        <v>152</v>
      </c>
      <c r="E1" s="2" t="s">
        <v>165</v>
      </c>
      <c r="F1" s="2" t="s">
        <v>154</v>
      </c>
    </row>
    <row r="2" spans="1:6" x14ac:dyDescent="0.25">
      <c r="A2">
        <v>1</v>
      </c>
      <c r="B2" t="s">
        <v>155</v>
      </c>
      <c r="C2">
        <v>2016</v>
      </c>
      <c r="D2" t="s">
        <v>172</v>
      </c>
      <c r="E2" s="19" t="s">
        <v>168</v>
      </c>
    </row>
    <row r="3" spans="1:6" x14ac:dyDescent="0.25">
      <c r="A3">
        <v>2</v>
      </c>
      <c r="B3" t="s">
        <v>155</v>
      </c>
      <c r="C3">
        <v>2018</v>
      </c>
      <c r="D3" t="s">
        <v>171</v>
      </c>
      <c r="E3" s="19" t="s">
        <v>173</v>
      </c>
    </row>
    <row r="4" spans="1:6" x14ac:dyDescent="0.25">
      <c r="A4">
        <v>3</v>
      </c>
      <c r="B4" t="s">
        <v>156</v>
      </c>
      <c r="C4">
        <v>2013</v>
      </c>
      <c r="D4" t="s">
        <v>161</v>
      </c>
      <c r="E4" s="19" t="s">
        <v>169</v>
      </c>
    </row>
    <row r="5" spans="1:6" x14ac:dyDescent="0.25">
      <c r="A5">
        <v>4</v>
      </c>
      <c r="B5" t="s">
        <v>164</v>
      </c>
      <c r="C5">
        <v>2014</v>
      </c>
      <c r="D5" t="s">
        <v>163</v>
      </c>
      <c r="E5" s="19" t="s">
        <v>166</v>
      </c>
    </row>
    <row r="6" spans="1:6" x14ac:dyDescent="0.25">
      <c r="A6">
        <v>5</v>
      </c>
      <c r="B6" t="s">
        <v>162</v>
      </c>
      <c r="C6">
        <v>2017</v>
      </c>
      <c r="D6" t="s">
        <v>160</v>
      </c>
      <c r="E6" s="19" t="s">
        <v>167</v>
      </c>
    </row>
    <row r="7" spans="1:6" x14ac:dyDescent="0.25">
      <c r="A7">
        <v>6</v>
      </c>
      <c r="B7" t="s">
        <v>157</v>
      </c>
      <c r="C7">
        <v>2014</v>
      </c>
      <c r="D7" t="s">
        <v>158</v>
      </c>
      <c r="E7" s="19" t="s">
        <v>170</v>
      </c>
    </row>
    <row r="8" spans="1:6" x14ac:dyDescent="0.25">
      <c r="A8">
        <v>7</v>
      </c>
      <c r="B8" t="s">
        <v>153</v>
      </c>
      <c r="C8">
        <v>2018</v>
      </c>
      <c r="D8" t="s">
        <v>153</v>
      </c>
      <c r="F8" t="s">
        <v>148</v>
      </c>
    </row>
    <row r="9" spans="1:6" x14ac:dyDescent="0.25">
      <c r="A9">
        <v>8</v>
      </c>
      <c r="B9" t="s">
        <v>153</v>
      </c>
      <c r="C9" t="s">
        <v>153</v>
      </c>
      <c r="D9" t="s">
        <v>153</v>
      </c>
      <c r="F9" t="s">
        <v>159</v>
      </c>
    </row>
    <row r="10" spans="1:6" x14ac:dyDescent="0.25">
      <c r="A10">
        <v>9</v>
      </c>
      <c r="B10" t="s">
        <v>215</v>
      </c>
      <c r="C10">
        <v>2017</v>
      </c>
      <c r="D10" t="s">
        <v>216</v>
      </c>
      <c r="E10" s="19" t="s">
        <v>217</v>
      </c>
    </row>
    <row r="11" spans="1:6" x14ac:dyDescent="0.25">
      <c r="A11">
        <v>10</v>
      </c>
      <c r="B11" t="s">
        <v>223</v>
      </c>
      <c r="C11">
        <v>2017</v>
      </c>
      <c r="D11" t="s">
        <v>224</v>
      </c>
      <c r="E11" t="s">
        <v>225</v>
      </c>
      <c r="F11" t="s">
        <v>237</v>
      </c>
    </row>
    <row r="12" spans="1:6" x14ac:dyDescent="0.25">
      <c r="A12">
        <v>11</v>
      </c>
      <c r="B12" t="s">
        <v>226</v>
      </c>
      <c r="C12">
        <v>2007</v>
      </c>
      <c r="D12" t="s">
        <v>233</v>
      </c>
      <c r="E12" s="19" t="s">
        <v>231</v>
      </c>
      <c r="F12" t="s">
        <v>232</v>
      </c>
    </row>
    <row r="13" spans="1:6" x14ac:dyDescent="0.25">
      <c r="A13">
        <v>12</v>
      </c>
      <c r="B13" t="s">
        <v>226</v>
      </c>
      <c r="C13">
        <v>2008</v>
      </c>
      <c r="D13" t="s">
        <v>228</v>
      </c>
      <c r="E13" s="19" t="s">
        <v>227</v>
      </c>
    </row>
    <row r="14" spans="1:6" x14ac:dyDescent="0.25">
      <c r="A14">
        <v>13</v>
      </c>
      <c r="B14" t="s">
        <v>226</v>
      </c>
      <c r="C14">
        <v>2008</v>
      </c>
      <c r="D14" t="s">
        <v>229</v>
      </c>
      <c r="E14" t="s">
        <v>230</v>
      </c>
    </row>
    <row r="15" spans="1:6" x14ac:dyDescent="0.25">
      <c r="A15">
        <v>14</v>
      </c>
      <c r="B15" t="s">
        <v>226</v>
      </c>
      <c r="C15">
        <v>2008</v>
      </c>
      <c r="D15" t="s">
        <v>236</v>
      </c>
      <c r="E15" s="19" t="s">
        <v>234</v>
      </c>
      <c r="F15" t="s">
        <v>235</v>
      </c>
    </row>
    <row r="16" spans="1:6" x14ac:dyDescent="0.25">
      <c r="A16">
        <v>15</v>
      </c>
      <c r="B16" t="s">
        <v>155</v>
      </c>
      <c r="C16">
        <v>2017</v>
      </c>
      <c r="D16" t="s">
        <v>256</v>
      </c>
    </row>
    <row r="17" spans="1:5" x14ac:dyDescent="0.25">
      <c r="A17">
        <v>16</v>
      </c>
      <c r="B17" t="s">
        <v>329</v>
      </c>
      <c r="C17">
        <v>2014</v>
      </c>
      <c r="D17" t="s">
        <v>330</v>
      </c>
      <c r="E17" s="19" t="s">
        <v>331</v>
      </c>
    </row>
    <row r="18" spans="1:5" x14ac:dyDescent="0.25">
      <c r="A18">
        <v>17</v>
      </c>
      <c r="B18" t="s">
        <v>332</v>
      </c>
      <c r="C18">
        <v>2018</v>
      </c>
      <c r="D18" t="s">
        <v>333</v>
      </c>
      <c r="E18" t="s">
        <v>334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7" r:id="rId11" xr:uid="{4B4C06FA-2FD6-DC43-A7E2-EBC6BBE17244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527D-2FD9-4809-BA39-0125140E393D}">
  <dimension ref="A1:D14"/>
  <sheetViews>
    <sheetView workbookViewId="0">
      <selection activeCell="B17" sqref="B17"/>
    </sheetView>
  </sheetViews>
  <sheetFormatPr baseColWidth="10" defaultRowHeight="15" x14ac:dyDescent="0.25"/>
  <sheetData>
    <row r="1" spans="1:4" x14ac:dyDescent="0.25">
      <c r="A1" t="s">
        <v>354</v>
      </c>
      <c r="B1" t="s">
        <v>355</v>
      </c>
      <c r="C1" t="s">
        <v>282</v>
      </c>
      <c r="D1" t="s">
        <v>356</v>
      </c>
    </row>
    <row r="2" spans="1:4" x14ac:dyDescent="0.25">
      <c r="A2" t="s">
        <v>1</v>
      </c>
      <c r="C2" t="s">
        <v>137</v>
      </c>
    </row>
    <row r="3" spans="1:4" x14ac:dyDescent="0.25">
      <c r="A3" t="s">
        <v>7</v>
      </c>
      <c r="C3" t="s">
        <v>137</v>
      </c>
    </row>
    <row r="4" spans="1:4" x14ac:dyDescent="0.25">
      <c r="A4" t="s">
        <v>8</v>
      </c>
      <c r="C4" t="s">
        <v>137</v>
      </c>
    </row>
    <row r="5" spans="1:4" x14ac:dyDescent="0.25">
      <c r="A5" t="s">
        <v>9</v>
      </c>
      <c r="C5" t="s">
        <v>137</v>
      </c>
    </row>
    <row r="6" spans="1:4" x14ac:dyDescent="0.25">
      <c r="A6" t="s">
        <v>2</v>
      </c>
      <c r="C6" t="s">
        <v>137</v>
      </c>
    </row>
    <row r="7" spans="1:4" x14ac:dyDescent="0.25">
      <c r="A7" t="s">
        <v>10</v>
      </c>
      <c r="C7" t="s">
        <v>137</v>
      </c>
    </row>
    <row r="8" spans="1:4" x14ac:dyDescent="0.25">
      <c r="A8" t="s">
        <v>11</v>
      </c>
      <c r="C8" t="s">
        <v>137</v>
      </c>
    </row>
    <row r="9" spans="1:4" x14ac:dyDescent="0.25">
      <c r="A9" t="s">
        <v>12</v>
      </c>
      <c r="C9" t="s">
        <v>137</v>
      </c>
    </row>
    <row r="10" spans="1:4" x14ac:dyDescent="0.25">
      <c r="A10" t="s">
        <v>13</v>
      </c>
      <c r="C10" t="s">
        <v>137</v>
      </c>
    </row>
    <row r="11" spans="1:4" x14ac:dyDescent="0.25">
      <c r="A11" t="s">
        <v>14</v>
      </c>
      <c r="C11" t="s">
        <v>137</v>
      </c>
    </row>
    <row r="12" spans="1:4" x14ac:dyDescent="0.25">
      <c r="A12" t="s">
        <v>15</v>
      </c>
      <c r="C12" t="s">
        <v>137</v>
      </c>
    </row>
    <row r="13" spans="1:4" x14ac:dyDescent="0.25">
      <c r="A13" t="s">
        <v>16</v>
      </c>
      <c r="C13" t="s">
        <v>137</v>
      </c>
    </row>
    <row r="14" spans="1:4" x14ac:dyDescent="0.25">
      <c r="A14" t="s">
        <v>17</v>
      </c>
      <c r="C14" t="s">
        <v>137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RowHeight="15" x14ac:dyDescent="0.25"/>
  <sheetData>
    <row r="1" spans="1:12" x14ac:dyDescent="0.25">
      <c r="A1" s="2" t="s">
        <v>147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284</v>
      </c>
      <c r="H1" s="2" t="s">
        <v>132</v>
      </c>
      <c r="I1" s="2" t="s">
        <v>133</v>
      </c>
      <c r="J1" s="2" t="s">
        <v>134</v>
      </c>
      <c r="K1" s="2" t="s">
        <v>137</v>
      </c>
      <c r="L1" s="2" t="s">
        <v>135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CF3D-3091-4B96-A9BA-3C440DCBB176}">
  <dimension ref="A1:C5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137</v>
      </c>
      <c r="B2">
        <v>12500</v>
      </c>
      <c r="C2">
        <v>12500</v>
      </c>
    </row>
    <row r="3" spans="1:3" x14ac:dyDescent="0.25">
      <c r="A3" t="s">
        <v>138</v>
      </c>
      <c r="B3">
        <v>25000</v>
      </c>
      <c r="C3">
        <v>25000</v>
      </c>
    </row>
    <row r="4" spans="1:3" x14ac:dyDescent="0.25">
      <c r="A4" t="s">
        <v>358</v>
      </c>
      <c r="B4">
        <v>10000</v>
      </c>
      <c r="C4">
        <v>10000</v>
      </c>
    </row>
    <row r="5" spans="1:3" x14ac:dyDescent="0.25">
      <c r="A5" t="s">
        <v>361</v>
      </c>
      <c r="B5">
        <v>50000</v>
      </c>
      <c r="C5">
        <v>50000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4A5-0555-C645-8A12-2533612BB966}">
  <dimension ref="A1:C4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323</v>
      </c>
      <c r="B2">
        <v>0.125</v>
      </c>
      <c r="C2">
        <v>0.125</v>
      </c>
    </row>
    <row r="3" spans="1:3" x14ac:dyDescent="0.25">
      <c r="A3" t="s">
        <v>324</v>
      </c>
      <c r="B3">
        <v>0.17499999999999999</v>
      </c>
      <c r="C3">
        <v>0.17499999999999999</v>
      </c>
    </row>
    <row r="4" spans="1:3" x14ac:dyDescent="0.25">
      <c r="A4" t="s">
        <v>325</v>
      </c>
      <c r="B4">
        <v>12500</v>
      </c>
      <c r="C4">
        <v>12500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87E-D7D8-8746-BC28-E4CE13A03946}">
  <dimension ref="A1:B11"/>
  <sheetViews>
    <sheetView workbookViewId="0">
      <selection activeCell="A12" sqref="A12"/>
    </sheetView>
  </sheetViews>
  <sheetFormatPr baseColWidth="10" defaultRowHeight="15" x14ac:dyDescent="0.25"/>
  <sheetData>
    <row r="1" spans="1:2" x14ac:dyDescent="0.25">
      <c r="B1" t="s">
        <v>326</v>
      </c>
    </row>
    <row r="2" spans="1:2" x14ac:dyDescent="0.25">
      <c r="A2" t="s">
        <v>20</v>
      </c>
      <c r="B2">
        <v>0</v>
      </c>
    </row>
    <row r="3" spans="1:2" x14ac:dyDescent="0.25">
      <c r="A3" t="s">
        <v>128</v>
      </c>
      <c r="B3">
        <v>0.39900000000000002</v>
      </c>
    </row>
    <row r="4" spans="1:2" x14ac:dyDescent="0.25">
      <c r="A4" t="s">
        <v>129</v>
      </c>
      <c r="B4">
        <v>0.33700000000000002</v>
      </c>
    </row>
    <row r="5" spans="1:2" x14ac:dyDescent="0.25">
      <c r="A5" t="s">
        <v>130</v>
      </c>
      <c r="B5">
        <v>0.20100000000000001</v>
      </c>
    </row>
    <row r="6" spans="1:2" x14ac:dyDescent="0.25">
      <c r="A6" t="s">
        <v>131</v>
      </c>
      <c r="B6">
        <v>0.26600000000000001</v>
      </c>
    </row>
    <row r="7" spans="1:2" x14ac:dyDescent="0.25">
      <c r="A7" t="s">
        <v>284</v>
      </c>
      <c r="B7">
        <v>0</v>
      </c>
    </row>
    <row r="8" spans="1:2" x14ac:dyDescent="0.25">
      <c r="A8" t="s">
        <v>132</v>
      </c>
      <c r="B8">
        <v>0</v>
      </c>
    </row>
    <row r="9" spans="1:2" x14ac:dyDescent="0.25">
      <c r="A9" t="s">
        <v>133</v>
      </c>
      <c r="B9">
        <v>0</v>
      </c>
    </row>
    <row r="10" spans="1:2" x14ac:dyDescent="0.25">
      <c r="A10" t="s">
        <v>134</v>
      </c>
      <c r="B10">
        <v>0</v>
      </c>
    </row>
    <row r="11" spans="1:2" x14ac:dyDescent="0.25">
      <c r="A11" t="s">
        <v>368</v>
      </c>
      <c r="B11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A1:B3"/>
    </sheetView>
  </sheetViews>
  <sheetFormatPr baseColWidth="10" defaultRowHeight="15" x14ac:dyDescent="0.25"/>
  <sheetData>
    <row r="1" spans="1:2" x14ac:dyDescent="0.25">
      <c r="A1" s="2" t="s">
        <v>147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RowHeight="15" x14ac:dyDescent="0.25"/>
  <sheetData>
    <row r="1" spans="1:6" x14ac:dyDescent="0.25">
      <c r="A1" s="2" t="s">
        <v>147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0.215</v>
      </c>
      <c r="D2">
        <v>5.53</v>
      </c>
      <c r="E2">
        <v>1.337</v>
      </c>
      <c r="F2">
        <v>0</v>
      </c>
    </row>
    <row r="3" spans="1:6" x14ac:dyDescent="0.25">
      <c r="A3" t="s">
        <v>1</v>
      </c>
      <c r="B3">
        <v>2013</v>
      </c>
      <c r="C3">
        <v>0.46100000000000002</v>
      </c>
      <c r="D3">
        <v>5.58</v>
      </c>
      <c r="E3">
        <v>1.681</v>
      </c>
      <c r="F3">
        <v>0</v>
      </c>
    </row>
    <row r="4" spans="1:6" x14ac:dyDescent="0.25">
      <c r="A4" t="s">
        <v>1</v>
      </c>
      <c r="B4">
        <v>2014</v>
      </c>
      <c r="C4">
        <v>0.72399999999999998</v>
      </c>
      <c r="D4">
        <v>5.6210000000000004</v>
      </c>
      <c r="E4">
        <v>2.11</v>
      </c>
      <c r="F4">
        <v>0</v>
      </c>
    </row>
    <row r="5" spans="1:6" x14ac:dyDescent="0.25">
      <c r="A5" t="s">
        <v>1</v>
      </c>
      <c r="B5">
        <v>2015</v>
      </c>
      <c r="C5">
        <v>0.872</v>
      </c>
      <c r="D5">
        <v>5.6619999999999999</v>
      </c>
      <c r="E5">
        <v>2.4889999999999999</v>
      </c>
      <c r="F5">
        <v>0</v>
      </c>
    </row>
    <row r="6" spans="1:6" x14ac:dyDescent="0.25">
      <c r="A6" t="s">
        <v>1</v>
      </c>
      <c r="B6">
        <v>2016</v>
      </c>
      <c r="C6">
        <v>1.0329999999999999</v>
      </c>
      <c r="D6">
        <v>5.7</v>
      </c>
      <c r="E6">
        <v>2.73</v>
      </c>
      <c r="F6">
        <v>0</v>
      </c>
    </row>
    <row r="7" spans="1:6" x14ac:dyDescent="0.25">
      <c r="A7" t="s">
        <v>1</v>
      </c>
      <c r="B7">
        <v>2017</v>
      </c>
      <c r="C7">
        <v>1.1930000000000001</v>
      </c>
      <c r="D7">
        <v>5.7160000000000002</v>
      </c>
      <c r="E7">
        <v>2.887</v>
      </c>
      <c r="F7">
        <v>0</v>
      </c>
    </row>
    <row r="8" spans="1:6" x14ac:dyDescent="0.25">
      <c r="A8" t="s">
        <v>1</v>
      </c>
      <c r="B8">
        <v>2018</v>
      </c>
      <c r="C8">
        <v>1.371</v>
      </c>
      <c r="D8">
        <v>5.7229999999999999</v>
      </c>
      <c r="E8">
        <v>3.133</v>
      </c>
      <c r="F8">
        <v>0</v>
      </c>
    </row>
    <row r="9" spans="1:6" x14ac:dyDescent="0.25">
      <c r="A9" t="s">
        <v>1</v>
      </c>
      <c r="B9">
        <v>2019</v>
      </c>
      <c r="C9">
        <v>1.615</v>
      </c>
      <c r="D9">
        <v>5.7969999999999997</v>
      </c>
      <c r="E9">
        <v>3.2080000000000002</v>
      </c>
      <c r="F9">
        <v>0</v>
      </c>
    </row>
    <row r="10" spans="1:6" x14ac:dyDescent="0.25">
      <c r="A10" t="s">
        <v>1</v>
      </c>
      <c r="B10">
        <v>2020</v>
      </c>
      <c r="C10">
        <v>1.976</v>
      </c>
      <c r="D10">
        <v>5.7960000000000003</v>
      </c>
      <c r="E10">
        <v>3.1640000000000001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G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147</v>
      </c>
      <c r="B1" s="14" t="s">
        <v>145</v>
      </c>
      <c r="C1" s="14" t="s">
        <v>64</v>
      </c>
      <c r="D1" s="23" t="s">
        <v>146</v>
      </c>
      <c r="E1" s="24" t="s">
        <v>143</v>
      </c>
      <c r="F1" s="24" t="s">
        <v>144</v>
      </c>
      <c r="G1" s="14" t="s">
        <v>222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625000</v>
      </c>
      <c r="E2" s="20">
        <f t="shared" ref="E2:F2" si="0">E6</f>
        <v>9032</v>
      </c>
      <c r="F2" s="21">
        <f t="shared" si="0"/>
        <v>0</v>
      </c>
      <c r="G2" s="1">
        <f>ROUND((WACC!$B$2*(1+WACC!$B$2)^$C2)/((1+WACC!$B$2)^$C2-1)*$D2,0)</f>
        <v>36424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60</v>
      </c>
      <c r="D3" s="20">
        <f t="shared" ref="D3:F5" si="1">D7</f>
        <v>2800000</v>
      </c>
      <c r="E3" s="20">
        <f t="shared" si="1"/>
        <v>60000</v>
      </c>
      <c r="F3" s="21">
        <f t="shared" si="1"/>
        <v>0</v>
      </c>
      <c r="G3" s="1">
        <f>ROUND((WACC!$B$2*(1+WACC!$B$2)^$C3)/((1+WACC!$B$2)^$C3-1)*$D3,0)</f>
        <v>147919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625000</v>
      </c>
      <c r="E6" s="1">
        <v>9032</v>
      </c>
      <c r="F6" s="7">
        <v>0</v>
      </c>
      <c r="G6" s="1">
        <f>ROUND((WACC!$B$3*(1+WACC!$B$3)^$C6)/((1+WACC!$B$3)^$C6-1)*$D6,0)</f>
        <v>27039</v>
      </c>
      <c r="I6" s="25"/>
    </row>
    <row r="7" spans="1:9" x14ac:dyDescent="0.25">
      <c r="A7" t="s">
        <v>2</v>
      </c>
      <c r="B7" s="20" t="s">
        <v>4</v>
      </c>
      <c r="C7" s="1">
        <v>60</v>
      </c>
      <c r="D7" s="22">
        <v>2800000</v>
      </c>
      <c r="E7" s="1">
        <v>60000</v>
      </c>
      <c r="F7" s="7">
        <v>0</v>
      </c>
      <c r="G7" s="1">
        <f>ROUND((WACC!$B$3*(1+WACC!$B$3)^$C7)/((1+WACC!$B$3)^$C7-1)*$D7,0)</f>
        <v>101172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147</v>
      </c>
      <c r="B1" s="14" t="s">
        <v>145</v>
      </c>
      <c r="C1" s="14" t="s">
        <v>64</v>
      </c>
      <c r="D1" s="14" t="s">
        <v>118</v>
      </c>
      <c r="E1" s="14" t="s">
        <v>119</v>
      </c>
      <c r="F1" s="24" t="s">
        <v>143</v>
      </c>
      <c r="G1" s="24" t="s">
        <v>144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22000</v>
      </c>
      <c r="G2">
        <v>3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22000</v>
      </c>
      <c r="G3" s="1">
        <v>3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22000</v>
      </c>
      <c r="G4" s="1">
        <v>3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22000</v>
      </c>
      <c r="G5" s="1">
        <v>3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22000</v>
      </c>
      <c r="G6" s="1">
        <v>3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22000</v>
      </c>
      <c r="G7" s="1">
        <v>3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320000</v>
      </c>
      <c r="E8" s="1">
        <v>302000</v>
      </c>
      <c r="F8" s="1">
        <v>540</v>
      </c>
      <c r="G8" s="8">
        <v>1.8</v>
      </c>
      <c r="H8" s="1">
        <f>D8*(WACC!$B$2*(1+WACC!$B$2)^$C8)/((1+WACC!$B$2)^$C8-1)</f>
        <v>22704.786335753477</v>
      </c>
      <c r="I8" s="1">
        <f>E8*(WACC!$B$3*(1+WACC!$B$3)^$C8)/((1+WACC!$B$3)^$C8-1)</f>
        <v>17343.217053816603</v>
      </c>
    </row>
    <row r="9" spans="1:15" x14ac:dyDescent="0.25">
      <c r="A9" t="s">
        <v>1</v>
      </c>
      <c r="B9" t="s">
        <v>257</v>
      </c>
      <c r="C9">
        <v>25</v>
      </c>
      <c r="D9" s="8">
        <v>2575000</v>
      </c>
      <c r="E9" s="1">
        <v>2000</v>
      </c>
      <c r="F9" s="1">
        <v>82500</v>
      </c>
      <c r="G9" s="1">
        <v>0</v>
      </c>
      <c r="H9" s="1">
        <f>D9*(WACC!$B$2*(1+WACC!$B$2)^$C9)/((1+WACC!$B$2)^$C9-1)</f>
        <v>182702.57754551628</v>
      </c>
      <c r="I9" s="1">
        <f>E9*(WACC!$B$3*(1+WACC!$B$3)^$C9)/((1+WACC!$B$3)^$C9-1)</f>
        <v>114.85574207825563</v>
      </c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4" activePane="bottomLeft" state="frozen"/>
      <selection pane="bottomLeft" activeCell="F4" sqref="F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142</v>
      </c>
      <c r="E1" s="14" t="s">
        <v>140</v>
      </c>
      <c r="F1" s="13" t="s">
        <v>141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139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2" sqref="Q32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137</v>
      </c>
      <c r="D1" s="4" t="s">
        <v>138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3"/>
  <sheetViews>
    <sheetView workbookViewId="0">
      <selection activeCell="C13" sqref="C1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136</v>
      </c>
      <c r="C2" t="s">
        <v>136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136</v>
      </c>
      <c r="C4" t="s">
        <v>136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136</v>
      </c>
      <c r="C12" t="s">
        <v>136</v>
      </c>
    </row>
    <row r="13" spans="1:3" x14ac:dyDescent="0.25">
      <c r="A13" t="s">
        <v>351</v>
      </c>
      <c r="B13" t="s">
        <v>136</v>
      </c>
      <c r="C13" t="s">
        <v>136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13E-78BA-D24A-A7D9-6241E48D080F}">
  <dimension ref="A1:AZ74"/>
  <sheetViews>
    <sheetView tabSelected="1" workbookViewId="0">
      <pane xSplit="3" ySplit="5" topLeftCell="AN36" activePane="bottomRight" state="frozen"/>
      <selection pane="topRight" activeCell="D1" sqref="D1"/>
      <selection pane="bottomLeft" activeCell="A6" sqref="A6"/>
      <selection pane="bottomRight" activeCell="AZ48" sqref="AZ48"/>
    </sheetView>
  </sheetViews>
  <sheetFormatPr baseColWidth="10" defaultRowHeight="15" x14ac:dyDescent="0.25"/>
  <cols>
    <col min="1" max="1" width="22.85546875" customWidth="1"/>
    <col min="2" max="2" width="9.42578125" customWidth="1"/>
  </cols>
  <sheetData>
    <row r="1" spans="1:52" x14ac:dyDescent="0.25">
      <c r="A1" s="15" t="s">
        <v>258</v>
      </c>
      <c r="B1" s="15"/>
    </row>
    <row r="2" spans="1:52" s="15" customFormat="1" ht="75" x14ac:dyDescent="0.25">
      <c r="A2" s="15" t="s">
        <v>259</v>
      </c>
      <c r="D2" s="36" t="s">
        <v>269</v>
      </c>
      <c r="E2" s="36" t="s">
        <v>270</v>
      </c>
      <c r="F2" s="36" t="s">
        <v>271</v>
      </c>
      <c r="G2" s="36" t="s">
        <v>272</v>
      </c>
      <c r="H2" s="36" t="s">
        <v>54</v>
      </c>
      <c r="I2" s="36" t="s">
        <v>55</v>
      </c>
      <c r="J2" s="36" t="s">
        <v>352</v>
      </c>
      <c r="K2" s="37" t="s">
        <v>20</v>
      </c>
      <c r="L2" s="37" t="s">
        <v>21</v>
      </c>
      <c r="M2" s="37" t="s">
        <v>22</v>
      </c>
      <c r="N2" s="37" t="s">
        <v>23</v>
      </c>
      <c r="O2" s="37" t="s">
        <v>24</v>
      </c>
      <c r="P2" s="37" t="s">
        <v>25</v>
      </c>
      <c r="Q2" s="37" t="s">
        <v>26</v>
      </c>
      <c r="R2" s="37" t="s">
        <v>27</v>
      </c>
      <c r="S2" s="37" t="s">
        <v>28</v>
      </c>
      <c r="T2" s="37" t="s">
        <v>29</v>
      </c>
      <c r="U2" s="37" t="s">
        <v>30</v>
      </c>
      <c r="V2" s="37" t="s">
        <v>31</v>
      </c>
      <c r="W2" s="37" t="s">
        <v>32</v>
      </c>
      <c r="X2" s="37" t="s">
        <v>33</v>
      </c>
      <c r="Y2" s="37" t="s">
        <v>204</v>
      </c>
      <c r="Z2" s="37" t="s">
        <v>342</v>
      </c>
      <c r="AA2" s="37" t="s">
        <v>205</v>
      </c>
      <c r="AB2" s="37" t="s">
        <v>205</v>
      </c>
      <c r="AC2" s="37" t="s">
        <v>38</v>
      </c>
      <c r="AD2" s="37" t="s">
        <v>39</v>
      </c>
      <c r="AE2" s="37" t="s">
        <v>40</v>
      </c>
      <c r="AF2" s="37" t="s">
        <v>41</v>
      </c>
      <c r="AG2" s="37" t="s">
        <v>42</v>
      </c>
      <c r="AH2" s="37" t="s">
        <v>43</v>
      </c>
      <c r="AI2" s="37" t="s">
        <v>206</v>
      </c>
      <c r="AJ2" s="37" t="s">
        <v>45</v>
      </c>
      <c r="AK2" s="37" t="s">
        <v>46</v>
      </c>
      <c r="AL2" s="37" t="s">
        <v>207</v>
      </c>
      <c r="AM2" s="37" t="s">
        <v>207</v>
      </c>
      <c r="AN2" s="37" t="s">
        <v>49</v>
      </c>
      <c r="AO2" s="37" t="s">
        <v>139</v>
      </c>
      <c r="AP2" s="38" t="s">
        <v>209</v>
      </c>
      <c r="AQ2" s="38" t="s">
        <v>210</v>
      </c>
      <c r="AR2" s="38" t="s">
        <v>212</v>
      </c>
      <c r="AS2" s="39" t="s">
        <v>278</v>
      </c>
      <c r="AT2" s="39" t="s">
        <v>345</v>
      </c>
      <c r="AU2" s="39" t="s">
        <v>346</v>
      </c>
      <c r="AV2" s="39" t="s">
        <v>347</v>
      </c>
      <c r="AW2" s="39" t="s">
        <v>348</v>
      </c>
      <c r="AX2" s="39" t="s">
        <v>349</v>
      </c>
      <c r="AY2" s="39" t="s">
        <v>350</v>
      </c>
      <c r="AZ2" s="39" t="s">
        <v>279</v>
      </c>
    </row>
    <row r="3" spans="1:52" s="15" customFormat="1" x14ac:dyDescent="0.25">
      <c r="A3" s="15" t="s">
        <v>266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 x14ac:dyDescent="0.25">
      <c r="A4" s="15" t="s">
        <v>317</v>
      </c>
      <c r="B4" s="15"/>
      <c r="D4" t="s">
        <v>3</v>
      </c>
      <c r="E4" t="s">
        <v>4</v>
      </c>
      <c r="F4" t="s">
        <v>5</v>
      </c>
      <c r="G4" t="s">
        <v>6</v>
      </c>
      <c r="H4" t="s">
        <v>114</v>
      </c>
      <c r="I4" t="s">
        <v>115</v>
      </c>
      <c r="J4" t="s">
        <v>353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88</v>
      </c>
      <c r="T4" t="s">
        <v>89</v>
      </c>
      <c r="U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97</v>
      </c>
      <c r="AC4" t="s">
        <v>98</v>
      </c>
      <c r="AD4" t="s">
        <v>99</v>
      </c>
      <c r="AE4" t="s">
        <v>100</v>
      </c>
      <c r="AF4" t="s">
        <v>101</v>
      </c>
      <c r="AG4" t="s">
        <v>102</v>
      </c>
      <c r="AH4" t="s">
        <v>103</v>
      </c>
      <c r="AI4" t="s">
        <v>104</v>
      </c>
      <c r="AJ4" t="s">
        <v>105</v>
      </c>
      <c r="AK4" t="s">
        <v>106</v>
      </c>
      <c r="AL4" t="s">
        <v>107</v>
      </c>
      <c r="AM4" t="s">
        <v>108</v>
      </c>
      <c r="AN4" t="s">
        <v>109</v>
      </c>
      <c r="AO4" t="s">
        <v>110</v>
      </c>
      <c r="AP4" t="s">
        <v>116</v>
      </c>
      <c r="AQ4" t="s">
        <v>211</v>
      </c>
      <c r="AR4" t="s">
        <v>213</v>
      </c>
      <c r="AS4" t="s">
        <v>117</v>
      </c>
      <c r="AT4" t="s">
        <v>304</v>
      </c>
      <c r="AU4" t="s">
        <v>305</v>
      </c>
      <c r="AV4" t="s">
        <v>306</v>
      </c>
      <c r="AW4" t="s">
        <v>307</v>
      </c>
      <c r="AX4" t="s">
        <v>308</v>
      </c>
      <c r="AY4" t="s">
        <v>309</v>
      </c>
      <c r="AZ4" t="s">
        <v>257</v>
      </c>
    </row>
    <row r="5" spans="1:52" x14ac:dyDescent="0.25">
      <c r="A5" s="15" t="s">
        <v>357</v>
      </c>
      <c r="B5" s="15"/>
      <c r="D5" t="s">
        <v>137</v>
      </c>
      <c r="E5" t="s">
        <v>137</v>
      </c>
      <c r="F5" t="s">
        <v>137</v>
      </c>
      <c r="G5" t="s">
        <v>137</v>
      </c>
      <c r="H5" t="s">
        <v>137</v>
      </c>
      <c r="I5" t="s">
        <v>137</v>
      </c>
      <c r="J5" t="s">
        <v>137</v>
      </c>
      <c r="K5" t="s">
        <v>137</v>
      </c>
      <c r="L5" t="s">
        <v>137</v>
      </c>
      <c r="M5" t="s">
        <v>137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137</v>
      </c>
      <c r="AM5" t="s">
        <v>137</v>
      </c>
      <c r="AN5" t="s">
        <v>137</v>
      </c>
      <c r="AO5" t="s">
        <v>137</v>
      </c>
      <c r="AP5" t="s">
        <v>137</v>
      </c>
      <c r="AQ5" t="s">
        <v>137</v>
      </c>
      <c r="AR5" t="s">
        <v>137</v>
      </c>
      <c r="AS5" t="s">
        <v>137</v>
      </c>
      <c r="AT5" t="s">
        <v>137</v>
      </c>
      <c r="AU5" t="s">
        <v>137</v>
      </c>
      <c r="AV5" t="s">
        <v>137</v>
      </c>
      <c r="AW5" t="s">
        <v>137</v>
      </c>
      <c r="AX5" t="s">
        <v>137</v>
      </c>
      <c r="AY5" t="s">
        <v>137</v>
      </c>
      <c r="AZ5" t="s">
        <v>137</v>
      </c>
    </row>
    <row r="6" spans="1:52" x14ac:dyDescent="0.25">
      <c r="A6" s="15" t="s">
        <v>286</v>
      </c>
      <c r="B6" t="s">
        <v>1</v>
      </c>
      <c r="C6">
        <v>2012</v>
      </c>
      <c r="D6">
        <v>0.36288500000000001</v>
      </c>
      <c r="E6">
        <v>5.5190000000000001</v>
      </c>
      <c r="F6">
        <v>1.373</v>
      </c>
      <c r="G6">
        <v>0</v>
      </c>
    </row>
    <row r="7" spans="1:52" x14ac:dyDescent="0.25">
      <c r="A7" s="15" t="s">
        <v>288</v>
      </c>
      <c r="B7" t="s">
        <v>1</v>
      </c>
      <c r="C7">
        <v>2012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52" x14ac:dyDescent="0.25">
      <c r="A8" s="15" t="s">
        <v>287</v>
      </c>
      <c r="B8" t="s">
        <v>1</v>
      </c>
      <c r="C8">
        <v>2012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52" x14ac:dyDescent="0.25">
      <c r="A9" s="15" t="s">
        <v>286</v>
      </c>
      <c r="B9" t="s">
        <v>1</v>
      </c>
      <c r="C9">
        <v>2013</v>
      </c>
      <c r="D9">
        <v>0.62597400000000003</v>
      </c>
      <c r="E9">
        <v>5.5730000000000004</v>
      </c>
      <c r="F9">
        <v>1.6879999999999999</v>
      </c>
      <c r="G9">
        <v>0</v>
      </c>
    </row>
    <row r="10" spans="1:52" x14ac:dyDescent="0.25">
      <c r="A10" s="15" t="s">
        <v>288</v>
      </c>
      <c r="B10" t="s">
        <v>1</v>
      </c>
      <c r="C10">
        <v>2013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52" x14ac:dyDescent="0.25">
      <c r="A11" s="15" t="s">
        <v>287</v>
      </c>
      <c r="B11" t="s">
        <v>1</v>
      </c>
      <c r="C11">
        <v>2013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52" x14ac:dyDescent="0.25">
      <c r="A12" s="15" t="s">
        <v>286</v>
      </c>
      <c r="B12" t="s">
        <v>1</v>
      </c>
      <c r="C12">
        <v>2014</v>
      </c>
      <c r="D12">
        <v>0.72399999999999998</v>
      </c>
      <c r="E12">
        <v>5.6150000000000002</v>
      </c>
      <c r="F12">
        <v>2.11</v>
      </c>
      <c r="G12">
        <v>0</v>
      </c>
    </row>
    <row r="13" spans="1:52" x14ac:dyDescent="0.25">
      <c r="A13" s="15" t="s">
        <v>288</v>
      </c>
      <c r="B13" t="s">
        <v>1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52" x14ac:dyDescent="0.25">
      <c r="A14" s="15" t="s">
        <v>287</v>
      </c>
      <c r="B14" t="s">
        <v>1</v>
      </c>
      <c r="C14">
        <v>2014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52" x14ac:dyDescent="0.25">
      <c r="A15" s="15" t="s">
        <v>286</v>
      </c>
      <c r="B15" t="s">
        <v>1</v>
      </c>
      <c r="C15">
        <v>2015</v>
      </c>
      <c r="D15">
        <v>0.872</v>
      </c>
      <c r="E15">
        <v>5.6559999999999997</v>
      </c>
      <c r="F15">
        <v>2.4889999999999999</v>
      </c>
      <c r="G15">
        <v>0</v>
      </c>
    </row>
    <row r="16" spans="1:52" x14ac:dyDescent="0.25">
      <c r="A16" s="15" t="s">
        <v>288</v>
      </c>
      <c r="B16" t="s">
        <v>1</v>
      </c>
      <c r="C16">
        <v>2015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52" x14ac:dyDescent="0.25">
      <c r="A17" s="15" t="s">
        <v>287</v>
      </c>
      <c r="B17" t="s">
        <v>1</v>
      </c>
      <c r="C17">
        <v>2015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52" x14ac:dyDescent="0.25">
      <c r="A18" s="15" t="s">
        <v>286</v>
      </c>
      <c r="B18" t="s">
        <v>1</v>
      </c>
      <c r="C18" s="35">
        <v>2016</v>
      </c>
      <c r="D18" s="35">
        <v>1.976</v>
      </c>
      <c r="E18" s="35">
        <v>5.7960000000000003</v>
      </c>
      <c r="F18" s="35">
        <v>3.1640000000000001</v>
      </c>
      <c r="G18" s="35">
        <v>0</v>
      </c>
      <c r="H18" s="35">
        <v>0.20949999999999999</v>
      </c>
      <c r="I18" s="35">
        <v>0.47699999999999998</v>
      </c>
      <c r="J18" s="35">
        <v>0.8</v>
      </c>
      <c r="K18">
        <v>0</v>
      </c>
      <c r="L18">
        <v>0</v>
      </c>
      <c r="M18">
        <v>0</v>
      </c>
      <c r="N18">
        <v>0</v>
      </c>
      <c r="O18">
        <v>0</v>
      </c>
      <c r="P18">
        <v>0.78500000000000003</v>
      </c>
      <c r="Q18">
        <v>0.41599999999999998</v>
      </c>
      <c r="R18">
        <v>0</v>
      </c>
      <c r="S18">
        <v>0</v>
      </c>
      <c r="T18">
        <v>0</v>
      </c>
      <c r="U18">
        <v>0</v>
      </c>
      <c r="V18">
        <v>0</v>
      </c>
      <c r="W18">
        <v>0.16200000000000001</v>
      </c>
      <c r="X18">
        <v>0.70499999999999996</v>
      </c>
      <c r="Y18">
        <v>0.14899999999999999</v>
      </c>
      <c r="Z18">
        <v>0.32200000000000001</v>
      </c>
      <c r="AA18">
        <v>0</v>
      </c>
      <c r="AB18">
        <v>0</v>
      </c>
      <c r="AC18">
        <v>0.17599999999999999</v>
      </c>
      <c r="AD18">
        <v>0.38300000000000001</v>
      </c>
      <c r="AE18">
        <v>0</v>
      </c>
      <c r="AF18">
        <v>2.6579999999999999</v>
      </c>
      <c r="AG18">
        <v>0</v>
      </c>
      <c r="AH18">
        <v>0</v>
      </c>
      <c r="AI18">
        <v>1.7190000000000001</v>
      </c>
      <c r="AJ18">
        <v>0.29599999999999999</v>
      </c>
      <c r="AK18">
        <v>0</v>
      </c>
      <c r="AL18">
        <v>1.4E-2</v>
      </c>
      <c r="AM18">
        <v>0</v>
      </c>
      <c r="AN18">
        <v>0.12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1.9890000000000001</v>
      </c>
      <c r="AU18">
        <v>0.32800000000000001</v>
      </c>
      <c r="AV18">
        <v>1.2070000000000001</v>
      </c>
      <c r="AW18">
        <v>2.464</v>
      </c>
      <c r="AX18">
        <v>1.17</v>
      </c>
      <c r="AY18">
        <v>1.6060000000000001</v>
      </c>
      <c r="AZ18">
        <v>0.5</v>
      </c>
    </row>
    <row r="19" spans="1:52" x14ac:dyDescent="0.25">
      <c r="A19" s="15" t="s">
        <v>288</v>
      </c>
      <c r="B19" t="s">
        <v>1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0.89</v>
      </c>
      <c r="AX19">
        <v>1.01</v>
      </c>
      <c r="AY19">
        <v>1.393</v>
      </c>
      <c r="AZ19">
        <v>0.5</v>
      </c>
    </row>
    <row r="20" spans="1:52" x14ac:dyDescent="0.25">
      <c r="A20" s="15" t="s">
        <v>287</v>
      </c>
      <c r="B20" t="s">
        <v>1</v>
      </c>
      <c r="C20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34.6</v>
      </c>
      <c r="AU20">
        <v>36.700000000000003</v>
      </c>
      <c r="AV20">
        <v>1342.3</v>
      </c>
      <c r="AW20">
        <v>75.400000000000006</v>
      </c>
      <c r="AX20">
        <v>308.5</v>
      </c>
      <c r="AY20">
        <v>1481.5</v>
      </c>
      <c r="AZ20">
        <v>375</v>
      </c>
    </row>
    <row r="21" spans="1:52" x14ac:dyDescent="0.25">
      <c r="A21" s="15" t="s">
        <v>286</v>
      </c>
      <c r="B21" t="s">
        <v>1</v>
      </c>
      <c r="C21">
        <v>2017</v>
      </c>
      <c r="D21">
        <v>1.1930000000000001</v>
      </c>
      <c r="E21">
        <v>5.7140000000000004</v>
      </c>
      <c r="F21">
        <v>2.887</v>
      </c>
      <c r="G21">
        <v>0</v>
      </c>
    </row>
    <row r="22" spans="1:52" x14ac:dyDescent="0.25">
      <c r="A22" s="15" t="s">
        <v>288</v>
      </c>
      <c r="B22" t="s">
        <v>1</v>
      </c>
      <c r="C22">
        <v>2017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52" x14ac:dyDescent="0.25">
      <c r="A23" s="15" t="s">
        <v>287</v>
      </c>
      <c r="B23" t="s">
        <v>1</v>
      </c>
      <c r="C23">
        <v>2017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52" x14ac:dyDescent="0.25">
      <c r="A24" s="15" t="s">
        <v>286</v>
      </c>
      <c r="B24" t="s">
        <v>1</v>
      </c>
      <c r="C24">
        <v>2018</v>
      </c>
      <c r="D24">
        <v>1.371</v>
      </c>
      <c r="E24">
        <v>5.7229999999999999</v>
      </c>
      <c r="F24">
        <v>3.133</v>
      </c>
      <c r="G24">
        <v>0</v>
      </c>
    </row>
    <row r="25" spans="1:52" x14ac:dyDescent="0.25">
      <c r="A25" s="15" t="s">
        <v>288</v>
      </c>
      <c r="B25" t="s">
        <v>1</v>
      </c>
      <c r="C25">
        <v>2018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52" x14ac:dyDescent="0.25">
      <c r="A26" s="15" t="s">
        <v>287</v>
      </c>
      <c r="B26" t="s">
        <v>1</v>
      </c>
      <c r="C26">
        <v>2018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52" x14ac:dyDescent="0.25">
      <c r="A27" s="15" t="s">
        <v>286</v>
      </c>
      <c r="B27" t="s">
        <v>1</v>
      </c>
      <c r="C27">
        <v>2019</v>
      </c>
      <c r="D27">
        <v>1.615</v>
      </c>
      <c r="E27">
        <v>5.7969999999999997</v>
      </c>
      <c r="F27">
        <v>3.2080000000000002</v>
      </c>
      <c r="G27">
        <v>0</v>
      </c>
    </row>
    <row r="28" spans="1:52" x14ac:dyDescent="0.25">
      <c r="A28" s="15" t="s">
        <v>288</v>
      </c>
      <c r="B28" t="s">
        <v>1</v>
      </c>
      <c r="C28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52" x14ac:dyDescent="0.25">
      <c r="A29" s="15" t="s">
        <v>287</v>
      </c>
      <c r="B29" t="s">
        <v>1</v>
      </c>
      <c r="C29">
        <v>2019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52" x14ac:dyDescent="0.25">
      <c r="A30" s="15" t="s">
        <v>286</v>
      </c>
      <c r="B30" t="s">
        <v>1</v>
      </c>
      <c r="C30">
        <v>2020</v>
      </c>
      <c r="D30">
        <v>1.976</v>
      </c>
      <c r="E30">
        <v>5.7960000000000003</v>
      </c>
      <c r="F30">
        <v>3.1640000000000001</v>
      </c>
      <c r="G30">
        <v>0</v>
      </c>
    </row>
    <row r="31" spans="1:52" x14ac:dyDescent="0.25">
      <c r="A31" s="15" t="s">
        <v>288</v>
      </c>
      <c r="B31" t="s">
        <v>1</v>
      </c>
      <c r="C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52" x14ac:dyDescent="0.25">
      <c r="A32" s="15" t="s">
        <v>287</v>
      </c>
      <c r="B32" t="s">
        <v>1</v>
      </c>
      <c r="C32">
        <v>2020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52" x14ac:dyDescent="0.25">
      <c r="A33" s="15" t="s">
        <v>286</v>
      </c>
      <c r="B33" t="s">
        <v>2</v>
      </c>
      <c r="C33">
        <v>2012</v>
      </c>
      <c r="D33">
        <v>34.076999999999998</v>
      </c>
      <c r="E33">
        <v>4.5179999999999998</v>
      </c>
      <c r="F33">
        <v>30.710999999999999</v>
      </c>
      <c r="G33">
        <v>0.26800000000000002</v>
      </c>
    </row>
    <row r="34" spans="1:52" x14ac:dyDescent="0.25">
      <c r="A34" s="15" t="s">
        <v>288</v>
      </c>
      <c r="B34" t="s">
        <v>2</v>
      </c>
      <c r="C34">
        <v>2012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52" x14ac:dyDescent="0.25">
      <c r="A35" s="15" t="s">
        <v>287</v>
      </c>
      <c r="B35" t="s">
        <v>2</v>
      </c>
      <c r="C35">
        <v>2012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52" x14ac:dyDescent="0.25">
      <c r="A36" s="15" t="s">
        <v>286</v>
      </c>
      <c r="B36" t="s">
        <v>2</v>
      </c>
      <c r="C36">
        <v>2013</v>
      </c>
      <c r="D36">
        <v>36.71</v>
      </c>
      <c r="E36">
        <v>4.5009999999999994</v>
      </c>
      <c r="F36">
        <v>32.969000000000001</v>
      </c>
      <c r="G36">
        <v>0.50800000000000001</v>
      </c>
    </row>
    <row r="37" spans="1:52" x14ac:dyDescent="0.25">
      <c r="A37" s="15" t="s">
        <v>288</v>
      </c>
      <c r="B37" t="s">
        <v>2</v>
      </c>
      <c r="C37">
        <v>2013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52" x14ac:dyDescent="0.25">
      <c r="A38" s="15" t="s">
        <v>287</v>
      </c>
      <c r="B38" t="s">
        <v>2</v>
      </c>
      <c r="C38">
        <v>2013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52" x14ac:dyDescent="0.25">
      <c r="A39" s="15" t="s">
        <v>286</v>
      </c>
      <c r="B39" t="s">
        <v>2</v>
      </c>
      <c r="C39">
        <v>2014</v>
      </c>
      <c r="D39">
        <v>37.9</v>
      </c>
      <c r="E39">
        <v>4.4909999999999997</v>
      </c>
      <c r="F39">
        <v>37.619999999999997</v>
      </c>
      <c r="G39">
        <v>0.99399999999999999</v>
      </c>
    </row>
    <row r="40" spans="1:52" x14ac:dyDescent="0.25">
      <c r="A40" s="15" t="s">
        <v>288</v>
      </c>
      <c r="B40" t="s">
        <v>2</v>
      </c>
      <c r="C40">
        <v>2014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52" x14ac:dyDescent="0.25">
      <c r="A41" s="15" t="s">
        <v>287</v>
      </c>
      <c r="B41" t="s">
        <v>2</v>
      </c>
      <c r="C41">
        <v>2014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52" x14ac:dyDescent="0.25">
      <c r="A42" s="15" t="s">
        <v>286</v>
      </c>
      <c r="B42" t="s">
        <v>2</v>
      </c>
      <c r="C42">
        <v>2015</v>
      </c>
      <c r="D42">
        <v>39.223999999999997</v>
      </c>
      <c r="E42">
        <v>4.5</v>
      </c>
      <c r="F42">
        <v>41.296999999999997</v>
      </c>
      <c r="G42">
        <v>3.2829999999999999</v>
      </c>
    </row>
    <row r="43" spans="1:52" x14ac:dyDescent="0.25">
      <c r="A43" s="15" t="s">
        <v>288</v>
      </c>
      <c r="B43" t="s">
        <v>2</v>
      </c>
      <c r="C43">
        <v>2015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52" x14ac:dyDescent="0.25">
      <c r="A44" s="15" t="s">
        <v>287</v>
      </c>
      <c r="B44" t="s">
        <v>2</v>
      </c>
      <c r="C44">
        <v>2015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52" x14ac:dyDescent="0.25">
      <c r="A45" s="15" t="s">
        <v>286</v>
      </c>
      <c r="B45" t="s">
        <v>2</v>
      </c>
      <c r="C45" s="35">
        <v>2016</v>
      </c>
      <c r="D45" s="35">
        <v>53.847999999999999</v>
      </c>
      <c r="E45" s="35">
        <v>4.5</v>
      </c>
      <c r="F45" s="35">
        <v>54.42</v>
      </c>
      <c r="G45" s="35">
        <v>7.7469999999999999</v>
      </c>
      <c r="H45" s="35">
        <v>4.2</v>
      </c>
      <c r="I45" s="35">
        <v>4.2</v>
      </c>
      <c r="J45" s="35">
        <v>2</v>
      </c>
      <c r="K45" s="29">
        <v>12.02</v>
      </c>
      <c r="L45" s="29">
        <v>5.923</v>
      </c>
      <c r="M45" s="29">
        <v>12.425000000000001</v>
      </c>
      <c r="N45" s="29">
        <v>1.012</v>
      </c>
      <c r="O45" s="29">
        <v>0.93300000000000005</v>
      </c>
      <c r="P45" s="29">
        <v>8.06</v>
      </c>
      <c r="Q45" s="29">
        <v>11.634</v>
      </c>
      <c r="R45" s="29">
        <v>1.135</v>
      </c>
      <c r="S45" s="29">
        <v>4.1459999999999999</v>
      </c>
      <c r="T45" s="29">
        <v>0</v>
      </c>
      <c r="U45" s="29">
        <v>0</v>
      </c>
      <c r="V45" s="29">
        <v>0</v>
      </c>
      <c r="W45" s="29">
        <v>1.502</v>
      </c>
      <c r="X45" s="29">
        <v>2.9089999999999998</v>
      </c>
      <c r="Y45" s="29">
        <v>2.4620000000000002</v>
      </c>
      <c r="Z45" s="29">
        <v>1.0820000000000001</v>
      </c>
      <c r="AA45" s="29">
        <v>9.4E-2</v>
      </c>
      <c r="AB45" s="29">
        <v>0.42799999999999999</v>
      </c>
      <c r="AC45" s="29">
        <v>1.835</v>
      </c>
      <c r="AD45" s="29">
        <v>4.9950000000000001</v>
      </c>
      <c r="AE45" s="29">
        <v>3.472</v>
      </c>
      <c r="AF45" s="29">
        <v>5.2359999999999998</v>
      </c>
      <c r="AG45" s="29">
        <v>2.1000000000000001E-2</v>
      </c>
      <c r="AH45" s="29">
        <v>0.14899999999999999</v>
      </c>
      <c r="AI45" s="29">
        <v>18</v>
      </c>
      <c r="AJ45" s="29">
        <v>0.19400000000000001</v>
      </c>
      <c r="AK45" s="29">
        <v>1.5469999999999999</v>
      </c>
      <c r="AL45" s="29">
        <v>1.478</v>
      </c>
      <c r="AM45" s="29">
        <v>0.29699999999999999</v>
      </c>
      <c r="AN45" s="29">
        <v>0</v>
      </c>
      <c r="AO45" s="29">
        <v>0</v>
      </c>
      <c r="AP45" s="29">
        <v>0.1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29">
        <v>0.185</v>
      </c>
      <c r="AW45" s="29">
        <v>6.1550000000000002</v>
      </c>
      <c r="AX45" s="29">
        <v>0</v>
      </c>
      <c r="AY45" s="29">
        <v>0.28899999999999998</v>
      </c>
      <c r="AZ45" s="29">
        <v>5</v>
      </c>
    </row>
    <row r="46" spans="1:52" x14ac:dyDescent="0.25">
      <c r="A46" s="15" t="s">
        <v>288</v>
      </c>
      <c r="B46" t="s">
        <v>2</v>
      </c>
      <c r="C46">
        <v>2016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5.835</v>
      </c>
      <c r="AX46">
        <v>0</v>
      </c>
      <c r="AY46">
        <v>0.17299999999999999</v>
      </c>
      <c r="AZ46">
        <v>5</v>
      </c>
    </row>
    <row r="47" spans="1:52" x14ac:dyDescent="0.25">
      <c r="A47" s="15" t="s">
        <v>287</v>
      </c>
      <c r="B47" t="s">
        <v>2</v>
      </c>
      <c r="C47">
        <v>2016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101.44</v>
      </c>
      <c r="AW47">
        <v>38.450000000000003</v>
      </c>
      <c r="AX47">
        <v>0</v>
      </c>
      <c r="AY47">
        <v>98.55</v>
      </c>
      <c r="AZ47">
        <v>3750</v>
      </c>
    </row>
    <row r="48" spans="1:52" x14ac:dyDescent="0.25">
      <c r="A48" s="15" t="s">
        <v>286</v>
      </c>
      <c r="B48" t="s">
        <v>2</v>
      </c>
      <c r="C48">
        <v>2017</v>
      </c>
      <c r="D48">
        <v>42.338999999999999</v>
      </c>
      <c r="E48">
        <v>4.5</v>
      </c>
      <c r="F48">
        <v>50.290999999999997</v>
      </c>
      <c r="G48">
        <v>5.4269999999999996</v>
      </c>
    </row>
    <row r="49" spans="1:49" x14ac:dyDescent="0.25">
      <c r="A49" s="15" t="s">
        <v>288</v>
      </c>
      <c r="B49" t="s">
        <v>2</v>
      </c>
      <c r="C49">
        <v>2017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9" x14ac:dyDescent="0.25">
      <c r="A50" s="15" t="s">
        <v>287</v>
      </c>
      <c r="B50" t="s">
        <v>2</v>
      </c>
      <c r="C50">
        <v>2017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9" x14ac:dyDescent="0.25">
      <c r="A51" s="15" t="s">
        <v>286</v>
      </c>
      <c r="B51" t="s">
        <v>2</v>
      </c>
      <c r="C51">
        <v>2018</v>
      </c>
      <c r="D51">
        <v>45.277000000000001</v>
      </c>
      <c r="E51">
        <v>4.5069999999999997</v>
      </c>
      <c r="F51">
        <v>52.564999999999998</v>
      </c>
      <c r="G51">
        <v>6.4169999999999998</v>
      </c>
    </row>
    <row r="52" spans="1:49" x14ac:dyDescent="0.25">
      <c r="A52" s="15" t="s">
        <v>288</v>
      </c>
      <c r="B52" t="s">
        <v>2</v>
      </c>
      <c r="C52">
        <v>2018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9" x14ac:dyDescent="0.25">
      <c r="A53" s="15" t="s">
        <v>287</v>
      </c>
      <c r="B53" t="s">
        <v>2</v>
      </c>
      <c r="C53">
        <v>2018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9" x14ac:dyDescent="0.25">
      <c r="A54" s="15" t="s">
        <v>286</v>
      </c>
      <c r="B54" t="s">
        <v>2</v>
      </c>
      <c r="C54">
        <v>2019</v>
      </c>
    </row>
    <row r="55" spans="1:49" x14ac:dyDescent="0.25">
      <c r="A55" s="15" t="s">
        <v>288</v>
      </c>
      <c r="B55" t="s">
        <v>2</v>
      </c>
      <c r="C55">
        <v>2019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9" x14ac:dyDescent="0.25">
      <c r="A56" s="15" t="s">
        <v>287</v>
      </c>
      <c r="B56" t="s">
        <v>2</v>
      </c>
      <c r="C56">
        <v>2019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9" x14ac:dyDescent="0.25">
      <c r="A57" s="15" t="s">
        <v>286</v>
      </c>
      <c r="B57" t="s">
        <v>2</v>
      </c>
      <c r="C57" s="35">
        <v>2020</v>
      </c>
      <c r="D57" s="35">
        <v>53.847999999999999</v>
      </c>
      <c r="E57" s="35">
        <v>4.5</v>
      </c>
      <c r="F57" s="35">
        <v>54.42</v>
      </c>
      <c r="G57" s="35">
        <v>7.7469999999999999</v>
      </c>
      <c r="H57" s="35">
        <v>4.2</v>
      </c>
      <c r="I57" s="35">
        <v>4.2</v>
      </c>
      <c r="J57" s="35">
        <v>2</v>
      </c>
    </row>
    <row r="58" spans="1:49" x14ac:dyDescent="0.25">
      <c r="A58" s="15" t="s">
        <v>288</v>
      </c>
      <c r="B58" t="s">
        <v>2</v>
      </c>
      <c r="C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9" x14ac:dyDescent="0.25">
      <c r="A59" s="15" t="s">
        <v>287</v>
      </c>
      <c r="B59" t="s">
        <v>2</v>
      </c>
      <c r="C59">
        <v>2020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9" x14ac:dyDescent="0.25">
      <c r="A60" s="15" t="s">
        <v>286</v>
      </c>
      <c r="B60" t="s">
        <v>8</v>
      </c>
      <c r="C60">
        <v>2030</v>
      </c>
      <c r="D60">
        <v>5.5</v>
      </c>
      <c r="E60">
        <v>4.1130000000000004</v>
      </c>
      <c r="F60">
        <v>0.255</v>
      </c>
      <c r="H60">
        <v>1.1970000000000001</v>
      </c>
      <c r="K60">
        <v>1.19</v>
      </c>
      <c r="L60">
        <v>4.42</v>
      </c>
      <c r="N60">
        <v>0</v>
      </c>
      <c r="P60">
        <v>0</v>
      </c>
      <c r="AE60">
        <v>0.88900000000000001</v>
      </c>
      <c r="AT60">
        <v>8.1519999999999992</v>
      </c>
      <c r="AW60">
        <v>3.9889999999999999</v>
      </c>
    </row>
    <row r="61" spans="1:49" x14ac:dyDescent="0.25">
      <c r="A61" s="15" t="s">
        <v>288</v>
      </c>
      <c r="B61" t="s">
        <v>8</v>
      </c>
      <c r="C61">
        <v>2030</v>
      </c>
      <c r="D61">
        <v>0</v>
      </c>
      <c r="E61">
        <v>0</v>
      </c>
      <c r="F61">
        <v>0</v>
      </c>
      <c r="K61">
        <v>0</v>
      </c>
      <c r="L61">
        <v>0</v>
      </c>
      <c r="N61">
        <v>0</v>
      </c>
      <c r="P61">
        <v>0</v>
      </c>
      <c r="AW61" s="54"/>
    </row>
    <row r="62" spans="1:49" x14ac:dyDescent="0.25">
      <c r="A62" s="15" t="s">
        <v>287</v>
      </c>
      <c r="B62" t="s">
        <v>8</v>
      </c>
      <c r="C62">
        <v>2030</v>
      </c>
      <c r="D62">
        <v>0</v>
      </c>
      <c r="E62">
        <v>0</v>
      </c>
      <c r="F62">
        <v>0</v>
      </c>
      <c r="K62">
        <v>0</v>
      </c>
      <c r="L62">
        <v>0</v>
      </c>
      <c r="N62">
        <v>0</v>
      </c>
      <c r="P62">
        <v>0</v>
      </c>
      <c r="AW62" s="54"/>
    </row>
    <row r="63" spans="1:49" x14ac:dyDescent="0.25">
      <c r="A63" s="15" t="s">
        <v>286</v>
      </c>
      <c r="B63" t="s">
        <v>9</v>
      </c>
      <c r="C63">
        <v>2030</v>
      </c>
      <c r="D63">
        <v>4.9000000000000004</v>
      </c>
      <c r="E63">
        <v>0.39500000000000002</v>
      </c>
      <c r="F63">
        <v>0.96</v>
      </c>
      <c r="H63">
        <v>1.0629999999999999</v>
      </c>
      <c r="K63">
        <v>4.0410000000000004</v>
      </c>
      <c r="L63">
        <v>0</v>
      </c>
      <c r="N63">
        <v>0.6</v>
      </c>
      <c r="P63">
        <v>0.372</v>
      </c>
      <c r="U63">
        <v>1.2250000000000001</v>
      </c>
      <c r="AC63">
        <v>0.46200000000000002</v>
      </c>
      <c r="AE63">
        <v>0.88600000000000001</v>
      </c>
      <c r="AJ63">
        <v>1.4E-2</v>
      </c>
      <c r="AS63">
        <v>0.45300000000000001</v>
      </c>
      <c r="AT63">
        <v>0.7</v>
      </c>
      <c r="AW63">
        <v>1.1579999999999999</v>
      </c>
    </row>
    <row r="64" spans="1:49" x14ac:dyDescent="0.25">
      <c r="A64" s="15" t="s">
        <v>288</v>
      </c>
      <c r="B64" t="s">
        <v>9</v>
      </c>
      <c r="C64">
        <v>2030</v>
      </c>
      <c r="D64">
        <v>0</v>
      </c>
      <c r="E64">
        <v>0</v>
      </c>
      <c r="F64">
        <v>0</v>
      </c>
      <c r="K64">
        <v>0</v>
      </c>
      <c r="L64">
        <v>0</v>
      </c>
      <c r="N64">
        <v>0</v>
      </c>
      <c r="P64">
        <v>0</v>
      </c>
    </row>
    <row r="65" spans="1:49" x14ac:dyDescent="0.25">
      <c r="A65" s="15" t="s">
        <v>287</v>
      </c>
      <c r="B65" t="s">
        <v>9</v>
      </c>
      <c r="C65">
        <v>2030</v>
      </c>
      <c r="D65">
        <v>0</v>
      </c>
      <c r="E65">
        <v>0</v>
      </c>
      <c r="F65">
        <v>0</v>
      </c>
      <c r="K65">
        <v>0</v>
      </c>
      <c r="L65">
        <v>0</v>
      </c>
      <c r="N65">
        <v>0</v>
      </c>
      <c r="P65">
        <v>0</v>
      </c>
    </row>
    <row r="66" spans="1:49" x14ac:dyDescent="0.25">
      <c r="A66" s="15" t="s">
        <v>286</v>
      </c>
      <c r="B66" t="s">
        <v>12</v>
      </c>
      <c r="C66">
        <v>2030</v>
      </c>
      <c r="D66">
        <v>6.6449999999999996</v>
      </c>
      <c r="E66">
        <v>5.7000000000000002E-2</v>
      </c>
      <c r="F66" s="29">
        <v>0</v>
      </c>
      <c r="H66">
        <f>0.165+0.412</f>
        <v>0.57699999999999996</v>
      </c>
      <c r="K66">
        <v>4.2480000000000002</v>
      </c>
      <c r="L66">
        <v>0</v>
      </c>
      <c r="N66">
        <v>0</v>
      </c>
      <c r="P66">
        <v>0</v>
      </c>
      <c r="U66">
        <v>0.45400000000000001</v>
      </c>
      <c r="AA66">
        <v>0.114</v>
      </c>
      <c r="AC66">
        <v>1.167</v>
      </c>
      <c r="AE66">
        <v>0.83399999999999996</v>
      </c>
      <c r="AJ66">
        <v>0.41</v>
      </c>
    </row>
    <row r="67" spans="1:49" x14ac:dyDescent="0.25">
      <c r="A67" s="15" t="s">
        <v>288</v>
      </c>
      <c r="B67" t="s">
        <v>12</v>
      </c>
      <c r="C67">
        <v>2030</v>
      </c>
      <c r="D67">
        <v>0</v>
      </c>
      <c r="E67">
        <v>0</v>
      </c>
      <c r="F67">
        <v>0</v>
      </c>
      <c r="K67">
        <v>0</v>
      </c>
      <c r="L67">
        <v>0</v>
      </c>
      <c r="N67">
        <v>0</v>
      </c>
      <c r="P67">
        <v>0</v>
      </c>
    </row>
    <row r="68" spans="1:49" x14ac:dyDescent="0.25">
      <c r="A68" s="15" t="s">
        <v>287</v>
      </c>
      <c r="B68" t="s">
        <v>12</v>
      </c>
      <c r="C68">
        <v>2030</v>
      </c>
      <c r="D68">
        <v>0</v>
      </c>
      <c r="E68">
        <v>0</v>
      </c>
      <c r="F68">
        <v>0</v>
      </c>
      <c r="K68">
        <v>0</v>
      </c>
      <c r="L68">
        <v>0</v>
      </c>
      <c r="N68">
        <v>0</v>
      </c>
      <c r="P68">
        <v>0</v>
      </c>
    </row>
    <row r="69" spans="1:49" x14ac:dyDescent="0.25">
      <c r="A69" s="15" t="s">
        <v>286</v>
      </c>
      <c r="B69" t="s">
        <v>13</v>
      </c>
      <c r="C69">
        <v>2030</v>
      </c>
      <c r="D69">
        <v>23.655999999999999</v>
      </c>
      <c r="E69">
        <v>4.68</v>
      </c>
      <c r="F69">
        <v>0.12</v>
      </c>
      <c r="H69">
        <v>2.266</v>
      </c>
      <c r="K69">
        <v>0</v>
      </c>
      <c r="L69">
        <v>0</v>
      </c>
      <c r="N69">
        <v>0</v>
      </c>
      <c r="P69">
        <v>0</v>
      </c>
      <c r="U69">
        <v>3.242</v>
      </c>
      <c r="AA69">
        <v>2.8460000000000001</v>
      </c>
      <c r="AC69">
        <v>4.4820000000000002</v>
      </c>
      <c r="AE69">
        <v>15.2</v>
      </c>
      <c r="AT69">
        <v>7.0149999999999997</v>
      </c>
      <c r="AW69">
        <v>4.8719999999999999</v>
      </c>
    </row>
    <row r="70" spans="1:49" x14ac:dyDescent="0.25">
      <c r="A70" s="15" t="s">
        <v>288</v>
      </c>
      <c r="B70" t="s">
        <v>13</v>
      </c>
      <c r="C70">
        <v>2030</v>
      </c>
      <c r="D70">
        <v>0</v>
      </c>
      <c r="E70">
        <v>0</v>
      </c>
      <c r="F70">
        <v>0</v>
      </c>
      <c r="K70">
        <v>0</v>
      </c>
      <c r="L70">
        <v>0</v>
      </c>
      <c r="N70">
        <v>0</v>
      </c>
      <c r="P70">
        <v>0</v>
      </c>
    </row>
    <row r="71" spans="1:49" x14ac:dyDescent="0.25">
      <c r="A71" s="15" t="s">
        <v>287</v>
      </c>
      <c r="B71" t="s">
        <v>13</v>
      </c>
      <c r="C71">
        <v>2030</v>
      </c>
      <c r="D71">
        <v>0</v>
      </c>
      <c r="E71">
        <v>0</v>
      </c>
      <c r="F71">
        <v>0</v>
      </c>
      <c r="K71">
        <v>0</v>
      </c>
      <c r="L71">
        <v>0</v>
      </c>
      <c r="N71">
        <v>0</v>
      </c>
      <c r="P71">
        <v>0</v>
      </c>
    </row>
    <row r="72" spans="1:49" x14ac:dyDescent="0.25">
      <c r="A72" s="15" t="s">
        <v>286</v>
      </c>
      <c r="B72" t="s">
        <v>16</v>
      </c>
      <c r="C72">
        <v>2030</v>
      </c>
      <c r="D72">
        <v>1.81</v>
      </c>
      <c r="E72">
        <v>1.206</v>
      </c>
      <c r="F72">
        <v>0.15</v>
      </c>
      <c r="H72">
        <v>4.9000000000000002E-2</v>
      </c>
      <c r="K72">
        <v>0.70299999999999996</v>
      </c>
      <c r="L72">
        <v>0.84399999999999997</v>
      </c>
      <c r="N72">
        <v>0</v>
      </c>
      <c r="P72">
        <v>4.4999999999999998E-2</v>
      </c>
      <c r="U72">
        <v>0.158</v>
      </c>
      <c r="Y72">
        <v>0.41499999999999998</v>
      </c>
      <c r="AE72">
        <v>0.13900000000000001</v>
      </c>
      <c r="AS72">
        <v>0.01</v>
      </c>
      <c r="AW72">
        <v>0.185</v>
      </c>
    </row>
    <row r="73" spans="1:49" x14ac:dyDescent="0.25">
      <c r="A73" s="15" t="s">
        <v>288</v>
      </c>
      <c r="B73" t="s">
        <v>16</v>
      </c>
      <c r="C73">
        <v>2030</v>
      </c>
      <c r="D73">
        <v>0</v>
      </c>
      <c r="E73">
        <v>0</v>
      </c>
      <c r="F73">
        <v>0</v>
      </c>
      <c r="K73">
        <v>0</v>
      </c>
      <c r="L73">
        <v>0</v>
      </c>
      <c r="N73">
        <v>0</v>
      </c>
      <c r="P73">
        <v>0</v>
      </c>
    </row>
    <row r="74" spans="1:49" x14ac:dyDescent="0.25">
      <c r="A74" s="15" t="s">
        <v>287</v>
      </c>
      <c r="B74" t="s">
        <v>16</v>
      </c>
      <c r="C74">
        <v>2030</v>
      </c>
      <c r="D74">
        <v>0</v>
      </c>
      <c r="E74">
        <v>0</v>
      </c>
      <c r="F74">
        <v>0</v>
      </c>
      <c r="K74">
        <v>0</v>
      </c>
      <c r="L74">
        <v>0</v>
      </c>
      <c r="N74">
        <v>0</v>
      </c>
      <c r="P74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7635-111A-D442-BE0C-35A2D3A6DC99}">
  <dimension ref="A1:AD53"/>
  <sheetViews>
    <sheetView workbookViewId="0">
      <pane xSplit="2" ySplit="3" topLeftCell="L37" activePane="bottomRight" state="frozen"/>
      <selection pane="topRight" activeCell="C1" sqref="C1"/>
      <selection pane="bottomLeft" activeCell="A4" sqref="A4"/>
      <selection pane="bottomRight" activeCell="Q52" sqref="Q52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258</v>
      </c>
      <c r="B1" s="15" t="s">
        <v>259</v>
      </c>
      <c r="C1" s="15" t="s">
        <v>260</v>
      </c>
      <c r="D1" s="15" t="s">
        <v>282</v>
      </c>
      <c r="E1" s="15" t="s">
        <v>343</v>
      </c>
      <c r="F1" s="15" t="s">
        <v>261</v>
      </c>
      <c r="G1" s="15" t="s">
        <v>262</v>
      </c>
      <c r="H1" s="15" t="s">
        <v>273</v>
      </c>
      <c r="I1" s="15" t="s">
        <v>274</v>
      </c>
      <c r="J1" s="15" t="s">
        <v>263</v>
      </c>
      <c r="K1" s="15" t="s">
        <v>264</v>
      </c>
      <c r="L1" s="15" t="s">
        <v>265</v>
      </c>
      <c r="M1" s="15" t="s">
        <v>267</v>
      </c>
      <c r="N1" s="15" t="s">
        <v>266</v>
      </c>
      <c r="O1" s="15" t="s">
        <v>283</v>
      </c>
      <c r="P1" s="15" t="s">
        <v>268</v>
      </c>
      <c r="Q1" s="15" t="s">
        <v>285</v>
      </c>
      <c r="R1" s="15" t="s">
        <v>336</v>
      </c>
      <c r="S1" s="15" t="s">
        <v>337</v>
      </c>
      <c r="T1" s="15" t="s">
        <v>175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266</v>
      </c>
    </row>
    <row r="2" spans="1:30" s="15" customFormat="1" x14ac:dyDescent="0.25">
      <c r="F2" s="15" t="s">
        <v>275</v>
      </c>
      <c r="G2" s="15" t="s">
        <v>319</v>
      </c>
      <c r="H2" s="15" t="s">
        <v>275</v>
      </c>
      <c r="I2" s="15" t="s">
        <v>319</v>
      </c>
      <c r="J2" s="15" t="s">
        <v>277</v>
      </c>
      <c r="K2" s="15" t="s">
        <v>276</v>
      </c>
      <c r="L2" s="15" t="s">
        <v>320</v>
      </c>
      <c r="M2" s="41" t="s">
        <v>321</v>
      </c>
      <c r="O2" s="15" t="s">
        <v>322</v>
      </c>
      <c r="P2" s="15" t="s">
        <v>322</v>
      </c>
      <c r="Q2" s="15" t="s">
        <v>322</v>
      </c>
      <c r="R2" s="15" t="s">
        <v>322</v>
      </c>
      <c r="S2" s="15" t="s">
        <v>322</v>
      </c>
    </row>
    <row r="3" spans="1:30" x14ac:dyDescent="0.25">
      <c r="A3" t="s">
        <v>289</v>
      </c>
      <c r="B3" t="s">
        <v>290</v>
      </c>
      <c r="C3" t="s">
        <v>317</v>
      </c>
      <c r="D3" t="s">
        <v>58</v>
      </c>
      <c r="E3" t="s">
        <v>344</v>
      </c>
      <c r="F3" t="s">
        <v>291</v>
      </c>
      <c r="G3" t="s">
        <v>292</v>
      </c>
      <c r="H3" t="s">
        <v>294</v>
      </c>
      <c r="I3" t="s">
        <v>293</v>
      </c>
      <c r="J3" t="s">
        <v>295</v>
      </c>
      <c r="K3" t="s">
        <v>296</v>
      </c>
      <c r="L3" t="s">
        <v>64</v>
      </c>
      <c r="M3" t="s">
        <v>316</v>
      </c>
      <c r="N3" t="s">
        <v>243</v>
      </c>
      <c r="O3" t="s">
        <v>297</v>
      </c>
      <c r="P3" t="s">
        <v>298</v>
      </c>
      <c r="Q3" t="s">
        <v>303</v>
      </c>
      <c r="R3" t="s">
        <v>328</v>
      </c>
      <c r="S3" t="s">
        <v>338</v>
      </c>
      <c r="T3" t="s">
        <v>192</v>
      </c>
      <c r="U3" t="s">
        <v>194</v>
      </c>
      <c r="V3" t="s">
        <v>195</v>
      </c>
      <c r="W3" t="s">
        <v>196</v>
      </c>
      <c r="X3" t="s">
        <v>197</v>
      </c>
      <c r="Y3" t="s">
        <v>198</v>
      </c>
      <c r="Z3" t="s">
        <v>199</v>
      </c>
      <c r="AA3" t="s">
        <v>300</v>
      </c>
      <c r="AB3" t="s">
        <v>301</v>
      </c>
      <c r="AC3" t="s">
        <v>302</v>
      </c>
      <c r="AD3" t="s">
        <v>299</v>
      </c>
    </row>
    <row r="4" spans="1:30" x14ac:dyDescent="0.25">
      <c r="A4">
        <v>0</v>
      </c>
      <c r="B4" s="32" t="s">
        <v>269</v>
      </c>
      <c r="C4" t="s">
        <v>3</v>
      </c>
      <c r="D4" t="s">
        <v>133</v>
      </c>
      <c r="E4" t="s">
        <v>137</v>
      </c>
      <c r="F4">
        <v>625</v>
      </c>
      <c r="H4" s="1">
        <f>ROUND((WACC!$B$2*(1+WACC!$B$2)^$L4)/((1+WACC!$B$2)^$L4-1)*$F4,0)</f>
        <v>36</v>
      </c>
      <c r="I4" t="s">
        <v>153</v>
      </c>
      <c r="J4">
        <v>9032</v>
      </c>
      <c r="K4">
        <v>0</v>
      </c>
      <c r="L4">
        <v>40</v>
      </c>
      <c r="M4">
        <v>1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25">
      <c r="A5">
        <v>1</v>
      </c>
      <c r="B5" s="32" t="s">
        <v>270</v>
      </c>
      <c r="C5" t="s">
        <v>4</v>
      </c>
      <c r="D5" t="s">
        <v>284</v>
      </c>
      <c r="E5" t="s">
        <v>137</v>
      </c>
      <c r="F5">
        <v>2800</v>
      </c>
      <c r="H5" s="1">
        <f>ROUND((WACC!$B$2*(1+WACC!$B$2)^$L5)/((1+WACC!$B$2)^$L5-1)*$F5,0)</f>
        <v>148</v>
      </c>
      <c r="I5" t="s">
        <v>153</v>
      </c>
      <c r="J5">
        <v>60000</v>
      </c>
      <c r="K5">
        <v>0</v>
      </c>
      <c r="L5">
        <v>60</v>
      </c>
      <c r="M5">
        <v>1</v>
      </c>
      <c r="N5" s="35"/>
      <c r="O5">
        <v>0</v>
      </c>
      <c r="P5">
        <v>1</v>
      </c>
      <c r="Q5">
        <v>0</v>
      </c>
      <c r="R5">
        <v>0</v>
      </c>
      <c r="S5">
        <f t="shared" ref="S5:S53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25">
      <c r="A6">
        <v>2</v>
      </c>
      <c r="B6" s="32" t="s">
        <v>271</v>
      </c>
      <c r="C6" t="s">
        <v>5</v>
      </c>
      <c r="D6" t="s">
        <v>134</v>
      </c>
      <c r="E6" t="s">
        <v>137</v>
      </c>
      <c r="F6">
        <v>1040</v>
      </c>
      <c r="H6" s="1">
        <f>ROUND((WACC!$B$2*(1+WACC!$B$2)^$L6)/((1+WACC!$B$2)^$L6-1)*$F6,0)</f>
        <v>68</v>
      </c>
      <c r="I6" t="s">
        <v>153</v>
      </c>
      <c r="J6">
        <v>12600</v>
      </c>
      <c r="K6">
        <v>1.35</v>
      </c>
      <c r="L6">
        <v>30</v>
      </c>
      <c r="M6">
        <v>1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25">
      <c r="A7">
        <v>3</v>
      </c>
      <c r="B7" s="32" t="s">
        <v>272</v>
      </c>
      <c r="C7" t="s">
        <v>6</v>
      </c>
      <c r="D7" t="s">
        <v>134</v>
      </c>
      <c r="E7" t="s">
        <v>137</v>
      </c>
      <c r="F7">
        <v>1930</v>
      </c>
      <c r="H7" s="1">
        <f>ROUND((WACC!$B$2*(1+WACC!$B$2)^$L7)/((1+WACC!$B$2)^$L7-1)*$F7,0)</f>
        <v>126</v>
      </c>
      <c r="I7" t="s">
        <v>153</v>
      </c>
      <c r="J7">
        <v>36053</v>
      </c>
      <c r="K7">
        <v>2.7</v>
      </c>
      <c r="L7">
        <v>30</v>
      </c>
      <c r="M7">
        <v>1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229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241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352</v>
      </c>
      <c r="C10" t="s">
        <v>353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30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137</v>
      </c>
      <c r="F11">
        <v>5800</v>
      </c>
      <c r="H11" s="1">
        <f>ROUND((WACC!$B$2*(1+WACC!$B$2)^$L11)/((1+WACC!$B$2)^$L11-1)*$F11,0)</f>
        <v>338</v>
      </c>
      <c r="I11" t="s">
        <v>153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153</v>
      </c>
      <c r="V11" s="7" t="s">
        <v>153</v>
      </c>
      <c r="W11" s="7" t="s">
        <v>153</v>
      </c>
      <c r="X11" s="7" t="s">
        <v>153</v>
      </c>
      <c r="Y11" s="7" t="s">
        <v>153</v>
      </c>
      <c r="Z11" s="7" t="s">
        <v>153</v>
      </c>
      <c r="AA11" s="7" t="s">
        <v>153</v>
      </c>
      <c r="AB11" s="7" t="s">
        <v>153</v>
      </c>
      <c r="AC11" s="7" t="s">
        <v>153</v>
      </c>
      <c r="AD11" t="s">
        <v>153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137</v>
      </c>
      <c r="F12">
        <v>1700</v>
      </c>
      <c r="H12" s="1">
        <f>ROUND((WACC!$B$2*(1+WACC!$B$2)^$L12)/((1+WACC!$B$2)^$L12-1)*$F12,0)</f>
        <v>99</v>
      </c>
      <c r="I12" t="s">
        <v>153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153</v>
      </c>
      <c r="V12" s="7" t="s">
        <v>153</v>
      </c>
      <c r="W12" s="7" t="s">
        <v>153</v>
      </c>
      <c r="X12" s="7" t="s">
        <v>153</v>
      </c>
      <c r="Y12" s="7" t="s">
        <v>153</v>
      </c>
      <c r="Z12" s="7" t="s">
        <v>153</v>
      </c>
      <c r="AA12" s="7" t="s">
        <v>153</v>
      </c>
      <c r="AB12" s="7" t="s">
        <v>153</v>
      </c>
      <c r="AC12" s="7" t="s">
        <v>153</v>
      </c>
      <c r="AD12" t="s">
        <v>153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137</v>
      </c>
      <c r="F13">
        <v>1700</v>
      </c>
      <c r="H13" s="1">
        <f>ROUND((WACC!$B$2*(1+WACC!$B$2)^$L13)/((1+WACC!$B$2)^$L13-1)*$F13,0)</f>
        <v>99</v>
      </c>
      <c r="I13" t="s">
        <v>153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200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137</v>
      </c>
      <c r="F14">
        <v>2000</v>
      </c>
      <c r="H14" s="1">
        <f>ROUND((WACC!$B$2*(1+WACC!$B$2)^$L14)/((1+WACC!$B$2)^$L14-1)*$F14,0)</f>
        <v>117</v>
      </c>
      <c r="I14" t="s">
        <v>153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t="s">
        <v>153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137</v>
      </c>
      <c r="F15">
        <v>2105</v>
      </c>
      <c r="H15" s="1">
        <f>ROUND((WACC!$B$2*(1+WACC!$B$2)^$L15)/((1+WACC!$B$2)^$L15-1)*$F15,0)</f>
        <v>123</v>
      </c>
      <c r="I15" t="s">
        <v>153</v>
      </c>
      <c r="J15">
        <v>52625</v>
      </c>
      <c r="K15">
        <v>4.5</v>
      </c>
      <c r="L15">
        <v>40</v>
      </c>
      <c r="M15">
        <v>0.439</v>
      </c>
      <c r="N15" t="s">
        <v>202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201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137</v>
      </c>
      <c r="F16">
        <v>1200</v>
      </c>
      <c r="H16" s="1">
        <f>ROUND((WACC!$B$2*(1+WACC!$B$2)^$L16)/((1+WACC!$B$2)^$L16-1)*$F16,0)</f>
        <v>70</v>
      </c>
      <c r="I16" t="s">
        <v>153</v>
      </c>
      <c r="J16">
        <v>30000</v>
      </c>
      <c r="K16">
        <v>6</v>
      </c>
      <c r="L16">
        <v>40</v>
      </c>
      <c r="M16">
        <v>0.375</v>
      </c>
      <c r="N16" t="s">
        <v>218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153</v>
      </c>
      <c r="V16" s="7" t="s">
        <v>153</v>
      </c>
      <c r="W16" s="7" t="s">
        <v>153</v>
      </c>
      <c r="X16" s="7" t="s">
        <v>153</v>
      </c>
      <c r="Y16" s="7" t="s">
        <v>153</v>
      </c>
      <c r="Z16" s="7" t="s">
        <v>153</v>
      </c>
      <c r="AA16" s="7" t="s">
        <v>153</v>
      </c>
      <c r="AB16" s="7" t="s">
        <v>153</v>
      </c>
      <c r="AC16" s="7" t="s">
        <v>153</v>
      </c>
      <c r="AD16" t="s">
        <v>153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137</v>
      </c>
      <c r="F17">
        <v>1263</v>
      </c>
      <c r="H17" s="1">
        <f>ROUND((WACC!$B$2*(1+WACC!$B$2)^$L17)/((1+WACC!$B$2)^$L17-1)*$F17,0)</f>
        <v>74</v>
      </c>
      <c r="I17" t="s">
        <v>153</v>
      </c>
      <c r="J17">
        <v>30000</v>
      </c>
      <c r="K17">
        <v>6</v>
      </c>
      <c r="L17">
        <v>40</v>
      </c>
      <c r="M17">
        <v>0.375</v>
      </c>
      <c r="N17" t="s">
        <v>218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200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137</v>
      </c>
      <c r="F18">
        <v>1300</v>
      </c>
      <c r="H18" s="1">
        <f>ROUND((WACC!$B$2*(1+WACC!$B$2)^$L18)/((1+WACC!$B$2)^$L18-1)*$F18,0)</f>
        <v>76</v>
      </c>
      <c r="I18" t="s">
        <v>153</v>
      </c>
      <c r="J18">
        <v>25000</v>
      </c>
      <c r="K18">
        <v>6</v>
      </c>
      <c r="L18">
        <v>40</v>
      </c>
      <c r="M18">
        <v>0.42499999999999999</v>
      </c>
      <c r="N18" t="s">
        <v>218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t="s">
        <v>153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137</v>
      </c>
      <c r="F19">
        <v>1368</v>
      </c>
      <c r="H19" s="1">
        <f>ROUND((WACC!$B$2*(1+WACC!$B$2)^$L19)/((1+WACC!$B$2)^$L19-1)*$F19,0)</f>
        <v>80</v>
      </c>
      <c r="I19" t="s">
        <v>153</v>
      </c>
      <c r="J19">
        <v>25000</v>
      </c>
      <c r="K19">
        <v>6</v>
      </c>
      <c r="L19">
        <v>40</v>
      </c>
      <c r="M19">
        <v>0.42499999999999999</v>
      </c>
      <c r="N19" t="s">
        <v>218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200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137</v>
      </c>
      <c r="F20">
        <v>1900</v>
      </c>
      <c r="H20" s="1">
        <f>ROUND((WACC!$B$2*(1+WACC!$B$2)^$L20)/((1+WACC!$B$2)^$L20-1)*$F20,0)</f>
        <v>111</v>
      </c>
      <c r="I20" t="s">
        <v>153</v>
      </c>
      <c r="J20">
        <v>31000</v>
      </c>
      <c r="K20">
        <v>2.9</v>
      </c>
      <c r="L20">
        <v>40</v>
      </c>
      <c r="M20">
        <v>0.48499999999999999</v>
      </c>
      <c r="N20" t="s">
        <v>218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t="s">
        <v>153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137</v>
      </c>
      <c r="F21">
        <v>2000</v>
      </c>
      <c r="H21" s="1">
        <f>ROUND((WACC!$B$2*(1+WACC!$B$2)^$L21)/((1+WACC!$B$2)^$L21-1)*$F21,0)</f>
        <v>117</v>
      </c>
      <c r="I21" t="s">
        <v>153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137</v>
      </c>
      <c r="F22">
        <v>2300</v>
      </c>
      <c r="H22" s="1">
        <f>ROUND((WACC!$B$2*(1+WACC!$B$2)^$L22)/((1+WACC!$B$2)^$L22-1)*$F22,0)</f>
        <v>140</v>
      </c>
      <c r="I22" t="s">
        <v>153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t="s">
        <v>153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137</v>
      </c>
      <c r="F23">
        <v>400</v>
      </c>
      <c r="H23" s="1">
        <f>ROUND((WACC!$B$2*(1+WACC!$B$2)^$L23)/((1+WACC!$B$2)^$L23-1)*$F23,0)</f>
        <v>26</v>
      </c>
      <c r="I23" t="s">
        <v>153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153</v>
      </c>
      <c r="V23" s="7" t="s">
        <v>153</v>
      </c>
      <c r="W23" s="7" t="s">
        <v>153</v>
      </c>
      <c r="X23" s="7" t="s">
        <v>153</v>
      </c>
      <c r="Y23" s="7" t="s">
        <v>153</v>
      </c>
      <c r="Z23" s="7" t="s">
        <v>153</v>
      </c>
      <c r="AA23" s="7" t="s">
        <v>153</v>
      </c>
      <c r="AB23" s="7" t="s">
        <v>153</v>
      </c>
      <c r="AC23" s="7" t="s">
        <v>153</v>
      </c>
      <c r="AD23" t="s">
        <v>153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137</v>
      </c>
      <c r="F24">
        <v>400</v>
      </c>
      <c r="H24" s="1">
        <f>ROUND((WACC!$B$2*(1+WACC!$B$2)^$L24)/((1+WACC!$B$2)^$L24-1)*$F24,0)</f>
        <v>26</v>
      </c>
      <c r="I24" t="s">
        <v>153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203</v>
      </c>
    </row>
    <row r="25" spans="1:30" x14ac:dyDescent="0.25">
      <c r="A25" t="str">
        <f>tech_full!B17</f>
        <v>Nat Gas - Old OCGT</v>
      </c>
      <c r="B25" s="33" t="s">
        <v>204</v>
      </c>
      <c r="C25" t="s">
        <v>94</v>
      </c>
      <c r="D25" t="s">
        <v>130</v>
      </c>
      <c r="E25" t="s">
        <v>137</v>
      </c>
      <c r="F25">
        <v>454</v>
      </c>
      <c r="H25" s="1">
        <f>ROUND((WACC!$B$2*(1+WACC!$B$2)^$L25)/((1+WACC!$B$2)^$L25-1)*$F25,0)</f>
        <v>32</v>
      </c>
      <c r="I25" t="s">
        <v>153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153</v>
      </c>
      <c r="V25" s="7" t="s">
        <v>153</v>
      </c>
      <c r="W25" s="7" t="s">
        <v>153</v>
      </c>
      <c r="X25" s="7" t="s">
        <v>153</v>
      </c>
      <c r="Y25" s="7" t="s">
        <v>153</v>
      </c>
      <c r="Z25" s="7" t="s">
        <v>153</v>
      </c>
      <c r="AA25" s="7" t="s">
        <v>153</v>
      </c>
      <c r="AB25" s="7" t="s">
        <v>153</v>
      </c>
      <c r="AC25" s="7" t="s">
        <v>153</v>
      </c>
      <c r="AD25" t="s">
        <v>153</v>
      </c>
    </row>
    <row r="26" spans="1:30" x14ac:dyDescent="0.25">
      <c r="B26" s="33" t="s">
        <v>339</v>
      </c>
      <c r="C26" t="s">
        <v>95</v>
      </c>
      <c r="D26" t="s">
        <v>130</v>
      </c>
      <c r="E26" t="s">
        <v>137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205</v>
      </c>
      <c r="C27" t="s">
        <v>96</v>
      </c>
      <c r="D27" t="s">
        <v>130</v>
      </c>
      <c r="E27" t="s">
        <v>137</v>
      </c>
      <c r="F27">
        <v>590</v>
      </c>
      <c r="H27" s="1">
        <f>ROUND((WACC!$B$2*(1+WACC!$B$2)^$L27)/((1+WACC!$B$2)^$L27-1)*$F27,0)</f>
        <v>42</v>
      </c>
      <c r="I27" t="s">
        <v>153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340</v>
      </c>
      <c r="C28" t="s">
        <v>97</v>
      </c>
      <c r="D28" t="s">
        <v>130</v>
      </c>
      <c r="E28" t="s">
        <v>137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137</v>
      </c>
      <c r="F29">
        <v>800</v>
      </c>
      <c r="H29" s="1">
        <f>ROUND((WACC!$B$2*(1+WACC!$B$2)^$L29)/((1+WACC!$B$2)^$L29-1)*$F29,0)</f>
        <v>52</v>
      </c>
      <c r="I29" t="s">
        <v>153</v>
      </c>
      <c r="J29">
        <v>20000</v>
      </c>
      <c r="K29">
        <v>4</v>
      </c>
      <c r="L29">
        <v>30</v>
      </c>
      <c r="M29">
        <v>0.56000000000000005</v>
      </c>
      <c r="N29" t="s">
        <v>220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153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137</v>
      </c>
      <c r="F30">
        <v>842</v>
      </c>
      <c r="H30" s="1">
        <f>ROUND((WACC!$B$2*(1+WACC!$B$2)^$L30)/((1+WACC!$B$2)^$L30-1)*$F30,0)</f>
        <v>55</v>
      </c>
      <c r="I30" t="s">
        <v>153</v>
      </c>
      <c r="J30">
        <v>20000</v>
      </c>
      <c r="K30">
        <v>4</v>
      </c>
      <c r="L30">
        <v>30</v>
      </c>
      <c r="M30">
        <v>0.56000000000000005</v>
      </c>
      <c r="N30" t="s">
        <v>219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137</v>
      </c>
      <c r="F31">
        <v>836</v>
      </c>
      <c r="H31" s="1">
        <f>ROUND((WACC!$B$2*(1+WACC!$B$2)^$L31)/((1+WACC!$B$2)^$L31-1)*$F31,0)</f>
        <v>59</v>
      </c>
      <c r="I31" t="s">
        <v>153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153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137</v>
      </c>
      <c r="F32">
        <v>880</v>
      </c>
      <c r="H32" s="1">
        <f>ROUND((WACC!$B$2*(1+WACC!$B$2)^$L32)/((1+WACC!$B$2)^$L32-1)*$F32,0)</f>
        <v>62</v>
      </c>
      <c r="I32" t="s">
        <v>153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137</v>
      </c>
      <c r="F33">
        <v>902.5</v>
      </c>
      <c r="H33" s="1">
        <f>ROUND((WACC!$B$2*(1+WACC!$B$2)^$L33)/((1+WACC!$B$2)^$L33-1)*$F33,0)</f>
        <v>64</v>
      </c>
      <c r="I33" t="s">
        <v>153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153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137</v>
      </c>
      <c r="F34">
        <v>950</v>
      </c>
      <c r="H34" s="1">
        <f>ROUND((WACC!$B$2*(1+WACC!$B$2)^$L34)/((1+WACC!$B$2)^$L34-1)*$F34,0)</f>
        <v>67</v>
      </c>
      <c r="I34" t="s">
        <v>153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206</v>
      </c>
      <c r="C35" t="s">
        <v>104</v>
      </c>
      <c r="D35" t="s">
        <v>130</v>
      </c>
      <c r="E35" t="s">
        <v>137</v>
      </c>
      <c r="F35">
        <v>60</v>
      </c>
      <c r="H35" s="1">
        <f>ROUND((WACC!$B$2*(1+WACC!$B$2)^$L35)/((1+WACC!$B$2)^$L35-1)*$F35,0)</f>
        <v>4</v>
      </c>
      <c r="I35" t="s">
        <v>153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153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137</v>
      </c>
      <c r="F36">
        <v>400</v>
      </c>
      <c r="H36" s="1">
        <f>ROUND((WACC!$B$2*(1+WACC!$B$2)^$L36)/((1+WACC!$B$2)^$L36-1)*$F36,0)</f>
        <v>26</v>
      </c>
      <c r="I36" t="s">
        <v>153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153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137</v>
      </c>
      <c r="F37">
        <v>400</v>
      </c>
      <c r="H37" s="1">
        <f>ROUND((WACC!$B$2*(1+WACC!$B$2)^$L37)/((1+WACC!$B$2)^$L37-1)*$F37,0)</f>
        <v>26</v>
      </c>
      <c r="I37" t="s">
        <v>153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203</v>
      </c>
    </row>
    <row r="38" spans="1:30" x14ac:dyDescent="0.25">
      <c r="A38" t="str">
        <f>tech_full!B28</f>
        <v>Oil - OCGT</v>
      </c>
      <c r="B38" s="33" t="s">
        <v>207</v>
      </c>
      <c r="C38" t="s">
        <v>107</v>
      </c>
      <c r="D38" t="s">
        <v>131</v>
      </c>
      <c r="E38" t="s">
        <v>137</v>
      </c>
      <c r="F38">
        <v>378</v>
      </c>
      <c r="H38" s="1">
        <f>ROUND((WACC!$B$2*(1+WACC!$B$2)^$L38)/((1+WACC!$B$2)^$L38-1)*$F38,0)</f>
        <v>27</v>
      </c>
      <c r="I38" t="s">
        <v>153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153</v>
      </c>
    </row>
    <row r="39" spans="1:30" x14ac:dyDescent="0.25">
      <c r="B39" s="33" t="s">
        <v>341</v>
      </c>
      <c r="C39" t="s">
        <v>108</v>
      </c>
      <c r="D39" t="s">
        <v>131</v>
      </c>
      <c r="E39" t="s">
        <v>137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137</v>
      </c>
      <c r="F40">
        <v>800</v>
      </c>
      <c r="H40" s="1">
        <f>ROUND((WACC!$B$2*(1+WACC!$B$2)^$L40)/((1+WACC!$B$2)^$L40-1)*$F40,0)</f>
        <v>57</v>
      </c>
      <c r="I40" t="s">
        <v>153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153</v>
      </c>
    </row>
    <row r="41" spans="1:30" x14ac:dyDescent="0.25">
      <c r="A41" t="str">
        <f>tech_full!B30</f>
        <v>Oil - Combined Cycle CoGen</v>
      </c>
      <c r="B41" s="33" t="s">
        <v>139</v>
      </c>
      <c r="C41" t="s">
        <v>110</v>
      </c>
      <c r="D41" t="s">
        <v>131</v>
      </c>
      <c r="E41" t="s">
        <v>137</v>
      </c>
      <c r="F41">
        <v>842</v>
      </c>
      <c r="H41" s="1">
        <f>ROUND((WACC!$B$2*(1+WACC!$B$2)^$L41)/((1+WACC!$B$2)^$L41-1)*$F41,0)</f>
        <v>60</v>
      </c>
      <c r="I41" t="s">
        <v>153</v>
      </c>
      <c r="J41">
        <v>25000</v>
      </c>
      <c r="K41">
        <v>4</v>
      </c>
      <c r="L41">
        <v>25</v>
      </c>
      <c r="M41">
        <v>0.47</v>
      </c>
      <c r="N41" t="s">
        <v>221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203</v>
      </c>
    </row>
    <row r="42" spans="1:30" x14ac:dyDescent="0.25">
      <c r="A42" t="str">
        <f>tech_full!B36</f>
        <v>Power - Heatpump Compression</v>
      </c>
      <c r="B42" s="35" t="s">
        <v>209</v>
      </c>
      <c r="C42" t="s">
        <v>116</v>
      </c>
      <c r="D42" t="s">
        <v>368</v>
      </c>
      <c r="E42" t="s">
        <v>138</v>
      </c>
      <c r="F42">
        <v>660</v>
      </c>
      <c r="H42" s="1">
        <f>ROUND((WACC!$B$2*(1+WACC!$B$2)^$L42)/((1+WACC!$B$2)^$L42-1)*$F42,0)</f>
        <v>47</v>
      </c>
      <c r="I42" t="s">
        <v>153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153</v>
      </c>
    </row>
    <row r="43" spans="1:30" x14ac:dyDescent="0.25">
      <c r="A43" t="str">
        <f>tech_full!B37</f>
        <v>Power - Heatpump Absorption</v>
      </c>
      <c r="B43" s="35" t="s">
        <v>210</v>
      </c>
      <c r="C43" t="s">
        <v>211</v>
      </c>
      <c r="D43" t="s">
        <v>368</v>
      </c>
      <c r="E43" t="s">
        <v>138</v>
      </c>
      <c r="F43">
        <v>560</v>
      </c>
      <c r="H43" s="1">
        <f>ROUND((WACC!$B$2*(1+WACC!$B$2)^$L43)/((1+WACC!$B$2)^$L43-1)*$F43,0)</f>
        <v>40</v>
      </c>
      <c r="I43" t="s">
        <v>153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153</v>
      </c>
    </row>
    <row r="44" spans="1:30" x14ac:dyDescent="0.25">
      <c r="A44" t="str">
        <f>tech_full!B38</f>
        <v>Power - Electric Boiler</v>
      </c>
      <c r="B44" s="35" t="s">
        <v>212</v>
      </c>
      <c r="C44" t="s">
        <v>213</v>
      </c>
      <c r="D44" t="s">
        <v>368</v>
      </c>
      <c r="E44" t="s">
        <v>138</v>
      </c>
      <c r="F44">
        <v>150</v>
      </c>
      <c r="H44" s="1">
        <f>ROUND((WACC!$B$2*(1+WACC!$B$2)^$L44)/((1+WACC!$B$2)^$L44-1)*$F44,0)</f>
        <v>12</v>
      </c>
      <c r="I44" t="s">
        <v>153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278</v>
      </c>
      <c r="C45" t="s">
        <v>117</v>
      </c>
      <c r="D45" t="s">
        <v>368</v>
      </c>
      <c r="E45" t="s">
        <v>137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153</v>
      </c>
      <c r="V45" s="7" t="s">
        <v>153</v>
      </c>
      <c r="W45" s="7" t="s">
        <v>153</v>
      </c>
      <c r="X45" s="7" t="s">
        <v>153</v>
      </c>
      <c r="Y45" s="7" t="s">
        <v>153</v>
      </c>
      <c r="Z45" s="7" t="s">
        <v>153</v>
      </c>
      <c r="AA45" s="7" t="s">
        <v>153</v>
      </c>
      <c r="AB45" s="7" t="s">
        <v>153</v>
      </c>
      <c r="AC45" s="7" t="s">
        <v>153</v>
      </c>
      <c r="AD45" s="7" t="s">
        <v>153</v>
      </c>
    </row>
    <row r="46" spans="1:30" x14ac:dyDescent="0.25">
      <c r="A46" t="str">
        <f>tech_full!B31</f>
        <v>Hydro - Run-of-River</v>
      </c>
      <c r="B46" s="34" t="s">
        <v>313</v>
      </c>
      <c r="C46" t="s">
        <v>304</v>
      </c>
      <c r="D46" t="s">
        <v>284</v>
      </c>
      <c r="E46" t="s">
        <v>137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153</v>
      </c>
      <c r="J46">
        <v>20000</v>
      </c>
      <c r="K46">
        <v>0</v>
      </c>
      <c r="L46">
        <v>50</v>
      </c>
      <c r="M46">
        <v>0.9</v>
      </c>
      <c r="N46" t="s">
        <v>280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314</v>
      </c>
      <c r="C47" t="s">
        <v>305</v>
      </c>
      <c r="D47" t="s">
        <v>284</v>
      </c>
      <c r="E47" t="s">
        <v>137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153</v>
      </c>
      <c r="J47">
        <v>20000</v>
      </c>
      <c r="K47">
        <v>0</v>
      </c>
      <c r="L47">
        <v>50</v>
      </c>
      <c r="M47">
        <v>0.9</v>
      </c>
      <c r="N47" t="s">
        <v>280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315</v>
      </c>
      <c r="C48" t="s">
        <v>306</v>
      </c>
      <c r="D48" t="s">
        <v>284</v>
      </c>
      <c r="E48" t="s">
        <v>137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153</v>
      </c>
      <c r="J48">
        <v>20000</v>
      </c>
      <c r="K48">
        <v>0</v>
      </c>
      <c r="L48">
        <v>50</v>
      </c>
      <c r="M48">
        <v>0.9</v>
      </c>
      <c r="N48" t="s">
        <v>280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310</v>
      </c>
      <c r="C49" t="s">
        <v>307</v>
      </c>
      <c r="D49" t="s">
        <v>284</v>
      </c>
      <c r="E49" t="s">
        <v>137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153</v>
      </c>
      <c r="J49">
        <v>20000</v>
      </c>
      <c r="K49">
        <v>0</v>
      </c>
      <c r="L49">
        <v>50</v>
      </c>
      <c r="M49">
        <v>0.9</v>
      </c>
      <c r="N49" t="s">
        <v>220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153</v>
      </c>
      <c r="V49" s="7" t="s">
        <v>153</v>
      </c>
      <c r="W49" s="7" t="s">
        <v>153</v>
      </c>
      <c r="X49" s="7" t="s">
        <v>153</v>
      </c>
      <c r="Y49" s="7" t="s">
        <v>153</v>
      </c>
      <c r="Z49" s="7" t="s">
        <v>153</v>
      </c>
      <c r="AA49" s="7" t="s">
        <v>153</v>
      </c>
      <c r="AB49" s="7" t="s">
        <v>153</v>
      </c>
      <c r="AC49" s="7" t="s">
        <v>153</v>
      </c>
      <c r="AD49" s="7" t="s">
        <v>153</v>
      </c>
    </row>
    <row r="50" spans="2:30" x14ac:dyDescent="0.25">
      <c r="B50" s="34" t="s">
        <v>311</v>
      </c>
      <c r="C50" t="s">
        <v>308</v>
      </c>
      <c r="D50" t="s">
        <v>284</v>
      </c>
      <c r="E50" t="s">
        <v>137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153</v>
      </c>
      <c r="J50">
        <v>20000</v>
      </c>
      <c r="K50">
        <v>0</v>
      </c>
      <c r="L50">
        <v>50</v>
      </c>
      <c r="M50">
        <v>0.9</v>
      </c>
      <c r="N50" t="s">
        <v>220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153</v>
      </c>
      <c r="V50" s="7" t="s">
        <v>153</v>
      </c>
      <c r="W50" s="7" t="s">
        <v>153</v>
      </c>
      <c r="X50" s="7" t="s">
        <v>153</v>
      </c>
      <c r="Y50" s="7" t="s">
        <v>153</v>
      </c>
      <c r="Z50" s="7" t="s">
        <v>153</v>
      </c>
      <c r="AA50" s="7" t="s">
        <v>153</v>
      </c>
      <c r="AB50" s="7" t="s">
        <v>153</v>
      </c>
      <c r="AC50" s="7" t="s">
        <v>153</v>
      </c>
      <c r="AD50" s="7" t="s">
        <v>153</v>
      </c>
    </row>
    <row r="51" spans="2:30" x14ac:dyDescent="0.25">
      <c r="B51" s="34" t="s">
        <v>312</v>
      </c>
      <c r="C51" t="s">
        <v>309</v>
      </c>
      <c r="D51" t="s">
        <v>284</v>
      </c>
      <c r="E51" t="s">
        <v>137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153</v>
      </c>
      <c r="J51">
        <v>20000</v>
      </c>
      <c r="K51">
        <v>0</v>
      </c>
      <c r="L51">
        <v>50</v>
      </c>
      <c r="M51">
        <v>0.9</v>
      </c>
      <c r="N51" t="s">
        <v>220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153</v>
      </c>
      <c r="V51" s="7" t="s">
        <v>153</v>
      </c>
      <c r="W51" s="7" t="s">
        <v>153</v>
      </c>
      <c r="X51" s="7" t="s">
        <v>153</v>
      </c>
      <c r="Y51" s="7" t="s">
        <v>153</v>
      </c>
      <c r="Z51" s="7" t="s">
        <v>153</v>
      </c>
      <c r="AA51" s="7" t="s">
        <v>153</v>
      </c>
      <c r="AB51" s="7" t="s">
        <v>153</v>
      </c>
      <c r="AC51" s="7" t="s">
        <v>153</v>
      </c>
      <c r="AD51" s="7" t="s">
        <v>153</v>
      </c>
    </row>
    <row r="52" spans="2:30" x14ac:dyDescent="0.25">
      <c r="B52" s="34" t="s">
        <v>279</v>
      </c>
      <c r="C52" t="s">
        <v>257</v>
      </c>
      <c r="D52" t="s">
        <v>368</v>
      </c>
      <c r="E52" t="s">
        <v>137</v>
      </c>
      <c r="F52">
        <v>2575</v>
      </c>
      <c r="G52" s="1">
        <v>2</v>
      </c>
      <c r="H52" s="1">
        <f>ROUND((WACC!$B$2*(1+WACC!$B$2)^$L52)/((1+WACC!$B$2)^$L52-1)*$F52,0)</f>
        <v>183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v>0.33300000000000002</v>
      </c>
      <c r="N52" t="s">
        <v>281</v>
      </c>
      <c r="O52">
        <v>0</v>
      </c>
      <c r="P52">
        <v>0</v>
      </c>
      <c r="Q52">
        <v>1</v>
      </c>
      <c r="R52">
        <v>0</v>
      </c>
      <c r="S52">
        <f t="shared" si="0"/>
        <v>0</v>
      </c>
      <c r="T52">
        <v>1</v>
      </c>
      <c r="U52" s="7" t="s">
        <v>153</v>
      </c>
      <c r="V52" s="7" t="s">
        <v>153</v>
      </c>
      <c r="W52" s="7" t="s">
        <v>153</v>
      </c>
      <c r="X52" s="7" t="s">
        <v>153</v>
      </c>
      <c r="Y52" s="7" t="s">
        <v>153</v>
      </c>
      <c r="Z52" s="7" t="s">
        <v>153</v>
      </c>
      <c r="AA52" s="7" t="s">
        <v>153</v>
      </c>
      <c r="AB52" s="7" t="s">
        <v>153</v>
      </c>
      <c r="AC52" s="7" t="s">
        <v>153</v>
      </c>
      <c r="AD52" s="7" t="s">
        <v>153</v>
      </c>
    </row>
    <row r="53" spans="2:30" x14ac:dyDescent="0.25">
      <c r="B53" s="43" t="s">
        <v>327</v>
      </c>
      <c r="C53" t="s">
        <v>328</v>
      </c>
      <c r="D53" t="s">
        <v>368</v>
      </c>
      <c r="E53" t="s">
        <v>137</v>
      </c>
      <c r="F53" s="42">
        <f>ROUND(455/0.9,0)</f>
        <v>506</v>
      </c>
      <c r="G53" s="1"/>
      <c r="H53" s="1">
        <f>ROUND((WACC!$B$2*(1+WACC!$B$2)^$L53)/((1+WACC!$B$2)^$L53-1)*$F53,0)</f>
        <v>29</v>
      </c>
      <c r="I53" s="1" t="s">
        <v>153</v>
      </c>
      <c r="J53" s="1">
        <v>9</v>
      </c>
      <c r="K53" s="1">
        <v>0</v>
      </c>
      <c r="L53" s="1">
        <v>40</v>
      </c>
      <c r="M53" s="1">
        <v>0</v>
      </c>
      <c r="N53" t="s">
        <v>335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153</v>
      </c>
      <c r="V53" s="7" t="s">
        <v>153</v>
      </c>
      <c r="W53" s="7" t="s">
        <v>153</v>
      </c>
      <c r="X53" s="7" t="s">
        <v>153</v>
      </c>
      <c r="Y53" s="7" t="s">
        <v>153</v>
      </c>
      <c r="Z53" s="7" t="s">
        <v>153</v>
      </c>
      <c r="AA53" s="7" t="s">
        <v>153</v>
      </c>
      <c r="AB53" s="7" t="s">
        <v>153</v>
      </c>
      <c r="AC53" s="7" t="s">
        <v>153</v>
      </c>
      <c r="AD53" s="7" t="s">
        <v>153</v>
      </c>
    </row>
  </sheetData>
  <phoneticPr fontId="12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4A-B732-4781-969B-D949701AC8DD}">
  <dimension ref="A1:AD57"/>
  <sheetViews>
    <sheetView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A52" sqref="A52:XFD52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258</v>
      </c>
      <c r="B1" s="15" t="s">
        <v>259</v>
      </c>
      <c r="C1" s="15" t="s">
        <v>260</v>
      </c>
      <c r="D1" s="15" t="s">
        <v>282</v>
      </c>
      <c r="E1" s="15" t="s">
        <v>343</v>
      </c>
      <c r="F1" s="15" t="s">
        <v>261</v>
      </c>
      <c r="G1" s="15" t="s">
        <v>262</v>
      </c>
      <c r="H1" s="15" t="s">
        <v>273</v>
      </c>
      <c r="I1" s="15" t="s">
        <v>274</v>
      </c>
      <c r="J1" s="15" t="s">
        <v>263</v>
      </c>
      <c r="K1" s="15" t="s">
        <v>264</v>
      </c>
      <c r="L1" s="15" t="s">
        <v>265</v>
      </c>
      <c r="M1" s="15" t="s">
        <v>267</v>
      </c>
      <c r="N1" s="15" t="s">
        <v>266</v>
      </c>
      <c r="O1" s="15" t="s">
        <v>283</v>
      </c>
      <c r="P1" s="15" t="s">
        <v>268</v>
      </c>
      <c r="Q1" s="15" t="s">
        <v>285</v>
      </c>
      <c r="R1" s="15" t="s">
        <v>336</v>
      </c>
      <c r="S1" s="15" t="s">
        <v>337</v>
      </c>
      <c r="T1" s="15" t="s">
        <v>175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266</v>
      </c>
    </row>
    <row r="2" spans="1:30" s="15" customFormat="1" x14ac:dyDescent="0.25">
      <c r="F2" s="15" t="s">
        <v>275</v>
      </c>
      <c r="G2" s="15" t="s">
        <v>319</v>
      </c>
      <c r="H2" s="15" t="s">
        <v>275</v>
      </c>
      <c r="I2" s="15" t="s">
        <v>319</v>
      </c>
      <c r="J2" s="15" t="s">
        <v>277</v>
      </c>
      <c r="K2" s="15" t="s">
        <v>276</v>
      </c>
      <c r="L2" s="15" t="s">
        <v>320</v>
      </c>
      <c r="M2" s="41" t="s">
        <v>321</v>
      </c>
      <c r="O2" s="15" t="s">
        <v>322</v>
      </c>
      <c r="P2" s="15" t="s">
        <v>322</v>
      </c>
      <c r="Q2" s="15" t="s">
        <v>322</v>
      </c>
      <c r="R2" s="15" t="s">
        <v>322</v>
      </c>
      <c r="S2" s="15" t="s">
        <v>322</v>
      </c>
    </row>
    <row r="3" spans="1:30" x14ac:dyDescent="0.25">
      <c r="A3" t="s">
        <v>289</v>
      </c>
      <c r="B3" t="s">
        <v>290</v>
      </c>
      <c r="C3" t="s">
        <v>317</v>
      </c>
      <c r="D3" t="s">
        <v>58</v>
      </c>
      <c r="E3" t="s">
        <v>344</v>
      </c>
      <c r="F3" t="s">
        <v>291</v>
      </c>
      <c r="G3" t="s">
        <v>292</v>
      </c>
      <c r="H3" t="s">
        <v>294</v>
      </c>
      <c r="I3" t="s">
        <v>293</v>
      </c>
      <c r="J3" t="s">
        <v>295</v>
      </c>
      <c r="K3" t="s">
        <v>296</v>
      </c>
      <c r="L3" t="s">
        <v>64</v>
      </c>
      <c r="M3" t="s">
        <v>316</v>
      </c>
      <c r="N3" t="s">
        <v>243</v>
      </c>
      <c r="O3" t="s">
        <v>297</v>
      </c>
      <c r="P3" t="s">
        <v>298</v>
      </c>
      <c r="Q3" t="s">
        <v>303</v>
      </c>
      <c r="R3" t="s">
        <v>328</v>
      </c>
      <c r="S3" t="s">
        <v>338</v>
      </c>
      <c r="T3" t="s">
        <v>192</v>
      </c>
      <c r="U3" t="s">
        <v>194</v>
      </c>
      <c r="V3" t="s">
        <v>195</v>
      </c>
      <c r="W3" t="s">
        <v>196</v>
      </c>
      <c r="X3" t="s">
        <v>197</v>
      </c>
      <c r="Y3" t="s">
        <v>198</v>
      </c>
      <c r="Z3" t="s">
        <v>199</v>
      </c>
      <c r="AA3" t="s">
        <v>300</v>
      </c>
      <c r="AB3" t="s">
        <v>301</v>
      </c>
      <c r="AC3" t="s">
        <v>302</v>
      </c>
      <c r="AD3" t="s">
        <v>299</v>
      </c>
    </row>
    <row r="4" spans="1:30" x14ac:dyDescent="0.25">
      <c r="A4">
        <v>0</v>
      </c>
      <c r="B4" s="32" t="s">
        <v>269</v>
      </c>
      <c r="C4" t="s">
        <v>3</v>
      </c>
      <c r="D4" t="s">
        <v>133</v>
      </c>
      <c r="E4" t="s">
        <v>137</v>
      </c>
      <c r="F4">
        <v>625</v>
      </c>
      <c r="H4" s="1">
        <f>ROUND((WACC!$B$2*(1+WACC!$B$2)^$L4)/((1+WACC!$B$2)^$L4-1)*$F4,0)</f>
        <v>36</v>
      </c>
      <c r="I4" t="s">
        <v>153</v>
      </c>
      <c r="J4">
        <v>9032</v>
      </c>
      <c r="K4">
        <v>0</v>
      </c>
      <c r="L4">
        <v>40</v>
      </c>
      <c r="M4">
        <v>1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25">
      <c r="A5">
        <v>1</v>
      </c>
      <c r="B5" s="32" t="s">
        <v>270</v>
      </c>
      <c r="C5" t="s">
        <v>4</v>
      </c>
      <c r="D5" t="s">
        <v>284</v>
      </c>
      <c r="E5" t="s">
        <v>137</v>
      </c>
      <c r="F5">
        <v>2800</v>
      </c>
      <c r="H5" s="1">
        <f>ROUND((WACC!$B$2*(1+WACC!$B$2)^$L5)/((1+WACC!$B$2)^$L5-1)*$F5,0)</f>
        <v>148</v>
      </c>
      <c r="I5" t="s">
        <v>153</v>
      </c>
      <c r="J5">
        <v>60000</v>
      </c>
      <c r="K5">
        <v>0</v>
      </c>
      <c r="L5">
        <v>60</v>
      </c>
      <c r="M5">
        <v>1</v>
      </c>
      <c r="N5" s="35"/>
      <c r="O5">
        <v>0</v>
      </c>
      <c r="P5">
        <v>1</v>
      </c>
      <c r="Q5">
        <v>0</v>
      </c>
      <c r="R5">
        <v>0</v>
      </c>
      <c r="S5">
        <f t="shared" ref="S5:S57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25">
      <c r="A6">
        <v>2</v>
      </c>
      <c r="B6" s="32" t="s">
        <v>271</v>
      </c>
      <c r="C6" t="s">
        <v>5</v>
      </c>
      <c r="D6" t="s">
        <v>134</v>
      </c>
      <c r="E6" t="s">
        <v>137</v>
      </c>
      <c r="F6">
        <v>1040</v>
      </c>
      <c r="H6" s="1">
        <f>ROUND((WACC!$B$2*(1+WACC!$B$2)^$L6)/((1+WACC!$B$2)^$L6-1)*$F6,0)</f>
        <v>68</v>
      </c>
      <c r="I6" t="s">
        <v>153</v>
      </c>
      <c r="J6">
        <v>12600</v>
      </c>
      <c r="K6">
        <v>1.35</v>
      </c>
      <c r="L6">
        <v>30</v>
      </c>
      <c r="M6">
        <v>1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25">
      <c r="A7">
        <v>3</v>
      </c>
      <c r="B7" s="32" t="s">
        <v>272</v>
      </c>
      <c r="C7" t="s">
        <v>6</v>
      </c>
      <c r="D7" t="s">
        <v>134</v>
      </c>
      <c r="E7" t="s">
        <v>137</v>
      </c>
      <c r="F7">
        <v>1930</v>
      </c>
      <c r="H7" s="1">
        <f>ROUND((WACC!$B$2*(1+WACC!$B$2)^$L7)/((1+WACC!$B$2)^$L7-1)*$F7,0)</f>
        <v>126</v>
      </c>
      <c r="I7" t="s">
        <v>153</v>
      </c>
      <c r="J7">
        <v>36053</v>
      </c>
      <c r="K7">
        <v>2.7</v>
      </c>
      <c r="L7">
        <v>30</v>
      </c>
      <c r="M7">
        <v>1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229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241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352</v>
      </c>
      <c r="C10" t="s">
        <v>353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30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137</v>
      </c>
      <c r="F11">
        <v>5800</v>
      </c>
      <c r="H11" s="1">
        <f>ROUND((WACC!$B$2*(1+WACC!$B$2)^$L11)/((1+WACC!$B$2)^$L11-1)*$F11,0)</f>
        <v>338</v>
      </c>
      <c r="I11" t="s">
        <v>153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153</v>
      </c>
      <c r="V11" s="7" t="s">
        <v>153</v>
      </c>
      <c r="W11" s="7" t="s">
        <v>153</v>
      </c>
      <c r="X11" s="7" t="s">
        <v>153</v>
      </c>
      <c r="Y11" s="7" t="s">
        <v>153</v>
      </c>
      <c r="Z11" s="7" t="s">
        <v>153</v>
      </c>
      <c r="AA11" s="7" t="s">
        <v>153</v>
      </c>
      <c r="AB11" s="7" t="s">
        <v>153</v>
      </c>
      <c r="AC11" s="7" t="s">
        <v>153</v>
      </c>
      <c r="AD11" t="s">
        <v>153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137</v>
      </c>
      <c r="F12">
        <v>1700</v>
      </c>
      <c r="H12" s="1">
        <f>ROUND((WACC!$B$2*(1+WACC!$B$2)^$L12)/((1+WACC!$B$2)^$L12-1)*$F12,0)</f>
        <v>99</v>
      </c>
      <c r="I12" t="s">
        <v>153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153</v>
      </c>
      <c r="V12" s="7" t="s">
        <v>153</v>
      </c>
      <c r="W12" s="7" t="s">
        <v>153</v>
      </c>
      <c r="X12" s="7" t="s">
        <v>153</v>
      </c>
      <c r="Y12" s="7" t="s">
        <v>153</v>
      </c>
      <c r="Z12" s="7" t="s">
        <v>153</v>
      </c>
      <c r="AA12" s="7" t="s">
        <v>153</v>
      </c>
      <c r="AB12" s="7" t="s">
        <v>153</v>
      </c>
      <c r="AC12" s="7" t="s">
        <v>153</v>
      </c>
      <c r="AD12" t="s">
        <v>153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137</v>
      </c>
      <c r="F13">
        <v>1700</v>
      </c>
      <c r="H13" s="1">
        <f>ROUND((WACC!$B$2*(1+WACC!$B$2)^$L13)/((1+WACC!$B$2)^$L13-1)*$F13,0)</f>
        <v>99</v>
      </c>
      <c r="I13" t="s">
        <v>153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200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137</v>
      </c>
      <c r="F14">
        <v>2000</v>
      </c>
      <c r="H14" s="1">
        <f>ROUND((WACC!$B$2*(1+WACC!$B$2)^$L14)/((1+WACC!$B$2)^$L14-1)*$F14,0)</f>
        <v>117</v>
      </c>
      <c r="I14" t="s">
        <v>153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t="s">
        <v>153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137</v>
      </c>
      <c r="F15">
        <v>2105</v>
      </c>
      <c r="H15" s="1">
        <f>ROUND((WACC!$B$2*(1+WACC!$B$2)^$L15)/((1+WACC!$B$2)^$L15-1)*$F15,0)</f>
        <v>123</v>
      </c>
      <c r="I15" t="s">
        <v>153</v>
      </c>
      <c r="J15">
        <v>52625</v>
      </c>
      <c r="K15">
        <v>4.5</v>
      </c>
      <c r="L15">
        <v>40</v>
      </c>
      <c r="M15">
        <v>0.439</v>
      </c>
      <c r="N15" t="s">
        <v>202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201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137</v>
      </c>
      <c r="F16">
        <v>1200</v>
      </c>
      <c r="H16" s="1">
        <f>ROUND((WACC!$B$2*(1+WACC!$B$2)^$L16)/((1+WACC!$B$2)^$L16-1)*$F16,0)</f>
        <v>70</v>
      </c>
      <c r="I16" t="s">
        <v>153</v>
      </c>
      <c r="J16">
        <v>30000</v>
      </c>
      <c r="K16">
        <v>6</v>
      </c>
      <c r="L16">
        <v>40</v>
      </c>
      <c r="M16">
        <v>0.375</v>
      </c>
      <c r="N16" t="s">
        <v>218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153</v>
      </c>
      <c r="V16" s="7" t="s">
        <v>153</v>
      </c>
      <c r="W16" s="7" t="s">
        <v>153</v>
      </c>
      <c r="X16" s="7" t="s">
        <v>153</v>
      </c>
      <c r="Y16" s="7" t="s">
        <v>153</v>
      </c>
      <c r="Z16" s="7" t="s">
        <v>153</v>
      </c>
      <c r="AA16" s="7" t="s">
        <v>153</v>
      </c>
      <c r="AB16" s="7" t="s">
        <v>153</v>
      </c>
      <c r="AC16" s="7" t="s">
        <v>153</v>
      </c>
      <c r="AD16" t="s">
        <v>153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137</v>
      </c>
      <c r="F17">
        <v>1263</v>
      </c>
      <c r="H17" s="1">
        <f>ROUND((WACC!$B$2*(1+WACC!$B$2)^$L17)/((1+WACC!$B$2)^$L17-1)*$F17,0)</f>
        <v>74</v>
      </c>
      <c r="I17" t="s">
        <v>153</v>
      </c>
      <c r="J17">
        <v>30000</v>
      </c>
      <c r="K17">
        <v>6</v>
      </c>
      <c r="L17">
        <v>40</v>
      </c>
      <c r="M17">
        <v>0.375</v>
      </c>
      <c r="N17" t="s">
        <v>218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200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137</v>
      </c>
      <c r="F18">
        <v>1300</v>
      </c>
      <c r="H18" s="1">
        <f>ROUND((WACC!$B$2*(1+WACC!$B$2)^$L18)/((1+WACC!$B$2)^$L18-1)*$F18,0)</f>
        <v>76</v>
      </c>
      <c r="I18" t="s">
        <v>153</v>
      </c>
      <c r="J18">
        <v>25000</v>
      </c>
      <c r="K18">
        <v>6</v>
      </c>
      <c r="L18">
        <v>40</v>
      </c>
      <c r="M18">
        <v>0.42499999999999999</v>
      </c>
      <c r="N18" t="s">
        <v>218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t="s">
        <v>153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137</v>
      </c>
      <c r="F19">
        <v>1368</v>
      </c>
      <c r="H19" s="1">
        <f>ROUND((WACC!$B$2*(1+WACC!$B$2)^$L19)/((1+WACC!$B$2)^$L19-1)*$F19,0)</f>
        <v>80</v>
      </c>
      <c r="I19" t="s">
        <v>153</v>
      </c>
      <c r="J19">
        <v>25000</v>
      </c>
      <c r="K19">
        <v>6</v>
      </c>
      <c r="L19">
        <v>40</v>
      </c>
      <c r="M19">
        <v>0.42499999999999999</v>
      </c>
      <c r="N19" t="s">
        <v>218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200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137</v>
      </c>
      <c r="F20">
        <v>1900</v>
      </c>
      <c r="H20" s="1">
        <f>ROUND((WACC!$B$2*(1+WACC!$B$2)^$L20)/((1+WACC!$B$2)^$L20-1)*$F20,0)</f>
        <v>111</v>
      </c>
      <c r="I20" t="s">
        <v>153</v>
      </c>
      <c r="J20">
        <v>31000</v>
      </c>
      <c r="K20">
        <v>2.9</v>
      </c>
      <c r="L20">
        <v>40</v>
      </c>
      <c r="M20">
        <v>0.48499999999999999</v>
      </c>
      <c r="N20" t="s">
        <v>218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t="s">
        <v>153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137</v>
      </c>
      <c r="F21">
        <v>2000</v>
      </c>
      <c r="H21" s="1">
        <f>ROUND((WACC!$B$2*(1+WACC!$B$2)^$L21)/((1+WACC!$B$2)^$L21-1)*$F21,0)</f>
        <v>117</v>
      </c>
      <c r="I21" t="s">
        <v>153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137</v>
      </c>
      <c r="F22">
        <v>2300</v>
      </c>
      <c r="H22" s="1">
        <f>ROUND((WACC!$B$2*(1+WACC!$B$2)^$L22)/((1+WACC!$B$2)^$L22-1)*$F22,0)</f>
        <v>140</v>
      </c>
      <c r="I22" t="s">
        <v>153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t="s">
        <v>153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137</v>
      </c>
      <c r="F23">
        <v>400</v>
      </c>
      <c r="H23" s="1">
        <f>ROUND((WACC!$B$2*(1+WACC!$B$2)^$L23)/((1+WACC!$B$2)^$L23-1)*$F23,0)</f>
        <v>26</v>
      </c>
      <c r="I23" t="s">
        <v>153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153</v>
      </c>
      <c r="V23" s="7" t="s">
        <v>153</v>
      </c>
      <c r="W23" s="7" t="s">
        <v>153</v>
      </c>
      <c r="X23" s="7" t="s">
        <v>153</v>
      </c>
      <c r="Y23" s="7" t="s">
        <v>153</v>
      </c>
      <c r="Z23" s="7" t="s">
        <v>153</v>
      </c>
      <c r="AA23" s="7" t="s">
        <v>153</v>
      </c>
      <c r="AB23" s="7" t="s">
        <v>153</v>
      </c>
      <c r="AC23" s="7" t="s">
        <v>153</v>
      </c>
      <c r="AD23" t="s">
        <v>153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137</v>
      </c>
      <c r="F24">
        <v>400</v>
      </c>
      <c r="H24" s="1">
        <f>ROUND((WACC!$B$2*(1+WACC!$B$2)^$L24)/((1+WACC!$B$2)^$L24-1)*$F24,0)</f>
        <v>26</v>
      </c>
      <c r="I24" t="s">
        <v>153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203</v>
      </c>
    </row>
    <row r="25" spans="1:30" x14ac:dyDescent="0.25">
      <c r="A25" t="str">
        <f>tech_full!B17</f>
        <v>Nat Gas - Old OCGT</v>
      </c>
      <c r="B25" s="33" t="s">
        <v>204</v>
      </c>
      <c r="C25" t="s">
        <v>94</v>
      </c>
      <c r="D25" t="s">
        <v>130</v>
      </c>
      <c r="E25" t="s">
        <v>137</v>
      </c>
      <c r="F25">
        <v>454</v>
      </c>
      <c r="H25" s="1">
        <f>ROUND((WACC!$B$2*(1+WACC!$B$2)^$L25)/((1+WACC!$B$2)^$L25-1)*$F25,0)</f>
        <v>32</v>
      </c>
      <c r="I25" t="s">
        <v>153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153</v>
      </c>
      <c r="V25" s="7" t="s">
        <v>153</v>
      </c>
      <c r="W25" s="7" t="s">
        <v>153</v>
      </c>
      <c r="X25" s="7" t="s">
        <v>153</v>
      </c>
      <c r="Y25" s="7" t="s">
        <v>153</v>
      </c>
      <c r="Z25" s="7" t="s">
        <v>153</v>
      </c>
      <c r="AA25" s="7" t="s">
        <v>153</v>
      </c>
      <c r="AB25" s="7" t="s">
        <v>153</v>
      </c>
      <c r="AC25" s="7" t="s">
        <v>153</v>
      </c>
      <c r="AD25" t="s">
        <v>153</v>
      </c>
    </row>
    <row r="26" spans="1:30" x14ac:dyDescent="0.25">
      <c r="B26" s="33" t="s">
        <v>339</v>
      </c>
      <c r="C26" t="s">
        <v>95</v>
      </c>
      <c r="D26" t="s">
        <v>130</v>
      </c>
      <c r="E26" t="s">
        <v>137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205</v>
      </c>
      <c r="C27" t="s">
        <v>96</v>
      </c>
      <c r="D27" t="s">
        <v>130</v>
      </c>
      <c r="E27" t="s">
        <v>137</v>
      </c>
      <c r="F27">
        <v>590</v>
      </c>
      <c r="H27" s="1">
        <f>ROUND((WACC!$B$2*(1+WACC!$B$2)^$L27)/((1+WACC!$B$2)^$L27-1)*$F27,0)</f>
        <v>42</v>
      </c>
      <c r="I27" t="s">
        <v>153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340</v>
      </c>
      <c r="C28" t="s">
        <v>97</v>
      </c>
      <c r="D28" t="s">
        <v>130</v>
      </c>
      <c r="E28" t="s">
        <v>137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137</v>
      </c>
      <c r="F29">
        <v>800</v>
      </c>
      <c r="H29" s="1">
        <f>ROUND((WACC!$B$2*(1+WACC!$B$2)^$L29)/((1+WACC!$B$2)^$L29-1)*$F29,0)</f>
        <v>52</v>
      </c>
      <c r="I29" t="s">
        <v>153</v>
      </c>
      <c r="J29">
        <v>20000</v>
      </c>
      <c r="K29">
        <v>4</v>
      </c>
      <c r="L29">
        <v>30</v>
      </c>
      <c r="M29">
        <v>0.56000000000000005</v>
      </c>
      <c r="N29" t="s">
        <v>220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153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137</v>
      </c>
      <c r="F30">
        <v>842</v>
      </c>
      <c r="H30" s="1">
        <f>ROUND((WACC!$B$2*(1+WACC!$B$2)^$L30)/((1+WACC!$B$2)^$L30-1)*$F30,0)</f>
        <v>55</v>
      </c>
      <c r="I30" t="s">
        <v>153</v>
      </c>
      <c r="J30">
        <v>20000</v>
      </c>
      <c r="K30">
        <v>4</v>
      </c>
      <c r="L30">
        <v>30</v>
      </c>
      <c r="M30">
        <v>0.56000000000000005</v>
      </c>
      <c r="N30" t="s">
        <v>219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137</v>
      </c>
      <c r="F31">
        <v>836</v>
      </c>
      <c r="H31" s="1">
        <f>ROUND((WACC!$B$2*(1+WACC!$B$2)^$L31)/((1+WACC!$B$2)^$L31-1)*$F31,0)</f>
        <v>59</v>
      </c>
      <c r="I31" t="s">
        <v>153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153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137</v>
      </c>
      <c r="F32">
        <v>880</v>
      </c>
      <c r="H32" s="1">
        <f>ROUND((WACC!$B$2*(1+WACC!$B$2)^$L32)/((1+WACC!$B$2)^$L32-1)*$F32,0)</f>
        <v>62</v>
      </c>
      <c r="I32" t="s">
        <v>153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137</v>
      </c>
      <c r="F33">
        <v>902.5</v>
      </c>
      <c r="H33" s="1">
        <f>ROUND((WACC!$B$2*(1+WACC!$B$2)^$L33)/((1+WACC!$B$2)^$L33-1)*$F33,0)</f>
        <v>64</v>
      </c>
      <c r="I33" t="s">
        <v>153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153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137</v>
      </c>
      <c r="F34">
        <v>950</v>
      </c>
      <c r="H34" s="1">
        <f>ROUND((WACC!$B$2*(1+WACC!$B$2)^$L34)/((1+WACC!$B$2)^$L34-1)*$F34,0)</f>
        <v>67</v>
      </c>
      <c r="I34" t="s">
        <v>153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206</v>
      </c>
      <c r="C35" t="s">
        <v>104</v>
      </c>
      <c r="D35" t="s">
        <v>130</v>
      </c>
      <c r="E35" t="s">
        <v>137</v>
      </c>
      <c r="F35">
        <v>60</v>
      </c>
      <c r="H35" s="1">
        <f>ROUND((WACC!$B$2*(1+WACC!$B$2)^$L35)/((1+WACC!$B$2)^$L35-1)*$F35,0)</f>
        <v>4</v>
      </c>
      <c r="I35" t="s">
        <v>153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153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137</v>
      </c>
      <c r="F36">
        <v>400</v>
      </c>
      <c r="H36" s="1">
        <f>ROUND((WACC!$B$2*(1+WACC!$B$2)^$L36)/((1+WACC!$B$2)^$L36-1)*$F36,0)</f>
        <v>26</v>
      </c>
      <c r="I36" t="s">
        <v>153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153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137</v>
      </c>
      <c r="F37">
        <v>400</v>
      </c>
      <c r="H37" s="1">
        <f>ROUND((WACC!$B$2*(1+WACC!$B$2)^$L37)/((1+WACC!$B$2)^$L37-1)*$F37,0)</f>
        <v>26</v>
      </c>
      <c r="I37" t="s">
        <v>153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203</v>
      </c>
    </row>
    <row r="38" spans="1:30" x14ac:dyDescent="0.25">
      <c r="A38" t="str">
        <f>tech_full!B28</f>
        <v>Oil - OCGT</v>
      </c>
      <c r="B38" s="33" t="s">
        <v>207</v>
      </c>
      <c r="C38" t="s">
        <v>107</v>
      </c>
      <c r="D38" t="s">
        <v>131</v>
      </c>
      <c r="E38" t="s">
        <v>137</v>
      </c>
      <c r="F38">
        <v>378</v>
      </c>
      <c r="H38" s="1">
        <f>ROUND((WACC!$B$2*(1+WACC!$B$2)^$L38)/((1+WACC!$B$2)^$L38-1)*$F38,0)</f>
        <v>27</v>
      </c>
      <c r="I38" t="s">
        <v>153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153</v>
      </c>
    </row>
    <row r="39" spans="1:30" x14ac:dyDescent="0.25">
      <c r="B39" s="33" t="s">
        <v>341</v>
      </c>
      <c r="C39" t="s">
        <v>108</v>
      </c>
      <c r="D39" t="s">
        <v>131</v>
      </c>
      <c r="E39" t="s">
        <v>137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137</v>
      </c>
      <c r="F40">
        <v>800</v>
      </c>
      <c r="H40" s="1">
        <f>ROUND((WACC!$B$2*(1+WACC!$B$2)^$L40)/((1+WACC!$B$2)^$L40-1)*$F40,0)</f>
        <v>57</v>
      </c>
      <c r="I40" t="s">
        <v>153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153</v>
      </c>
    </row>
    <row r="41" spans="1:30" x14ac:dyDescent="0.25">
      <c r="A41" t="str">
        <f>tech_full!B30</f>
        <v>Oil - Combined Cycle CoGen</v>
      </c>
      <c r="B41" s="33" t="s">
        <v>139</v>
      </c>
      <c r="C41" t="s">
        <v>110</v>
      </c>
      <c r="D41" t="s">
        <v>131</v>
      </c>
      <c r="E41" t="s">
        <v>137</v>
      </c>
      <c r="F41">
        <v>842</v>
      </c>
      <c r="H41" s="1">
        <f>ROUND((WACC!$B$2*(1+WACC!$B$2)^$L41)/((1+WACC!$B$2)^$L41-1)*$F41,0)</f>
        <v>60</v>
      </c>
      <c r="I41" t="s">
        <v>153</v>
      </c>
      <c r="J41">
        <v>25000</v>
      </c>
      <c r="K41">
        <v>4</v>
      </c>
      <c r="L41">
        <v>25</v>
      </c>
      <c r="M41">
        <v>0.47</v>
      </c>
      <c r="N41" t="s">
        <v>221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203</v>
      </c>
    </row>
    <row r="42" spans="1:30" x14ac:dyDescent="0.25">
      <c r="A42" t="str">
        <f>tech_full!B36</f>
        <v>Power - Heatpump Compression</v>
      </c>
      <c r="B42" s="35" t="s">
        <v>209</v>
      </c>
      <c r="C42" t="s">
        <v>116</v>
      </c>
      <c r="D42" t="s">
        <v>137</v>
      </c>
      <c r="E42" t="s">
        <v>138</v>
      </c>
      <c r="F42">
        <v>660</v>
      </c>
      <c r="H42" s="1">
        <f>ROUND((WACC!$B$2*(1+WACC!$B$2)^$L42)/((1+WACC!$B$2)^$L42-1)*$F42,0)</f>
        <v>47</v>
      </c>
      <c r="I42" t="s">
        <v>153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153</v>
      </c>
    </row>
    <row r="43" spans="1:30" x14ac:dyDescent="0.25">
      <c r="A43" t="str">
        <f>tech_full!B37</f>
        <v>Power - Heatpump Absorption</v>
      </c>
      <c r="B43" s="35" t="s">
        <v>210</v>
      </c>
      <c r="C43" t="s">
        <v>211</v>
      </c>
      <c r="D43" t="s">
        <v>137</v>
      </c>
      <c r="E43" t="s">
        <v>138</v>
      </c>
      <c r="F43">
        <v>560</v>
      </c>
      <c r="H43" s="1">
        <f>ROUND((WACC!$B$2*(1+WACC!$B$2)^$L43)/((1+WACC!$B$2)^$L43-1)*$F43,0)</f>
        <v>40</v>
      </c>
      <c r="I43" t="s">
        <v>153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153</v>
      </c>
    </row>
    <row r="44" spans="1:30" x14ac:dyDescent="0.25">
      <c r="A44" t="str">
        <f>tech_full!B38</f>
        <v>Power - Electric Boiler</v>
      </c>
      <c r="B44" s="35" t="s">
        <v>212</v>
      </c>
      <c r="C44" t="s">
        <v>213</v>
      </c>
      <c r="D44" t="s">
        <v>137</v>
      </c>
      <c r="E44" t="s">
        <v>138</v>
      </c>
      <c r="F44">
        <v>150</v>
      </c>
      <c r="H44" s="1">
        <f>ROUND((WACC!$B$2*(1+WACC!$B$2)^$L44)/((1+WACC!$B$2)^$L44-1)*$F44,0)</f>
        <v>12</v>
      </c>
      <c r="I44" t="s">
        <v>153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278</v>
      </c>
      <c r="C45" t="s">
        <v>117</v>
      </c>
      <c r="D45" t="s">
        <v>137</v>
      </c>
      <c r="E45" t="s">
        <v>137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153</v>
      </c>
      <c r="V45" s="7" t="s">
        <v>153</v>
      </c>
      <c r="W45" s="7" t="s">
        <v>153</v>
      </c>
      <c r="X45" s="7" t="s">
        <v>153</v>
      </c>
      <c r="Y45" s="7" t="s">
        <v>153</v>
      </c>
      <c r="Z45" s="7" t="s">
        <v>153</v>
      </c>
      <c r="AA45" s="7" t="s">
        <v>153</v>
      </c>
      <c r="AB45" s="7" t="s">
        <v>153</v>
      </c>
      <c r="AC45" s="7" t="s">
        <v>153</v>
      </c>
      <c r="AD45" s="7" t="s">
        <v>153</v>
      </c>
    </row>
    <row r="46" spans="1:30" x14ac:dyDescent="0.25">
      <c r="A46" t="str">
        <f>tech_full!B31</f>
        <v>Hydro - Run-of-River</v>
      </c>
      <c r="B46" s="34" t="s">
        <v>313</v>
      </c>
      <c r="C46" t="s">
        <v>304</v>
      </c>
      <c r="D46" t="s">
        <v>284</v>
      </c>
      <c r="E46" t="s">
        <v>137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153</v>
      </c>
      <c r="J46">
        <v>20000</v>
      </c>
      <c r="K46">
        <v>0</v>
      </c>
      <c r="L46">
        <v>50</v>
      </c>
      <c r="M46">
        <v>0.9</v>
      </c>
      <c r="N46" t="s">
        <v>280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314</v>
      </c>
      <c r="C47" t="s">
        <v>305</v>
      </c>
      <c r="D47" t="s">
        <v>284</v>
      </c>
      <c r="E47" t="s">
        <v>137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153</v>
      </c>
      <c r="J47">
        <v>20000</v>
      </c>
      <c r="K47">
        <v>0</v>
      </c>
      <c r="L47">
        <v>50</v>
      </c>
      <c r="M47">
        <v>0.9</v>
      </c>
      <c r="N47" t="s">
        <v>280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315</v>
      </c>
      <c r="C48" t="s">
        <v>306</v>
      </c>
      <c r="D48" t="s">
        <v>284</v>
      </c>
      <c r="E48" t="s">
        <v>137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153</v>
      </c>
      <c r="J48">
        <v>20000</v>
      </c>
      <c r="K48">
        <v>0</v>
      </c>
      <c r="L48">
        <v>50</v>
      </c>
      <c r="M48">
        <v>0.9</v>
      </c>
      <c r="N48" t="s">
        <v>280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310</v>
      </c>
      <c r="C49" t="s">
        <v>307</v>
      </c>
      <c r="D49" t="s">
        <v>284</v>
      </c>
      <c r="E49" t="s">
        <v>137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153</v>
      </c>
      <c r="J49">
        <v>20000</v>
      </c>
      <c r="K49">
        <v>0</v>
      </c>
      <c r="L49">
        <v>50</v>
      </c>
      <c r="M49">
        <v>0.9</v>
      </c>
      <c r="N49" t="s">
        <v>220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153</v>
      </c>
      <c r="V49" s="7" t="s">
        <v>153</v>
      </c>
      <c r="W49" s="7" t="s">
        <v>153</v>
      </c>
      <c r="X49" s="7" t="s">
        <v>153</v>
      </c>
      <c r="Y49" s="7" t="s">
        <v>153</v>
      </c>
      <c r="Z49" s="7" t="s">
        <v>153</v>
      </c>
      <c r="AA49" s="7" t="s">
        <v>153</v>
      </c>
      <c r="AB49" s="7" t="s">
        <v>153</v>
      </c>
      <c r="AC49" s="7" t="s">
        <v>153</v>
      </c>
      <c r="AD49" s="7" t="s">
        <v>153</v>
      </c>
    </row>
    <row r="50" spans="2:30" x14ac:dyDescent="0.25">
      <c r="B50" s="34" t="s">
        <v>311</v>
      </c>
      <c r="C50" t="s">
        <v>308</v>
      </c>
      <c r="D50" t="s">
        <v>284</v>
      </c>
      <c r="E50" t="s">
        <v>137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153</v>
      </c>
      <c r="J50">
        <v>20000</v>
      </c>
      <c r="K50">
        <v>0</v>
      </c>
      <c r="L50">
        <v>50</v>
      </c>
      <c r="M50">
        <v>0.9</v>
      </c>
      <c r="N50" t="s">
        <v>220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153</v>
      </c>
      <c r="V50" s="7" t="s">
        <v>153</v>
      </c>
      <c r="W50" s="7" t="s">
        <v>153</v>
      </c>
      <c r="X50" s="7" t="s">
        <v>153</v>
      </c>
      <c r="Y50" s="7" t="s">
        <v>153</v>
      </c>
      <c r="Z50" s="7" t="s">
        <v>153</v>
      </c>
      <c r="AA50" s="7" t="s">
        <v>153</v>
      </c>
      <c r="AB50" s="7" t="s">
        <v>153</v>
      </c>
      <c r="AC50" s="7" t="s">
        <v>153</v>
      </c>
      <c r="AD50" s="7" t="s">
        <v>153</v>
      </c>
    </row>
    <row r="51" spans="2:30" x14ac:dyDescent="0.25">
      <c r="B51" s="34" t="s">
        <v>312</v>
      </c>
      <c r="C51" t="s">
        <v>309</v>
      </c>
      <c r="D51" t="s">
        <v>284</v>
      </c>
      <c r="E51" t="s">
        <v>137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153</v>
      </c>
      <c r="J51">
        <v>20000</v>
      </c>
      <c r="K51">
        <v>0</v>
      </c>
      <c r="L51">
        <v>50</v>
      </c>
      <c r="M51">
        <v>0.9</v>
      </c>
      <c r="N51" t="s">
        <v>220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153</v>
      </c>
      <c r="V51" s="7" t="s">
        <v>153</v>
      </c>
      <c r="W51" s="7" t="s">
        <v>153</v>
      </c>
      <c r="X51" s="7" t="s">
        <v>153</v>
      </c>
      <c r="Y51" s="7" t="s">
        <v>153</v>
      </c>
      <c r="Z51" s="7" t="s">
        <v>153</v>
      </c>
      <c r="AA51" s="7" t="s">
        <v>153</v>
      </c>
      <c r="AB51" s="7" t="s">
        <v>153</v>
      </c>
      <c r="AC51" s="7" t="s">
        <v>153</v>
      </c>
      <c r="AD51" s="7" t="s">
        <v>153</v>
      </c>
    </row>
    <row r="52" spans="2:30" x14ac:dyDescent="0.25">
      <c r="B52" s="34" t="s">
        <v>279</v>
      </c>
      <c r="C52" t="s">
        <v>257</v>
      </c>
      <c r="D52" t="s">
        <v>137</v>
      </c>
      <c r="E52" t="s">
        <v>358</v>
      </c>
      <c r="F52">
        <v>2575</v>
      </c>
      <c r="G52" s="1"/>
      <c r="H52" s="1">
        <f>ROUND((WACC!$B$2*(1+WACC!$B$2)^$L52)/((1+WACC!$B$2)^$L52-1)*$F52,0)</f>
        <v>183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f>0.5*0.79</f>
        <v>0.39500000000000002</v>
      </c>
      <c r="N52" t="s">
        <v>281</v>
      </c>
      <c r="O52">
        <v>0</v>
      </c>
      <c r="P52">
        <v>0</v>
      </c>
      <c r="Q52">
        <v>0</v>
      </c>
      <c r="R52">
        <v>0</v>
      </c>
      <c r="S52">
        <f t="shared" si="0"/>
        <v>1</v>
      </c>
      <c r="T52">
        <v>1</v>
      </c>
      <c r="U52" s="7" t="s">
        <v>153</v>
      </c>
      <c r="V52" s="7" t="s">
        <v>153</v>
      </c>
      <c r="W52" s="7" t="s">
        <v>153</v>
      </c>
      <c r="X52" s="7" t="s">
        <v>153</v>
      </c>
      <c r="Y52" s="7" t="s">
        <v>153</v>
      </c>
      <c r="Z52" s="7" t="s">
        <v>153</v>
      </c>
      <c r="AA52" s="7" t="s">
        <v>153</v>
      </c>
      <c r="AB52" s="7" t="s">
        <v>153</v>
      </c>
      <c r="AC52" s="7" t="s">
        <v>153</v>
      </c>
      <c r="AD52" s="7" t="s">
        <v>153</v>
      </c>
    </row>
    <row r="53" spans="2:30" x14ac:dyDescent="0.25">
      <c r="B53" s="43" t="s">
        <v>327</v>
      </c>
      <c r="C53" t="s">
        <v>328</v>
      </c>
      <c r="D53" t="s">
        <v>137</v>
      </c>
      <c r="E53" t="s">
        <v>137</v>
      </c>
      <c r="F53" s="42">
        <f>ROUND(455/0.9,0)</f>
        <v>506</v>
      </c>
      <c r="G53" s="1"/>
      <c r="H53" s="1">
        <f>ROUND((WACC!$B$2*(1+WACC!$B$2)^$L53)/((1+WACC!$B$2)^$L53-1)*$F53,0)</f>
        <v>29</v>
      </c>
      <c r="I53" s="1" t="s">
        <v>153</v>
      </c>
      <c r="J53" s="1">
        <v>9</v>
      </c>
      <c r="K53" s="1">
        <v>0</v>
      </c>
      <c r="L53" s="1">
        <v>40</v>
      </c>
      <c r="M53" s="1">
        <v>0</v>
      </c>
      <c r="N53" t="s">
        <v>335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153</v>
      </c>
      <c r="V53" s="7" t="s">
        <v>153</v>
      </c>
      <c r="W53" s="7" t="s">
        <v>153</v>
      </c>
      <c r="X53" s="7" t="s">
        <v>153</v>
      </c>
      <c r="Y53" s="7" t="s">
        <v>153</v>
      </c>
      <c r="Z53" s="7" t="s">
        <v>153</v>
      </c>
      <c r="AA53" s="7" t="s">
        <v>153</v>
      </c>
      <c r="AB53" s="7" t="s">
        <v>153</v>
      </c>
      <c r="AC53" s="7" t="s">
        <v>153</v>
      </c>
      <c r="AD53" s="7" t="s">
        <v>153</v>
      </c>
    </row>
    <row r="54" spans="2:30" x14ac:dyDescent="0.25">
      <c r="B54" s="34" t="s">
        <v>359</v>
      </c>
      <c r="C54" t="s">
        <v>360</v>
      </c>
      <c r="D54" t="s">
        <v>358</v>
      </c>
      <c r="E54" t="s">
        <v>361</v>
      </c>
      <c r="F54">
        <v>1000</v>
      </c>
      <c r="H54" s="1">
        <f>ROUND((WACC!$B$2*(1+WACC!$B$2)^$L54)/((1+WACC!$B$2)^$L54-1)*$F54,0)</f>
        <v>71</v>
      </c>
      <c r="I54" t="s">
        <v>153</v>
      </c>
      <c r="J54">
        <v>20000</v>
      </c>
      <c r="K54">
        <v>1</v>
      </c>
      <c r="L54">
        <v>25</v>
      </c>
      <c r="M54">
        <v>0.7</v>
      </c>
      <c r="O54">
        <v>0</v>
      </c>
      <c r="P54">
        <v>0</v>
      </c>
      <c r="Q54">
        <v>0</v>
      </c>
      <c r="R54">
        <v>0</v>
      </c>
      <c r="S54">
        <f t="shared" si="0"/>
        <v>1</v>
      </c>
      <c r="T54">
        <v>1</v>
      </c>
      <c r="U54" s="7" t="s">
        <v>153</v>
      </c>
      <c r="V54" s="7" t="s">
        <v>153</v>
      </c>
      <c r="W54" s="7" t="s">
        <v>153</v>
      </c>
      <c r="X54" s="7" t="s">
        <v>153</v>
      </c>
      <c r="Y54" s="7" t="s">
        <v>153</v>
      </c>
      <c r="Z54" s="7" t="s">
        <v>153</v>
      </c>
      <c r="AA54" s="7" t="s">
        <v>153</v>
      </c>
      <c r="AB54" s="7" t="s">
        <v>153</v>
      </c>
      <c r="AC54" s="7" t="s">
        <v>153</v>
      </c>
      <c r="AD54" s="7" t="s">
        <v>153</v>
      </c>
    </row>
    <row r="55" spans="2:30" x14ac:dyDescent="0.25">
      <c r="B55" s="34" t="s">
        <v>362</v>
      </c>
      <c r="C55" t="s">
        <v>364</v>
      </c>
      <c r="D55" t="s">
        <v>358</v>
      </c>
      <c r="E55" t="s">
        <v>358</v>
      </c>
      <c r="F55">
        <v>800</v>
      </c>
      <c r="G55">
        <v>2</v>
      </c>
      <c r="H55" s="1">
        <f>ROUND((WACC!$B$2*(1+WACC!$B$2)^$L55)/((1+WACC!$B$2)^$L55-1)*$F55,0)</f>
        <v>57</v>
      </c>
      <c r="I55" s="1">
        <f>ROUND((WACC!$B$2*(1+WACC!$B$2)^$L55)/((1+WACC!$B$2)^$L55-1)*$G55,0)</f>
        <v>0</v>
      </c>
      <c r="J55">
        <v>10000</v>
      </c>
      <c r="K55">
        <v>0</v>
      </c>
      <c r="L55">
        <v>25</v>
      </c>
      <c r="M55">
        <v>0.95</v>
      </c>
      <c r="O55">
        <v>0</v>
      </c>
      <c r="P55">
        <v>0</v>
      </c>
      <c r="Q55">
        <v>1</v>
      </c>
      <c r="R55">
        <v>0</v>
      </c>
      <c r="S55">
        <f t="shared" si="0"/>
        <v>0</v>
      </c>
      <c r="T55">
        <v>1</v>
      </c>
      <c r="U55" s="7" t="s">
        <v>153</v>
      </c>
      <c r="V55" s="7" t="s">
        <v>153</v>
      </c>
      <c r="W55" s="7" t="s">
        <v>153</v>
      </c>
      <c r="X55" s="7" t="s">
        <v>153</v>
      </c>
      <c r="Y55" s="7" t="s">
        <v>153</v>
      </c>
      <c r="Z55" s="7" t="s">
        <v>153</v>
      </c>
      <c r="AA55" s="7" t="s">
        <v>153</v>
      </c>
      <c r="AB55" s="7" t="s">
        <v>153</v>
      </c>
      <c r="AC55" s="7" t="s">
        <v>153</v>
      </c>
      <c r="AD55" s="7" t="s">
        <v>153</v>
      </c>
    </row>
    <row r="56" spans="2:30" x14ac:dyDescent="0.25">
      <c r="B56" s="34" t="s">
        <v>363</v>
      </c>
      <c r="C56" t="s">
        <v>365</v>
      </c>
      <c r="D56" t="s">
        <v>361</v>
      </c>
      <c r="E56" t="s">
        <v>361</v>
      </c>
      <c r="F56">
        <v>800</v>
      </c>
      <c r="G56">
        <v>1.5</v>
      </c>
      <c r="H56" s="1">
        <f>ROUND((WACC!$B$2*(1+WACC!$B$2)^$L56)/((1+WACC!$B$2)^$L56-1)*$F56,0)</f>
        <v>57</v>
      </c>
      <c r="I56" s="1">
        <f>ROUND((WACC!$B$2*(1+WACC!$B$2)^$L56)/((1+WACC!$B$2)^$L56-1)*$G56,0)</f>
        <v>0</v>
      </c>
      <c r="J56">
        <v>10000</v>
      </c>
      <c r="K56">
        <v>0</v>
      </c>
      <c r="L56">
        <v>25</v>
      </c>
      <c r="M56">
        <v>0.95</v>
      </c>
      <c r="O56">
        <v>0</v>
      </c>
      <c r="P56">
        <v>0</v>
      </c>
      <c r="Q56">
        <v>1</v>
      </c>
      <c r="R56">
        <v>0</v>
      </c>
      <c r="S56">
        <f t="shared" si="0"/>
        <v>0</v>
      </c>
      <c r="T56">
        <v>1</v>
      </c>
      <c r="U56" s="7" t="s">
        <v>153</v>
      </c>
      <c r="V56" s="7" t="s">
        <v>153</v>
      </c>
      <c r="W56" s="7" t="s">
        <v>153</v>
      </c>
      <c r="X56" s="7" t="s">
        <v>153</v>
      </c>
      <c r="Y56" s="7" t="s">
        <v>153</v>
      </c>
      <c r="Z56" s="7" t="s">
        <v>153</v>
      </c>
      <c r="AA56" s="7" t="s">
        <v>153</v>
      </c>
      <c r="AB56" s="7" t="s">
        <v>153</v>
      </c>
      <c r="AC56" s="7" t="s">
        <v>153</v>
      </c>
      <c r="AD56" s="7" t="s">
        <v>153</v>
      </c>
    </row>
    <row r="57" spans="2:30" x14ac:dyDescent="0.25">
      <c r="B57" s="34" t="s">
        <v>366</v>
      </c>
      <c r="C57" t="s">
        <v>367</v>
      </c>
      <c r="D57" t="s">
        <v>138</v>
      </c>
      <c r="E57" t="s">
        <v>138</v>
      </c>
      <c r="F57">
        <v>500</v>
      </c>
      <c r="G57">
        <v>0.5</v>
      </c>
      <c r="H57" s="1">
        <f>ROUND((WACC!$B$2*(1+WACC!$B$2)^$L57)/((1+WACC!$B$2)^$L57-1)*$F57,0)</f>
        <v>33</v>
      </c>
      <c r="I57" s="1">
        <f>ROUND((WACC!$B$2*(1+WACC!$B$2)^$L57)/((1+WACC!$B$2)^$L57-1)*$G57,0)</f>
        <v>0</v>
      </c>
      <c r="J57">
        <v>5000</v>
      </c>
      <c r="K57">
        <v>0</v>
      </c>
      <c r="L57">
        <v>30</v>
      </c>
      <c r="M57">
        <v>0.85</v>
      </c>
      <c r="O57">
        <v>0</v>
      </c>
      <c r="P57">
        <v>0</v>
      </c>
      <c r="Q57">
        <v>1</v>
      </c>
      <c r="R57">
        <v>0</v>
      </c>
      <c r="S57">
        <f t="shared" si="0"/>
        <v>0</v>
      </c>
      <c r="U57" s="7" t="s">
        <v>153</v>
      </c>
      <c r="V57" s="7" t="s">
        <v>153</v>
      </c>
      <c r="W57" s="7" t="s">
        <v>153</v>
      </c>
      <c r="X57" s="7" t="s">
        <v>153</v>
      </c>
      <c r="Y57" s="7" t="s">
        <v>153</v>
      </c>
      <c r="Z57" s="7" t="s">
        <v>153</v>
      </c>
      <c r="AA57" s="7" t="s">
        <v>153</v>
      </c>
      <c r="AB57" s="7" t="s">
        <v>153</v>
      </c>
      <c r="AC57" s="7" t="s">
        <v>153</v>
      </c>
      <c r="AD57" s="7" t="s">
        <v>153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E36" activePane="bottomRight" state="frozen"/>
      <selection pane="topRight" activeCell="E1" sqref="E1"/>
      <selection pane="bottomLeft" activeCell="A3" sqref="A3"/>
      <selection pane="bottomRight" activeCell="O20" sqref="O20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174</v>
      </c>
      <c r="E1" s="14" t="s">
        <v>175</v>
      </c>
      <c r="F1" s="14" t="s">
        <v>176</v>
      </c>
      <c r="G1" s="52" t="s">
        <v>177</v>
      </c>
      <c r="H1" s="14" t="s">
        <v>178</v>
      </c>
      <c r="I1" s="14" t="s">
        <v>179</v>
      </c>
      <c r="J1" s="52" t="s">
        <v>180</v>
      </c>
      <c r="K1" s="14" t="s">
        <v>181</v>
      </c>
      <c r="L1" s="14" t="s">
        <v>182</v>
      </c>
      <c r="M1" s="14" t="s">
        <v>183</v>
      </c>
      <c r="N1" s="14" t="s">
        <v>184</v>
      </c>
      <c r="O1" s="52" t="s">
        <v>185</v>
      </c>
      <c r="P1" s="14" t="s">
        <v>186</v>
      </c>
      <c r="Q1" s="14" t="s">
        <v>187</v>
      </c>
      <c r="R1" s="14" t="s">
        <v>214</v>
      </c>
      <c r="S1" s="14" t="s">
        <v>188</v>
      </c>
      <c r="T1" s="14" t="s">
        <v>189</v>
      </c>
      <c r="U1" s="14" t="s">
        <v>190</v>
      </c>
      <c r="V1" s="14" t="s">
        <v>191</v>
      </c>
      <c r="W1" s="14" t="s">
        <v>187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192</v>
      </c>
      <c r="F2" t="s">
        <v>193</v>
      </c>
      <c r="G2" s="47" t="s">
        <v>194</v>
      </c>
      <c r="H2" t="s">
        <v>195</v>
      </c>
      <c r="I2" t="s">
        <v>196</v>
      </c>
      <c r="J2" s="47" t="s">
        <v>197</v>
      </c>
      <c r="K2" t="s">
        <v>198</v>
      </c>
      <c r="L2" t="s">
        <v>199</v>
      </c>
      <c r="O2" s="47"/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153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 s="29">
        <v>1</v>
      </c>
      <c r="F5" s="29">
        <v>0.35199999999999998</v>
      </c>
      <c r="G5" s="47">
        <v>0.15</v>
      </c>
      <c r="H5" s="29">
        <f>L5/J5</f>
        <v>0.52500000000000002</v>
      </c>
      <c r="I5" s="49">
        <f>J5*O5</f>
        <v>1.3333333333333333</v>
      </c>
      <c r="J5" s="45">
        <v>1.4814814814814814</v>
      </c>
      <c r="K5" s="49">
        <f>E5-G5*I5</f>
        <v>0.8</v>
      </c>
      <c r="L5" s="49">
        <f>E5-G5*J5</f>
        <v>0.77777777777777779</v>
      </c>
      <c r="M5" s="50">
        <f>(E5+G5*I5)/F5</f>
        <v>3.4090909090909092</v>
      </c>
      <c r="N5" s="51">
        <f>$F5*(1+((1-$G5)/($H5+$G5))*($I5/$J5))</f>
        <v>0.75093333333333323</v>
      </c>
      <c r="O5" s="48">
        <v>0.9</v>
      </c>
      <c r="P5">
        <v>0</v>
      </c>
      <c r="Q5" t="s">
        <v>200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153</v>
      </c>
      <c r="H6" t="s">
        <v>153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 s="47">
        <v>0.15</v>
      </c>
      <c r="H7" s="29">
        <f>L7/J7</f>
        <v>0.66000000000000014</v>
      </c>
      <c r="I7" s="26">
        <f>J7*O7</f>
        <v>1.1111111111111112</v>
      </c>
      <c r="J7" s="45">
        <v>1.2345679012345678</v>
      </c>
      <c r="K7" s="26">
        <f>E7-G7*I7</f>
        <v>0.83333333333333337</v>
      </c>
      <c r="L7" s="26">
        <f>E7-G7*J7</f>
        <v>0.81481481481481488</v>
      </c>
      <c r="M7" s="27">
        <f>(E7+G7*I7)/F7</f>
        <v>2.6575550493545941</v>
      </c>
      <c r="N7" s="9">
        <f>$F7*(1+((1-$G7)/($H7+$G7))*($I7/$J7))</f>
        <v>0.8536111111111111</v>
      </c>
      <c r="O7" s="48">
        <v>0.9</v>
      </c>
      <c r="P7" s="15">
        <v>1</v>
      </c>
      <c r="Q7" s="15" t="s">
        <v>201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202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218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 s="47">
        <v>0.15</v>
      </c>
      <c r="H9" s="29">
        <f>L9/J9</f>
        <v>0.37631578947368427</v>
      </c>
      <c r="I9" s="26">
        <f>J9*O9</f>
        <v>1.71</v>
      </c>
      <c r="J9" s="45">
        <v>1.9</v>
      </c>
      <c r="K9" s="26">
        <f>E9-G9*I9</f>
        <v>0.74350000000000005</v>
      </c>
      <c r="L9" s="26">
        <f>E9-G9*J9</f>
        <v>0.71500000000000008</v>
      </c>
      <c r="M9" s="27">
        <f>(E9+G9*I9)/F9</f>
        <v>3.3506666666666667</v>
      </c>
      <c r="N9" s="9">
        <f>$F9*(1+((1-$G9)/($H9+$G9))*($I9/$J9))</f>
        <v>0.92006250000000001</v>
      </c>
      <c r="O9" s="48">
        <v>0.9</v>
      </c>
      <c r="P9">
        <v>0</v>
      </c>
      <c r="Q9" t="s">
        <v>200</v>
      </c>
      <c r="S9">
        <f>ROUND(S8/0.95,0)</f>
        <v>1263</v>
      </c>
      <c r="T9">
        <v>6</v>
      </c>
      <c r="U9">
        <v>30000</v>
      </c>
      <c r="V9" s="29">
        <v>40</v>
      </c>
      <c r="W9" t="s">
        <v>218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218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 s="47">
        <v>0.15</v>
      </c>
      <c r="H11">
        <f>L11/J11</f>
        <v>0.43823529411764706</v>
      </c>
      <c r="I11" s="27">
        <f>J11*O11</f>
        <v>1.53</v>
      </c>
      <c r="J11" s="46">
        <v>1.7</v>
      </c>
      <c r="K11" s="27">
        <f>E11-G11*I11</f>
        <v>0.77049999999999996</v>
      </c>
      <c r="L11" s="27">
        <f>E11-G11*J11</f>
        <v>0.745</v>
      </c>
      <c r="M11" s="27">
        <f>(E11+G11*I11)/F11</f>
        <v>2.8929411764705883</v>
      </c>
      <c r="N11" s="9">
        <f>$F11*(1+((1-$G11)/($H11+$G11))*($I11/$J11))</f>
        <v>0.97771249999999998</v>
      </c>
      <c r="O11" s="48">
        <v>0.9</v>
      </c>
      <c r="P11" s="15">
        <v>1</v>
      </c>
      <c r="Q11" t="s">
        <v>200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218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218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 s="47">
        <v>0.15</v>
      </c>
      <c r="H13" s="29">
        <f>L13/J13</f>
        <v>0.68333333333333346</v>
      </c>
      <c r="I13" s="27">
        <f>J13*O13</f>
        <v>1.08</v>
      </c>
      <c r="J13" s="46">
        <v>1.2</v>
      </c>
      <c r="K13" s="27">
        <f>E13-G13*I13</f>
        <v>0.83799999999999997</v>
      </c>
      <c r="L13" s="27">
        <f>E13-G13*J13</f>
        <v>0.82000000000000006</v>
      </c>
      <c r="M13" s="27">
        <f>(E13+G13*I13)/F13</f>
        <v>2.3958762886597937</v>
      </c>
      <c r="N13" s="9">
        <f>$F13*(1+((1-$G13)/($H13+$G13))*($I13/$J13))</f>
        <v>0.93022999999999989</v>
      </c>
      <c r="O13" s="48">
        <v>0.9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 s="47">
        <v>0.15</v>
      </c>
      <c r="H16" s="29">
        <f>L16/J16</f>
        <v>0.55000000000000016</v>
      </c>
      <c r="I16" s="26">
        <f>J16*O16</f>
        <v>1.2857142857142856</v>
      </c>
      <c r="J16" s="45">
        <v>1.4285714285714284</v>
      </c>
      <c r="K16" s="26">
        <f>E16-G16*I16</f>
        <v>0.80714285714285716</v>
      </c>
      <c r="L16" s="26">
        <f>E16-G16*J16</f>
        <v>0.78571428571428581</v>
      </c>
      <c r="M16" s="27">
        <f>(E16+G16*I16)/F16</f>
        <v>2.930852930852931</v>
      </c>
      <c r="N16" s="9">
        <f>$F16*(1+((1-$G16)/($H16+$G16))*($I16/$J16))</f>
        <v>0.85179285714285691</v>
      </c>
      <c r="O16" s="48">
        <v>0.9</v>
      </c>
      <c r="Q16" t="s">
        <v>203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204</v>
      </c>
      <c r="C17" t="s">
        <v>94</v>
      </c>
      <c r="D17">
        <v>1980</v>
      </c>
      <c r="E17">
        <v>1</v>
      </c>
      <c r="F17">
        <v>0.32800000000000001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205</v>
      </c>
      <c r="C18" t="s">
        <v>96</v>
      </c>
      <c r="D18">
        <v>2020</v>
      </c>
      <c r="E18">
        <v>1</v>
      </c>
      <c r="F18">
        <v>0.42</v>
      </c>
      <c r="G18" t="s">
        <v>153</v>
      </c>
      <c r="H18" t="s">
        <v>153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220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 s="47">
        <v>0.15</v>
      </c>
      <c r="H20" s="29">
        <f>L20/J20</f>
        <v>0.96111111111111103</v>
      </c>
      <c r="I20" s="27">
        <f>J20*O20</f>
        <v>0.81</v>
      </c>
      <c r="J20" s="46">
        <v>0.9</v>
      </c>
      <c r="K20" s="27">
        <f>E20-G20*I20</f>
        <v>0.87850000000000006</v>
      </c>
      <c r="L20" s="27">
        <f>E20-G20*J20</f>
        <v>0.86499999999999999</v>
      </c>
      <c r="M20" s="27">
        <f>(E20+G20*I20)/F20</f>
        <v>2.0026785714285711</v>
      </c>
      <c r="N20" s="9">
        <f>$F20*(1+((1-$G20)/($H20+$G20))*($I20/$J20))</f>
        <v>0.94556000000000018</v>
      </c>
      <c r="O20" s="48">
        <v>0.9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219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 s="47">
        <v>0.15</v>
      </c>
      <c r="H22" s="29">
        <f>L22/J22</f>
        <v>1.2785714285714287</v>
      </c>
      <c r="I22" s="27">
        <f t="shared" ref="I22" si="0">J22*O22</f>
        <v>0.63</v>
      </c>
      <c r="J22" s="46">
        <v>0.7</v>
      </c>
      <c r="K22" s="27">
        <f t="shared" ref="K22" si="1">E22-G22*I22</f>
        <v>0.90549999999999997</v>
      </c>
      <c r="L22" s="27">
        <f t="shared" ref="L22" si="2">E22-G22*J22</f>
        <v>0.89500000000000002</v>
      </c>
      <c r="M22" s="27">
        <f t="shared" ref="M22" si="3">(E22+G22*I22)/F22</f>
        <v>1.7942622950819673</v>
      </c>
      <c r="N22" s="9">
        <f>$F22*(1+((1-$G22)/($H22+$G22))*($I22/$J22))</f>
        <v>0.9366549999999999</v>
      </c>
      <c r="O22" s="48">
        <v>0.9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 s="47">
        <v>0</v>
      </c>
      <c r="H24" s="29">
        <f>L24/J24</f>
        <v>0.95000000000000007</v>
      </c>
      <c r="I24" s="27">
        <f>J24*O24</f>
        <v>0.94736842105263153</v>
      </c>
      <c r="J24" s="46"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0.91526315789473667</v>
      </c>
      <c r="O24" s="48">
        <v>0.9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206</v>
      </c>
      <c r="C25" t="s">
        <v>104</v>
      </c>
      <c r="D25">
        <v>2020</v>
      </c>
      <c r="E25">
        <v>1</v>
      </c>
      <c r="F25">
        <v>0.95</v>
      </c>
      <c r="G25" t="s">
        <v>153</v>
      </c>
      <c r="H25" t="s">
        <v>153</v>
      </c>
      <c r="I25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 s="47">
        <v>0.17499999999999999</v>
      </c>
      <c r="H27" s="29">
        <f>L27/J27</f>
        <v>0.50067567567567572</v>
      </c>
      <c r="I27" s="26">
        <f>J27*O27</f>
        <v>1.3320000000000001</v>
      </c>
      <c r="J27" s="45">
        <v>1.48</v>
      </c>
      <c r="K27" s="26">
        <f>E27-G27*I27</f>
        <v>0.76690000000000003</v>
      </c>
      <c r="L27" s="26">
        <f>E27-G27*J27</f>
        <v>0.74099999999999999</v>
      </c>
      <c r="M27" s="27">
        <f>(E27+G27*I27)/F27</f>
        <v>3.1138888888888889</v>
      </c>
      <c r="N27" s="9">
        <f>$F27*(1+((1-$G27)/($H27+$G27))*($I27/$J27))</f>
        <v>0.83116440000000003</v>
      </c>
      <c r="O27" s="48">
        <v>0.9</v>
      </c>
      <c r="Q27" t="s">
        <v>203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207</v>
      </c>
      <c r="C28" t="s">
        <v>107</v>
      </c>
      <c r="D28">
        <v>2020</v>
      </c>
      <c r="E28">
        <v>1</v>
      </c>
      <c r="F28">
        <v>0.41</v>
      </c>
      <c r="G28" t="s">
        <v>153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153</v>
      </c>
      <c r="H29" t="s">
        <v>153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139</v>
      </c>
      <c r="C30" t="s">
        <v>110</v>
      </c>
      <c r="D30">
        <v>2020</v>
      </c>
      <c r="E30">
        <v>1</v>
      </c>
      <c r="F30">
        <v>0.47</v>
      </c>
      <c r="G30" s="47">
        <v>0.187</v>
      </c>
      <c r="H30" s="29">
        <f>L30/J30</f>
        <v>0.5324244604316547</v>
      </c>
      <c r="I30" s="26">
        <f>J30*O30</f>
        <v>1.2509999999999999</v>
      </c>
      <c r="J30" s="45">
        <v>1.39</v>
      </c>
      <c r="K30" s="26">
        <f>E30-G30*I30</f>
        <v>0.76606300000000005</v>
      </c>
      <c r="L30" s="26">
        <f>E30-G30*J30</f>
        <v>0.74007000000000001</v>
      </c>
      <c r="M30" s="27">
        <f>(E30+G30*I30)/F30</f>
        <v>2.6253978723404257</v>
      </c>
      <c r="N30" s="9">
        <f>$F30*(1+((1-$G30)/($H30+$G30))*($I30/$J30))</f>
        <v>0.94801961000000012</v>
      </c>
      <c r="O30" s="48">
        <v>0.9</v>
      </c>
      <c r="Q30" t="s">
        <v>203</v>
      </c>
      <c r="S30">
        <f>ROUND(S29/0.95,0)</f>
        <v>842</v>
      </c>
      <c r="T30">
        <v>4</v>
      </c>
      <c r="U30">
        <v>25000</v>
      </c>
      <c r="V30">
        <v>25</v>
      </c>
      <c r="W30" t="s">
        <v>221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153</v>
      </c>
      <c r="G31" t="s">
        <v>153</v>
      </c>
      <c r="H31" t="s">
        <v>153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S31">
        <v>3000</v>
      </c>
      <c r="T31">
        <v>0</v>
      </c>
      <c r="U31">
        <v>60000</v>
      </c>
      <c r="V31">
        <v>60</v>
      </c>
      <c r="W31" t="s">
        <v>220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208</v>
      </c>
      <c r="C32" t="s">
        <v>112</v>
      </c>
      <c r="E32">
        <v>1</v>
      </c>
      <c r="F32" t="s">
        <v>153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S32">
        <v>2000</v>
      </c>
      <c r="T32">
        <v>0</v>
      </c>
      <c r="U32">
        <v>20000</v>
      </c>
      <c r="V32">
        <v>60</v>
      </c>
      <c r="W32" t="s">
        <v>220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S33">
        <v>2000</v>
      </c>
      <c r="T33">
        <v>0</v>
      </c>
      <c r="U33">
        <v>20000</v>
      </c>
      <c r="V33">
        <v>60</v>
      </c>
      <c r="W33" t="s">
        <v>220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153</v>
      </c>
      <c r="H34" t="s">
        <v>153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 s="29">
        <v>1</v>
      </c>
      <c r="F35">
        <v>0.29599999999999999</v>
      </c>
      <c r="G35" s="47">
        <v>0.35</v>
      </c>
      <c r="H35" s="29">
        <f>L35/J35</f>
        <v>0.29516129032258065</v>
      </c>
      <c r="I35" s="26">
        <f t="shared" ref="I35" si="4">J35*O35</f>
        <v>1.395</v>
      </c>
      <c r="J35" s="45">
        <v>1.55</v>
      </c>
      <c r="K35" s="26">
        <f t="shared" ref="K35" si="5">E35-G35*I35</f>
        <v>0.51175000000000004</v>
      </c>
      <c r="L35" s="26">
        <f t="shared" ref="L35" si="6">E35-G35*J35</f>
        <v>0.45750000000000002</v>
      </c>
      <c r="M35" s="26">
        <f t="shared" ref="M35" si="7">(E35+G35*I35)/F35</f>
        <v>5.027871621621621</v>
      </c>
      <c r="N35" s="9">
        <f>$F35*(1+((1-$G35)/($H35+$G35))*($I35/$J35))</f>
        <v>0.56439800000000007</v>
      </c>
      <c r="O35" s="48">
        <v>0.9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209</v>
      </c>
      <c r="C36" t="s">
        <v>116</v>
      </c>
      <c r="D36">
        <v>2020</v>
      </c>
      <c r="E36">
        <v>1</v>
      </c>
      <c r="F36">
        <v>3.6</v>
      </c>
      <c r="G36" t="s">
        <v>153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210</v>
      </c>
      <c r="C37" t="s">
        <v>211</v>
      </c>
      <c r="D37">
        <v>2020</v>
      </c>
      <c r="E37">
        <v>1</v>
      </c>
      <c r="F37">
        <v>1.71</v>
      </c>
      <c r="G37" t="s">
        <v>153</v>
      </c>
      <c r="H37" t="s">
        <v>153</v>
      </c>
      <c r="I37" s="27" t="s">
        <v>153</v>
      </c>
      <c r="J37" s="27" t="s">
        <v>153</v>
      </c>
      <c r="K37" s="27" t="s">
        <v>153</v>
      </c>
      <c r="L37" s="27" t="s">
        <v>153</v>
      </c>
      <c r="M37" s="27" t="s">
        <v>153</v>
      </c>
      <c r="N37" s="9" t="s">
        <v>153</v>
      </c>
      <c r="O37" t="s">
        <v>153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212</v>
      </c>
      <c r="C38" t="s">
        <v>213</v>
      </c>
      <c r="D38">
        <v>2020</v>
      </c>
      <c r="E38">
        <v>1</v>
      </c>
      <c r="F38">
        <v>0.99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F57"/>
  <sheetViews>
    <sheetView workbookViewId="0">
      <selection activeCell="D40" sqref="D40"/>
    </sheetView>
  </sheetViews>
  <sheetFormatPr baseColWidth="10" defaultRowHeight="15" x14ac:dyDescent="0.25"/>
  <cols>
    <col min="1" max="1" width="12.42578125" style="3" customWidth="1"/>
    <col min="2" max="3" width="11.42578125" style="3" customWidth="1"/>
  </cols>
  <sheetData>
    <row r="1" spans="1:6" s="3" customFormat="1" x14ac:dyDescent="0.25">
      <c r="A1" s="13" t="s">
        <v>317</v>
      </c>
      <c r="B1" s="13" t="s">
        <v>57</v>
      </c>
      <c r="C1" s="13" t="s">
        <v>318</v>
      </c>
      <c r="D1" s="13" t="s">
        <v>137</v>
      </c>
      <c r="E1" s="13" t="s">
        <v>138</v>
      </c>
      <c r="F1" s="13" t="s">
        <v>58</v>
      </c>
    </row>
    <row r="2" spans="1:6" x14ac:dyDescent="0.25">
      <c r="A2" t="s">
        <v>82</v>
      </c>
      <c r="B2" s="3" t="s">
        <v>59</v>
      </c>
      <c r="C2" s="3" t="s">
        <v>128</v>
      </c>
      <c r="D2">
        <f>tech_full!E5</f>
        <v>1</v>
      </c>
      <c r="E2">
        <v>0</v>
      </c>
      <c r="F2">
        <f>D2+tech_full!$G5*E2</f>
        <v>1</v>
      </c>
    </row>
    <row r="3" spans="1:6" x14ac:dyDescent="0.25">
      <c r="A3" t="s">
        <v>82</v>
      </c>
      <c r="B3" s="3" t="s">
        <v>60</v>
      </c>
      <c r="C3" s="3" t="s">
        <v>128</v>
      </c>
      <c r="D3" s="26">
        <f>tech_full!K5</f>
        <v>0.8</v>
      </c>
      <c r="E3" s="26">
        <f>tech_full!I5</f>
        <v>1.3333333333333333</v>
      </c>
      <c r="F3">
        <f>D3+tech_full!$G5*E3</f>
        <v>1</v>
      </c>
    </row>
    <row r="4" spans="1:6" x14ac:dyDescent="0.25">
      <c r="A4" t="s">
        <v>82</v>
      </c>
      <c r="B4" s="3" t="s">
        <v>61</v>
      </c>
      <c r="C4" s="3" t="s">
        <v>128</v>
      </c>
      <c r="D4">
        <f>tech_full!H5*tech_full!I5</f>
        <v>0.7</v>
      </c>
      <c r="E4" s="26">
        <f>tech_full!I5</f>
        <v>1.3333333333333333</v>
      </c>
      <c r="F4">
        <f>D4+tech_full!$G5*E4</f>
        <v>0.89999999999999991</v>
      </c>
    </row>
    <row r="5" spans="1:6" x14ac:dyDescent="0.25">
      <c r="A5" t="s">
        <v>82</v>
      </c>
      <c r="B5" s="3" t="s">
        <v>62</v>
      </c>
      <c r="C5" s="3" t="s">
        <v>128</v>
      </c>
      <c r="D5">
        <v>0</v>
      </c>
      <c r="E5">
        <v>0</v>
      </c>
      <c r="F5">
        <v>0</v>
      </c>
    </row>
    <row r="6" spans="1:6" x14ac:dyDescent="0.25">
      <c r="A6" t="s">
        <v>84</v>
      </c>
      <c r="B6" s="3" t="s">
        <v>59</v>
      </c>
      <c r="C6" s="3" t="s">
        <v>128</v>
      </c>
      <c r="D6">
        <f>tech_full!E7</f>
        <v>1</v>
      </c>
      <c r="E6">
        <v>0</v>
      </c>
      <c r="F6">
        <f>D6+tech_full!$G7*E6</f>
        <v>1</v>
      </c>
    </row>
    <row r="7" spans="1:6" x14ac:dyDescent="0.25">
      <c r="A7" t="s">
        <v>84</v>
      </c>
      <c r="B7" s="3" t="s">
        <v>60</v>
      </c>
      <c r="C7" s="3" t="s">
        <v>128</v>
      </c>
      <c r="D7" s="26">
        <f>tech_full!K7</f>
        <v>0.83333333333333337</v>
      </c>
      <c r="E7" s="26">
        <f>tech_full!I7</f>
        <v>1.1111111111111112</v>
      </c>
      <c r="F7">
        <f>D7+tech_full!$G7*E7</f>
        <v>1</v>
      </c>
    </row>
    <row r="8" spans="1:6" x14ac:dyDescent="0.25">
      <c r="A8" t="s">
        <v>84</v>
      </c>
      <c r="B8" s="3" t="s">
        <v>61</v>
      </c>
      <c r="C8" s="3" t="s">
        <v>128</v>
      </c>
      <c r="D8">
        <f>tech_full!H7*tech_full!I7</f>
        <v>0.7333333333333335</v>
      </c>
      <c r="E8" s="26">
        <f>tech_full!I7</f>
        <v>1.1111111111111112</v>
      </c>
      <c r="F8">
        <f>D8+tech_full!$G7*E8</f>
        <v>0.90000000000000013</v>
      </c>
    </row>
    <row r="9" spans="1:6" x14ac:dyDescent="0.25">
      <c r="A9" t="s">
        <v>84</v>
      </c>
      <c r="B9" s="3" t="s">
        <v>62</v>
      </c>
      <c r="C9" s="3" t="s">
        <v>128</v>
      </c>
      <c r="D9">
        <v>0</v>
      </c>
      <c r="E9">
        <v>0</v>
      </c>
      <c r="F9">
        <v>0</v>
      </c>
    </row>
    <row r="10" spans="1:6" x14ac:dyDescent="0.25">
      <c r="A10" t="s">
        <v>86</v>
      </c>
      <c r="B10" s="3" t="s">
        <v>59</v>
      </c>
      <c r="C10" s="3" t="s">
        <v>129</v>
      </c>
      <c r="D10">
        <f>tech_full!E9</f>
        <v>1</v>
      </c>
      <c r="E10">
        <v>0</v>
      </c>
      <c r="F10">
        <f>D10+tech_full!$G9*E10</f>
        <v>1</v>
      </c>
    </row>
    <row r="11" spans="1:6" x14ac:dyDescent="0.25">
      <c r="A11" t="s">
        <v>86</v>
      </c>
      <c r="B11" s="3" t="s">
        <v>60</v>
      </c>
      <c r="C11" s="3" t="s">
        <v>129</v>
      </c>
      <c r="D11" s="26">
        <f>tech_full!K9</f>
        <v>0.74350000000000005</v>
      </c>
      <c r="E11" s="26">
        <f>tech_full!I9</f>
        <v>1.71</v>
      </c>
      <c r="F11">
        <f>D11+tech_full!$G9*E11</f>
        <v>1</v>
      </c>
    </row>
    <row r="12" spans="1:6" x14ac:dyDescent="0.25">
      <c r="A12" t="s">
        <v>86</v>
      </c>
      <c r="B12" s="3" t="s">
        <v>61</v>
      </c>
      <c r="C12" s="3" t="s">
        <v>129</v>
      </c>
      <c r="D12">
        <f>tech_full!H9*tech_full!I9</f>
        <v>0.64350000000000007</v>
      </c>
      <c r="E12" s="26">
        <f>tech_full!I9</f>
        <v>1.71</v>
      </c>
      <c r="F12">
        <f>D12+tech_full!$G9*E12</f>
        <v>0.90000000000000013</v>
      </c>
    </row>
    <row r="13" spans="1:6" x14ac:dyDescent="0.25">
      <c r="A13" t="s">
        <v>86</v>
      </c>
      <c r="B13" s="3" t="s">
        <v>62</v>
      </c>
      <c r="C13" s="3" t="s">
        <v>129</v>
      </c>
      <c r="D13">
        <v>0</v>
      </c>
      <c r="E13">
        <v>0</v>
      </c>
      <c r="F13">
        <v>0</v>
      </c>
    </row>
    <row r="14" spans="1:6" x14ac:dyDescent="0.25">
      <c r="A14" t="s">
        <v>88</v>
      </c>
      <c r="B14" s="3" t="s">
        <v>59</v>
      </c>
      <c r="C14" s="3" t="s">
        <v>129</v>
      </c>
      <c r="D14">
        <f>tech_full!E11</f>
        <v>1</v>
      </c>
      <c r="E14">
        <v>0</v>
      </c>
      <c r="F14">
        <f>D14+tech_full!$G11*E14</f>
        <v>1</v>
      </c>
    </row>
    <row r="15" spans="1:6" x14ac:dyDescent="0.25">
      <c r="A15" t="s">
        <v>88</v>
      </c>
      <c r="B15" s="3" t="s">
        <v>60</v>
      </c>
      <c r="C15" s="3" t="s">
        <v>129</v>
      </c>
      <c r="D15" s="26">
        <f>tech_full!K11</f>
        <v>0.77049999999999996</v>
      </c>
      <c r="E15" s="26">
        <f>tech_full!I11</f>
        <v>1.53</v>
      </c>
      <c r="F15">
        <f>D15+tech_full!$G11*E15</f>
        <v>1</v>
      </c>
    </row>
    <row r="16" spans="1:6" x14ac:dyDescent="0.25">
      <c r="A16" t="s">
        <v>88</v>
      </c>
      <c r="B16" s="3" t="s">
        <v>61</v>
      </c>
      <c r="C16" s="3" t="s">
        <v>129</v>
      </c>
      <c r="D16">
        <f>tech_full!H11*tech_full!I11</f>
        <v>0.67049999999999998</v>
      </c>
      <c r="E16" s="26">
        <f>tech_full!I11</f>
        <v>1.53</v>
      </c>
      <c r="F16">
        <f>D16+tech_full!$G11*E16</f>
        <v>0.89999999999999991</v>
      </c>
    </row>
    <row r="17" spans="1:6" x14ac:dyDescent="0.25">
      <c r="A17" t="s">
        <v>88</v>
      </c>
      <c r="B17" s="3" t="s">
        <v>62</v>
      </c>
      <c r="C17" s="3" t="s">
        <v>129</v>
      </c>
      <c r="D17">
        <v>0</v>
      </c>
      <c r="E17">
        <v>0</v>
      </c>
      <c r="F17">
        <v>0</v>
      </c>
    </row>
    <row r="18" spans="1:6" x14ac:dyDescent="0.25">
      <c r="A18" t="s">
        <v>90</v>
      </c>
      <c r="B18" s="3" t="s">
        <v>59</v>
      </c>
      <c r="C18" s="3" t="s">
        <v>129</v>
      </c>
      <c r="D18">
        <f>tech_full!E13</f>
        <v>1</v>
      </c>
      <c r="E18">
        <v>0</v>
      </c>
      <c r="F18">
        <f>D18+tech_full!$G13*E18</f>
        <v>1</v>
      </c>
    </row>
    <row r="19" spans="1:6" x14ac:dyDescent="0.25">
      <c r="A19" t="s">
        <v>90</v>
      </c>
      <c r="B19" s="3" t="s">
        <v>60</v>
      </c>
      <c r="C19" s="3" t="s">
        <v>129</v>
      </c>
      <c r="D19" s="26">
        <f>tech_full!K13</f>
        <v>0.83799999999999997</v>
      </c>
      <c r="E19" s="26">
        <f>tech_full!I13</f>
        <v>1.08</v>
      </c>
      <c r="F19">
        <f>D19+tech_full!$G13*E19</f>
        <v>1</v>
      </c>
    </row>
    <row r="20" spans="1:6" x14ac:dyDescent="0.25">
      <c r="A20" t="s">
        <v>90</v>
      </c>
      <c r="B20" s="3" t="s">
        <v>61</v>
      </c>
      <c r="C20" s="3" t="s">
        <v>129</v>
      </c>
      <c r="D20">
        <f>tech_full!H13*tech_full!I13</f>
        <v>0.73800000000000021</v>
      </c>
      <c r="E20" s="26">
        <f>tech_full!I13</f>
        <v>1.08</v>
      </c>
      <c r="F20">
        <f>D20+tech_full!$G13*E20</f>
        <v>0.90000000000000024</v>
      </c>
    </row>
    <row r="21" spans="1:6" x14ac:dyDescent="0.25">
      <c r="A21" t="s">
        <v>90</v>
      </c>
      <c r="B21" s="3" t="s">
        <v>62</v>
      </c>
      <c r="C21" s="3" t="s">
        <v>129</v>
      </c>
      <c r="D21">
        <v>0</v>
      </c>
      <c r="E21">
        <v>0</v>
      </c>
      <c r="F21">
        <v>0</v>
      </c>
    </row>
    <row r="22" spans="1:6" x14ac:dyDescent="0.25">
      <c r="A22" t="s">
        <v>93</v>
      </c>
      <c r="B22" s="3" t="s">
        <v>59</v>
      </c>
      <c r="C22" s="3" t="s">
        <v>130</v>
      </c>
      <c r="D22">
        <f>tech_full!E16</f>
        <v>1</v>
      </c>
      <c r="E22">
        <v>0</v>
      </c>
      <c r="F22">
        <f>D22+tech_full!$G16*E22</f>
        <v>1</v>
      </c>
    </row>
    <row r="23" spans="1:6" x14ac:dyDescent="0.25">
      <c r="A23" t="s">
        <v>93</v>
      </c>
      <c r="B23" s="3" t="s">
        <v>60</v>
      </c>
      <c r="C23" s="3" t="s">
        <v>130</v>
      </c>
      <c r="D23" s="26">
        <f>tech_full!K16</f>
        <v>0.80714285714285716</v>
      </c>
      <c r="E23" s="26">
        <f>tech_full!I16</f>
        <v>1.2857142857142856</v>
      </c>
      <c r="F23">
        <f>D23+tech_full!$G16*E23</f>
        <v>1</v>
      </c>
    </row>
    <row r="24" spans="1:6" x14ac:dyDescent="0.25">
      <c r="A24" t="s">
        <v>93</v>
      </c>
      <c r="B24" s="3" t="s">
        <v>61</v>
      </c>
      <c r="C24" s="3" t="s">
        <v>130</v>
      </c>
      <c r="D24">
        <f>tech_full!H16*tech_full!I16</f>
        <v>0.7071428571428573</v>
      </c>
      <c r="E24" s="26">
        <f>tech_full!I16</f>
        <v>1.2857142857142856</v>
      </c>
      <c r="F24">
        <f>D24+tech_full!$G16*E24</f>
        <v>0.90000000000000013</v>
      </c>
    </row>
    <row r="25" spans="1:6" x14ac:dyDescent="0.25">
      <c r="A25" t="s">
        <v>93</v>
      </c>
      <c r="B25" s="3" t="s">
        <v>62</v>
      </c>
      <c r="C25" s="3" t="s">
        <v>130</v>
      </c>
      <c r="D25">
        <v>0</v>
      </c>
      <c r="E25">
        <v>0</v>
      </c>
      <c r="F25">
        <v>0</v>
      </c>
    </row>
    <row r="26" spans="1:6" x14ac:dyDescent="0.25">
      <c r="A26" t="s">
        <v>99</v>
      </c>
      <c r="B26" s="3" t="s">
        <v>59</v>
      </c>
      <c r="C26" s="3" t="s">
        <v>130</v>
      </c>
      <c r="D26">
        <f>tech_full!E20</f>
        <v>1</v>
      </c>
      <c r="E26">
        <v>0</v>
      </c>
      <c r="F26">
        <f>D26+tech_full!$G20*E26</f>
        <v>1</v>
      </c>
    </row>
    <row r="27" spans="1:6" x14ac:dyDescent="0.25">
      <c r="A27" t="s">
        <v>99</v>
      </c>
      <c r="B27" s="3" t="s">
        <v>60</v>
      </c>
      <c r="C27" s="3" t="s">
        <v>130</v>
      </c>
      <c r="D27" s="26">
        <f>tech_full!K20</f>
        <v>0.87850000000000006</v>
      </c>
      <c r="E27" s="26">
        <f>tech_full!I20</f>
        <v>0.81</v>
      </c>
      <c r="F27">
        <f>D27+tech_full!$G20*E27</f>
        <v>1</v>
      </c>
    </row>
    <row r="28" spans="1:6" x14ac:dyDescent="0.25">
      <c r="A28" t="s">
        <v>99</v>
      </c>
      <c r="B28" s="3" t="s">
        <v>61</v>
      </c>
      <c r="C28" s="3" t="s">
        <v>130</v>
      </c>
      <c r="D28">
        <f>tech_full!H20*tech_full!I20</f>
        <v>0.77849999999999997</v>
      </c>
      <c r="E28" s="26">
        <f>tech_full!I20</f>
        <v>0.81</v>
      </c>
      <c r="F28">
        <f>D28+tech_full!$G20*E28</f>
        <v>0.89999999999999991</v>
      </c>
    </row>
    <row r="29" spans="1:6" x14ac:dyDescent="0.25">
      <c r="A29" t="s">
        <v>99</v>
      </c>
      <c r="B29" s="3" t="s">
        <v>62</v>
      </c>
      <c r="C29" s="3" t="s">
        <v>130</v>
      </c>
      <c r="D29">
        <v>0</v>
      </c>
      <c r="E29">
        <v>0</v>
      </c>
      <c r="F29">
        <v>0</v>
      </c>
    </row>
    <row r="30" spans="1:6" x14ac:dyDescent="0.25">
      <c r="A30" t="s">
        <v>101</v>
      </c>
      <c r="B30" s="3" t="s">
        <v>59</v>
      </c>
      <c r="C30" s="3" t="s">
        <v>130</v>
      </c>
      <c r="D30">
        <f>tech_full!E22</f>
        <v>1</v>
      </c>
      <c r="E30">
        <v>0</v>
      </c>
      <c r="F30">
        <f>D30+tech_full!$G22*E30</f>
        <v>1</v>
      </c>
    </row>
    <row r="31" spans="1:6" x14ac:dyDescent="0.25">
      <c r="A31" t="s">
        <v>101</v>
      </c>
      <c r="B31" s="3" t="s">
        <v>60</v>
      </c>
      <c r="C31" s="3" t="s">
        <v>130</v>
      </c>
      <c r="D31" s="26">
        <f>tech_full!K22</f>
        <v>0.90549999999999997</v>
      </c>
      <c r="E31" s="26">
        <f>tech_full!I22</f>
        <v>0.63</v>
      </c>
      <c r="F31">
        <f>D31+tech_full!$G22*E31</f>
        <v>1</v>
      </c>
    </row>
    <row r="32" spans="1:6" x14ac:dyDescent="0.25">
      <c r="A32" t="s">
        <v>101</v>
      </c>
      <c r="B32" s="3" t="s">
        <v>61</v>
      </c>
      <c r="C32" s="3" t="s">
        <v>130</v>
      </c>
      <c r="D32">
        <f>tech_full!H22*tech_full!I22</f>
        <v>0.8055000000000001</v>
      </c>
      <c r="E32" s="26">
        <f>tech_full!I22</f>
        <v>0.63</v>
      </c>
      <c r="F32">
        <f>D32+tech_full!$G22*E32</f>
        <v>0.90000000000000013</v>
      </c>
    </row>
    <row r="33" spans="1:6" x14ac:dyDescent="0.25">
      <c r="A33" t="s">
        <v>101</v>
      </c>
      <c r="B33" s="3" t="s">
        <v>62</v>
      </c>
      <c r="C33" s="3" t="s">
        <v>130</v>
      </c>
      <c r="D33">
        <v>0</v>
      </c>
      <c r="E33">
        <v>0</v>
      </c>
      <c r="F33">
        <v>0</v>
      </c>
    </row>
    <row r="34" spans="1:6" x14ac:dyDescent="0.25">
      <c r="A34" t="s">
        <v>103</v>
      </c>
      <c r="B34" s="3" t="s">
        <v>59</v>
      </c>
      <c r="C34" s="3" t="s">
        <v>130</v>
      </c>
      <c r="D34">
        <f>tech_full!E24</f>
        <v>1</v>
      </c>
      <c r="E34">
        <v>0</v>
      </c>
      <c r="F34">
        <f>D34+tech_full!$G24*E34</f>
        <v>1</v>
      </c>
    </row>
    <row r="35" spans="1:6" x14ac:dyDescent="0.25">
      <c r="A35" t="s">
        <v>103</v>
      </c>
      <c r="B35" s="3" t="s">
        <v>60</v>
      </c>
      <c r="C35" s="3" t="s">
        <v>130</v>
      </c>
      <c r="D35" s="26">
        <f>tech_full!K24</f>
        <v>1</v>
      </c>
      <c r="E35" s="26">
        <f>tech_full!I24</f>
        <v>0.94736842105263153</v>
      </c>
      <c r="F35">
        <f>D35+tech_full!$G24*E35</f>
        <v>1</v>
      </c>
    </row>
    <row r="36" spans="1:6" x14ac:dyDescent="0.25">
      <c r="A36" t="s">
        <v>103</v>
      </c>
      <c r="B36" s="3" t="s">
        <v>61</v>
      </c>
      <c r="C36" s="3" t="s">
        <v>130</v>
      </c>
      <c r="D36">
        <f>tech_full!H24*tech_full!I24</f>
        <v>0.9</v>
      </c>
      <c r="E36" s="26">
        <f>tech_full!I24</f>
        <v>0.94736842105263153</v>
      </c>
      <c r="F36">
        <f>D36+tech_full!$G24*E36</f>
        <v>0.9</v>
      </c>
    </row>
    <row r="37" spans="1:6" x14ac:dyDescent="0.25">
      <c r="A37" t="s">
        <v>103</v>
      </c>
      <c r="B37" s="3" t="s">
        <v>62</v>
      </c>
      <c r="C37" s="3" t="s">
        <v>130</v>
      </c>
      <c r="D37">
        <v>0</v>
      </c>
      <c r="E37">
        <v>0</v>
      </c>
      <c r="F37">
        <v>0</v>
      </c>
    </row>
    <row r="38" spans="1:6" x14ac:dyDescent="0.25">
      <c r="A38" t="s">
        <v>106</v>
      </c>
      <c r="B38" s="3" t="s">
        <v>59</v>
      </c>
      <c r="C38" s="3" t="s">
        <v>131</v>
      </c>
      <c r="D38">
        <f>tech_full!E27</f>
        <v>1</v>
      </c>
      <c r="E38">
        <v>0</v>
      </c>
      <c r="F38">
        <f>D38+tech_full!$G27*E38</f>
        <v>1</v>
      </c>
    </row>
    <row r="39" spans="1:6" x14ac:dyDescent="0.25">
      <c r="A39" t="s">
        <v>106</v>
      </c>
      <c r="B39" s="3" t="s">
        <v>60</v>
      </c>
      <c r="C39" s="3" t="s">
        <v>131</v>
      </c>
      <c r="D39" s="26">
        <f>tech_full!K27</f>
        <v>0.76690000000000003</v>
      </c>
      <c r="E39" s="26">
        <f>tech_full!I27</f>
        <v>1.3320000000000001</v>
      </c>
      <c r="F39">
        <f>D39+tech_full!$G27*E39</f>
        <v>1</v>
      </c>
    </row>
    <row r="40" spans="1:6" x14ac:dyDescent="0.25">
      <c r="A40" t="s">
        <v>106</v>
      </c>
      <c r="B40" s="3" t="s">
        <v>61</v>
      </c>
      <c r="C40" s="3" t="s">
        <v>131</v>
      </c>
      <c r="D40">
        <f>tech_full!H27*tech_full!I27</f>
        <v>0.66690000000000005</v>
      </c>
      <c r="E40" s="26">
        <f>tech_full!I27</f>
        <v>1.3320000000000001</v>
      </c>
      <c r="F40">
        <f>D40+tech_full!$G27*E40</f>
        <v>0.9</v>
      </c>
    </row>
    <row r="41" spans="1:6" x14ac:dyDescent="0.25">
      <c r="A41" t="s">
        <v>106</v>
      </c>
      <c r="B41" s="3" t="s">
        <v>62</v>
      </c>
      <c r="C41" s="3" t="s">
        <v>131</v>
      </c>
      <c r="D41">
        <v>0</v>
      </c>
      <c r="E41">
        <v>0</v>
      </c>
      <c r="F41">
        <v>0</v>
      </c>
    </row>
    <row r="42" spans="1:6" x14ac:dyDescent="0.25">
      <c r="A42" t="s">
        <v>110</v>
      </c>
      <c r="B42" s="3" t="s">
        <v>59</v>
      </c>
      <c r="C42" s="3" t="s">
        <v>131</v>
      </c>
      <c r="D42">
        <f>tech_full!E30</f>
        <v>1</v>
      </c>
      <c r="E42">
        <v>0</v>
      </c>
      <c r="F42">
        <f>D42+tech_full!$G30*E42</f>
        <v>1</v>
      </c>
    </row>
    <row r="43" spans="1:6" x14ac:dyDescent="0.25">
      <c r="A43" t="s">
        <v>110</v>
      </c>
      <c r="B43" s="3" t="s">
        <v>60</v>
      </c>
      <c r="C43" s="3" t="s">
        <v>131</v>
      </c>
      <c r="D43" s="26">
        <f>tech_full!K30</f>
        <v>0.76606300000000005</v>
      </c>
      <c r="E43" s="26">
        <f>tech_full!I30</f>
        <v>1.2509999999999999</v>
      </c>
      <c r="F43">
        <f>D43+tech_full!$G30*E43</f>
        <v>1</v>
      </c>
    </row>
    <row r="44" spans="1:6" x14ac:dyDescent="0.25">
      <c r="A44" t="s">
        <v>110</v>
      </c>
      <c r="B44" s="3" t="s">
        <v>61</v>
      </c>
      <c r="C44" s="3" t="s">
        <v>131</v>
      </c>
      <c r="D44">
        <f>tech_full!H30*tech_full!I30</f>
        <v>0.66606299999999996</v>
      </c>
      <c r="E44" s="26">
        <f>tech_full!I30</f>
        <v>1.2509999999999999</v>
      </c>
      <c r="F44">
        <f>D44+tech_full!$G30*E44</f>
        <v>0.89999999999999991</v>
      </c>
    </row>
    <row r="45" spans="1:6" x14ac:dyDescent="0.25">
      <c r="A45" t="s">
        <v>110</v>
      </c>
      <c r="B45" s="3" t="s">
        <v>62</v>
      </c>
      <c r="C45" s="3" t="s">
        <v>131</v>
      </c>
      <c r="D45">
        <v>0</v>
      </c>
      <c r="E45">
        <v>0</v>
      </c>
      <c r="F45">
        <v>0</v>
      </c>
    </row>
    <row r="46" spans="1:6" x14ac:dyDescent="0.25">
      <c r="A46" t="s">
        <v>115</v>
      </c>
      <c r="B46" s="3" t="s">
        <v>59</v>
      </c>
      <c r="C46" s="3" t="s">
        <v>132</v>
      </c>
      <c r="D46">
        <f>tech_full!E35</f>
        <v>1</v>
      </c>
      <c r="E46">
        <v>0</v>
      </c>
      <c r="F46">
        <f>D46+tech_full!$G35*E46</f>
        <v>1</v>
      </c>
    </row>
    <row r="47" spans="1:6" x14ac:dyDescent="0.25">
      <c r="A47" t="s">
        <v>115</v>
      </c>
      <c r="B47" s="3" t="s">
        <v>60</v>
      </c>
      <c r="C47" s="3" t="s">
        <v>132</v>
      </c>
      <c r="D47" s="26">
        <f>tech_full!K35</f>
        <v>0.51175000000000004</v>
      </c>
      <c r="E47" s="26">
        <f>tech_full!I35</f>
        <v>1.395</v>
      </c>
      <c r="F47">
        <f>D47+tech_full!$G35*E47</f>
        <v>1</v>
      </c>
    </row>
    <row r="48" spans="1:6" x14ac:dyDescent="0.25">
      <c r="A48" t="s">
        <v>115</v>
      </c>
      <c r="B48" s="3" t="s">
        <v>61</v>
      </c>
      <c r="C48" s="3" t="s">
        <v>132</v>
      </c>
      <c r="D48">
        <f>tech_full!H35*tech_full!I35</f>
        <v>0.41175</v>
      </c>
      <c r="E48" s="26">
        <f>tech_full!I35</f>
        <v>1.395</v>
      </c>
      <c r="F48">
        <f>D48+tech_full!$G35*E48</f>
        <v>0.89999999999999991</v>
      </c>
    </row>
    <row r="49" spans="1:6" x14ac:dyDescent="0.25">
      <c r="A49" t="s">
        <v>115</v>
      </c>
      <c r="B49" s="3" t="s">
        <v>62</v>
      </c>
      <c r="C49" s="3" t="s">
        <v>132</v>
      </c>
      <c r="D49">
        <v>0</v>
      </c>
      <c r="E49">
        <v>0</v>
      </c>
      <c r="F49">
        <v>0</v>
      </c>
    </row>
    <row r="50" spans="1:6" x14ac:dyDescent="0.25">
      <c r="A50" s="44" t="s">
        <v>353</v>
      </c>
      <c r="B50" s="3" t="s">
        <v>59</v>
      </c>
      <c r="C50" s="3" t="s">
        <v>132</v>
      </c>
      <c r="D50">
        <v>0</v>
      </c>
      <c r="E50">
        <v>1</v>
      </c>
      <c r="F50">
        <v>1</v>
      </c>
    </row>
    <row r="51" spans="1:6" x14ac:dyDescent="0.25">
      <c r="A51" s="44" t="s">
        <v>353</v>
      </c>
      <c r="B51" s="3" t="s">
        <v>60</v>
      </c>
      <c r="C51" s="3" t="s">
        <v>132</v>
      </c>
      <c r="D51">
        <v>0</v>
      </c>
      <c r="E51">
        <v>0.66</v>
      </c>
      <c r="F51">
        <v>0.66</v>
      </c>
    </row>
    <row r="52" spans="1:6" x14ac:dyDescent="0.25">
      <c r="A52" s="44" t="s">
        <v>353</v>
      </c>
      <c r="B52" s="3" t="s">
        <v>61</v>
      </c>
      <c r="C52" s="3" t="s">
        <v>132</v>
      </c>
      <c r="D52">
        <v>0</v>
      </c>
      <c r="E52">
        <v>0.33</v>
      </c>
      <c r="F52">
        <v>0.33</v>
      </c>
    </row>
    <row r="53" spans="1:6" x14ac:dyDescent="0.25">
      <c r="A53" s="44" t="s">
        <v>353</v>
      </c>
      <c r="B53" s="3" t="s">
        <v>62</v>
      </c>
      <c r="C53" s="3" t="s">
        <v>132</v>
      </c>
      <c r="D53">
        <v>0</v>
      </c>
      <c r="E53">
        <v>0</v>
      </c>
      <c r="F53">
        <v>0</v>
      </c>
    </row>
    <row r="54" spans="1:6" x14ac:dyDescent="0.25">
      <c r="A54" s="44" t="s">
        <v>104</v>
      </c>
      <c r="B54" s="3" t="s">
        <v>59</v>
      </c>
      <c r="C54" s="3" t="s">
        <v>130</v>
      </c>
      <c r="D54">
        <v>0</v>
      </c>
      <c r="E54">
        <v>1</v>
      </c>
      <c r="F54">
        <v>1</v>
      </c>
    </row>
    <row r="55" spans="1:6" x14ac:dyDescent="0.25">
      <c r="A55" s="44" t="s">
        <v>104</v>
      </c>
      <c r="B55" s="3" t="s">
        <v>60</v>
      </c>
      <c r="C55" s="3" t="s">
        <v>130</v>
      </c>
      <c r="D55">
        <v>0</v>
      </c>
      <c r="E55">
        <v>0.66</v>
      </c>
      <c r="F55">
        <v>0.66</v>
      </c>
    </row>
    <row r="56" spans="1:6" x14ac:dyDescent="0.25">
      <c r="A56" s="44" t="s">
        <v>104</v>
      </c>
      <c r="B56" s="3" t="s">
        <v>61</v>
      </c>
      <c r="C56" s="3" t="s">
        <v>130</v>
      </c>
      <c r="D56">
        <v>0</v>
      </c>
      <c r="E56">
        <v>0.33</v>
      </c>
      <c r="F56">
        <v>0.33</v>
      </c>
    </row>
    <row r="57" spans="1:6" x14ac:dyDescent="0.25">
      <c r="A57" s="44" t="s">
        <v>104</v>
      </c>
      <c r="B57" s="3" t="s">
        <v>62</v>
      </c>
      <c r="C57" s="3" t="s">
        <v>130</v>
      </c>
      <c r="D57">
        <v>0</v>
      </c>
      <c r="E57">
        <v>0</v>
      </c>
      <c r="F57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1"/>
  <sheetViews>
    <sheetView workbookViewId="0">
      <selection activeCell="A12" sqref="A12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255</v>
      </c>
      <c r="C1" s="2" t="s">
        <v>245</v>
      </c>
      <c r="D1" s="2" t="s">
        <v>244</v>
      </c>
      <c r="E1" s="2" t="s">
        <v>243</v>
      </c>
    </row>
    <row r="2" spans="1:5" x14ac:dyDescent="0.25">
      <c r="A2" t="s">
        <v>20</v>
      </c>
      <c r="B2">
        <v>0.27</v>
      </c>
      <c r="C2">
        <v>0</v>
      </c>
      <c r="D2" t="s">
        <v>254</v>
      </c>
      <c r="E2" t="s">
        <v>242</v>
      </c>
    </row>
    <row r="3" spans="1:5" x14ac:dyDescent="0.25">
      <c r="A3" t="s">
        <v>128</v>
      </c>
      <c r="B3">
        <v>4.0599999999999996</v>
      </c>
      <c r="C3">
        <v>0</v>
      </c>
      <c r="D3" t="s">
        <v>250</v>
      </c>
      <c r="E3" t="s">
        <v>241</v>
      </c>
    </row>
    <row r="4" spans="1:5" x14ac:dyDescent="0.25">
      <c r="A4" t="s">
        <v>129</v>
      </c>
      <c r="B4">
        <v>6.12</v>
      </c>
      <c r="C4">
        <v>0</v>
      </c>
      <c r="D4" t="s">
        <v>251</v>
      </c>
      <c r="E4" t="s">
        <v>241</v>
      </c>
    </row>
    <row r="5" spans="1:5" x14ac:dyDescent="0.25">
      <c r="A5" t="s">
        <v>130</v>
      </c>
      <c r="B5">
        <v>2.36</v>
      </c>
      <c r="C5">
        <v>0</v>
      </c>
      <c r="D5" t="s">
        <v>252</v>
      </c>
      <c r="E5" t="s">
        <v>241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248</v>
      </c>
      <c r="E6">
        <v>8</v>
      </c>
    </row>
    <row r="7" spans="1:5" x14ac:dyDescent="0.25">
      <c r="A7" t="s">
        <v>284</v>
      </c>
      <c r="B7">
        <v>0</v>
      </c>
      <c r="C7">
        <v>0</v>
      </c>
      <c r="D7" t="s">
        <v>249</v>
      </c>
      <c r="E7">
        <v>8</v>
      </c>
    </row>
    <row r="8" spans="1:5" x14ac:dyDescent="0.25">
      <c r="A8" t="s">
        <v>132</v>
      </c>
      <c r="B8">
        <v>4.04</v>
      </c>
      <c r="C8">
        <v>0</v>
      </c>
      <c r="D8" t="s">
        <v>253</v>
      </c>
      <c r="E8" t="s">
        <v>240</v>
      </c>
    </row>
    <row r="9" spans="1:5" x14ac:dyDescent="0.25">
      <c r="A9" t="s">
        <v>133</v>
      </c>
      <c r="B9">
        <v>0</v>
      </c>
      <c r="C9">
        <v>5028</v>
      </c>
      <c r="D9" t="s">
        <v>247</v>
      </c>
      <c r="E9" t="s">
        <v>238</v>
      </c>
    </row>
    <row r="10" spans="1:5" x14ac:dyDescent="0.25">
      <c r="A10" t="s">
        <v>134</v>
      </c>
      <c r="B10">
        <v>0</v>
      </c>
      <c r="C10">
        <v>2831</v>
      </c>
      <c r="D10" t="s">
        <v>246</v>
      </c>
      <c r="E10" t="s">
        <v>239</v>
      </c>
    </row>
    <row r="11" spans="1:5" x14ac:dyDescent="0.25">
      <c r="A11" t="s">
        <v>368</v>
      </c>
      <c r="B11">
        <v>0</v>
      </c>
      <c r="C11">
        <v>0</v>
      </c>
      <c r="D11" t="s">
        <v>249</v>
      </c>
      <c r="E11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0" sqref="N10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900</v>
      </c>
      <c r="F2">
        <v>5400</v>
      </c>
      <c r="G2" s="18"/>
      <c r="H2" s="18"/>
      <c r="I2">
        <v>800</v>
      </c>
      <c r="J2">
        <v>680</v>
      </c>
      <c r="K2" s="18"/>
      <c r="L2" s="18"/>
      <c r="M2">
        <v>950</v>
      </c>
      <c r="N2">
        <v>1800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F4">
        <v>4600</v>
      </c>
      <c r="G4" s="18"/>
      <c r="H4">
        <v>1300</v>
      </c>
      <c r="I4" s="18"/>
      <c r="J4">
        <v>3750</v>
      </c>
      <c r="K4" s="18"/>
      <c r="L4" s="18"/>
      <c r="M4" s="18"/>
      <c r="N4" s="18"/>
    </row>
    <row r="5" spans="1:14" x14ac:dyDescent="0.25">
      <c r="A5" t="s">
        <v>9</v>
      </c>
      <c r="B5">
        <v>900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5400</v>
      </c>
      <c r="D6">
        <v>4600</v>
      </c>
      <c r="E6">
        <v>2100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1300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800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1200</v>
      </c>
      <c r="N9">
        <v>1800</v>
      </c>
    </row>
    <row r="10" spans="1:14" x14ac:dyDescent="0.25">
      <c r="A10" t="s">
        <v>13</v>
      </c>
      <c r="B10">
        <v>680</v>
      </c>
      <c r="C10" s="18"/>
      <c r="D10">
        <v>3750</v>
      </c>
      <c r="E10" s="18"/>
      <c r="F10" s="18"/>
      <c r="G10" s="18"/>
      <c r="H10">
        <v>870</v>
      </c>
      <c r="I10" s="18"/>
      <c r="J10">
        <v>0</v>
      </c>
      <c r="K10" s="18"/>
      <c r="L10" s="18"/>
      <c r="M10">
        <v>650</v>
      </c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I13">
        <v>1200</v>
      </c>
      <c r="J13">
        <v>650</v>
      </c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1800</v>
      </c>
      <c r="F14" s="18"/>
      <c r="G14" s="18"/>
      <c r="H14" s="18"/>
      <c r="I14">
        <v>1800</v>
      </c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Sources</vt:lpstr>
      <vt:lpstr>legend</vt:lpstr>
      <vt:lpstr>Capacities</vt:lpstr>
      <vt:lpstr>Technologies</vt:lpstr>
      <vt:lpstr>Technologies (2)</vt:lpstr>
      <vt:lpstr>tech_full</vt:lpstr>
      <vt:lpstr>FEASIBLE_INPUT-OUTPUT</vt:lpstr>
      <vt:lpstr>AIR_POLLUTION</vt:lpstr>
      <vt:lpstr>ATC</vt:lpstr>
      <vt:lpstr>ATC_el</vt:lpstr>
      <vt:lpstr>KM</vt:lpstr>
      <vt:lpstr>COST_TRANSPORT</vt:lpstr>
      <vt:lpstr>VALUE_NSE</vt:lpstr>
      <vt:lpstr>ESTIMATES</vt:lpstr>
      <vt:lpstr>CO2_INTENSITY</vt:lpstr>
      <vt:lpstr>WACC</vt:lpstr>
      <vt:lpstr>INITIAL_CAP_R</vt:lpstr>
      <vt:lpstr>CAPITALCOST_R</vt:lpstr>
      <vt:lpstr>CAPITALCOST_S</vt:lpstr>
      <vt:lpstr>parameters_G</vt:lpstr>
      <vt:lpstr>FEASIBLE_INPUT-OUTPUT_BAK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2021-08-13T19:31:58Z</dcterms:modified>
</cp:coreProperties>
</file>