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ustomProperty2.bin" ContentType="application/vnd.openxmlformats-officedocument.spreadsheetml.customProperty"/>
  <Override PartName="/xl/drawings/drawing2.xml" ContentType="application/vnd.openxmlformats-officedocument.drawing+xml"/>
  <Override PartName="/xl/comments3.xml" ContentType="application/vnd.openxmlformats-officedocument.spreadsheetml.comments+xml"/>
  <Override PartName="/xl/customProperty3.bin" ContentType="application/vnd.openxmlformats-officedocument.spreadsheetml.customProperty"/>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ustomProperty4.bin" ContentType="application/vnd.openxmlformats-officedocument.spreadsheetml.customProperty"/>
  <Override PartName="/xl/drawings/drawing4.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ustomProperty5.bin" ContentType="application/vnd.openxmlformats-officedocument.spreadsheetml.customProperty"/>
  <Override PartName="/xl/customProperty6.bin" ContentType="application/vnd.openxmlformats-officedocument.spreadsheetml.customProperty"/>
  <Override PartName="/xl/comments6.xml" ContentType="application/vnd.openxmlformats-officedocument.spreadsheetml.comments+xml"/>
  <Override PartName="/xl/customProperty7.bin" ContentType="application/vnd.openxmlformats-officedocument.spreadsheetml.customProperty"/>
  <Override PartName="/xl/comments7.xml" ContentType="application/vnd.openxmlformats-officedocument.spreadsheetml.comments+xml"/>
  <Override PartName="/xl/customProperty8.bin" ContentType="application/vnd.openxmlformats-officedocument.spreadsheetml.customProperty"/>
  <Override PartName="/xl/drawings/drawing5.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ustomProperty9.bin" ContentType="application/vnd.openxmlformats-officedocument.spreadsheetml.customProperty"/>
  <Override PartName="/xl/comments9.xml" ContentType="application/vnd.openxmlformats-officedocument.spreadsheetml.comments+xml"/>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Αυτό_το_βιβλίο_εργασίας" defaultThemeVersion="124226"/>
  <bookViews>
    <workbookView xWindow="240" yWindow="105" windowWidth="14805" windowHeight="7050" tabRatio="646"/>
  </bookViews>
  <sheets>
    <sheet name="Cover_Sheet" sheetId="25" r:id="rId1"/>
    <sheet name="Global" sheetId="12" r:id="rId2"/>
    <sheet name="Economic_Analysis" sheetId="24" r:id="rId3"/>
    <sheet name="D1_Furnace" sheetId="22" r:id="rId4"/>
    <sheet name="Heat_Balance" sheetId="20" r:id="rId5"/>
    <sheet name="1.Batch_Preparation" sheetId="6" r:id="rId6"/>
    <sheet name="2.Melting&amp;Fining" sheetId="7" r:id="rId7"/>
    <sheet name="Mass_Balance" sheetId="13" r:id="rId8"/>
    <sheet name="Energy_Balance" sheetId="8" r:id="rId9"/>
    <sheet name="Fuel" sheetId="14" r:id="rId10"/>
    <sheet name="Syngas" sheetId="23" r:id="rId11"/>
    <sheet name="Commodity_data" sheetId="5" r:id="rId12"/>
  </sheets>
  <definedNames>
    <definedName name="Add_Pull">Mass_Balance!$E$9</definedName>
    <definedName name="AirOxyFuel">D1_Furnace!$C$14</definedName>
    <definedName name="Altern_Type">#REF!</definedName>
    <definedName name="BC_preh">Global!$I$14</definedName>
    <definedName name="Bio_price">Global!$D$17</definedName>
    <definedName name="Bio_switch">Global!$I$12</definedName>
    <definedName name="Biomethane">Fuel!$C$41</definedName>
    <definedName name="Boost_to_Pull">'2.Melting&amp;Fining'!$F$30</definedName>
    <definedName name="Check">Fuel!#REF!</definedName>
    <definedName name="CO2_price">Global!$D$12</definedName>
    <definedName name="Cullet">Mass_Balance!$E$10</definedName>
    <definedName name="Cullet_factor">Global!$D$9</definedName>
    <definedName name="Cullet_percentage">Global!#REF!</definedName>
    <definedName name="Direct_CO2">Global!$I$27</definedName>
    <definedName name="Effic_factor">Global!$D$7</definedName>
    <definedName name="Electricity_price">Global!$D$15</definedName>
    <definedName name="Emission_factor">Global!$D$11</definedName>
    <definedName name="Energy_use">Global!$I$23</definedName>
    <definedName name="Excess_air">D1_Furnace!$G$24</definedName>
    <definedName name="Excess_Comb">Global!$I$16</definedName>
    <definedName name="Extra_pull">Global!$I$17</definedName>
    <definedName name="FlagBatch">D1_Furnace!#REF!</definedName>
    <definedName name="FlagBatch_2">D1_Furnace!#REF!</definedName>
    <definedName name="FlagBatch_3">D1_Furnace!$C$173</definedName>
    <definedName name="FlagCullet">D1_Furnace!#REF!</definedName>
    <definedName name="FlagCullet_2">D1_Furnace!#REF!</definedName>
    <definedName name="Glass_Pull">Global!#REF!</definedName>
    <definedName name="Glass_type">Global!$I$10</definedName>
    <definedName name="Indirect_CO2">Global!$I$28</definedName>
    <definedName name="Kelvin.Celcius">'2.Melting&amp;Fining'!$F$4</definedName>
    <definedName name="KW_GJ">D1_Furnace!$I$218</definedName>
    <definedName name="Losses_factor">Global!$D$8</definedName>
    <definedName name="Melt">Mass_Balance!$E$8</definedName>
    <definedName name="NG_O2_preheat">D1_Furnace!#REF!</definedName>
    <definedName name="NG_O2_preheat_2">D1_Furnace!#REF!</definedName>
    <definedName name="NG_price">Global!$D$14</definedName>
    <definedName name="O2_enrich">D1_Furnace!$G$25</definedName>
    <definedName name="O2_enrichment">Global!$I$15</definedName>
    <definedName name="O2_preh">Global!#REF!</definedName>
    <definedName name="O2_price">Global!$D$16</definedName>
    <definedName name="O2_substitute">D1_Furnace!$G$26</definedName>
    <definedName name="O2_substitution">Global!$I$11</definedName>
    <definedName name="Oxyfuel">D1_Furnace!$C$136</definedName>
    <definedName name="Pack_to_melt">'1.Batch_Preparation'!$F$16</definedName>
    <definedName name="Payback">Global!$I$32</definedName>
    <definedName name="Product_cost">Global!$I$30</definedName>
    <definedName name="Production_demand">Global!#REF!</definedName>
    <definedName name="Pull">Fuel!#REF!</definedName>
    <definedName name="Pure_O2">D1_Furnace!$G$26</definedName>
    <definedName name="Ratio_NG">Global!$I$9</definedName>
    <definedName name="ROI">Global!$I$31</definedName>
    <definedName name="T.ambient">'2.Melting&amp;Fining'!$F$3</definedName>
    <definedName name="T.flame">Fuel!#REF!</definedName>
    <definedName name="T.furnace">Energy_Balance!$E$6</definedName>
    <definedName name="T.melt">Energy_Balance!$E$11</definedName>
    <definedName name="Technology">Global!$I$7</definedName>
    <definedName name="Total_CO2_price">Global!#REF!</definedName>
    <definedName name="Type">Mass_Balance!$E$7</definedName>
  </definedNames>
  <calcPr calcId="152511"/>
</workbook>
</file>

<file path=xl/calcChain.xml><?xml version="1.0" encoding="utf-8"?>
<calcChain xmlns="http://schemas.openxmlformats.org/spreadsheetml/2006/main">
  <c r="K14" i="24" l="1"/>
  <c r="C164" i="22"/>
  <c r="E9" i="13" l="1"/>
  <c r="C14" i="22" l="1"/>
  <c r="D16" i="12" l="1"/>
  <c r="C79" i="20" l="1"/>
  <c r="D52" i="20" l="1"/>
  <c r="D53" i="20" s="1"/>
  <c r="E52" i="20"/>
  <c r="E53" i="20" s="1"/>
  <c r="F47" i="23"/>
  <c r="C41" i="14"/>
  <c r="O52" i="12"/>
  <c r="O51" i="12"/>
  <c r="N52" i="12"/>
  <c r="N51" i="12"/>
  <c r="M52" i="12"/>
  <c r="M51" i="12"/>
  <c r="M48" i="12"/>
  <c r="N44" i="12"/>
  <c r="M44" i="12"/>
  <c r="O40" i="12"/>
  <c r="N40" i="12"/>
  <c r="N39" i="12"/>
  <c r="M47" i="12"/>
  <c r="N43" i="12"/>
  <c r="M43" i="12"/>
  <c r="O39" i="12"/>
  <c r="J235" i="22"/>
  <c r="E54" i="20" l="1"/>
  <c r="D54" i="20"/>
  <c r="F17" i="6"/>
  <c r="E10" i="13"/>
  <c r="E8" i="13"/>
  <c r="F18" i="6" l="1"/>
  <c r="F19" i="6" s="1"/>
  <c r="C183" i="22"/>
  <c r="C75" i="20"/>
  <c r="D30" i="20" l="1"/>
  <c r="D46" i="20"/>
  <c r="D79" i="20"/>
  <c r="E46" i="20"/>
  <c r="G143" i="22"/>
  <c r="C121" i="22"/>
  <c r="E75" i="20"/>
  <c r="G137" i="22"/>
  <c r="C137" i="22"/>
  <c r="E79" i="20" l="1"/>
  <c r="F79" i="20"/>
  <c r="D29" i="24"/>
  <c r="F7" i="6" l="1"/>
  <c r="K9" i="24"/>
  <c r="K12" i="24" l="1"/>
  <c r="K49" i="22"/>
  <c r="F8" i="6"/>
  <c r="C114" i="24"/>
  <c r="C115" i="24" s="1"/>
  <c r="B108" i="24"/>
  <c r="B107" i="24"/>
  <c r="B109" i="24" l="1"/>
  <c r="B110" i="24" s="1"/>
  <c r="B111" i="24" s="1"/>
  <c r="E109" i="24" s="1"/>
  <c r="C116" i="24"/>
  <c r="C117" i="24" s="1"/>
  <c r="E108" i="24" l="1"/>
  <c r="K11" i="24"/>
  <c r="M49" i="6" l="1"/>
  <c r="C175" i="22" l="1"/>
  <c r="D10" i="12"/>
  <c r="C139" i="22"/>
  <c r="G138" i="22"/>
  <c r="G139" i="22"/>
  <c r="C165" i="22" l="1"/>
  <c r="C160" i="22" s="1"/>
  <c r="G136" i="22"/>
  <c r="K18" i="24"/>
  <c r="C15" i="22" l="1"/>
  <c r="C162" i="22" l="1"/>
  <c r="J174" i="22"/>
  <c r="H164" i="22"/>
  <c r="L164" i="22" s="1"/>
  <c r="H163" i="22"/>
  <c r="L163" i="22" s="1"/>
  <c r="D11" i="20"/>
  <c r="D10" i="20"/>
  <c r="L165" i="22" l="1"/>
  <c r="H165" i="22" s="1"/>
  <c r="D8" i="20" l="1"/>
  <c r="I10" i="5" l="1"/>
  <c r="I9" i="5"/>
  <c r="H10" i="5"/>
  <c r="H9" i="5"/>
  <c r="M50" i="6" l="1"/>
  <c r="M53" i="6" s="1"/>
  <c r="M54" i="6" s="1"/>
  <c r="G26" i="22" l="1"/>
  <c r="G25" i="22" l="1"/>
  <c r="J27" i="5"/>
  <c r="J28" i="5" s="1"/>
  <c r="F38" i="7" l="1"/>
  <c r="G24" i="22"/>
  <c r="E7" i="13" l="1"/>
  <c r="K37" i="22" l="1"/>
  <c r="C86" i="22"/>
  <c r="G37" i="22"/>
  <c r="C37" i="22"/>
  <c r="G91" i="22"/>
  <c r="C163" i="22"/>
  <c r="F164" i="22"/>
  <c r="S33" i="13"/>
  <c r="R33" i="13"/>
  <c r="Q33" i="13"/>
  <c r="C185" i="22" l="1"/>
  <c r="F163" i="22"/>
  <c r="J166" i="22"/>
  <c r="I170" i="22" s="1"/>
  <c r="L166" i="22" l="1"/>
  <c r="L167" i="22" s="1"/>
  <c r="D55" i="6"/>
  <c r="D67" i="6"/>
  <c r="F165" i="22" l="1"/>
  <c r="H167" i="22" l="1"/>
  <c r="F167" i="22" s="1"/>
  <c r="H166" i="22"/>
  <c r="F166" i="22" s="1"/>
  <c r="C177" i="14"/>
  <c r="C178" i="14" s="1"/>
  <c r="D177" i="14"/>
  <c r="D178" i="14" s="1"/>
  <c r="E177" i="14"/>
  <c r="E178" i="14" s="1"/>
  <c r="F177" i="14"/>
  <c r="F178" i="14" s="1"/>
  <c r="G177" i="14"/>
  <c r="G178" i="14" s="1"/>
  <c r="H177" i="14"/>
  <c r="H178" i="14" s="1"/>
  <c r="I177" i="14"/>
  <c r="I178" i="14" s="1"/>
  <c r="C181" i="14"/>
  <c r="C182" i="14" s="1"/>
  <c r="D181" i="14"/>
  <c r="D182" i="14" s="1"/>
  <c r="E181" i="14"/>
  <c r="E182" i="14" s="1"/>
  <c r="F181" i="14"/>
  <c r="F182" i="14" s="1"/>
  <c r="G181" i="14"/>
  <c r="G182" i="14" s="1"/>
  <c r="H181" i="14"/>
  <c r="H182" i="14" s="1"/>
  <c r="I181" i="14"/>
  <c r="I182" i="14" s="1"/>
  <c r="G170" i="22" l="1"/>
  <c r="G171" i="22" s="1"/>
  <c r="G96" i="22"/>
  <c r="F174" i="22" l="1"/>
  <c r="H174" i="22" s="1"/>
  <c r="F173" i="22"/>
  <c r="H173" i="22" s="1"/>
  <c r="F175" i="22"/>
  <c r="C182" i="22" s="1"/>
  <c r="C166" i="22" s="1"/>
  <c r="H175" i="22" l="1"/>
  <c r="D7" i="14"/>
  <c r="D12" i="14"/>
  <c r="D14" i="14"/>
  <c r="D13" i="14"/>
  <c r="D11" i="14"/>
  <c r="D10" i="14"/>
  <c r="D9" i="14"/>
  <c r="D8" i="14"/>
  <c r="C45" i="14"/>
  <c r="R63" i="14" s="1"/>
  <c r="C43" i="14"/>
  <c r="C42" i="14"/>
  <c r="R60" i="14" s="1"/>
  <c r="R61" i="14" l="1"/>
  <c r="K10" i="24"/>
  <c r="D32" i="24" s="1"/>
  <c r="D33" i="24" s="1"/>
  <c r="D34" i="24" s="1"/>
  <c r="D35" i="24" s="1"/>
  <c r="D36" i="24" s="1"/>
  <c r="D37" i="24" s="1"/>
  <c r="K30" i="8"/>
  <c r="AM134" i="14" l="1"/>
  <c r="C161" i="22" l="1"/>
  <c r="C168" i="22" s="1"/>
  <c r="AZ63" i="14"/>
  <c r="AZ64" i="14"/>
  <c r="AZ65" i="14"/>
  <c r="AZ66" i="14"/>
  <c r="AZ60" i="14"/>
  <c r="AZ61" i="14"/>
  <c r="AZ62" i="14"/>
  <c r="AZ59" i="14"/>
  <c r="AT60" i="14" l="1"/>
  <c r="C9" i="23"/>
  <c r="C7" i="23"/>
  <c r="C6" i="23"/>
  <c r="C67" i="23"/>
  <c r="D67" i="23" s="1"/>
  <c r="C66" i="23"/>
  <c r="D66" i="23" s="1"/>
  <c r="C64" i="23"/>
  <c r="D64" i="23" s="1"/>
  <c r="F55" i="23" l="1"/>
  <c r="F54" i="23"/>
  <c r="D55" i="23"/>
  <c r="D54" i="23"/>
  <c r="H47" i="23"/>
  <c r="H46" i="23"/>
  <c r="F46" i="23"/>
  <c r="D47" i="23"/>
  <c r="D46" i="23"/>
  <c r="E20" i="14"/>
  <c r="E19" i="14"/>
  <c r="C36" i="14" s="1"/>
  <c r="D35" i="23"/>
  <c r="D36" i="23"/>
  <c r="D37" i="23"/>
  <c r="D38" i="23"/>
  <c r="D34" i="23"/>
  <c r="F35" i="23"/>
  <c r="F36" i="23"/>
  <c r="F37" i="23"/>
  <c r="F38" i="23"/>
  <c r="F34" i="23"/>
  <c r="F25" i="23"/>
  <c r="F26" i="23"/>
  <c r="F27" i="23"/>
  <c r="F28" i="23"/>
  <c r="F24" i="23"/>
  <c r="D25" i="23"/>
  <c r="D26" i="23"/>
  <c r="D27" i="23"/>
  <c r="D28" i="23"/>
  <c r="D24" i="23"/>
  <c r="D71" i="14"/>
  <c r="J36" i="14" l="1"/>
  <c r="K36" i="14"/>
  <c r="L36" i="14"/>
  <c r="M36" i="14"/>
  <c r="N36" i="14"/>
  <c r="O36" i="14"/>
  <c r="E6" i="8"/>
  <c r="E11" i="8"/>
  <c r="C253" i="14"/>
  <c r="C254" i="14"/>
  <c r="K31" i="8" l="1"/>
  <c r="K32" i="8"/>
  <c r="K29" i="8"/>
  <c r="K33" i="8"/>
  <c r="S72" i="14"/>
  <c r="S73" i="14"/>
  <c r="S74" i="14"/>
  <c r="U74" i="14"/>
  <c r="S75" i="14"/>
  <c r="S76" i="14"/>
  <c r="U76" i="14"/>
  <c r="S82" i="14"/>
  <c r="U82" i="14"/>
  <c r="S83" i="14"/>
  <c r="U83" i="14"/>
  <c r="S84" i="14"/>
  <c r="U84" i="14"/>
  <c r="S85" i="14"/>
  <c r="U85" i="14"/>
  <c r="S86" i="14"/>
  <c r="U86" i="14"/>
  <c r="AU76" i="14" l="1"/>
  <c r="AU75" i="14"/>
  <c r="AU74" i="14"/>
  <c r="AU73" i="14"/>
  <c r="AU72" i="14"/>
  <c r="AH76" i="14"/>
  <c r="AH75" i="14"/>
  <c r="AH74" i="14"/>
  <c r="AH73" i="14"/>
  <c r="AH72" i="14"/>
  <c r="AW86" i="14"/>
  <c r="AU86" i="14"/>
  <c r="AW85" i="14"/>
  <c r="AU85" i="14"/>
  <c r="AW84" i="14"/>
  <c r="AU84" i="14"/>
  <c r="AW83" i="14"/>
  <c r="AU83" i="14"/>
  <c r="AW82" i="14"/>
  <c r="AU82" i="14"/>
  <c r="AW76" i="14"/>
  <c r="AW74" i="14"/>
  <c r="AT106" i="14"/>
  <c r="AU106" i="14"/>
  <c r="AT109" i="14"/>
  <c r="AU109" i="14"/>
  <c r="AT63" i="14"/>
  <c r="AT61" i="14"/>
  <c r="C205" i="22" l="1"/>
  <c r="H204" i="22"/>
  <c r="H203" i="22"/>
  <c r="D202" i="22"/>
  <c r="D201" i="22"/>
  <c r="G201" i="22" s="1"/>
  <c r="G200" i="22"/>
  <c r="E200" i="22"/>
  <c r="G199" i="22"/>
  <c r="E199" i="22"/>
  <c r="M247" i="22"/>
  <c r="I225" i="22"/>
  <c r="I224" i="22"/>
  <c r="J223" i="22"/>
  <c r="C50" i="22"/>
  <c r="I218" i="22"/>
  <c r="K238" i="22" s="1"/>
  <c r="L238" i="22" s="1"/>
  <c r="C255"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E227" i="14"/>
  <c r="C227" i="14"/>
  <c r="B227" i="14"/>
  <c r="C226" i="14"/>
  <c r="E225" i="14"/>
  <c r="C225" i="14"/>
  <c r="B225" i="14"/>
  <c r="C224" i="14"/>
  <c r="E223" i="14"/>
  <c r="C223" i="14"/>
  <c r="B223" i="14"/>
  <c r="C222" i="14"/>
  <c r="E221" i="14"/>
  <c r="C221" i="14"/>
  <c r="B221" i="14"/>
  <c r="C220" i="14"/>
  <c r="E219" i="14"/>
  <c r="C219" i="14"/>
  <c r="B219" i="14"/>
  <c r="G218" i="14"/>
  <c r="M190" i="14"/>
  <c r="M192" i="14" s="1"/>
  <c r="L190" i="14"/>
  <c r="L192" i="14" s="1"/>
  <c r="K190" i="14"/>
  <c r="K192" i="14" s="1"/>
  <c r="J190" i="14"/>
  <c r="J192" i="14" s="1"/>
  <c r="I190" i="14"/>
  <c r="I192" i="14" s="1"/>
  <c r="H190" i="14"/>
  <c r="H192" i="14" s="1"/>
  <c r="G190" i="14"/>
  <c r="G192" i="14" s="1"/>
  <c r="F190" i="14"/>
  <c r="F192" i="14" s="1"/>
  <c r="E190" i="14"/>
  <c r="E192" i="14" s="1"/>
  <c r="D190" i="14"/>
  <c r="D192" i="14" s="1"/>
  <c r="C190" i="14"/>
  <c r="M185" i="14"/>
  <c r="M187" i="14" s="1"/>
  <c r="L185" i="14"/>
  <c r="L187" i="14" s="1"/>
  <c r="K185" i="14"/>
  <c r="K187" i="14" s="1"/>
  <c r="J185" i="14"/>
  <c r="J187" i="14" s="1"/>
  <c r="I185" i="14"/>
  <c r="I187" i="14" s="1"/>
  <c r="H185" i="14"/>
  <c r="H187" i="14" s="1"/>
  <c r="G185" i="14"/>
  <c r="G187" i="14" s="1"/>
  <c r="F185" i="14"/>
  <c r="F187" i="14" s="1"/>
  <c r="E185" i="14"/>
  <c r="E187" i="14" s="1"/>
  <c r="D185" i="14"/>
  <c r="D187" i="14" s="1"/>
  <c r="C185" i="14"/>
  <c r="M181" i="14"/>
  <c r="M182" i="14" s="1"/>
  <c r="L181" i="14"/>
  <c r="L182" i="14" s="1"/>
  <c r="K181" i="14"/>
  <c r="K182" i="14" s="1"/>
  <c r="J181" i="14"/>
  <c r="J182" i="14" s="1"/>
  <c r="M177" i="14"/>
  <c r="M178" i="14" s="1"/>
  <c r="L177" i="14"/>
  <c r="L178" i="14" s="1"/>
  <c r="K177" i="14"/>
  <c r="K178" i="14" s="1"/>
  <c r="J177" i="14"/>
  <c r="J178" i="14" s="1"/>
  <c r="G128" i="14"/>
  <c r="G126" i="14"/>
  <c r="G125" i="14"/>
  <c r="AH109" i="14"/>
  <c r="AG109" i="14"/>
  <c r="AH106" i="14"/>
  <c r="AG106" i="14"/>
  <c r="AJ86" i="14"/>
  <c r="AH86" i="14"/>
  <c r="F85" i="14"/>
  <c r="D85" i="14"/>
  <c r="AJ85" i="14"/>
  <c r="AH85" i="14"/>
  <c r="F84" i="14"/>
  <c r="D84" i="14"/>
  <c r="AJ84" i="14"/>
  <c r="AH84" i="14"/>
  <c r="F83" i="14"/>
  <c r="D83" i="14"/>
  <c r="AJ83" i="14"/>
  <c r="AH83" i="14"/>
  <c r="F82" i="14"/>
  <c r="D82" i="14"/>
  <c r="AJ82" i="14"/>
  <c r="AH82" i="14"/>
  <c r="F81" i="14"/>
  <c r="D81" i="14"/>
  <c r="AJ76" i="14"/>
  <c r="F75" i="14"/>
  <c r="H85" i="14" s="1"/>
  <c r="D75" i="14"/>
  <c r="D74" i="14"/>
  <c r="AJ74" i="14"/>
  <c r="F73" i="14"/>
  <c r="H83" i="14" s="1"/>
  <c r="D73" i="14"/>
  <c r="D72" i="14"/>
  <c r="J65" i="14"/>
  <c r="J55" i="14"/>
  <c r="J53" i="14"/>
  <c r="J52" i="14"/>
  <c r="E17" i="14"/>
  <c r="C34" i="14" s="1"/>
  <c r="E15" i="14"/>
  <c r="C32" i="14" s="1"/>
  <c r="O32" i="14" s="1"/>
  <c r="F14" i="14"/>
  <c r="F13" i="14"/>
  <c r="F12" i="14"/>
  <c r="F11" i="14"/>
  <c r="E11" i="14"/>
  <c r="F28" i="14" s="1"/>
  <c r="F10" i="14"/>
  <c r="E10" i="14"/>
  <c r="C27" i="14" s="1"/>
  <c r="F9" i="14"/>
  <c r="E9" i="14"/>
  <c r="F26" i="14" s="1"/>
  <c r="F8" i="14"/>
  <c r="E8" i="14"/>
  <c r="F7" i="14"/>
  <c r="E7" i="14"/>
  <c r="F58" i="8"/>
  <c r="J33" i="8"/>
  <c r="J32" i="8"/>
  <c r="J31" i="8"/>
  <c r="J30" i="8"/>
  <c r="J29" i="8"/>
  <c r="C39" i="13"/>
  <c r="K34" i="13"/>
  <c r="L32" i="13" s="1"/>
  <c r="G34" i="13"/>
  <c r="H32" i="13" s="1"/>
  <c r="R31" i="13" s="1"/>
  <c r="R39" i="13" s="1"/>
  <c r="R47" i="13" s="1"/>
  <c r="C34" i="13"/>
  <c r="D32" i="13" s="1"/>
  <c r="Q31" i="13" s="1"/>
  <c r="Q39" i="13" s="1"/>
  <c r="Q47" i="13" s="1"/>
  <c r="K24" i="13"/>
  <c r="L23" i="13" s="1"/>
  <c r="M23" i="13" s="1"/>
  <c r="G24" i="13"/>
  <c r="H20" i="13" s="1"/>
  <c r="C24" i="13"/>
  <c r="D22" i="13" s="1"/>
  <c r="M14" i="13"/>
  <c r="E12" i="14" s="1"/>
  <c r="J14" i="13"/>
  <c r="E16" i="14" s="1"/>
  <c r="M13" i="13"/>
  <c r="E13" i="14" s="1"/>
  <c r="C30" i="14" s="1"/>
  <c r="M12" i="13"/>
  <c r="F33" i="8" s="1"/>
  <c r="M11" i="13"/>
  <c r="M10" i="13"/>
  <c r="E14" i="14" s="1"/>
  <c r="M9" i="13"/>
  <c r="M8" i="13"/>
  <c r="M7" i="13"/>
  <c r="M6" i="13"/>
  <c r="F30" i="8" s="1"/>
  <c r="M5" i="13"/>
  <c r="F31" i="8" s="1"/>
  <c r="M4" i="13"/>
  <c r="F32" i="8" s="1"/>
  <c r="M3" i="13"/>
  <c r="F30" i="7"/>
  <c r="C208" i="22" s="1"/>
  <c r="F14" i="6"/>
  <c r="F5" i="6"/>
  <c r="J10" i="5"/>
  <c r="G10" i="5"/>
  <c r="F10" i="5"/>
  <c r="E10" i="5"/>
  <c r="D10" i="5"/>
  <c r="C10" i="5"/>
  <c r="J9" i="5"/>
  <c r="G9" i="5"/>
  <c r="F9" i="5"/>
  <c r="E9" i="5"/>
  <c r="D9" i="5"/>
  <c r="C9" i="5"/>
  <c r="M32" i="13" l="1"/>
  <c r="S31" i="13"/>
  <c r="S39" i="13" s="1"/>
  <c r="S47" i="13" s="1"/>
  <c r="L20" i="13"/>
  <c r="N20" i="13" s="1"/>
  <c r="D31" i="13"/>
  <c r="Q30" i="13" s="1"/>
  <c r="Q38" i="13" s="1"/>
  <c r="Q46" i="13" s="1"/>
  <c r="L29" i="13"/>
  <c r="S28" i="13" s="1"/>
  <c r="C141" i="14"/>
  <c r="D141" i="14" s="1"/>
  <c r="G127" i="14"/>
  <c r="L21" i="13"/>
  <c r="N21" i="13" s="1"/>
  <c r="D30" i="13"/>
  <c r="Q29" i="13" s="1"/>
  <c r="U73" i="14"/>
  <c r="U75" i="14"/>
  <c r="AW72" i="14"/>
  <c r="U72" i="14"/>
  <c r="D33" i="13"/>
  <c r="Q32" i="13" s="1"/>
  <c r="Q40" i="13" s="1"/>
  <c r="Q48" i="13" s="1"/>
  <c r="J42" i="13"/>
  <c r="L22" i="13"/>
  <c r="N22" i="13" s="1"/>
  <c r="D29" i="13"/>
  <c r="Q28" i="13" s="1"/>
  <c r="Q36" i="13" s="1"/>
  <c r="Q44" i="13" s="1"/>
  <c r="AJ75" i="14"/>
  <c r="AW75" i="14"/>
  <c r="M18" i="14"/>
  <c r="AJ73" i="14"/>
  <c r="AW73" i="14"/>
  <c r="H31" i="13"/>
  <c r="H30" i="13"/>
  <c r="L31" i="13"/>
  <c r="L33" i="13"/>
  <c r="L19" i="13"/>
  <c r="M19" i="13" s="1"/>
  <c r="L30" i="13"/>
  <c r="H33" i="13"/>
  <c r="D20" i="13"/>
  <c r="F20" i="13" s="1"/>
  <c r="H29" i="13"/>
  <c r="F22" i="13"/>
  <c r="D23" i="13"/>
  <c r="F23" i="13" s="1"/>
  <c r="D19" i="13"/>
  <c r="F19" i="13" s="1"/>
  <c r="N23" i="13"/>
  <c r="L29" i="8"/>
  <c r="L31" i="8"/>
  <c r="D27" i="14"/>
  <c r="J27" i="14" s="1"/>
  <c r="M32" i="8"/>
  <c r="F141" i="14"/>
  <c r="J20" i="13"/>
  <c r="I20" i="13"/>
  <c r="N29" i="13"/>
  <c r="M29" i="13"/>
  <c r="J32" i="13"/>
  <c r="I32" i="13"/>
  <c r="E22" i="13"/>
  <c r="H23" i="13"/>
  <c r="H19" i="13"/>
  <c r="H22" i="13"/>
  <c r="H21" i="13"/>
  <c r="N32" i="13"/>
  <c r="F32" i="13"/>
  <c r="F33" i="13"/>
  <c r="M33" i="8"/>
  <c r="M31" i="8"/>
  <c r="M29" i="8"/>
  <c r="F30" i="13"/>
  <c r="J31" i="13"/>
  <c r="F18" i="8"/>
  <c r="J18" i="8" s="1"/>
  <c r="L18" i="8"/>
  <c r="I19" i="8"/>
  <c r="F20" i="8"/>
  <c r="J20" i="8" s="1"/>
  <c r="L20" i="8"/>
  <c r="I21" i="8"/>
  <c r="F22" i="8"/>
  <c r="J22" i="8" s="1"/>
  <c r="L22" i="8"/>
  <c r="F29" i="8"/>
  <c r="D21" i="13"/>
  <c r="C50" i="13"/>
  <c r="C49" i="13" s="1"/>
  <c r="F50" i="13" s="1"/>
  <c r="C43" i="13" s="1"/>
  <c r="L33" i="8"/>
  <c r="D203" i="22"/>
  <c r="E203" i="22" s="1"/>
  <c r="I18" i="8"/>
  <c r="F19" i="8"/>
  <c r="J19" i="8" s="1"/>
  <c r="L19" i="8"/>
  <c r="I20" i="8"/>
  <c r="F21" i="8"/>
  <c r="J21" i="8" s="1"/>
  <c r="L21" i="8"/>
  <c r="I22" i="8"/>
  <c r="L34" i="14"/>
  <c r="O34" i="14"/>
  <c r="D26" i="14"/>
  <c r="H27" i="14"/>
  <c r="N27" i="14" s="1"/>
  <c r="F74" i="14"/>
  <c r="H84" i="14" s="1"/>
  <c r="M19" i="14"/>
  <c r="K62" i="14"/>
  <c r="G26" i="14"/>
  <c r="G28" i="14"/>
  <c r="O182" i="14"/>
  <c r="M17" i="14"/>
  <c r="I26" i="14"/>
  <c r="M30" i="14"/>
  <c r="G10" i="14"/>
  <c r="F72" i="14"/>
  <c r="H82" i="14" s="1"/>
  <c r="O178" i="14"/>
  <c r="K64" i="14"/>
  <c r="C26" i="14"/>
  <c r="J26" i="14" s="1"/>
  <c r="H26" i="14"/>
  <c r="F27" i="14"/>
  <c r="L27" i="14" s="1"/>
  <c r="O192" i="14"/>
  <c r="E26" i="14"/>
  <c r="I223" i="22"/>
  <c r="K236" i="22"/>
  <c r="L236" i="22" s="1"/>
  <c r="K228" i="22"/>
  <c r="L228" i="22" s="1"/>
  <c r="K223" i="22"/>
  <c r="L223" i="22" s="1"/>
  <c r="K227" i="22"/>
  <c r="L227" i="22" s="1"/>
  <c r="K224" i="22"/>
  <c r="L224" i="22" s="1"/>
  <c r="K232" i="22"/>
  <c r="L232" i="22" s="1"/>
  <c r="G25" i="14"/>
  <c r="C25" i="14"/>
  <c r="F25" i="14"/>
  <c r="E25" i="14"/>
  <c r="G14" i="14"/>
  <c r="I25" i="14"/>
  <c r="O187" i="14"/>
  <c r="G8" i="14"/>
  <c r="C29" i="14"/>
  <c r="K61" i="14"/>
  <c r="G13" i="14"/>
  <c r="L32" i="14"/>
  <c r="N32" i="14"/>
  <c r="M32" i="14"/>
  <c r="K32" i="14"/>
  <c r="G12" i="14"/>
  <c r="D25" i="14"/>
  <c r="G7" i="14"/>
  <c r="G9" i="14"/>
  <c r="H25" i="14"/>
  <c r="J32" i="14"/>
  <c r="N30" i="14"/>
  <c r="J30" i="14"/>
  <c r="O30" i="14"/>
  <c r="AJ72" i="14"/>
  <c r="H28" i="14"/>
  <c r="D28" i="14"/>
  <c r="C33" i="14"/>
  <c r="K63" i="14"/>
  <c r="C28" i="14"/>
  <c r="I28" i="14"/>
  <c r="K30" i="14"/>
  <c r="C31" i="14"/>
  <c r="N34" i="14"/>
  <c r="J34" i="14"/>
  <c r="M34" i="14"/>
  <c r="H205" i="22"/>
  <c r="C24" i="14"/>
  <c r="I27" i="14"/>
  <c r="O27" i="14" s="1"/>
  <c r="E27" i="14"/>
  <c r="K27" i="14" s="1"/>
  <c r="G11" i="14"/>
  <c r="E24" i="14"/>
  <c r="G27" i="14"/>
  <c r="M27" i="14" s="1"/>
  <c r="E28" i="14"/>
  <c r="L30" i="14"/>
  <c r="K34" i="14"/>
  <c r="F71" i="14"/>
  <c r="H81" i="14" s="1"/>
  <c r="D204" i="22"/>
  <c r="E204" i="22" s="1"/>
  <c r="E202" i="22"/>
  <c r="K229" i="22"/>
  <c r="L229" i="22" s="1"/>
  <c r="K233" i="22"/>
  <c r="L233" i="22" s="1"/>
  <c r="K237" i="22"/>
  <c r="E201" i="22"/>
  <c r="G202" i="22"/>
  <c r="D205" i="22"/>
  <c r="K225" i="22"/>
  <c r="L225" i="22" s="1"/>
  <c r="K231" i="22"/>
  <c r="K234" i="22"/>
  <c r="L234" i="22" s="1"/>
  <c r="G256" i="14"/>
  <c r="G254" i="14"/>
  <c r="G252" i="14"/>
  <c r="G250" i="14"/>
  <c r="G248" i="14"/>
  <c r="G246" i="14"/>
  <c r="G244" i="14"/>
  <c r="G242" i="14"/>
  <c r="G240" i="14"/>
  <c r="G238" i="14"/>
  <c r="G236" i="14"/>
  <c r="G234" i="14"/>
  <c r="G232" i="14"/>
  <c r="G230" i="14"/>
  <c r="G228" i="14"/>
  <c r="G225" i="14"/>
  <c r="G224" i="14"/>
  <c r="G221" i="14"/>
  <c r="G220" i="14"/>
  <c r="G255" i="14"/>
  <c r="G253" i="14"/>
  <c r="G251" i="14"/>
  <c r="G249" i="14"/>
  <c r="G247" i="14"/>
  <c r="G245" i="14"/>
  <c r="G243" i="14"/>
  <c r="G241" i="14"/>
  <c r="G239" i="14"/>
  <c r="G237" i="14"/>
  <c r="G235" i="14"/>
  <c r="G233" i="14"/>
  <c r="G231" i="14"/>
  <c r="G229" i="14"/>
  <c r="G227" i="14"/>
  <c r="G226" i="14"/>
  <c r="G223" i="14"/>
  <c r="G222" i="14"/>
  <c r="G219" i="14"/>
  <c r="J24" i="14" l="1"/>
  <c r="M24" i="14"/>
  <c r="N33" i="13"/>
  <c r="S32" i="13"/>
  <c r="S40" i="13" s="1"/>
  <c r="S48" i="13" s="1"/>
  <c r="I31" i="13"/>
  <c r="R30" i="13"/>
  <c r="R38" i="13" s="1"/>
  <c r="R46" i="13" s="1"/>
  <c r="J29" i="13"/>
  <c r="R28" i="13"/>
  <c r="J33" i="13"/>
  <c r="R32" i="13"/>
  <c r="R40" i="13" s="1"/>
  <c r="R48" i="13" s="1"/>
  <c r="N30" i="13"/>
  <c r="S29" i="13"/>
  <c r="S37" i="13" s="1"/>
  <c r="S45" i="13" s="1"/>
  <c r="M31" i="13"/>
  <c r="S30" i="13"/>
  <c r="S38" i="13" s="1"/>
  <c r="S46" i="13" s="1"/>
  <c r="F31" i="13"/>
  <c r="I30" i="13"/>
  <c r="R29" i="13"/>
  <c r="R37" i="13" s="1"/>
  <c r="R45" i="13" s="1"/>
  <c r="S36" i="13"/>
  <c r="S44" i="13" s="1"/>
  <c r="Q37" i="13"/>
  <c r="Q34" i="13"/>
  <c r="M30" i="13"/>
  <c r="M21" i="13"/>
  <c r="N19" i="13"/>
  <c r="M20" i="13"/>
  <c r="D34" i="13"/>
  <c r="E32" i="13" s="1"/>
  <c r="C48" i="14"/>
  <c r="M22" i="13"/>
  <c r="M33" i="13"/>
  <c r="J43" i="13"/>
  <c r="J24" i="8"/>
  <c r="R66" i="14"/>
  <c r="N31" i="13"/>
  <c r="N34" i="13" s="1"/>
  <c r="C40" i="13"/>
  <c r="C41" i="13" s="1"/>
  <c r="C43" i="8"/>
  <c r="F29" i="13"/>
  <c r="F34" i="13" s="1"/>
  <c r="AT66" i="14"/>
  <c r="I33" i="13"/>
  <c r="E20" i="13"/>
  <c r="C12" i="23"/>
  <c r="E33" i="13"/>
  <c r="E19" i="13"/>
  <c r="C45" i="8"/>
  <c r="G18" i="8"/>
  <c r="M19" i="8"/>
  <c r="J46" i="13"/>
  <c r="L24" i="13"/>
  <c r="G21" i="8"/>
  <c r="E30" i="13"/>
  <c r="N24" i="13"/>
  <c r="M13" i="8" s="1"/>
  <c r="J30" i="13"/>
  <c r="J34" i="13" s="1"/>
  <c r="L34" i="13"/>
  <c r="I29" i="13"/>
  <c r="H34" i="13"/>
  <c r="L32" i="8"/>
  <c r="J50" i="13"/>
  <c r="E23" i="13"/>
  <c r="L24" i="8"/>
  <c r="G20" i="8"/>
  <c r="F49" i="13"/>
  <c r="F51" i="13"/>
  <c r="C44" i="13" s="1"/>
  <c r="I219" i="22"/>
  <c r="M21" i="8"/>
  <c r="M22" i="8"/>
  <c r="J23" i="13"/>
  <c r="I23" i="13"/>
  <c r="L231" i="22"/>
  <c r="L235" i="22" s="1"/>
  <c r="G19" i="8"/>
  <c r="M20" i="8"/>
  <c r="D24" i="13"/>
  <c r="J21" i="13"/>
  <c r="I21" i="13"/>
  <c r="F24" i="8"/>
  <c r="M18" i="8"/>
  <c r="I22" i="13"/>
  <c r="J22" i="13"/>
  <c r="E21" i="13"/>
  <c r="F21" i="13"/>
  <c r="F24" i="13" s="1"/>
  <c r="M11" i="8" s="1"/>
  <c r="G22" i="8"/>
  <c r="C55" i="8"/>
  <c r="C44" i="8"/>
  <c r="I24" i="8"/>
  <c r="H24" i="13"/>
  <c r="J19" i="13"/>
  <c r="I19" i="13"/>
  <c r="M26" i="14"/>
  <c r="N26" i="14"/>
  <c r="K26" i="14"/>
  <c r="L26" i="14"/>
  <c r="O26" i="14"/>
  <c r="L28" i="14"/>
  <c r="O28" i="14"/>
  <c r="J28" i="14"/>
  <c r="N28" i="14"/>
  <c r="M28" i="14"/>
  <c r="K28" i="14"/>
  <c r="K65" i="14"/>
  <c r="O31" i="14"/>
  <c r="K31" i="14"/>
  <c r="J31" i="14"/>
  <c r="N31" i="14"/>
  <c r="M31" i="14"/>
  <c r="L31" i="14"/>
  <c r="M33" i="14"/>
  <c r="L33" i="14"/>
  <c r="K33" i="14"/>
  <c r="O33" i="14"/>
  <c r="J33" i="14"/>
  <c r="N33" i="14"/>
  <c r="M29" i="14"/>
  <c r="N29" i="14"/>
  <c r="L29" i="14"/>
  <c r="K29" i="14"/>
  <c r="O29" i="14"/>
  <c r="J29" i="14"/>
  <c r="O25" i="14"/>
  <c r="K25" i="14"/>
  <c r="L25" i="14"/>
  <c r="J25" i="14"/>
  <c r="N25" i="14"/>
  <c r="M25" i="14"/>
  <c r="L24" i="14"/>
  <c r="N24" i="14"/>
  <c r="O24" i="14"/>
  <c r="K24" i="14"/>
  <c r="L237" i="22"/>
  <c r="L252" i="22" s="1"/>
  <c r="I227" i="22"/>
  <c r="G204" i="22"/>
  <c r="F204" i="22" s="1"/>
  <c r="G203" i="22"/>
  <c r="F203" i="22" s="1"/>
  <c r="G205" i="22"/>
  <c r="F205" i="22" s="1"/>
  <c r="I229" i="22"/>
  <c r="L247" i="22" s="1"/>
  <c r="J47" i="13" l="1"/>
  <c r="E34" i="13"/>
  <c r="J49" i="13"/>
  <c r="E29" i="13"/>
  <c r="R34" i="13"/>
  <c r="R36" i="13"/>
  <c r="R44" i="13" s="1"/>
  <c r="J48" i="13"/>
  <c r="E31" i="13"/>
  <c r="D66" i="8" s="1"/>
  <c r="S34" i="13"/>
  <c r="M34" i="13"/>
  <c r="Q45" i="13"/>
  <c r="M24" i="13"/>
  <c r="C47" i="14"/>
  <c r="C11" i="23"/>
  <c r="I34" i="13"/>
  <c r="C50" i="8"/>
  <c r="J39" i="13"/>
  <c r="E54" i="13" s="1"/>
  <c r="J41" i="13" s="1"/>
  <c r="D67" i="8"/>
  <c r="D68" i="8"/>
  <c r="D65" i="8"/>
  <c r="C45" i="13"/>
  <c r="C49" i="8" s="1"/>
  <c r="C51" i="8"/>
  <c r="J34" i="8"/>
  <c r="J35" i="8" s="1"/>
  <c r="AT65" i="14"/>
  <c r="G24" i="8"/>
  <c r="J24" i="13"/>
  <c r="M12" i="8" s="1"/>
  <c r="I238" i="22"/>
  <c r="L248" i="22" s="1"/>
  <c r="L249" i="22" s="1"/>
  <c r="F34" i="8"/>
  <c r="C57" i="8"/>
  <c r="C56" i="8"/>
  <c r="C58" i="8"/>
  <c r="M24" i="8"/>
  <c r="I24" i="13"/>
  <c r="E24" i="13"/>
  <c r="R65" i="14"/>
  <c r="L62" i="14"/>
  <c r="L64" i="14"/>
  <c r="L61" i="14"/>
  <c r="L63" i="14"/>
  <c r="J51" i="13" l="1"/>
  <c r="J55" i="13" s="1"/>
  <c r="D34" i="8"/>
  <c r="H34" i="8" s="1"/>
  <c r="R41" i="13"/>
  <c r="Q41" i="13"/>
  <c r="S41" i="13"/>
  <c r="J44" i="13"/>
  <c r="E55" i="13"/>
  <c r="E78" i="23" s="1"/>
  <c r="F78" i="23" s="1"/>
  <c r="C63" i="8"/>
  <c r="M227" i="22" s="1"/>
  <c r="E57" i="13"/>
  <c r="H71" i="14"/>
  <c r="J81" i="14" s="1"/>
  <c r="AA74" i="14"/>
  <c r="AC84" i="14" s="1"/>
  <c r="AA76" i="14"/>
  <c r="AC86" i="14" s="1"/>
  <c r="AA72" i="14"/>
  <c r="AC82" i="14" s="1"/>
  <c r="AA73" i="14"/>
  <c r="AC83" i="14" s="1"/>
  <c r="AA75" i="14"/>
  <c r="AC85" i="14" s="1"/>
  <c r="Y76" i="14"/>
  <c r="AA86" i="14" s="1"/>
  <c r="Y74" i="14"/>
  <c r="AA84" i="14" s="1"/>
  <c r="Y73" i="14"/>
  <c r="AA83" i="14" s="1"/>
  <c r="Y75" i="14"/>
  <c r="AA85" i="14" s="1"/>
  <c r="Y72" i="14"/>
  <c r="AA82" i="14" s="1"/>
  <c r="W74" i="14"/>
  <c r="Y84" i="14" s="1"/>
  <c r="W76" i="14"/>
  <c r="Y86" i="14" s="1"/>
  <c r="W75" i="14"/>
  <c r="Y85" i="14" s="1"/>
  <c r="W73" i="14"/>
  <c r="Y83" i="14" s="1"/>
  <c r="W72" i="14"/>
  <c r="Y82" i="14" s="1"/>
  <c r="L34" i="8"/>
  <c r="L35" i="8" s="1"/>
  <c r="C78" i="8" s="1"/>
  <c r="C47" i="8"/>
  <c r="E47" i="8" s="1"/>
  <c r="C60" i="8"/>
  <c r="C61" i="8" s="1"/>
  <c r="C53" i="8" s="1"/>
  <c r="J75" i="14"/>
  <c r="L85" i="14" s="1"/>
  <c r="J73" i="14"/>
  <c r="L83" i="14" s="1"/>
  <c r="J74" i="14"/>
  <c r="L84" i="14" s="1"/>
  <c r="J71" i="14"/>
  <c r="L81" i="14" s="1"/>
  <c r="J72" i="14"/>
  <c r="L82" i="14" s="1"/>
  <c r="H75" i="14"/>
  <c r="J85" i="14" s="1"/>
  <c r="H72" i="14"/>
  <c r="J82" i="14" s="1"/>
  <c r="H73" i="14"/>
  <c r="J83" i="14" s="1"/>
  <c r="L65" i="14"/>
  <c r="H74" i="14"/>
  <c r="J84" i="14" s="1"/>
  <c r="L73" i="14"/>
  <c r="N83" i="14" s="1"/>
  <c r="L74" i="14"/>
  <c r="N84" i="14" s="1"/>
  <c r="L71" i="14"/>
  <c r="N81" i="14" s="1"/>
  <c r="L75" i="14"/>
  <c r="N85" i="14" s="1"/>
  <c r="L72" i="14"/>
  <c r="N82" i="14" s="1"/>
  <c r="J57" i="13" l="1"/>
  <c r="D32" i="8" s="1"/>
  <c r="H32" i="8" s="1"/>
  <c r="J58" i="13"/>
  <c r="D33" i="8" s="1"/>
  <c r="H33" i="8" s="1"/>
  <c r="J54" i="13"/>
  <c r="D29" i="8" s="1"/>
  <c r="H29" i="8" s="1"/>
  <c r="J56" i="13"/>
  <c r="D31" i="8" s="1"/>
  <c r="H31" i="8" s="1"/>
  <c r="S49" i="13"/>
  <c r="S50" i="13" s="1"/>
  <c r="S42" i="13"/>
  <c r="Q49" i="13"/>
  <c r="Q50" i="13" s="1"/>
  <c r="Q42" i="13"/>
  <c r="R42" i="13"/>
  <c r="R49" i="13"/>
  <c r="R50" i="13" s="1"/>
  <c r="W107" i="14"/>
  <c r="X107" i="14" s="1"/>
  <c r="C167" i="22"/>
  <c r="D30" i="8"/>
  <c r="H30" i="8" s="1"/>
  <c r="H108" i="14"/>
  <c r="I108" i="14" s="1"/>
  <c r="E56" i="13"/>
  <c r="W105" i="14" s="1"/>
  <c r="W109" i="14"/>
  <c r="X109" i="14" s="1"/>
  <c r="AL109" i="14"/>
  <c r="AM109" i="14" s="1"/>
  <c r="AY109" i="14"/>
  <c r="AZ109" i="14" s="1"/>
  <c r="H106" i="14"/>
  <c r="I106" i="14" s="1"/>
  <c r="AY107" i="14"/>
  <c r="AZ107" i="14" s="1"/>
  <c r="AL107" i="14"/>
  <c r="AM107" i="14" s="1"/>
  <c r="E76" i="23"/>
  <c r="F76" i="23" s="1"/>
  <c r="E59" i="13"/>
  <c r="M228" i="22"/>
  <c r="C71" i="8"/>
  <c r="C73" i="8" s="1"/>
  <c r="J59" i="13" l="1"/>
  <c r="D7" i="24"/>
  <c r="C186" i="22"/>
  <c r="C169" i="22"/>
  <c r="C170" i="22"/>
  <c r="D35" i="8"/>
  <c r="J108" i="14"/>
  <c r="L108" i="14" s="1"/>
  <c r="E74" i="23"/>
  <c r="F74" i="23" s="1"/>
  <c r="F79" i="23" s="1"/>
  <c r="H104" i="14"/>
  <c r="I104" i="14" s="1"/>
  <c r="AY105" i="14"/>
  <c r="AY110" i="14" s="1"/>
  <c r="AL105" i="14"/>
  <c r="AL110" i="14" s="1"/>
  <c r="W110" i="14"/>
  <c r="BA109" i="14"/>
  <c r="BC109" i="14" s="1"/>
  <c r="AN109" i="14"/>
  <c r="AP109" i="14" s="1"/>
  <c r="Y109" i="14"/>
  <c r="AA109" i="14" s="1"/>
  <c r="X105" i="14"/>
  <c r="X110" i="14" s="1"/>
  <c r="C75" i="8"/>
  <c r="C81" i="8" s="1"/>
  <c r="G79" i="22" s="1"/>
  <c r="I76" i="8"/>
  <c r="G141" i="22" l="1"/>
  <c r="C5" i="23" s="1"/>
  <c r="H109" i="14"/>
  <c r="E79" i="23"/>
  <c r="AZ105" i="14"/>
  <c r="AZ110" i="14" s="1"/>
  <c r="AM105" i="14"/>
  <c r="AM110" i="14" s="1"/>
  <c r="C141" i="22"/>
  <c r="I109" i="14"/>
  <c r="AP123" i="14" l="1"/>
  <c r="AT59" i="14"/>
  <c r="AN122" i="14" s="1"/>
  <c r="AN121" i="14" l="1"/>
  <c r="AT62" i="14"/>
  <c r="AT64" i="14" s="1"/>
  <c r="AZ77" i="14" l="1"/>
  <c r="AZ87" i="14" s="1"/>
  <c r="AT104" i="14" s="1"/>
  <c r="AU104" i="14" s="1"/>
  <c r="AV76" i="14"/>
  <c r="AX76" i="14" s="1"/>
  <c r="AV75" i="14"/>
  <c r="AX85" i="14" s="1"/>
  <c r="AX78" i="14"/>
  <c r="BB88" i="14" s="1"/>
  <c r="AT105" i="14" s="1"/>
  <c r="AV73" i="14"/>
  <c r="AV83" i="14" s="1"/>
  <c r="AV72" i="14"/>
  <c r="AV82" i="14" s="1"/>
  <c r="AV74" i="14"/>
  <c r="AV84" i="14" s="1"/>
  <c r="BB79" i="14"/>
  <c r="AV89" i="14" s="1"/>
  <c r="AX86" i="14" l="1"/>
  <c r="AV105" i="14"/>
  <c r="BA105" i="14" s="1"/>
  <c r="BC105" i="14" s="1"/>
  <c r="AV85" i="14"/>
  <c r="AV86" i="14"/>
  <c r="AX83" i="14"/>
  <c r="AU105" i="14"/>
  <c r="AX75" i="14"/>
  <c r="AX73" i="14"/>
  <c r="AX74" i="14"/>
  <c r="AX84" i="14"/>
  <c r="AX72" i="14"/>
  <c r="AX82" i="14"/>
  <c r="AT96" i="14" l="1"/>
  <c r="AU96" i="14" s="1"/>
  <c r="AT107" i="14"/>
  <c r="AU107" i="14" s="1"/>
  <c r="AW105" i="14"/>
  <c r="AT108" i="14"/>
  <c r="AV108" i="14" s="1"/>
  <c r="AU108" i="14" l="1"/>
  <c r="AU110" i="14" s="1"/>
  <c r="AT110" i="14"/>
  <c r="BA108" i="14"/>
  <c r="AW108" i="14"/>
  <c r="BC108" i="14" l="1"/>
  <c r="G154" i="20" l="1"/>
  <c r="G155" i="20" l="1"/>
  <c r="G143" i="20" s="1"/>
  <c r="G148" i="20" l="1"/>
  <c r="G149" i="20"/>
  <c r="G139" i="20"/>
  <c r="G142" i="20"/>
  <c r="G147" i="20"/>
  <c r="G150" i="20"/>
  <c r="G145" i="20"/>
  <c r="G140" i="20"/>
  <c r="G146" i="20"/>
  <c r="G141" i="20"/>
  <c r="G151" i="20"/>
  <c r="G144" i="20"/>
  <c r="I154" i="20"/>
  <c r="I155" i="20" l="1"/>
  <c r="I140" i="20" s="1"/>
  <c r="I146" i="20" l="1"/>
  <c r="I148" i="20"/>
  <c r="I142" i="20"/>
  <c r="I145" i="20"/>
  <c r="I143" i="20"/>
  <c r="I147" i="20"/>
  <c r="I144" i="20"/>
  <c r="I141" i="20"/>
  <c r="I139" i="20"/>
  <c r="I150" i="20"/>
  <c r="I149" i="20"/>
  <c r="I151" i="20"/>
  <c r="D19" i="20" l="1"/>
  <c r="C16" i="22" l="1"/>
  <c r="C18" i="22" s="1"/>
  <c r="R59" i="14" s="1"/>
  <c r="D20" i="20"/>
  <c r="D21" i="20"/>
  <c r="E141" i="14"/>
  <c r="M248" i="22"/>
  <c r="M249" i="22" s="1"/>
  <c r="R62" i="14" l="1"/>
  <c r="R64" i="14" s="1"/>
  <c r="AI74" i="14" s="1"/>
  <c r="AN120" i="14"/>
  <c r="G132" i="14"/>
  <c r="C40" i="14"/>
  <c r="C44" i="14" s="1"/>
  <c r="C46" i="14" l="1"/>
  <c r="E88" i="14" s="1"/>
  <c r="T76" i="14"/>
  <c r="V86" i="14" s="1"/>
  <c r="AB79" i="14"/>
  <c r="T89" i="14" s="1"/>
  <c r="AO79" i="14"/>
  <c r="T75" i="14"/>
  <c r="AB75" i="14" s="1"/>
  <c r="AD85" i="14" s="1"/>
  <c r="AI89" i="14"/>
  <c r="V78" i="14"/>
  <c r="X88" i="14" s="1"/>
  <c r="R105" i="14" s="1"/>
  <c r="T105" i="14" s="1"/>
  <c r="AM87" i="14"/>
  <c r="AG104" i="14" s="1"/>
  <c r="AH104" i="14" s="1"/>
  <c r="AO88" i="14"/>
  <c r="AG105" i="14" s="1"/>
  <c r="AI105" i="14" s="1"/>
  <c r="T73" i="14"/>
  <c r="V73" i="14" s="1"/>
  <c r="T72" i="14"/>
  <c r="T82" i="14" s="1"/>
  <c r="AI76" i="14"/>
  <c r="AI86" i="14" s="1"/>
  <c r="AI75" i="14"/>
  <c r="AI85" i="14" s="1"/>
  <c r="AI73" i="14"/>
  <c r="AK83" i="14" s="1"/>
  <c r="AK78" i="14"/>
  <c r="AI72" i="14"/>
  <c r="AK72" i="14" s="1"/>
  <c r="X77" i="14"/>
  <c r="Z87" i="14" s="1"/>
  <c r="R104" i="14" s="1"/>
  <c r="S104" i="14" s="1"/>
  <c r="AM77" i="14"/>
  <c r="T74" i="14"/>
  <c r="V74" i="14" s="1"/>
  <c r="AK84" i="14"/>
  <c r="AK74" i="14"/>
  <c r="AI84" i="14"/>
  <c r="C55" i="14" l="1"/>
  <c r="F56" i="14" s="1"/>
  <c r="I87" i="14"/>
  <c r="C104" i="14" s="1"/>
  <c r="D104" i="14" s="1"/>
  <c r="E75" i="14"/>
  <c r="E85" i="14" s="1"/>
  <c r="M78" i="14"/>
  <c r="E73" i="14"/>
  <c r="M73" i="14" s="1"/>
  <c r="O83" i="14" s="1"/>
  <c r="E74" i="14"/>
  <c r="G84" i="14" s="1"/>
  <c r="C64" i="14"/>
  <c r="F64" i="14" s="1"/>
  <c r="K86" i="14"/>
  <c r="C103" i="14" s="1"/>
  <c r="D103" i="14" s="1"/>
  <c r="C61" i="14"/>
  <c r="F61" i="14" s="1"/>
  <c r="C52" i="14"/>
  <c r="F52" i="14" s="1"/>
  <c r="I76" i="14"/>
  <c r="G77" i="14"/>
  <c r="C58" i="14"/>
  <c r="F58" i="14" s="1"/>
  <c r="E71" i="14"/>
  <c r="K71" i="14" s="1"/>
  <c r="E72" i="14"/>
  <c r="E82" i="14" s="1"/>
  <c r="Z74" i="14"/>
  <c r="AB84" i="14" s="1"/>
  <c r="Z72" i="14"/>
  <c r="AB82" i="14" s="1"/>
  <c r="V76" i="14"/>
  <c r="AB76" i="14"/>
  <c r="AD86" i="14" s="1"/>
  <c r="X76" i="14"/>
  <c r="Z86" i="14" s="1"/>
  <c r="V83" i="14"/>
  <c r="Z76" i="14"/>
  <c r="AB86" i="14" s="1"/>
  <c r="T86" i="14"/>
  <c r="AI83" i="14"/>
  <c r="AK86" i="14"/>
  <c r="S105" i="14"/>
  <c r="V75" i="14"/>
  <c r="V84" i="14"/>
  <c r="V72" i="14"/>
  <c r="AK76" i="14"/>
  <c r="T84" i="14"/>
  <c r="AB72" i="14"/>
  <c r="AD82" i="14" s="1"/>
  <c r="AK82" i="14"/>
  <c r="AB74" i="14"/>
  <c r="AD84" i="14" s="1"/>
  <c r="AI82" i="14"/>
  <c r="V82" i="14"/>
  <c r="AH105" i="14"/>
  <c r="X75" i="14"/>
  <c r="Z85" i="14" s="1"/>
  <c r="X74" i="14"/>
  <c r="Z84" i="14" s="1"/>
  <c r="X72" i="14"/>
  <c r="Z82" i="14" s="1"/>
  <c r="Z75" i="14"/>
  <c r="AB85" i="14" s="1"/>
  <c r="V85" i="14"/>
  <c r="T85" i="14"/>
  <c r="AK75" i="14"/>
  <c r="Z73" i="14"/>
  <c r="AB83" i="14" s="1"/>
  <c r="AK73" i="14"/>
  <c r="AB73" i="14"/>
  <c r="AD83" i="14" s="1"/>
  <c r="T83" i="14"/>
  <c r="AK85" i="14"/>
  <c r="X73" i="14"/>
  <c r="Z83" i="14" s="1"/>
  <c r="AJ105" i="14"/>
  <c r="AN105" i="14"/>
  <c r="U105" i="14"/>
  <c r="Y105" i="14"/>
  <c r="C56" i="14" l="1"/>
  <c r="F55" i="14"/>
  <c r="G75" i="14"/>
  <c r="G85" i="14"/>
  <c r="E84" i="14"/>
  <c r="G83" i="14"/>
  <c r="M75" i="14"/>
  <c r="O85" i="14" s="1"/>
  <c r="I73" i="14"/>
  <c r="K83" i="14" s="1"/>
  <c r="K74" i="14"/>
  <c r="M84" i="14" s="1"/>
  <c r="G73" i="14"/>
  <c r="I75" i="14"/>
  <c r="K85" i="14" s="1"/>
  <c r="E83" i="14"/>
  <c r="K75" i="14"/>
  <c r="M85" i="14" s="1"/>
  <c r="K73" i="14"/>
  <c r="M83" i="14" s="1"/>
  <c r="M74" i="14"/>
  <c r="O84" i="14" s="1"/>
  <c r="I74" i="14"/>
  <c r="K84" i="14" s="1"/>
  <c r="G74" i="14"/>
  <c r="F65" i="14"/>
  <c r="F53" i="14"/>
  <c r="C65" i="14"/>
  <c r="I72" i="14"/>
  <c r="K82" i="14" s="1"/>
  <c r="F62" i="14"/>
  <c r="C62" i="14"/>
  <c r="K72" i="14"/>
  <c r="M82" i="14" s="1"/>
  <c r="G71" i="14"/>
  <c r="C53" i="14"/>
  <c r="G72" i="14"/>
  <c r="M72" i="14"/>
  <c r="O82" i="14" s="1"/>
  <c r="I71" i="14"/>
  <c r="K81" i="14" s="1"/>
  <c r="F59" i="14"/>
  <c r="G82" i="14"/>
  <c r="G81" i="14"/>
  <c r="E81" i="14"/>
  <c r="M71" i="14"/>
  <c r="O81" i="14" s="1"/>
  <c r="C59" i="14"/>
  <c r="AG108" i="14"/>
  <c r="AI108" i="14" s="1"/>
  <c r="AG107" i="14"/>
  <c r="R96" i="14"/>
  <c r="S96" i="14" s="1"/>
  <c r="AH96" i="14" s="1"/>
  <c r="R98" i="14"/>
  <c r="S98" i="14" s="1"/>
  <c r="R107" i="14"/>
  <c r="S107" i="14" s="1"/>
  <c r="R108" i="14"/>
  <c r="S108" i="14" s="1"/>
  <c r="R95" i="14"/>
  <c r="S95" i="14" s="1"/>
  <c r="R97" i="14"/>
  <c r="S97" i="14" s="1"/>
  <c r="M81" i="14"/>
  <c r="AP105" i="14"/>
  <c r="AA105" i="14"/>
  <c r="I82" i="14" l="1"/>
  <c r="I85" i="14"/>
  <c r="I83" i="14"/>
  <c r="C106" i="14"/>
  <c r="D106" i="14" s="1"/>
  <c r="C95" i="14"/>
  <c r="D95" i="14" s="1"/>
  <c r="I84" i="14"/>
  <c r="C107" i="14"/>
  <c r="E107" i="14" s="1"/>
  <c r="I81" i="14"/>
  <c r="C94" i="14"/>
  <c r="D94" i="14" s="1"/>
  <c r="C96" i="14"/>
  <c r="D96" i="14" s="1"/>
  <c r="C97" i="14"/>
  <c r="D97" i="14" s="1"/>
  <c r="I97" i="14" s="1"/>
  <c r="H97" i="14" s="1"/>
  <c r="AH108" i="14"/>
  <c r="AG110" i="14"/>
  <c r="AH107" i="14"/>
  <c r="T107" i="14"/>
  <c r="Y107" i="14" s="1"/>
  <c r="T108" i="14"/>
  <c r="Y108" i="14" s="1"/>
  <c r="V115" i="14"/>
  <c r="R110" i="14"/>
  <c r="T104" i="14"/>
  <c r="Y104" i="14" s="1"/>
  <c r="U115" i="14"/>
  <c r="X115" i="14"/>
  <c r="W115" i="14"/>
  <c r="S115" i="14"/>
  <c r="R99" i="14"/>
  <c r="D15" i="20" s="1"/>
  <c r="Y115" i="14"/>
  <c r="R115" i="14"/>
  <c r="T106" i="14"/>
  <c r="Y106" i="14" s="1"/>
  <c r="S110" i="14"/>
  <c r="AG96" i="14"/>
  <c r="S99" i="14"/>
  <c r="T95" i="14" s="1"/>
  <c r="AJ108" i="14"/>
  <c r="AN108" i="14"/>
  <c r="D107" i="14" l="1"/>
  <c r="D109" i="14" s="1"/>
  <c r="C109" i="14"/>
  <c r="C98" i="14"/>
  <c r="AH110" i="14"/>
  <c r="U107" i="14"/>
  <c r="U108" i="14"/>
  <c r="U104" i="14"/>
  <c r="T115" i="14"/>
  <c r="U106" i="14"/>
  <c r="T110" i="14"/>
  <c r="T97" i="14"/>
  <c r="I94" i="14"/>
  <c r="D98" i="14"/>
  <c r="J107" i="14"/>
  <c r="F107" i="14"/>
  <c r="I96" i="14"/>
  <c r="AA107" i="14"/>
  <c r="AA108" i="14"/>
  <c r="AA106" i="14"/>
  <c r="Y116" i="14"/>
  <c r="X116" i="14"/>
  <c r="R116" i="14"/>
  <c r="R117" i="14"/>
  <c r="W117" i="14"/>
  <c r="Z117" i="14" s="1"/>
  <c r="X117" i="14"/>
  <c r="S116" i="14"/>
  <c r="S117" i="14"/>
  <c r="W116" i="14"/>
  <c r="V116" i="14"/>
  <c r="V117" i="14"/>
  <c r="AA104" i="14"/>
  <c r="Y117" i="14"/>
  <c r="U116" i="14"/>
  <c r="U117" i="14"/>
  <c r="Y110" i="14"/>
  <c r="AP108" i="14"/>
  <c r="T98" i="14"/>
  <c r="T96" i="14"/>
  <c r="G133" i="14" s="1"/>
  <c r="U110" i="14" l="1"/>
  <c r="V105" i="14" s="1"/>
  <c r="H96" i="14"/>
  <c r="E95" i="14"/>
  <c r="J95" i="14" s="1"/>
  <c r="E104" i="14" s="1"/>
  <c r="E97" i="14"/>
  <c r="E96" i="14"/>
  <c r="H94" i="14"/>
  <c r="L107" i="14"/>
  <c r="AU97" i="14"/>
  <c r="AT97" i="14" s="1"/>
  <c r="AV106" i="14" s="1"/>
  <c r="AH95" i="14"/>
  <c r="AG95" i="14" s="1"/>
  <c r="E94" i="14"/>
  <c r="Z109" i="14"/>
  <c r="D16" i="20"/>
  <c r="Z105" i="14"/>
  <c r="AA110" i="14"/>
  <c r="AB104" i="14" s="1"/>
  <c r="Z107" i="14"/>
  <c r="T117" i="14"/>
  <c r="Z108" i="14"/>
  <c r="AU95" i="14"/>
  <c r="AH98" i="14"/>
  <c r="AU98" i="14"/>
  <c r="Z116" i="14"/>
  <c r="G129" i="14"/>
  <c r="G131" i="14" s="1"/>
  <c r="T116" i="14"/>
  <c r="T99" i="14"/>
  <c r="Z104" i="14"/>
  <c r="Z106" i="14"/>
  <c r="AH97" i="14"/>
  <c r="I95" i="14" l="1"/>
  <c r="F104" i="14"/>
  <c r="J104" i="14"/>
  <c r="V108" i="14"/>
  <c r="V107" i="14"/>
  <c r="V106" i="14"/>
  <c r="V104" i="14"/>
  <c r="AB106" i="14"/>
  <c r="AB108" i="14"/>
  <c r="E98" i="14"/>
  <c r="AU99" i="14"/>
  <c r="AV98" i="14" s="1"/>
  <c r="AT95" i="14"/>
  <c r="AT98" i="14"/>
  <c r="AV107" i="14" s="1"/>
  <c r="AI104" i="14"/>
  <c r="AB109" i="14"/>
  <c r="AB105" i="14"/>
  <c r="G134" i="14" s="1"/>
  <c r="AG97" i="14"/>
  <c r="AI106" i="14" s="1"/>
  <c r="AG98" i="14"/>
  <c r="AI107" i="14" s="1"/>
  <c r="BA106" i="14"/>
  <c r="AW106" i="14"/>
  <c r="AH99" i="14"/>
  <c r="AB107" i="14"/>
  <c r="Z110" i="14"/>
  <c r="L104" i="14" l="1"/>
  <c r="H95" i="14"/>
  <c r="H98" i="14" s="1"/>
  <c r="N95" i="14"/>
  <c r="M95" i="14" s="1"/>
  <c r="I98" i="14"/>
  <c r="V110" i="14"/>
  <c r="AB110" i="14"/>
  <c r="AI96" i="14"/>
  <c r="C20" i="22" s="1"/>
  <c r="AI95" i="14"/>
  <c r="AN107" i="14"/>
  <c r="AJ107" i="14"/>
  <c r="AG115" i="14"/>
  <c r="AJ115" i="14"/>
  <c r="AY115" i="14"/>
  <c r="AZ115" i="14"/>
  <c r="AT99" i="14"/>
  <c r="AW115" i="14"/>
  <c r="AT115" i="14"/>
  <c r="BA115" i="14"/>
  <c r="AX115" i="14"/>
  <c r="AU115" i="14"/>
  <c r="AV104" i="14"/>
  <c r="AJ106" i="14"/>
  <c r="AN106" i="14"/>
  <c r="AL115" i="14"/>
  <c r="AK115" i="14"/>
  <c r="AV96" i="14"/>
  <c r="AV97" i="14"/>
  <c r="BC106" i="14"/>
  <c r="AI97" i="14"/>
  <c r="AJ104" i="14"/>
  <c r="AN104" i="14"/>
  <c r="AI110" i="14"/>
  <c r="AH115" i="14"/>
  <c r="AG99" i="14"/>
  <c r="AI98" i="14"/>
  <c r="AM115" i="14"/>
  <c r="AN115" i="14"/>
  <c r="AW107" i="14"/>
  <c r="BA107" i="14"/>
  <c r="AV95" i="14"/>
  <c r="C129" i="22" l="1"/>
  <c r="G126" i="22"/>
  <c r="J97" i="14"/>
  <c r="N97" i="14" s="1"/>
  <c r="M97" i="14" s="1"/>
  <c r="J94" i="14"/>
  <c r="J96" i="14"/>
  <c r="N96" i="14" s="1"/>
  <c r="M96" i="14" s="1"/>
  <c r="AV115" i="14"/>
  <c r="AV99" i="14"/>
  <c r="AI115" i="14"/>
  <c r="AI99" i="14"/>
  <c r="AJ110" i="14"/>
  <c r="AK106" i="14" s="1"/>
  <c r="BC107" i="14"/>
  <c r="AP106" i="14"/>
  <c r="AV110" i="14"/>
  <c r="D17" i="20" s="1"/>
  <c r="AW104" i="14"/>
  <c r="BA104" i="14"/>
  <c r="K72" i="22"/>
  <c r="C72" i="22"/>
  <c r="G72" i="22"/>
  <c r="C143" i="22"/>
  <c r="G142" i="22" s="1"/>
  <c r="AJ116" i="14"/>
  <c r="AN117" i="14"/>
  <c r="AG117" i="14"/>
  <c r="AL117" i="14"/>
  <c r="AN116" i="14"/>
  <c r="AJ117" i="14"/>
  <c r="AK117" i="14"/>
  <c r="AG116" i="14"/>
  <c r="AH116" i="14"/>
  <c r="AL116" i="14"/>
  <c r="AM116" i="14"/>
  <c r="AH117" i="14"/>
  <c r="AK116" i="14"/>
  <c r="AN110" i="14"/>
  <c r="AP104" i="14"/>
  <c r="AM117" i="14"/>
  <c r="AP107" i="14"/>
  <c r="E105" i="14" l="1"/>
  <c r="E106" i="14"/>
  <c r="J98" i="14"/>
  <c r="N94" i="14"/>
  <c r="AI116" i="14"/>
  <c r="AI117" i="14"/>
  <c r="AT117" i="14"/>
  <c r="AT116" i="14"/>
  <c r="AZ117" i="14"/>
  <c r="AX117" i="14"/>
  <c r="BA117" i="14"/>
  <c r="BB117" i="14" s="1"/>
  <c r="AU116" i="14"/>
  <c r="BA110" i="14"/>
  <c r="AY116" i="14"/>
  <c r="AW116" i="14"/>
  <c r="AY117" i="14"/>
  <c r="AZ116" i="14"/>
  <c r="BC104" i="14"/>
  <c r="BA116" i="14"/>
  <c r="AX116" i="14"/>
  <c r="AU117" i="14"/>
  <c r="AW117" i="14"/>
  <c r="AK105" i="14"/>
  <c r="AK108" i="14"/>
  <c r="AP110" i="14"/>
  <c r="C142" i="22"/>
  <c r="AW110" i="14"/>
  <c r="AK104" i="14"/>
  <c r="AO109" i="14"/>
  <c r="AO105" i="14"/>
  <c r="AO108" i="14"/>
  <c r="AO104" i="14"/>
  <c r="C21" i="22"/>
  <c r="AO117" i="14"/>
  <c r="AO107" i="14"/>
  <c r="AK107" i="14"/>
  <c r="AO106" i="14"/>
  <c r="C144" i="22" l="1"/>
  <c r="C145" i="22" s="1"/>
  <c r="D43" i="20" s="1"/>
  <c r="BB104" i="14"/>
  <c r="C80" i="22"/>
  <c r="J105" i="14"/>
  <c r="F105" i="14"/>
  <c r="F106" i="14"/>
  <c r="J106" i="14"/>
  <c r="N98" i="14"/>
  <c r="M94" i="14"/>
  <c r="AP120" i="14"/>
  <c r="AP121" i="14"/>
  <c r="C147" i="22" s="1"/>
  <c r="AV116" i="14"/>
  <c r="AX108" i="14"/>
  <c r="AX105" i="14"/>
  <c r="AX106" i="14"/>
  <c r="AX107" i="14"/>
  <c r="AQ109" i="14"/>
  <c r="AQ105" i="14"/>
  <c r="AQ108" i="14"/>
  <c r="AQ106" i="14"/>
  <c r="AO110" i="14"/>
  <c r="AQ107" i="14"/>
  <c r="AQ104" i="14"/>
  <c r="C22" i="22"/>
  <c r="AK110" i="14"/>
  <c r="AV117" i="14"/>
  <c r="BC110" i="14"/>
  <c r="BD104" i="14" s="1"/>
  <c r="AX104" i="14"/>
  <c r="BB105" i="14"/>
  <c r="BB109" i="14"/>
  <c r="BB108" i="14"/>
  <c r="BB106" i="14"/>
  <c r="BB107" i="14"/>
  <c r="C83" i="22" l="1"/>
  <c r="C79" i="22" s="1"/>
  <c r="BB116" i="14"/>
  <c r="E44" i="20"/>
  <c r="D44" i="20"/>
  <c r="BB62" i="14"/>
  <c r="BB66" i="14"/>
  <c r="BB63" i="14"/>
  <c r="BB59" i="14"/>
  <c r="BB64" i="14"/>
  <c r="BB61" i="14"/>
  <c r="BB65" i="14"/>
  <c r="BB60" i="14"/>
  <c r="C81" i="22"/>
  <c r="D73" i="20" s="1"/>
  <c r="L106" i="14"/>
  <c r="L105" i="14"/>
  <c r="E103" i="14"/>
  <c r="D114" i="14"/>
  <c r="J114" i="14"/>
  <c r="C114" i="14"/>
  <c r="G114" i="14"/>
  <c r="I114" i="14"/>
  <c r="H114" i="14"/>
  <c r="F114" i="14"/>
  <c r="M98" i="14"/>
  <c r="O94" i="14"/>
  <c r="O97" i="14"/>
  <c r="O96" i="14"/>
  <c r="O95" i="14"/>
  <c r="C135" i="14" s="1"/>
  <c r="C17" i="22"/>
  <c r="C23" i="22"/>
  <c r="AO116" i="14" s="1"/>
  <c r="C149" i="22"/>
  <c r="C148" i="22" s="1"/>
  <c r="AX110" i="14"/>
  <c r="BB110" i="14"/>
  <c r="C24" i="22"/>
  <c r="C25" i="22" s="1"/>
  <c r="M231" i="22"/>
  <c r="AP126" i="14"/>
  <c r="AQ110" i="14"/>
  <c r="BD108" i="14"/>
  <c r="J25" i="23" s="1"/>
  <c r="BD105" i="14"/>
  <c r="C130" i="22" s="1"/>
  <c r="BD109" i="14"/>
  <c r="BD106" i="14"/>
  <c r="BD107" i="14"/>
  <c r="D57" i="20" l="1"/>
  <c r="E114" i="14"/>
  <c r="G35" i="14"/>
  <c r="F35" i="14"/>
  <c r="E18" i="14"/>
  <c r="C35" i="14" s="1"/>
  <c r="O98" i="14"/>
  <c r="E35" i="14"/>
  <c r="I35" i="14"/>
  <c r="D35" i="14"/>
  <c r="H35" i="14"/>
  <c r="C134" i="14"/>
  <c r="C55" i="22"/>
  <c r="C35" i="22" s="1"/>
  <c r="C36" i="22" s="1"/>
  <c r="G89" i="22"/>
  <c r="G90" i="22" s="1"/>
  <c r="C84" i="22"/>
  <c r="K55" i="22"/>
  <c r="K35" i="22" s="1"/>
  <c r="K36" i="22" s="1"/>
  <c r="G55" i="22"/>
  <c r="G35" i="22" s="1"/>
  <c r="G36" i="22" s="1"/>
  <c r="E109" i="14"/>
  <c r="F103" i="14"/>
  <c r="F109" i="14" s="1"/>
  <c r="J103" i="14"/>
  <c r="C67" i="22"/>
  <c r="C150" i="22"/>
  <c r="BD110" i="14"/>
  <c r="J35" i="23"/>
  <c r="H27" i="23"/>
  <c r="H24" i="23"/>
  <c r="H28" i="23"/>
  <c r="H26" i="23"/>
  <c r="H25" i="23"/>
  <c r="J26" i="23"/>
  <c r="J24" i="23"/>
  <c r="J27" i="23"/>
  <c r="L27" i="23"/>
  <c r="L26" i="23"/>
  <c r="L24" i="23"/>
  <c r="L25" i="23"/>
  <c r="L28" i="23"/>
  <c r="M237" i="22"/>
  <c r="J28" i="23"/>
  <c r="N26" i="23"/>
  <c r="N25" i="23"/>
  <c r="N28" i="23"/>
  <c r="N24" i="23"/>
  <c r="N27" i="23"/>
  <c r="AG131" i="14"/>
  <c r="AO115" i="14"/>
  <c r="Z115" i="14"/>
  <c r="G103" i="14" l="1"/>
  <c r="G106" i="14"/>
  <c r="G105" i="14"/>
  <c r="G107" i="14"/>
  <c r="G104" i="14"/>
  <c r="C91" i="22"/>
  <c r="C85" i="22"/>
  <c r="O35" i="14"/>
  <c r="K35" i="14"/>
  <c r="M35" i="14"/>
  <c r="N35" i="14"/>
  <c r="L35" i="14"/>
  <c r="J35" i="14"/>
  <c r="F115" i="14"/>
  <c r="C116" i="14"/>
  <c r="J115" i="14"/>
  <c r="H116" i="14"/>
  <c r="C133" i="14" s="1"/>
  <c r="D133" i="14" s="1"/>
  <c r="I115" i="14"/>
  <c r="G116" i="14"/>
  <c r="D116" i="14"/>
  <c r="I116" i="14"/>
  <c r="D115" i="14"/>
  <c r="L103" i="14"/>
  <c r="L109" i="14" s="1"/>
  <c r="F116" i="14"/>
  <c r="H115" i="14"/>
  <c r="J109" i="14"/>
  <c r="C115" i="14"/>
  <c r="G115" i="14"/>
  <c r="J116" i="14"/>
  <c r="C151" i="22"/>
  <c r="N38" i="23"/>
  <c r="L36" i="23"/>
  <c r="J37" i="23"/>
  <c r="N35" i="23"/>
  <c r="L38" i="23"/>
  <c r="L37" i="23"/>
  <c r="J34" i="23"/>
  <c r="N37" i="23"/>
  <c r="N36" i="23"/>
  <c r="L35" i="23"/>
  <c r="J36" i="23"/>
  <c r="M225" i="22"/>
  <c r="C266" i="22"/>
  <c r="C70" i="22"/>
  <c r="C69" i="22"/>
  <c r="M224" i="22" s="1"/>
  <c r="C264" i="22"/>
  <c r="N34" i="23"/>
  <c r="J38" i="23"/>
  <c r="L34" i="23"/>
  <c r="K116" i="14" l="1"/>
  <c r="C142" i="14"/>
  <c r="M103" i="14"/>
  <c r="M107" i="14"/>
  <c r="M104" i="14"/>
  <c r="M105" i="14"/>
  <c r="M108" i="14"/>
  <c r="M106" i="14"/>
  <c r="K103" i="14"/>
  <c r="K108" i="14"/>
  <c r="K107" i="14"/>
  <c r="K105" i="14"/>
  <c r="K104" i="14"/>
  <c r="K106" i="14"/>
  <c r="E115" i="14"/>
  <c r="E116" i="14"/>
  <c r="G109" i="14"/>
  <c r="C68" i="22"/>
  <c r="E49" i="6" s="1"/>
  <c r="C71" i="22"/>
  <c r="H49" i="6" l="1"/>
  <c r="E61" i="6"/>
  <c r="AO121" i="14"/>
  <c r="AO122" i="14"/>
  <c r="AO123" i="14"/>
  <c r="AO120" i="14"/>
  <c r="AO126" i="14" s="1"/>
  <c r="C19" i="22"/>
  <c r="M109" i="14"/>
  <c r="C56" i="22"/>
  <c r="G56" i="22"/>
  <c r="K56" i="22"/>
  <c r="K109" i="14"/>
  <c r="C26" i="22"/>
  <c r="K67" i="22" s="1"/>
  <c r="D264" i="22"/>
  <c r="E264" i="22" s="1"/>
  <c r="D265" i="22"/>
  <c r="D266" i="22"/>
  <c r="E266" i="22" s="1"/>
  <c r="M229" i="22"/>
  <c r="D262" i="22"/>
  <c r="D263" i="22"/>
  <c r="M238" i="22"/>
  <c r="N238" i="22" s="1"/>
  <c r="M223" i="22"/>
  <c r="M252" i="22" s="1"/>
  <c r="G262" i="22"/>
  <c r="G263" i="22"/>
  <c r="F266" i="22"/>
  <c r="F264" i="22"/>
  <c r="H61" i="6" l="1"/>
  <c r="G61" i="6" s="1"/>
  <c r="F61" i="6" s="1"/>
  <c r="E67" i="6"/>
  <c r="E60" i="6" s="1"/>
  <c r="K69" i="22"/>
  <c r="G40" i="12"/>
  <c r="C94" i="22"/>
  <c r="C87" i="22"/>
  <c r="C93" i="22" s="1"/>
  <c r="C95" i="22" s="1"/>
  <c r="C90" i="22"/>
  <c r="G67" i="22"/>
  <c r="C27" i="22"/>
  <c r="M236" i="22"/>
  <c r="G42" i="12" l="1"/>
  <c r="G41" i="12"/>
  <c r="K68" i="22"/>
  <c r="C82" i="22"/>
  <c r="G70" i="22"/>
  <c r="C88" i="22"/>
  <c r="C89" i="22"/>
  <c r="C131" i="22"/>
  <c r="C96" i="22"/>
  <c r="I49" i="6"/>
  <c r="G69" i="22"/>
  <c r="K70" i="22"/>
  <c r="K71" i="22" s="1"/>
  <c r="M242" i="22"/>
  <c r="M243" i="22"/>
  <c r="G39" i="12" l="1"/>
  <c r="P40" i="12"/>
  <c r="G71" i="22"/>
  <c r="C132" i="22"/>
  <c r="D61" i="20"/>
  <c r="G68" i="22"/>
  <c r="G49" i="6"/>
  <c r="M241" i="22"/>
  <c r="J61" i="6"/>
  <c r="I61" i="6"/>
  <c r="E62" i="6" l="1"/>
  <c r="H62" i="6" s="1"/>
  <c r="G62" i="6" s="1"/>
  <c r="F62" i="6" s="1"/>
  <c r="J62" i="6" s="1"/>
  <c r="P39" i="12"/>
  <c r="E55" i="6"/>
  <c r="F49" i="6"/>
  <c r="E66" i="6"/>
  <c r="H66" i="6" s="1"/>
  <c r="G66" i="6" s="1"/>
  <c r="H60" i="6"/>
  <c r="I60" i="6" s="1"/>
  <c r="E64" i="6"/>
  <c r="H64" i="6" s="1"/>
  <c r="G64" i="6" s="1"/>
  <c r="F64" i="6" s="1"/>
  <c r="J64" i="6" s="1"/>
  <c r="E65" i="6"/>
  <c r="H65" i="6" s="1"/>
  <c r="G65" i="6" s="1"/>
  <c r="E63" i="6"/>
  <c r="H63" i="6" s="1"/>
  <c r="G63" i="6" s="1"/>
  <c r="I62" i="6" l="1"/>
  <c r="E54" i="6"/>
  <c r="H54" i="6" s="1"/>
  <c r="E50" i="6"/>
  <c r="H50" i="6" s="1"/>
  <c r="E51" i="6"/>
  <c r="H51" i="6" s="1"/>
  <c r="E53" i="6"/>
  <c r="H53" i="6" s="1"/>
  <c r="E48" i="6"/>
  <c r="H48" i="6" s="1"/>
  <c r="E52" i="6"/>
  <c r="H52" i="6" s="1"/>
  <c r="J49" i="6"/>
  <c r="I64" i="6"/>
  <c r="I66" i="6"/>
  <c r="I65" i="6"/>
  <c r="G60" i="6"/>
  <c r="G67" i="6" s="1"/>
  <c r="I63" i="6"/>
  <c r="H67" i="6"/>
  <c r="F67" i="6"/>
  <c r="K61" i="6" s="1"/>
  <c r="J67" i="6"/>
  <c r="I52" i="6" l="1"/>
  <c r="G52" i="6"/>
  <c r="F52" i="6" s="1"/>
  <c r="J52" i="6" s="1"/>
  <c r="I50" i="6"/>
  <c r="G50" i="6"/>
  <c r="F50" i="6" s="1"/>
  <c r="I53" i="6"/>
  <c r="G53" i="6"/>
  <c r="G51" i="6"/>
  <c r="I51" i="6"/>
  <c r="G48" i="6"/>
  <c r="H55" i="6"/>
  <c r="I48" i="6"/>
  <c r="I54" i="6"/>
  <c r="G54" i="6"/>
  <c r="I67" i="6"/>
  <c r="K62" i="6"/>
  <c r="K64" i="6"/>
  <c r="I55" i="6" l="1"/>
  <c r="J50" i="6"/>
  <c r="J55" i="6" s="1"/>
  <c r="F55" i="6"/>
  <c r="G55" i="6"/>
  <c r="C8" i="23" l="1"/>
  <c r="C10" i="23" s="1"/>
  <c r="I31" i="23" s="1"/>
  <c r="I41" i="23" s="1"/>
  <c r="K48" i="23" l="1"/>
  <c r="R36" i="23"/>
  <c r="E25" i="23"/>
  <c r="E24" i="23"/>
  <c r="E27" i="23"/>
  <c r="E28" i="23"/>
  <c r="O30" i="23"/>
  <c r="O40" i="23" s="1"/>
  <c r="K29" i="23"/>
  <c r="K39" i="23" s="1"/>
  <c r="E26" i="23"/>
  <c r="I27" i="23" l="1"/>
  <c r="O27" i="23"/>
  <c r="O37" i="23" s="1"/>
  <c r="K27" i="23"/>
  <c r="K37" i="23" s="1"/>
  <c r="G37" i="23"/>
  <c r="G27" i="23"/>
  <c r="E37" i="23"/>
  <c r="M27" i="23"/>
  <c r="M37" i="23" s="1"/>
  <c r="I24" i="23"/>
  <c r="G34" i="23"/>
  <c r="O24" i="23"/>
  <c r="O34" i="23" s="1"/>
  <c r="E34" i="23"/>
  <c r="G24" i="23"/>
  <c r="K24" i="23"/>
  <c r="K34" i="23" s="1"/>
  <c r="M24" i="23"/>
  <c r="M34" i="23" s="1"/>
  <c r="G26" i="23"/>
  <c r="K26" i="23"/>
  <c r="K36" i="23" s="1"/>
  <c r="I26" i="23"/>
  <c r="M26" i="23"/>
  <c r="M36" i="23" s="1"/>
  <c r="E36" i="23"/>
  <c r="O26" i="23"/>
  <c r="O36" i="23" s="1"/>
  <c r="G36" i="23"/>
  <c r="E35" i="23"/>
  <c r="M25" i="23"/>
  <c r="M35" i="23" s="1"/>
  <c r="O25" i="23"/>
  <c r="O35" i="23" s="1"/>
  <c r="K25" i="23"/>
  <c r="K35" i="23" s="1"/>
  <c r="G35" i="23"/>
  <c r="G25" i="23"/>
  <c r="I25" i="23"/>
  <c r="K56" i="23"/>
  <c r="C75" i="23" s="1"/>
  <c r="O28" i="23"/>
  <c r="O38" i="23" s="1"/>
  <c r="K28" i="23"/>
  <c r="K38" i="23" s="1"/>
  <c r="M28" i="23"/>
  <c r="M38" i="23" s="1"/>
  <c r="E38" i="23"/>
  <c r="I28" i="23"/>
  <c r="G38" i="23"/>
  <c r="G28" i="23"/>
  <c r="R35" i="23" l="1"/>
  <c r="G47" i="23" s="1"/>
  <c r="I47" i="23" s="1"/>
  <c r="R37" i="23"/>
  <c r="G75" i="23"/>
  <c r="D75" i="23"/>
  <c r="R34" i="23"/>
  <c r="M50" i="23"/>
  <c r="M58" i="23" s="1"/>
  <c r="C73" i="23" s="1"/>
  <c r="R38" i="23"/>
  <c r="O51" i="23"/>
  <c r="O59" i="23" s="1"/>
  <c r="C78" i="23" s="1"/>
  <c r="I49" i="23"/>
  <c r="I57" i="23" s="1"/>
  <c r="C74" i="23" s="1"/>
  <c r="R39" i="23"/>
  <c r="E46" i="23" l="1"/>
  <c r="S34" i="23"/>
  <c r="S36" i="23"/>
  <c r="E47" i="23"/>
  <c r="G46" i="23"/>
  <c r="S35" i="23"/>
  <c r="G78" i="23"/>
  <c r="D78" i="23"/>
  <c r="S38" i="23"/>
  <c r="I75" i="23"/>
  <c r="G74" i="23"/>
  <c r="D74" i="23"/>
  <c r="S39" i="23"/>
  <c r="D73" i="23"/>
  <c r="G73" i="23"/>
  <c r="S37" i="23"/>
  <c r="I74" i="23" l="1"/>
  <c r="I78" i="23"/>
  <c r="G55" i="23"/>
  <c r="C76" i="23" s="1"/>
  <c r="E54" i="23"/>
  <c r="C77" i="23" s="1"/>
  <c r="I46" i="23"/>
  <c r="C65" i="23" s="1"/>
  <c r="D65" i="23" s="1"/>
  <c r="I73" i="23"/>
  <c r="D76" i="23" l="1"/>
  <c r="G76" i="23"/>
  <c r="C79" i="23"/>
  <c r="D77" i="23"/>
  <c r="G77" i="23"/>
  <c r="C83" i="23"/>
  <c r="D83" i="23"/>
  <c r="H83" i="23"/>
  <c r="J83" i="23"/>
  <c r="F83" i="23"/>
  <c r="I83" i="23"/>
  <c r="G83" i="23"/>
  <c r="C68" i="23" l="1"/>
  <c r="I76" i="23"/>
  <c r="H85" i="23"/>
  <c r="F85" i="23"/>
  <c r="I84" i="23"/>
  <c r="J84" i="23"/>
  <c r="J85" i="23"/>
  <c r="K85" i="23" s="1"/>
  <c r="G80" i="22" s="1"/>
  <c r="G82" i="22" s="1"/>
  <c r="C84" i="23"/>
  <c r="D85" i="23"/>
  <c r="C85" i="23"/>
  <c r="F84" i="23"/>
  <c r="H84" i="23"/>
  <c r="G79" i="23"/>
  <c r="H76" i="23" s="1"/>
  <c r="D84" i="23"/>
  <c r="G84" i="23"/>
  <c r="I85" i="23"/>
  <c r="G85" i="23"/>
  <c r="E83" i="23"/>
  <c r="I77" i="23"/>
  <c r="D79" i="23"/>
  <c r="G146" i="22" l="1"/>
  <c r="E85" i="23"/>
  <c r="D68" i="23"/>
  <c r="E65" i="23" s="1"/>
  <c r="E84" i="23"/>
  <c r="I79" i="23"/>
  <c r="H75" i="23"/>
  <c r="H74" i="23"/>
  <c r="H78" i="23"/>
  <c r="H73" i="23"/>
  <c r="H77" i="23"/>
  <c r="G86" i="22" l="1"/>
  <c r="F73" i="20" s="1"/>
  <c r="F74" i="20" s="1"/>
  <c r="F76" i="20" s="1"/>
  <c r="F77" i="20" s="1"/>
  <c r="F80" i="20" s="1"/>
  <c r="F81" i="20" s="1"/>
  <c r="G105" i="22" s="1"/>
  <c r="G144" i="22"/>
  <c r="H79" i="23"/>
  <c r="J75" i="23"/>
  <c r="J74" i="23"/>
  <c r="G127" i="22" s="1"/>
  <c r="J73" i="23"/>
  <c r="J78" i="23"/>
  <c r="J76" i="23"/>
  <c r="E67" i="23"/>
  <c r="E64" i="23"/>
  <c r="E66" i="23"/>
  <c r="J77" i="23"/>
  <c r="F82" i="20" l="1"/>
  <c r="F84" i="20"/>
  <c r="F85" i="20" s="1"/>
  <c r="G145" i="22"/>
  <c r="E43" i="20"/>
  <c r="E45" i="20" s="1"/>
  <c r="E68" i="23"/>
  <c r="J79" i="23"/>
  <c r="E47" i="20" l="1"/>
  <c r="G148" i="22"/>
  <c r="G81" i="22"/>
  <c r="G84" i="22" s="1"/>
  <c r="AP122" i="14"/>
  <c r="K84" i="23"/>
  <c r="E58" i="20" l="1"/>
  <c r="E62" i="20"/>
  <c r="E50" i="20"/>
  <c r="G85" i="22"/>
  <c r="G88" i="22"/>
  <c r="G147" i="22"/>
  <c r="G151" i="22" s="1"/>
  <c r="BC64" i="14" l="1"/>
  <c r="BC59" i="14"/>
  <c r="BC61" i="14"/>
  <c r="BC65" i="14"/>
  <c r="BC62" i="14"/>
  <c r="BC66" i="14"/>
  <c r="BC60" i="14"/>
  <c r="BC63" i="14"/>
  <c r="E48" i="20"/>
  <c r="E49" i="20" s="1"/>
  <c r="E66" i="20"/>
  <c r="G107" i="22"/>
  <c r="G108" i="22" s="1"/>
  <c r="G92" i="22"/>
  <c r="G95" i="22" s="1"/>
  <c r="G150" i="22"/>
  <c r="G152" i="22"/>
  <c r="E67" i="20" l="1"/>
  <c r="E57" i="20"/>
  <c r="E59" i="20" s="1"/>
  <c r="G114" i="22" s="1"/>
  <c r="G110" i="22"/>
  <c r="G111" i="22"/>
  <c r="G109" i="22"/>
  <c r="G98" i="22"/>
  <c r="G87" i="22"/>
  <c r="G99" i="22"/>
  <c r="G128" i="22"/>
  <c r="E61" i="20" s="1"/>
  <c r="E63" i="20" s="1"/>
  <c r="G94" i="22"/>
  <c r="G153" i="22"/>
  <c r="E65" i="20" l="1"/>
  <c r="G117" i="22" s="1"/>
  <c r="G118" i="22" s="1"/>
  <c r="G115" i="22"/>
  <c r="G129" i="22"/>
  <c r="G101" i="22"/>
  <c r="G100" i="22"/>
  <c r="G154" i="22"/>
  <c r="G93" i="22"/>
  <c r="C265" i="22"/>
  <c r="E265" i="22" s="1"/>
  <c r="F265" i="22" l="1"/>
  <c r="G265" i="22"/>
  <c r="G266" i="22"/>
  <c r="H266" i="22" s="1"/>
  <c r="G264" i="22"/>
  <c r="H264" i="22" s="1"/>
  <c r="H265" i="22" l="1"/>
  <c r="C174" i="22" l="1"/>
  <c r="D45" i="20" l="1"/>
  <c r="D47" i="20" l="1"/>
  <c r="D62" i="20" l="1"/>
  <c r="D63" i="20" s="1"/>
  <c r="C120" i="22" s="1"/>
  <c r="D58" i="20"/>
  <c r="D59" i="20" s="1"/>
  <c r="C119" i="22" s="1"/>
  <c r="D48" i="20"/>
  <c r="D49" i="20" s="1"/>
  <c r="D50" i="20"/>
  <c r="D66" i="20" l="1"/>
  <c r="D67" i="20" s="1"/>
  <c r="E73" i="20" s="1"/>
  <c r="E74" i="20" s="1"/>
  <c r="D65" i="20"/>
  <c r="K83" i="23"/>
  <c r="D74" i="20"/>
  <c r="E76" i="20" l="1"/>
  <c r="E77" i="20" s="1"/>
  <c r="E80" i="20" s="1"/>
  <c r="C108" i="22"/>
  <c r="C109" i="22"/>
  <c r="BB115" i="14"/>
  <c r="G120" i="22"/>
  <c r="G121" i="22" l="1"/>
  <c r="E81" i="20"/>
  <c r="G123" i="22"/>
  <c r="G122" i="22"/>
  <c r="G119" i="22"/>
  <c r="C111" i="22"/>
  <c r="C112" i="22" s="1"/>
  <c r="D76" i="20"/>
  <c r="D77" i="20" s="1"/>
  <c r="E82" i="20" l="1"/>
  <c r="C122" i="22" s="1"/>
  <c r="C123" i="22" s="1"/>
  <c r="C118" i="22"/>
  <c r="D80" i="20"/>
  <c r="D81" i="20" s="1"/>
  <c r="D82" i="20" s="1"/>
  <c r="E84" i="20"/>
  <c r="E85" i="20" s="1"/>
  <c r="C113" i="22"/>
  <c r="C114" i="22"/>
  <c r="C115" i="22"/>
  <c r="D84" i="20" l="1"/>
  <c r="D85" i="20" s="1"/>
  <c r="C99" i="22"/>
  <c r="C125" i="22"/>
  <c r="C124" i="22"/>
  <c r="C126" i="22"/>
  <c r="C176" i="22" l="1"/>
  <c r="C177" i="22"/>
  <c r="C178" i="22"/>
  <c r="C76" i="20" l="1"/>
  <c r="C77" i="20" s="1"/>
  <c r="D142" i="14" l="1"/>
  <c r="E142" i="14" s="1"/>
  <c r="F142" i="14" s="1"/>
  <c r="D28" i="20" s="1"/>
  <c r="K51" i="22" l="1"/>
  <c r="F31" i="7"/>
  <c r="G51" i="22"/>
  <c r="C51" i="22"/>
  <c r="D29" i="20"/>
  <c r="D31" i="20" s="1"/>
  <c r="AG134" i="14" s="1"/>
  <c r="D135" i="14"/>
  <c r="K115" i="14" s="1"/>
  <c r="D134" i="14"/>
  <c r="AG132" i="14" l="1"/>
  <c r="C31" i="22"/>
  <c r="AG133" i="14"/>
  <c r="D32" i="20"/>
  <c r="D33" i="20" s="1"/>
  <c r="G31" i="22"/>
  <c r="G33" i="22" s="1"/>
  <c r="G30" i="22" s="1"/>
  <c r="G32" i="22" s="1"/>
  <c r="G59" i="22" l="1"/>
  <c r="G60" i="22"/>
  <c r="C60" i="22"/>
  <c r="C38" i="22"/>
  <c r="C41" i="22"/>
  <c r="C33" i="22"/>
  <c r="C30" i="22" s="1"/>
  <c r="C59" i="22"/>
  <c r="D34" i="20"/>
  <c r="D35" i="20" s="1"/>
  <c r="C49" i="22"/>
  <c r="K114" i="14"/>
  <c r="G49" i="22"/>
  <c r="G44" i="22"/>
  <c r="G38" i="22"/>
  <c r="C262" i="22"/>
  <c r="E262" i="22" s="1"/>
  <c r="G41" i="22"/>
  <c r="D36" i="20" l="1"/>
  <c r="D37" i="20" s="1"/>
  <c r="C57" i="22"/>
  <c r="C58" i="22" s="1"/>
  <c r="C40" i="22"/>
  <c r="C43" i="22"/>
  <c r="C39" i="22"/>
  <c r="G57" i="22"/>
  <c r="G58" i="22" s="1"/>
  <c r="G43" i="22"/>
  <c r="G40" i="22"/>
  <c r="G39" i="22"/>
  <c r="C44" i="22"/>
  <c r="C32" i="22"/>
  <c r="F40" i="7" l="1"/>
  <c r="F262" i="22"/>
  <c r="H262" i="22" s="1"/>
  <c r="G45" i="22"/>
  <c r="G46" i="22"/>
  <c r="D38" i="20"/>
  <c r="C63" i="22"/>
  <c r="C73" i="20"/>
  <c r="C45" i="22"/>
  <c r="C46" i="22"/>
  <c r="C74" i="20" l="1"/>
  <c r="C80" i="20"/>
  <c r="C84" i="20" l="1"/>
  <c r="C81" i="20"/>
  <c r="K31" i="22"/>
  <c r="K38" i="22" l="1"/>
  <c r="C263" i="22"/>
  <c r="E263" i="22" s="1"/>
  <c r="K41" i="22"/>
  <c r="K60" i="22"/>
  <c r="K59" i="22"/>
  <c r="K33" i="22"/>
  <c r="K44" i="22" s="1"/>
  <c r="C82" i="20"/>
  <c r="C101" i="22" s="1"/>
  <c r="G50" i="22"/>
  <c r="K50" i="22"/>
  <c r="K63" i="22"/>
  <c r="C85" i="20"/>
  <c r="G63" i="22"/>
  <c r="K30" i="22" l="1"/>
  <c r="K32" i="22" s="1"/>
  <c r="I24" i="12"/>
  <c r="D10" i="24" s="1"/>
  <c r="C105" i="22"/>
  <c r="C104" i="22"/>
  <c r="C102" i="22"/>
  <c r="I25" i="12" s="1"/>
  <c r="C103" i="22"/>
  <c r="I27" i="12" s="1"/>
  <c r="D8" i="24" s="1"/>
  <c r="K57" i="22"/>
  <c r="K58" i="22" s="1"/>
  <c r="K39" i="22"/>
  <c r="K43" i="22"/>
  <c r="K40" i="22"/>
  <c r="F263" i="22" l="1"/>
  <c r="H263" i="22" s="1"/>
  <c r="K46" i="22"/>
  <c r="K45" i="22"/>
  <c r="D11" i="24"/>
  <c r="E99" i="24"/>
  <c r="E100" i="24" s="1"/>
  <c r="E101" i="24" s="1"/>
  <c r="E102" i="24" s="1"/>
  <c r="E103" i="24" s="1"/>
  <c r="E104" i="24" s="1"/>
  <c r="I28" i="12"/>
  <c r="D9" i="24"/>
  <c r="B99" i="24"/>
  <c r="I23" i="12"/>
  <c r="B100" i="24"/>
  <c r="B101" i="24" s="1"/>
  <c r="B102" i="24" s="1"/>
  <c r="B103" i="24" s="1"/>
  <c r="B104" i="24" s="1"/>
  <c r="D12" i="24"/>
  <c r="D15" i="24" l="1"/>
  <c r="D16" i="24" s="1"/>
  <c r="D18" i="24" s="1"/>
  <c r="I30" i="12" l="1"/>
  <c r="D24" i="24"/>
  <c r="D26" i="24" s="1"/>
  <c r="D25" i="24" l="1"/>
  <c r="D27" i="24" s="1"/>
  <c r="D39" i="24" s="1"/>
  <c r="I32" i="12" s="1"/>
  <c r="D30" i="24"/>
  <c r="D40" i="24" s="1"/>
  <c r="I31" i="12" s="1"/>
</calcChain>
</file>

<file path=xl/comments1.xml><?xml version="1.0" encoding="utf-8"?>
<comments xmlns="http://schemas.openxmlformats.org/spreadsheetml/2006/main">
  <authors>
    <author>Συντάκτης</author>
  </authors>
  <commentList>
    <comment ref="B8" authorId="0" shapeId="0">
      <text>
        <r>
          <rPr>
            <b/>
            <sz val="9"/>
            <color indexed="81"/>
            <rFont val="Tahoma"/>
            <family val="2"/>
            <charset val="161"/>
          </rPr>
          <t>Συντάκτης:</t>
        </r>
        <r>
          <rPr>
            <sz val="9"/>
            <color indexed="81"/>
            <rFont val="Tahoma"/>
            <family val="2"/>
            <charset val="161"/>
          </rPr>
          <t xml:space="preserve">
Depending on technology/equipement lifetime
1: existing situation
0.95: renewed technology
1.05: slightly older technology and close to end of life</t>
        </r>
      </text>
    </comment>
    <comment ref="B9" authorId="0" shapeId="0">
      <text>
        <r>
          <rPr>
            <b/>
            <sz val="9"/>
            <color indexed="81"/>
            <rFont val="Tahoma"/>
            <family val="2"/>
            <charset val="161"/>
          </rPr>
          <t>Συντάκτης:</t>
        </r>
        <r>
          <rPr>
            <sz val="9"/>
            <color indexed="81"/>
            <rFont val="Tahoma"/>
            <family val="2"/>
            <charset val="161"/>
          </rPr>
          <t xml:space="preserve">
Cullet percentage is dependent on availability, glass colour, requested glass quality and operating constraints</t>
        </r>
      </text>
    </comment>
    <comment ref="D17" authorId="0" shapeId="0">
      <text>
        <r>
          <rPr>
            <b/>
            <sz val="9"/>
            <color indexed="81"/>
            <rFont val="Tahoma"/>
            <family val="2"/>
            <charset val="161"/>
          </rPr>
          <t>Συντάκτης:</t>
        </r>
        <r>
          <rPr>
            <sz val="9"/>
            <color indexed="81"/>
            <rFont val="Tahoma"/>
            <family val="2"/>
            <charset val="161"/>
          </rPr>
          <t xml:space="preserve">
Retrieved from (pp.12-13): http://www.ergar.org/wp-content/uploads/2018/07/BIOSURF-D3.4.pdf</t>
        </r>
      </text>
    </comment>
  </commentList>
</comments>
</file>

<file path=xl/comments2.xml><?xml version="1.0" encoding="utf-8"?>
<comments xmlns="http://schemas.openxmlformats.org/spreadsheetml/2006/main">
  <authors>
    <author>Συντάκτης</author>
  </authors>
  <commentList>
    <comment ref="K10" authorId="0" shapeId="0">
      <text>
        <r>
          <rPr>
            <b/>
            <sz val="9"/>
            <color indexed="81"/>
            <rFont val="Tahoma"/>
            <family val="2"/>
            <charset val="161"/>
          </rPr>
          <t>Συντάκτης:</t>
        </r>
        <r>
          <rPr>
            <sz val="9"/>
            <color indexed="81"/>
            <rFont val="Tahoma"/>
            <family val="2"/>
            <charset val="161"/>
          </rPr>
          <t xml:space="preserve">
PEC = 4 * MW
where MW = MWh/tn molten * tpd / 24h</t>
        </r>
      </text>
    </comment>
    <comment ref="D13" authorId="0" shapeId="0">
      <text>
        <r>
          <rPr>
            <b/>
            <sz val="9"/>
            <color indexed="81"/>
            <rFont val="Tahoma"/>
            <family val="2"/>
            <charset val="161"/>
          </rPr>
          <t>Συντάκτης:</t>
        </r>
        <r>
          <rPr>
            <sz val="9"/>
            <color indexed="81"/>
            <rFont val="Tahoma"/>
            <family val="2"/>
            <charset val="161"/>
          </rPr>
          <t xml:space="preserve">
Cost for Maintenance, Labour, Equipment (facility-dependent), Water&amp;Air</t>
        </r>
      </text>
    </comment>
    <comment ref="D23" authorId="0" shapeId="0">
      <text>
        <r>
          <rPr>
            <b/>
            <sz val="9"/>
            <color indexed="81"/>
            <rFont val="Tahoma"/>
            <family val="2"/>
            <charset val="161"/>
          </rPr>
          <t>Συντάκτης:</t>
        </r>
        <r>
          <rPr>
            <sz val="9"/>
            <color indexed="81"/>
            <rFont val="Tahoma"/>
            <family val="2"/>
            <charset val="161"/>
          </rPr>
          <t xml:space="preserve">
This parameter was added here to enable the calculation of ROI.
ROI can be expressed by the division of Benefits (i.e. old product costs - new product costs) with the Total investment cost.  For that reason, the old product cost needs to remain stable to enable comparisons. 
Keeping the initial price of every technology constant would be permitted with the use of VBA (i.e. Excel Add-on) which was not implemented due to time constraints. Therefore the new prices will be compared to the as-is regenerative furnace (i.e. Technology 0).</t>
        </r>
      </text>
    </comment>
    <comment ref="D24" authorId="0" shapeId="0">
      <text>
        <r>
          <rPr>
            <b/>
            <sz val="9"/>
            <color indexed="81"/>
            <rFont val="Tahoma"/>
            <family val="2"/>
            <charset val="161"/>
          </rPr>
          <t>Συντάκτης:</t>
        </r>
        <r>
          <rPr>
            <sz val="9"/>
            <color indexed="81"/>
            <rFont val="Tahoma"/>
            <family val="2"/>
            <charset val="161"/>
          </rPr>
          <t xml:space="preserve">
 Production of 1bil bottles per year (on average)</t>
        </r>
      </text>
    </comment>
    <comment ref="D25" authorId="0" shapeId="0">
      <text>
        <r>
          <rPr>
            <b/>
            <sz val="9"/>
            <color indexed="81"/>
            <rFont val="Tahoma"/>
            <family val="2"/>
            <charset val="161"/>
          </rPr>
          <t>Συντάκτης:</t>
        </r>
        <r>
          <rPr>
            <sz val="9"/>
            <color indexed="81"/>
            <rFont val="Tahoma"/>
            <family val="2"/>
            <charset val="161"/>
          </rPr>
          <t xml:space="preserve">
35% OPEX is assumed to be sutracted from the Profit
Depreciation of equipment and other assets are also part of the annual costs (OPEX)</t>
        </r>
      </text>
    </comment>
    <comment ref="D26" authorId="0" shapeId="0">
      <text>
        <r>
          <rPr>
            <b/>
            <sz val="9"/>
            <color indexed="81"/>
            <rFont val="Tahoma"/>
            <family val="2"/>
            <charset val="161"/>
          </rPr>
          <t>Συντάκτης:</t>
        </r>
        <r>
          <rPr>
            <sz val="9"/>
            <color indexed="81"/>
            <rFont val="Tahoma"/>
            <family val="2"/>
            <charset val="161"/>
          </rPr>
          <t xml:space="preserve">
Taxes are paid from gross profit (revenues – OPEX)</t>
        </r>
      </text>
    </comment>
    <comment ref="D30" authorId="0" shapeId="0">
      <text>
        <r>
          <rPr>
            <b/>
            <sz val="9"/>
            <color indexed="81"/>
            <rFont val="Tahoma"/>
            <family val="2"/>
            <charset val="161"/>
          </rPr>
          <t>Συντάκτης:</t>
        </r>
        <r>
          <rPr>
            <sz val="9"/>
            <color indexed="81"/>
            <rFont val="Tahoma"/>
            <family val="2"/>
            <charset val="161"/>
          </rPr>
          <t xml:space="preserve">
(old product costs - new product costs) </t>
        </r>
      </text>
    </comment>
    <comment ref="D32" authorId="0" shapeId="0">
      <text>
        <r>
          <rPr>
            <b/>
            <sz val="9"/>
            <color indexed="81"/>
            <rFont val="Tahoma"/>
            <family val="2"/>
            <charset val="161"/>
          </rPr>
          <t>Συντάκτης:</t>
        </r>
        <r>
          <rPr>
            <sz val="9"/>
            <color indexed="81"/>
            <rFont val="Tahoma"/>
            <family val="2"/>
            <charset val="161"/>
          </rPr>
          <t xml:space="preserve">
Bare-module cost</t>
        </r>
      </text>
    </comment>
    <comment ref="D33" authorId="0" shapeId="0">
      <text>
        <r>
          <rPr>
            <b/>
            <sz val="9"/>
            <color indexed="81"/>
            <rFont val="Tahoma"/>
            <family val="2"/>
            <charset val="161"/>
          </rPr>
          <t>Συντάκτης:</t>
        </r>
        <r>
          <rPr>
            <sz val="9"/>
            <color indexed="81"/>
            <rFont val="Tahoma"/>
            <family val="2"/>
            <charset val="161"/>
          </rPr>
          <t xml:space="preserve">
(30% Installation (summed over all units, incl. unlisted) +
35% Process piping + 40% Instrumentation + 3% Electrical + 10% Building + 15% Space impromevent + 40% Auxilary facilities) * PEC</t>
        </r>
      </text>
    </comment>
    <comment ref="D34" authorId="0" shapeId="0">
      <text>
        <r>
          <rPr>
            <b/>
            <sz val="9"/>
            <color indexed="81"/>
            <rFont val="Tahoma"/>
            <family val="2"/>
            <charset val="161"/>
          </rPr>
          <t>Συντάκτης:</t>
        </r>
        <r>
          <rPr>
            <sz val="9"/>
            <color indexed="81"/>
            <rFont val="Tahoma"/>
            <family val="2"/>
            <charset val="161"/>
          </rPr>
          <t xml:space="preserve">
(25% Engineering * 35% Construction +5% Other) * TPDC</t>
        </r>
      </text>
    </comment>
    <comment ref="D35" authorId="0" shapeId="0">
      <text>
        <r>
          <rPr>
            <b/>
            <sz val="9"/>
            <color indexed="81"/>
            <rFont val="Tahoma"/>
            <family val="2"/>
            <charset val="161"/>
          </rPr>
          <t>Συντάκτης:</t>
        </r>
        <r>
          <rPr>
            <sz val="9"/>
            <color indexed="81"/>
            <rFont val="Tahoma"/>
            <family val="2"/>
            <charset val="161"/>
          </rPr>
          <t xml:space="preserve">
It can be 4-7 times
higher than cost of bare equipment
(TPDC + TPIC) * (5% Contractor's fee + 10% Contigency)</t>
        </r>
      </text>
    </comment>
    <comment ref="D36" authorId="0" shapeId="0">
      <text>
        <r>
          <rPr>
            <b/>
            <sz val="9"/>
            <color indexed="81"/>
            <rFont val="Tahoma"/>
            <family val="2"/>
            <charset val="161"/>
          </rPr>
          <t>Συντάκτης:</t>
        </r>
        <r>
          <rPr>
            <sz val="9"/>
            <color indexed="81"/>
            <rFont val="Tahoma"/>
            <family val="2"/>
            <charset val="161"/>
          </rPr>
          <t xml:space="preserve">
7.5% Start-up costs * TPC</t>
        </r>
      </text>
    </comment>
  </commentList>
</comments>
</file>

<file path=xl/comments3.xml><?xml version="1.0" encoding="utf-8"?>
<comments xmlns="http://schemas.openxmlformats.org/spreadsheetml/2006/main">
  <authors>
    <author>Συντάκτης</author>
  </authors>
  <commentList>
    <comment ref="G2" authorId="0" shapeId="0">
      <text>
        <r>
          <rPr>
            <sz val="9"/>
            <color indexed="81"/>
            <rFont val="Tahoma"/>
            <family val="2"/>
            <charset val="161"/>
          </rPr>
          <t xml:space="preserve">
For more measures, see Lexinova (2013, Ch. 3.2) </t>
        </r>
        <r>
          <rPr>
            <b/>
            <sz val="9"/>
            <color indexed="81"/>
            <rFont val="Tahoma"/>
            <family val="2"/>
            <charset val="161"/>
          </rPr>
          <t>https://www.wipo.int/edocs/plrdocs/en/lexinnova_oxy_fuel_combustion_systems.pdf</t>
        </r>
      </text>
    </comment>
    <comment ref="C15" authorId="0" shapeId="0">
      <text>
        <r>
          <rPr>
            <b/>
            <sz val="9"/>
            <color indexed="81"/>
            <rFont val="Tahoma"/>
            <family val="2"/>
            <charset val="161"/>
          </rPr>
          <t>Συντάκτης:</t>
        </r>
        <r>
          <rPr>
            <sz val="9"/>
            <color indexed="81"/>
            <rFont val="Tahoma"/>
            <family val="2"/>
            <charset val="161"/>
          </rPr>
          <t xml:space="preserve">
This variable is different than the "Ratio_NG" of the Global tab. 
It is set that way for keeping the Benchmark stable and enable comparisons.</t>
        </r>
      </text>
    </comment>
    <comment ref="K31" authorId="0" shapeId="0">
      <text>
        <r>
          <rPr>
            <sz val="9"/>
            <color indexed="81"/>
            <rFont val="Tahoma"/>
            <family val="2"/>
            <charset val="161"/>
          </rPr>
          <t xml:space="preserve">The regenerator losses are removed, since this option assumes that the only preheating technology is the Batc/cullet prehetarer.
</t>
        </r>
        <r>
          <rPr>
            <b/>
            <sz val="9"/>
            <color indexed="81"/>
            <rFont val="Tahoma"/>
            <family val="2"/>
            <charset val="161"/>
          </rPr>
          <t xml:space="preserve">Formula applied:
</t>
        </r>
        <r>
          <rPr>
            <sz val="9"/>
            <color indexed="81"/>
            <rFont val="Tahoma"/>
            <family val="2"/>
            <charset val="161"/>
          </rPr>
          <t>(Qng * (rate Qng/m*cp) + difference)*
(Tflame-Tambient) - Qpreheat batch</t>
        </r>
      </text>
    </comment>
    <comment ref="C35" authorId="0" shapeId="0">
      <text>
        <r>
          <rPr>
            <b/>
            <sz val="9"/>
            <color indexed="81"/>
            <rFont val="Tahoma"/>
            <family val="2"/>
            <charset val="161"/>
          </rPr>
          <t>Συντάκτης:</t>
        </r>
        <r>
          <rPr>
            <sz val="9"/>
            <color indexed="81"/>
            <rFont val="Tahoma"/>
            <family val="2"/>
            <charset val="161"/>
          </rPr>
          <t xml:space="preserve">
"The pull rate of the furnace is defined as the amount of glass melt per period of time withdrawn from the furnace for producing glass products" (Verheijen, 2003)</t>
        </r>
      </text>
    </comment>
    <comment ref="G35"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K35"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C36" authorId="0" shapeId="0">
      <text>
        <r>
          <rPr>
            <b/>
            <sz val="9"/>
            <color indexed="81"/>
            <rFont val="Tahoma"/>
            <family val="2"/>
            <charset val="161"/>
          </rPr>
          <t>Συντάκτης:</t>
        </r>
        <r>
          <rPr>
            <sz val="9"/>
            <color indexed="81"/>
            <rFont val="Tahoma"/>
            <family val="2"/>
            <charset val="161"/>
          </rPr>
          <t xml:space="preserve">
"Τhe furnace melting capacity (glass pull) usually is expressed in the number of (metric) tons of glass melted per day (TPD, 24hour)" (Hubert, 2015)</t>
        </r>
      </text>
    </comment>
    <comment ref="C59" authorId="0" shapeId="0">
      <text>
        <r>
          <rPr>
            <b/>
            <sz val="9"/>
            <color indexed="81"/>
            <rFont val="Tahoma"/>
            <family val="2"/>
            <charset val="161"/>
          </rPr>
          <t>Συντάκτης:</t>
        </r>
        <r>
          <rPr>
            <sz val="9"/>
            <color indexed="81"/>
            <rFont val="Tahoma"/>
            <family val="2"/>
            <charset val="161"/>
          </rPr>
          <t xml:space="preserve">
e.g. If the bench. Boosting below is dropped from 8% to 0%, it means that the benchmark Qfuel uses more NG than the current table. This results in more CO2 as a benchmark, hence CO2 savings in the current table.</t>
        </r>
      </text>
    </comment>
    <comment ref="C67" authorId="0" shapeId="0">
      <text>
        <r>
          <rPr>
            <b/>
            <sz val="9"/>
            <color indexed="81"/>
            <rFont val="Tahoma"/>
            <family val="2"/>
            <charset val="161"/>
          </rPr>
          <t>Συντάκτης:</t>
        </r>
        <r>
          <rPr>
            <sz val="9"/>
            <color indexed="81"/>
            <rFont val="Tahoma"/>
            <family val="2"/>
            <charset val="161"/>
          </rPr>
          <t xml:space="preserve">
It's rational to subtract the Qpreh from Qfuel and multiply by Ratio_NG, because the Qfuel after preheating remains relatively stable when changing the Ratio_NG. 
If I didn't do that, then the Qfuel would flunctuate when adjusting the Ratio_NG. This is wrong by definition, since the Qfuel must remain constant even if the proportion of energy inputs changes.
The second term of the IF condition is used for keeping the benchmark stable when switching to 100% O2 (substitution). This enables comparisons with the oxyfuel furnace.</t>
        </r>
      </text>
    </comment>
    <comment ref="C72" authorId="0" shapeId="0">
      <text>
        <r>
          <rPr>
            <sz val="9"/>
            <color indexed="81"/>
            <rFont val="Tahoma"/>
            <family val="2"/>
          </rPr>
          <t>100% Pull rate for 8% Electric boosting (bench.)</t>
        </r>
      </text>
    </comment>
    <comment ref="G89"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90" authorId="0" shapeId="0">
      <text>
        <r>
          <rPr>
            <sz val="9"/>
            <color indexed="81"/>
            <rFont val="Tahoma"/>
            <family val="2"/>
          </rPr>
          <t xml:space="preserve">(TNO, 2007) Without taking the energy consumption of the oxygen production into account, the average energy consumption of the oxygen-fired furnaces is about 4-8 % lower than the energy consumption of end-port fired furnaces per ton molten glass.
</t>
        </r>
      </text>
    </comment>
    <comment ref="C100"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103" authorId="0" shapeId="0">
      <text>
        <r>
          <rPr>
            <b/>
            <sz val="9"/>
            <color indexed="81"/>
            <rFont val="Tahoma"/>
            <family val="2"/>
          </rPr>
          <t>Συντάκτης:</t>
        </r>
        <r>
          <rPr>
            <sz val="9"/>
            <color indexed="81"/>
            <rFont val="Tahoma"/>
            <family val="2"/>
          </rPr>
          <t xml:space="preserve">
O2/NG preheating: Decrease CO2 emissions by an additional 10% compared to oxy-combustion without preheating. 
Retrieved from https://www.lifecleanox.com/technology</t>
        </r>
      </text>
    </comment>
    <comment ref="C104"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Oxyfuel furnace
Preheat O2: Achieve energy savings 10% cmpared to oxy/fuel but increase Nox (www.hotwork.ag). </t>
        </r>
      </text>
    </comment>
    <comment ref="C105"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regenerative furnace</t>
        </r>
      </text>
    </comment>
    <comment ref="G106"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G109" authorId="0" shapeId="0">
      <text>
        <r>
          <rPr>
            <b/>
            <sz val="9"/>
            <color indexed="81"/>
            <rFont val="Tahoma"/>
            <family val="2"/>
            <charset val="161"/>
          </rPr>
          <t>Συντάκτης:</t>
        </r>
        <r>
          <rPr>
            <sz val="9"/>
            <color indexed="81"/>
            <rFont val="Tahoma"/>
            <family val="2"/>
            <charset val="161"/>
          </rPr>
          <t xml:space="preserve">
Optimelt Plus: achieve max. -15%CO2 (total direct) and -90% NOx compared to air/fuel (Goruney, 2016).</t>
        </r>
      </text>
    </comment>
    <comment ref="G110" authorId="0" shapeId="0">
      <text>
        <r>
          <rPr>
            <b/>
            <sz val="9"/>
            <color indexed="81"/>
            <rFont val="Tahoma"/>
            <family val="2"/>
            <charset val="161"/>
          </rPr>
          <t>Συντάκτης:</t>
        </r>
        <r>
          <rPr>
            <sz val="9"/>
            <color indexed="81"/>
            <rFont val="Tahoma"/>
            <family val="2"/>
            <charset val="161"/>
          </rPr>
          <t xml:space="preserve">
Optimlet Plus or Optimelt TCR with Batch/cullet preheater compared to Oxyfuel furnace</t>
        </r>
      </text>
    </comment>
    <comment ref="G111" authorId="0" shapeId="0">
      <text>
        <r>
          <rPr>
            <b/>
            <sz val="9"/>
            <color indexed="81"/>
            <rFont val="Tahoma"/>
            <family val="2"/>
            <charset val="161"/>
          </rPr>
          <t>Συντάκτης:</t>
        </r>
        <r>
          <rPr>
            <sz val="9"/>
            <color indexed="81"/>
            <rFont val="Tahoma"/>
            <family val="2"/>
            <charset val="161"/>
          </rPr>
          <t xml:space="preserve">
Optimelt Plus (i.e. TCR with O2 preheating) compared to Optimelt TCR. Expecting around 5%
(Laux et al., 2016)</t>
        </r>
      </text>
    </comment>
    <comment ref="C137" authorId="0" shapeId="0">
      <text>
        <r>
          <rPr>
            <sz val="9"/>
            <color indexed="81"/>
            <rFont val="Tahoma"/>
            <family val="2"/>
            <charset val="161"/>
          </rPr>
          <t>Oxyfuel furnaces don't have much electric boosting. Thus I put a break on the large changes of boosting for modeling purposes</t>
        </r>
      </text>
    </comment>
    <comment ref="C138" authorId="0" shapeId="0">
      <text>
        <r>
          <rPr>
            <sz val="9"/>
            <color indexed="81"/>
            <rFont val="Tahoma"/>
            <family val="2"/>
          </rPr>
          <t>Regenerator losses are taken into account when a glass plant switches to oxyfuel firing and uses the old regenerators for air preheating. Subsequently, the prejheated air is used for preheating oxygen and/or natural gas.</t>
        </r>
      </text>
    </comment>
    <comment ref="G139" authorId="0" shapeId="0">
      <text>
        <r>
          <rPr>
            <b/>
            <sz val="9"/>
            <color indexed="81"/>
            <rFont val="Tahoma"/>
            <family val="2"/>
            <charset val="161"/>
          </rPr>
          <t>Συντάκτης:</t>
        </r>
        <r>
          <rPr>
            <sz val="9"/>
            <color indexed="81"/>
            <rFont val="Tahoma"/>
            <family val="2"/>
            <charset val="161"/>
          </rPr>
          <t xml:space="preserve">
Losses are lower than regular oxyfuel furnaces, since the Optimelt TCR technology requires a better sealing due to the emitted CO.</t>
        </r>
      </text>
    </comment>
    <comment ref="G143" authorId="0" shapeId="0">
      <text>
        <r>
          <rPr>
            <b/>
            <sz val="9"/>
            <color indexed="81"/>
            <rFont val="Tahoma"/>
            <family val="2"/>
            <charset val="161"/>
          </rPr>
          <t>Συντάκτης:</t>
        </r>
        <r>
          <rPr>
            <sz val="9"/>
            <color indexed="81"/>
            <rFont val="Tahoma"/>
            <family val="2"/>
            <charset val="161"/>
          </rPr>
          <t xml:space="preserve">
de Diego (2016a)</t>
        </r>
      </text>
    </comment>
    <comment ref="C160" authorId="0" shapeId="0">
      <text>
        <r>
          <rPr>
            <b/>
            <sz val="9"/>
            <color indexed="81"/>
            <rFont val="Tahoma"/>
            <family val="2"/>
            <charset val="161"/>
          </rPr>
          <t>Συντάκτης:</t>
        </r>
        <r>
          <rPr>
            <sz val="9"/>
            <color indexed="81"/>
            <rFont val="Tahoma"/>
            <family val="2"/>
            <charset val="161"/>
          </rPr>
          <t xml:space="preserve">
equivalent to a thermal efficiency of 85%</t>
        </r>
      </text>
    </comment>
    <comment ref="C162" authorId="0" shapeId="0">
      <text>
        <r>
          <rPr>
            <b/>
            <sz val="9"/>
            <color indexed="81"/>
            <rFont val="Tahoma"/>
            <family val="2"/>
            <charset val="161"/>
          </rPr>
          <t>Συντάκτης:</t>
        </r>
        <r>
          <rPr>
            <sz val="9"/>
            <color indexed="81"/>
            <rFont val="Tahoma"/>
            <family val="2"/>
            <charset val="161"/>
          </rPr>
          <t xml:space="preserve">
Electric furnaces are not flexible with changing pull rates.</t>
        </r>
      </text>
    </comment>
    <comment ref="C165" authorId="0" shapeId="0">
      <text>
        <r>
          <rPr>
            <b/>
            <sz val="9"/>
            <color indexed="81"/>
            <rFont val="Tahoma"/>
            <family val="2"/>
            <charset val="161"/>
          </rPr>
          <t>Συντάκτης:</t>
        </r>
        <r>
          <rPr>
            <sz val="9"/>
            <color indexed="81"/>
            <rFont val="Tahoma"/>
            <family val="2"/>
            <charset val="161"/>
          </rPr>
          <t xml:space="preserve">
Assumed 3.3% energy savings for every 10% cullet increase. 
Electric furnaces are not flexible when it comes to high-cullet batches, hence the benchmark is kept at 50% cullet and any further addition will have a slight impact on the total energy consumption (e.g. through faster melting).</t>
        </r>
      </text>
    </comment>
    <comment ref="C183" authorId="0" shapeId="0">
      <text>
        <r>
          <rPr>
            <b/>
            <sz val="9"/>
            <color indexed="81"/>
            <rFont val="Tahoma"/>
            <family val="2"/>
            <charset val="161"/>
          </rPr>
          <t>Συντάκτης:</t>
        </r>
        <r>
          <rPr>
            <sz val="9"/>
            <color indexed="81"/>
            <rFont val="Tahoma"/>
            <family val="2"/>
            <charset val="161"/>
          </rPr>
          <t xml:space="preserve">
Energy efficiency up to 85% (low superstructural, same substructural losses).</t>
        </r>
      </text>
    </comment>
    <comment ref="C184" authorId="0" shapeId="0">
      <text>
        <r>
          <rPr>
            <b/>
            <sz val="9"/>
            <color indexed="81"/>
            <rFont val="Tahoma"/>
            <family val="2"/>
            <charset val="161"/>
          </rPr>
          <t>Συντάκτης:</t>
        </r>
        <r>
          <rPr>
            <sz val="9"/>
            <color indexed="81"/>
            <rFont val="Tahoma"/>
            <family val="2"/>
            <charset val="161"/>
          </rPr>
          <t xml:space="preserve">
This value was calculated by multiplying the esitimated Qelectr (from scaling up) by the average losses of electric furnaces. The value separataed from the Qelectr for two reasons:
1) The literature indicated the total energy use of electric furnaces (incl. the losses), which were scaled up to 300tpd. Now this value serves as a benchmark before losses.
2) If the furnace is reconstructed/maintained and the losses drop, then the benchmark will remain the same and the value on the table above will be adjusted.</t>
        </r>
      </text>
    </comment>
    <comment ref="C185" authorId="0" shapeId="0">
      <text>
        <r>
          <rPr>
            <b/>
            <sz val="9"/>
            <color indexed="81"/>
            <rFont val="Tahoma"/>
            <family val="2"/>
            <charset val="161"/>
          </rPr>
          <t>Συντάκτης:</t>
        </r>
        <r>
          <rPr>
            <sz val="9"/>
            <color indexed="81"/>
            <rFont val="Tahoma"/>
            <family val="2"/>
            <charset val="161"/>
          </rPr>
          <t xml:space="preserve">
Same crown as classic regen., at temp. 1300-1350oC instead of 1600oC</t>
        </r>
      </text>
    </comment>
    <comment ref="M227" authorId="0" shapeId="0">
      <text>
        <r>
          <rPr>
            <b/>
            <sz val="9"/>
            <color indexed="81"/>
            <rFont val="Tahoma"/>
            <family val="2"/>
            <charset val="161"/>
          </rPr>
          <t>Συντάκτης:</t>
        </r>
        <r>
          <rPr>
            <sz val="9"/>
            <color indexed="81"/>
            <rFont val="Tahoma"/>
            <family val="2"/>
            <charset val="161"/>
          </rPr>
          <t xml:space="preserve">
&gt;&gt; The 5904KW is the aggregate value that gies to glass. It's like the Flue gas =12398KW, which is consisted of the 4 parameters.</t>
        </r>
      </text>
    </comment>
    <comment ref="M228" authorId="0" shapeId="0">
      <text>
        <r>
          <rPr>
            <b/>
            <sz val="9"/>
            <color indexed="81"/>
            <rFont val="Tahoma"/>
            <family val="2"/>
            <charset val="161"/>
          </rPr>
          <t>Συντάκτης:</t>
        </r>
        <r>
          <rPr>
            <sz val="9"/>
            <color indexed="81"/>
            <rFont val="Tahoma"/>
            <family val="2"/>
            <charset val="161"/>
          </rPr>
          <t xml:space="preserve">
&gt;&gt; This has already been subtracted from Glass energy. Can't make any change here, since it's calculated based on Madivate (1998) formulas.</t>
        </r>
      </text>
    </comment>
  </commentList>
</comments>
</file>

<file path=xl/comments4.xml><?xml version="1.0" encoding="utf-8"?>
<comments xmlns="http://schemas.openxmlformats.org/spreadsheetml/2006/main">
  <authors>
    <author>Συντάκτης</author>
  </authors>
  <commentList>
    <comment ref="D6" authorId="0" shapeId="0">
      <text>
        <r>
          <rPr>
            <b/>
            <sz val="9"/>
            <color indexed="81"/>
            <rFont val="Tahoma"/>
            <family val="2"/>
            <charset val="161"/>
          </rPr>
          <t>Συντάκτης:</t>
        </r>
        <r>
          <rPr>
            <sz val="9"/>
            <color indexed="81"/>
            <rFont val="Tahoma"/>
            <family val="2"/>
            <charset val="161"/>
          </rPr>
          <t xml:space="preserve">
Constant combustion efficiency (Koshmanesh et al. 2007). 
It will be recalculated when the oxidant changes (eg. O2 enrichment/substitution)</t>
        </r>
      </text>
    </comment>
    <comment ref="D8" authorId="0" shapeId="0">
      <text>
        <r>
          <rPr>
            <b/>
            <sz val="9"/>
            <color indexed="81"/>
            <rFont val="Tahoma"/>
            <family val="2"/>
            <charset val="161"/>
          </rPr>
          <t>Συντάκτης:</t>
        </r>
        <r>
          <rPr>
            <sz val="9"/>
            <color indexed="81"/>
            <rFont val="Tahoma"/>
            <family val="2"/>
            <charset val="161"/>
          </rPr>
          <t xml:space="preserve">
Electric boosting 8-10% (Joost Laven; Sven Kahl). 
This value here remains costant. For comparing the savings for less boosting: go to D1 tab, adjust the boosting in the respective benchmark tables, and observe the savings above them.</t>
        </r>
      </text>
    </comment>
    <comment ref="D9" authorId="0" shapeId="0">
      <text>
        <r>
          <rPr>
            <b/>
            <sz val="9"/>
            <color indexed="81"/>
            <rFont val="Tahoma"/>
            <family val="2"/>
            <charset val="161"/>
          </rPr>
          <t>Συντάκτης:</t>
        </r>
        <r>
          <rPr>
            <sz val="9"/>
            <color indexed="81"/>
            <rFont val="Tahoma"/>
            <family val="2"/>
            <charset val="161"/>
          </rPr>
          <t xml:space="preserve">
(Qng1 - Qng0) / (m*cp1 - m*cp0)
</t>
        </r>
      </text>
    </comment>
    <comment ref="D10" authorId="0" shapeId="0">
      <text>
        <r>
          <rPr>
            <sz val="9"/>
            <color indexed="81"/>
            <rFont val="Tahoma"/>
            <family val="2"/>
            <charset val="161"/>
          </rPr>
          <t xml:space="preserve">
</t>
        </r>
        <r>
          <rPr>
            <b/>
            <sz val="9"/>
            <color indexed="81"/>
            <rFont val="Tahoma"/>
            <family val="2"/>
            <charset val="161"/>
          </rPr>
          <t>ATTENTION</t>
        </r>
        <r>
          <rPr>
            <sz val="9"/>
            <color indexed="81"/>
            <rFont val="Tahoma"/>
            <family val="2"/>
            <charset val="161"/>
          </rPr>
          <t xml:space="preserve">
* If the Losses need to be changed, the new Tflame (in </t>
        </r>
        <r>
          <rPr>
            <b/>
            <sz val="9"/>
            <color indexed="81"/>
            <rFont val="Tahoma"/>
            <family val="2"/>
            <charset val="161"/>
          </rPr>
          <t>Fuel_Use!C129</t>
        </r>
        <r>
          <rPr>
            <sz val="9"/>
            <color indexed="81"/>
            <rFont val="Tahoma"/>
            <family val="2"/>
            <charset val="161"/>
          </rPr>
          <t xml:space="preserve">) needs to be pasted in the Appendix (in </t>
        </r>
        <r>
          <rPr>
            <b/>
            <sz val="9"/>
            <color indexed="81"/>
            <rFont val="Tahoma"/>
            <family val="2"/>
            <charset val="161"/>
          </rPr>
          <t>Fuel_Use!C193</t>
        </r>
        <r>
          <rPr>
            <sz val="9"/>
            <color indexed="81"/>
            <rFont val="Tahoma"/>
            <family val="2"/>
            <charset val="161"/>
          </rPr>
          <t xml:space="preserve">). This will guarantee 0% NG savings in Tables 1a - 1c. </t>
        </r>
        <r>
          <rPr>
            <u/>
            <sz val="9"/>
            <color indexed="81"/>
            <rFont val="Tahoma"/>
            <family val="2"/>
            <charset val="161"/>
          </rPr>
          <t>Excel VBA is need for the automatic update of the value.</t>
        </r>
      </text>
    </comment>
    <comment ref="D11" authorId="0" shapeId="0">
      <text>
        <r>
          <rPr>
            <b/>
            <sz val="9"/>
            <color indexed="81"/>
            <rFont val="Tahoma"/>
            <family val="2"/>
            <charset val="161"/>
          </rPr>
          <t xml:space="preserve">
ATTENTION</t>
        </r>
        <r>
          <rPr>
            <sz val="9"/>
            <color indexed="81"/>
            <rFont val="Tahoma"/>
            <family val="2"/>
            <charset val="161"/>
          </rPr>
          <t xml:space="preserve">
Qlosses increase by 1.3% every year approaching the furnace end-of-life. A furnace rebuild results in a decrease of losses by 15%.
* If the Losses need to be changed, the new Tflame (in </t>
        </r>
        <r>
          <rPr>
            <b/>
            <sz val="9"/>
            <color indexed="81"/>
            <rFont val="Tahoma"/>
            <family val="2"/>
            <charset val="161"/>
          </rPr>
          <t>Fuel_Use!C129</t>
        </r>
        <r>
          <rPr>
            <sz val="9"/>
            <color indexed="81"/>
            <rFont val="Tahoma"/>
            <family val="2"/>
            <charset val="161"/>
          </rPr>
          <t xml:space="preserve">) needs to be pasted in the Appendix (in </t>
        </r>
        <r>
          <rPr>
            <b/>
            <sz val="9"/>
            <color indexed="81"/>
            <rFont val="Tahoma"/>
            <family val="2"/>
            <charset val="161"/>
          </rPr>
          <t>Fuel_Use!C193</t>
        </r>
        <r>
          <rPr>
            <sz val="9"/>
            <color indexed="81"/>
            <rFont val="Tahoma"/>
            <family val="2"/>
            <charset val="161"/>
          </rPr>
          <t xml:space="preserve">). This will guarantee 0% NG savings in Tables 1a - 1c. </t>
        </r>
        <r>
          <rPr>
            <u/>
            <sz val="9"/>
            <color indexed="81"/>
            <rFont val="Tahoma"/>
            <family val="2"/>
            <charset val="161"/>
          </rPr>
          <t>Excel VBA is need for the automatic update of the value.</t>
        </r>
      </text>
    </comment>
    <comment ref="D13" authorId="0" shapeId="0">
      <text>
        <r>
          <rPr>
            <b/>
            <sz val="9"/>
            <color indexed="81"/>
            <rFont val="Tahoma"/>
            <family val="2"/>
            <charset val="161"/>
          </rPr>
          <t>Συντάκτης:</t>
        </r>
        <r>
          <rPr>
            <sz val="9"/>
            <color indexed="81"/>
            <rFont val="Tahoma"/>
            <family val="2"/>
            <charset val="161"/>
          </rPr>
          <t xml:space="preserve">
The ratio originates from Fuel_Use!T91/Fuel_Use!S58 and remains always constant. This number remains fixed, because it was falsely affected by the (bench.) electric boosting applied in Tabels 1a-1c.</t>
        </r>
      </text>
    </comment>
    <comment ref="D14" authorId="0" shapeId="0">
      <text>
        <r>
          <rPr>
            <b/>
            <sz val="9"/>
            <color indexed="81"/>
            <rFont val="Tahoma"/>
            <family val="2"/>
            <charset val="161"/>
          </rPr>
          <t>Συντάκτης:</t>
        </r>
        <r>
          <rPr>
            <sz val="9"/>
            <color indexed="81"/>
            <rFont val="Tahoma"/>
            <family val="2"/>
            <charset val="161"/>
          </rPr>
          <t xml:space="preserve">
The ratio originates from </t>
        </r>
        <r>
          <rPr>
            <b/>
            <sz val="9"/>
            <color indexed="81"/>
            <rFont val="Tahoma"/>
            <family val="2"/>
            <charset val="161"/>
          </rPr>
          <t xml:space="preserve">Fuel_Use!AB102/Fuel_Use!S58 </t>
        </r>
        <r>
          <rPr>
            <sz val="9"/>
            <color indexed="81"/>
            <rFont val="Tahoma"/>
            <family val="2"/>
            <charset val="161"/>
          </rPr>
          <t>and remains always constant. This number remains fixed, because it was falsely affected by the (bench.) electric boosting applied in Tabels 1a-1c.
I haven't included here the process CO2 from the extra glass pull. 
Instead, I add it directy to the D1 tab. 
Otherwise the extra process CO2 would affect the m*cp in the Fuel_Use tab and result in higher flame temperatures. So, for extra tonnes, I only see the impact on Electricity use and Total emissions in the D1 tab.</t>
        </r>
      </text>
    </comment>
    <comment ref="D30" authorId="0" shapeId="0">
      <text>
        <r>
          <rPr>
            <b/>
            <sz val="9"/>
            <color indexed="81"/>
            <rFont val="Tahoma"/>
            <family val="2"/>
            <charset val="161"/>
          </rPr>
          <t>Συντάκτης:</t>
        </r>
        <r>
          <rPr>
            <sz val="9"/>
            <color indexed="81"/>
            <rFont val="Tahoma"/>
            <family val="2"/>
            <charset val="161"/>
          </rPr>
          <t xml:space="preserve">
65-70% (Joost Laven; Sardeshpande, 2011)</t>
        </r>
      </text>
    </comment>
    <comment ref="D32" authorId="0" shapeId="0">
      <text>
        <r>
          <rPr>
            <sz val="9"/>
            <color indexed="81"/>
            <rFont val="Tahoma"/>
            <family val="2"/>
          </rPr>
          <t>Temperature of air after exiting the Regenerator and before entering the combustion chamber. After 30min sides are switched (air from one side, flue gas from the other)</t>
        </r>
      </text>
    </comment>
    <comment ref="D37" authorId="0" shapeId="0">
      <text>
        <r>
          <rPr>
            <sz val="9"/>
            <color indexed="81"/>
            <rFont val="Tahoma"/>
            <family val="2"/>
          </rPr>
          <t>The exit flue can be used for other activities downstream from the regenerator (e.g. preheat batch and cullet.). If not, they will be cooled down.</t>
        </r>
      </text>
    </comment>
    <comment ref="D52" authorId="0" shapeId="0">
      <text>
        <r>
          <rPr>
            <b/>
            <sz val="9"/>
            <color indexed="81"/>
            <rFont val="Tahoma"/>
            <family val="2"/>
            <charset val="161"/>
          </rPr>
          <t>Συντάκτης:</t>
        </r>
        <r>
          <rPr>
            <sz val="9"/>
            <color indexed="81"/>
            <rFont val="Tahoma"/>
            <family val="2"/>
            <charset val="161"/>
          </rPr>
          <t xml:space="preserve">
Requires 2 heat exchangers per burner, normally 6 burners (3 per side of furnace)</t>
        </r>
      </text>
    </comment>
    <comment ref="C74" authorId="0" shapeId="0">
      <text>
        <r>
          <rPr>
            <b/>
            <sz val="9"/>
            <color indexed="81"/>
            <rFont val="Tahoma"/>
            <family val="2"/>
            <charset val="161"/>
          </rPr>
          <t>Συντάκτης:</t>
        </r>
        <r>
          <rPr>
            <sz val="9"/>
            <color indexed="81"/>
            <rFont val="Tahoma"/>
            <family val="2"/>
            <charset val="161"/>
          </rPr>
          <t xml:space="preserve">
the entry temperature of the flue gases must not exceed 600 °C (Hatzilau 2016).
550oC for cullet-only preheaters</t>
        </r>
      </text>
    </comment>
    <comment ref="C79" authorId="0" shapeId="0">
      <text>
        <r>
          <rPr>
            <b/>
            <sz val="9"/>
            <color indexed="81"/>
            <rFont val="Tahoma"/>
            <family val="2"/>
            <charset val="161"/>
          </rPr>
          <t>Συντάκτης:</t>
        </r>
        <r>
          <rPr>
            <sz val="9"/>
            <color indexed="81"/>
            <rFont val="Tahoma"/>
            <family val="2"/>
            <charset val="161"/>
          </rPr>
          <t xml:space="preserve">
Wallenberger, 2010; British Glass, 2015</t>
        </r>
      </text>
    </comment>
    <comment ref="C82" authorId="0" shapeId="0">
      <text>
        <r>
          <rPr>
            <b/>
            <sz val="9"/>
            <color indexed="81"/>
            <rFont val="Tahoma"/>
            <family val="2"/>
            <charset val="161"/>
          </rPr>
          <t>Συντάκτης:</t>
        </r>
        <r>
          <rPr>
            <sz val="9"/>
            <color indexed="81"/>
            <rFont val="Tahoma"/>
            <family val="2"/>
            <charset val="161"/>
          </rPr>
          <t xml:space="preserve">
Expected energy savings 8-15% for preheating the batch mix at 275-325°C (air/fired furnace) (Wallenberger, 2010).</t>
        </r>
      </text>
    </comment>
  </commentList>
</comments>
</file>

<file path=xl/comments5.xml><?xml version="1.0" encoding="utf-8"?>
<comments xmlns="http://schemas.openxmlformats.org/spreadsheetml/2006/main">
  <authors>
    <author>Συντάκτης</author>
  </authors>
  <commentList>
    <comment ref="D47" authorId="0" shapeId="0">
      <text>
        <r>
          <rPr>
            <b/>
            <sz val="9"/>
            <color indexed="81"/>
            <rFont val="Tahoma"/>
            <family val="2"/>
            <charset val="161"/>
          </rPr>
          <t>Συντάκτης:</t>
        </r>
        <r>
          <rPr>
            <sz val="9"/>
            <color indexed="81"/>
            <rFont val="Tahoma"/>
            <family val="2"/>
            <charset val="161"/>
          </rPr>
          <t xml:space="preserve">
The percentages were gained from the feedback of company representatives.</t>
        </r>
      </text>
    </comment>
    <comment ref="E49" authorId="0" shapeId="0">
      <text>
        <r>
          <rPr>
            <b/>
            <sz val="9"/>
            <color indexed="81"/>
            <rFont val="Tahoma"/>
            <family val="2"/>
            <charset val="161"/>
          </rPr>
          <t>Συντάκτης:</t>
        </r>
        <r>
          <rPr>
            <sz val="9"/>
            <color indexed="81"/>
            <rFont val="Tahoma"/>
            <family val="2"/>
            <charset val="161"/>
          </rPr>
          <t xml:space="preserve">
Own calculations; It is used as the starting point for calculating the total energy use and emitted CO2 of the plant. </t>
        </r>
      </text>
    </comment>
  </commentList>
</comments>
</file>

<file path=xl/comments6.xml><?xml version="1.0" encoding="utf-8"?>
<comments xmlns="http://schemas.openxmlformats.org/spreadsheetml/2006/main">
  <authors>
    <author>Συντάκτης</author>
  </authors>
  <commentList>
    <comment ref="J2" authorId="0" shapeId="0">
      <text>
        <r>
          <rPr>
            <b/>
            <sz val="9"/>
            <color indexed="81"/>
            <rFont val="Tahoma"/>
            <family val="2"/>
            <charset val="161"/>
          </rPr>
          <t>Συντάκτης:</t>
        </r>
        <r>
          <rPr>
            <sz val="9"/>
            <color indexed="81"/>
            <rFont val="Tahoma"/>
            <family val="2"/>
            <charset val="161"/>
          </rPr>
          <t xml:space="preserve">
Retrieved from Wikipedia</t>
        </r>
      </text>
    </comment>
    <comment ref="J39" authorId="0" shapeId="0">
      <text>
        <r>
          <rPr>
            <sz val="9"/>
            <color indexed="81"/>
            <rFont val="Tahoma"/>
            <family val="2"/>
            <charset val="161"/>
          </rPr>
          <t>Contains gases weight
Input = Furnace output  / (C + (1-C) * (1 / (1+b) )</t>
        </r>
      </text>
    </comment>
    <comment ref="C40" authorId="0" shapeId="0">
      <text>
        <r>
          <rPr>
            <sz val="9"/>
            <color indexed="81"/>
            <rFont val="Tahoma"/>
            <family val="2"/>
            <charset val="161"/>
          </rPr>
          <t xml:space="preserve">
Both the batch and the molten glass contain the same amount of gases.</t>
        </r>
      </text>
    </comment>
    <comment ref="C41" authorId="0" shapeId="0">
      <text>
        <r>
          <rPr>
            <sz val="9"/>
            <color indexed="81"/>
            <rFont val="Tahoma"/>
            <family val="2"/>
            <charset val="161"/>
          </rPr>
          <t xml:space="preserve">
 '1' = 1kg Raw = 1kg molten glass.
The gases are expressed with "b", so all the raw become melt.
</t>
        </r>
      </text>
    </comment>
    <comment ref="J44" authorId="0" shapeId="0">
      <text>
        <r>
          <rPr>
            <b/>
            <sz val="9"/>
            <color indexed="81"/>
            <rFont val="Tahoma"/>
            <family val="2"/>
            <charset val="161"/>
          </rPr>
          <t>Συντάκτης:</t>
        </r>
        <r>
          <rPr>
            <sz val="9"/>
            <color indexed="81"/>
            <rFont val="Tahoma"/>
            <family val="2"/>
            <charset val="161"/>
          </rPr>
          <t xml:space="preserve">
Used in cases where the cullet rate is smaller than the pack-to-melt ratio (never happens in reality)</t>
        </r>
      </text>
    </comment>
  </commentList>
</comments>
</file>

<file path=xl/comments7.xml><?xml version="1.0" encoding="utf-8"?>
<comments xmlns="http://schemas.openxmlformats.org/spreadsheetml/2006/main">
  <authors>
    <author>Συντάκτης</author>
  </authors>
  <commentList>
    <comment ref="L30" authorId="0" shapeId="0">
      <text>
        <r>
          <rPr>
            <b/>
            <sz val="9"/>
            <color indexed="81"/>
            <rFont val="Tahoma"/>
            <family val="2"/>
            <charset val="161"/>
          </rPr>
          <t>Συντάκτης:
Assumption:</t>
        </r>
        <r>
          <rPr>
            <sz val="9"/>
            <color indexed="81"/>
            <rFont val="Tahoma"/>
            <family val="2"/>
            <charset val="161"/>
          </rPr>
          <t xml:space="preserve"> Cp of molten Na2CO3 = 0.10 kJ/mol*K</t>
        </r>
      </text>
    </comment>
    <comment ref="Q35" authorId="0" shapeId="0">
      <text>
        <r>
          <rPr>
            <b/>
            <sz val="9"/>
            <color indexed="81"/>
            <rFont val="Tahoma"/>
            <family val="2"/>
            <charset val="161"/>
          </rPr>
          <t>Συντάκτης:</t>
        </r>
        <r>
          <rPr>
            <sz val="9"/>
            <color indexed="81"/>
            <rFont val="Tahoma"/>
            <family val="2"/>
            <charset val="161"/>
          </rPr>
          <t xml:space="preserve">
https://chem.libretexts.org/Ancillary_Materials/Exemplars_and_Case_Studies/Exemplars/Environmental_and_Green_chemistry/Thermal_Mass_for_Heat_Storage</t>
        </r>
      </text>
    </comment>
    <comment ref="S35" authorId="0" shapeId="0">
      <text>
        <r>
          <rPr>
            <b/>
            <sz val="9"/>
            <color indexed="81"/>
            <rFont val="Tahoma"/>
            <family val="2"/>
            <charset val="161"/>
          </rPr>
          <t>Συντάκτης:</t>
        </r>
        <r>
          <rPr>
            <sz val="9"/>
            <color indexed="81"/>
            <rFont val="Tahoma"/>
            <family val="2"/>
            <charset val="161"/>
          </rPr>
          <t xml:space="preserve">
https://link.springer.com/article/10.1007/s10717-012-9449-6</t>
        </r>
      </text>
    </comment>
  </commentList>
</comments>
</file>

<file path=xl/comments8.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http://www.valvias.com/miscellanea-material-properties-gases-density.php</t>
        </r>
      </text>
    </comment>
    <comment ref="D6" authorId="0" shapeId="0">
      <text>
        <r>
          <rPr>
            <b/>
            <sz val="9"/>
            <color indexed="81"/>
            <rFont val="Tahoma"/>
            <family val="2"/>
            <charset val="161"/>
          </rPr>
          <t>Συντάκτης:</t>
        </r>
        <r>
          <rPr>
            <sz val="9"/>
            <color indexed="81"/>
            <rFont val="Tahoma"/>
            <family val="2"/>
            <charset val="161"/>
          </rPr>
          <t xml:space="preserve">
Fuel composition:
https://phyllis.nl/Browse/Standard/ECN-Phyllis##929 </t>
        </r>
      </text>
    </comment>
    <comment ref="H6" authorId="0" shapeId="0">
      <text>
        <r>
          <rPr>
            <b/>
            <sz val="9"/>
            <color indexed="81"/>
            <rFont val="Tahoma"/>
            <family val="2"/>
            <charset val="161"/>
          </rPr>
          <t>Συντάκτης:</t>
        </r>
        <r>
          <rPr>
            <sz val="9"/>
            <color indexed="81"/>
            <rFont val="Tahoma"/>
            <family val="2"/>
            <charset val="161"/>
          </rPr>
          <t xml:space="preserve">
Table 3.1.1
Gasunie (1980)
Calorific value - Gross</t>
        </r>
      </text>
    </comment>
    <comment ref="L10" authorId="0" shapeId="0">
      <text>
        <r>
          <rPr>
            <b/>
            <sz val="10"/>
            <color indexed="81"/>
            <rFont val="Cambria"/>
            <family val="1"/>
            <scheme val="major"/>
          </rPr>
          <t>Συντάκτης:</t>
        </r>
        <r>
          <rPr>
            <sz val="10"/>
            <color indexed="81"/>
            <rFont val="Cambria"/>
            <family val="1"/>
            <scheme val="major"/>
          </rPr>
          <t xml:space="preserve">
Gasunie (1980). 
Table 1.9. Groningen gas</t>
        </r>
      </text>
    </comment>
    <comment ref="L11" authorId="0" shapeId="0">
      <text>
        <r>
          <rPr>
            <b/>
            <sz val="10"/>
            <color indexed="81"/>
            <rFont val="Calibri"/>
            <family val="2"/>
            <scheme val="minor"/>
          </rPr>
          <t>Συντάκτης:</t>
        </r>
        <r>
          <rPr>
            <sz val="10"/>
            <color indexed="81"/>
            <rFont val="Calibri"/>
            <family val="2"/>
            <scheme val="minor"/>
          </rPr>
          <t xml:space="preserve">
we are concerned with predicting the temperature reached within the flame, hence the net calorific value/sensible heat terms system is the more appropriate</t>
        </r>
      </text>
    </comment>
    <comment ref="M11" authorId="0" shapeId="0">
      <text>
        <r>
          <rPr>
            <b/>
            <sz val="9"/>
            <color indexed="81"/>
            <rFont val="Tahoma"/>
            <family val="2"/>
            <charset val="161"/>
          </rPr>
          <t>Συντάκτης:</t>
        </r>
        <r>
          <rPr>
            <sz val="9"/>
            <color indexed="81"/>
            <rFont val="Tahoma"/>
            <family val="2"/>
            <charset val="161"/>
          </rPr>
          <t xml:space="preserve">
Ecofys (2018). Gas for Climate</t>
        </r>
      </text>
    </comment>
    <comment ref="M16" authorId="0" shapeId="0">
      <text>
        <r>
          <rPr>
            <b/>
            <sz val="9"/>
            <color indexed="81"/>
            <rFont val="Tahoma"/>
            <family val="2"/>
            <charset val="161"/>
          </rPr>
          <t>Συντάκτης:</t>
        </r>
        <r>
          <rPr>
            <sz val="9"/>
            <color indexed="81"/>
            <rFont val="Tahoma"/>
            <family val="2"/>
            <charset val="161"/>
          </rPr>
          <t xml:space="preserve">
https://webbook.nist.gov/cgi/cbook.cgi?ID=C74828&amp;Mask=1&amp;Type=JANAFG&amp;Table=on#JANAFG</t>
        </r>
      </text>
    </comment>
    <comment ref="C18" authorId="0" shapeId="0">
      <text>
        <r>
          <rPr>
            <b/>
            <sz val="9"/>
            <color indexed="81"/>
            <rFont val="Tahoma"/>
            <family val="2"/>
            <charset val="161"/>
          </rPr>
          <t>Συντάκτης:</t>
        </r>
        <r>
          <rPr>
            <sz val="9"/>
            <color indexed="81"/>
            <rFont val="Tahoma"/>
            <family val="2"/>
            <charset val="161"/>
          </rPr>
          <t xml:space="preserve">
Gasunie (1980), Table 1.7
</t>
        </r>
      </text>
    </comment>
    <comment ref="C23" authorId="0" shapeId="0">
      <text>
        <r>
          <rPr>
            <sz val="9"/>
            <color indexed="81"/>
            <rFont val="Tahoma"/>
            <family val="2"/>
            <charset val="161"/>
          </rPr>
          <t>Gasunie (1980), Table 2.61</t>
        </r>
      </text>
    </comment>
    <comment ref="E26" authorId="0" shapeId="0">
      <text>
        <r>
          <rPr>
            <b/>
            <sz val="9"/>
            <color indexed="81"/>
            <rFont val="Tahoma"/>
            <family val="2"/>
            <charset val="161"/>
          </rPr>
          <t>Συντάκτης:</t>
        </r>
        <r>
          <rPr>
            <sz val="9"/>
            <color indexed="81"/>
            <rFont val="Tahoma"/>
            <family val="2"/>
            <charset val="161"/>
          </rPr>
          <t xml:space="preserve">
1200oC</t>
        </r>
      </text>
    </comment>
    <comment ref="J60" authorId="0" shapeId="0">
      <text>
        <r>
          <rPr>
            <b/>
            <sz val="9"/>
            <color indexed="81"/>
            <rFont val="Tahoma"/>
            <family val="2"/>
            <charset val="161"/>
          </rPr>
          <t>Συντάκτης:</t>
        </r>
        <r>
          <rPr>
            <sz val="9"/>
            <color indexed="81"/>
            <rFont val="Tahoma"/>
            <family val="2"/>
            <charset val="161"/>
          </rPr>
          <t xml:space="preserve">
Gasunie (1980), Table 3.3.1</t>
        </r>
      </text>
    </comment>
    <comment ref="R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AT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R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AT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N95" authorId="0" shapeId="0">
      <text>
        <r>
          <rPr>
            <b/>
            <sz val="9"/>
            <color indexed="81"/>
            <rFont val="Tahoma"/>
            <family val="2"/>
            <charset val="161"/>
          </rPr>
          <t>Συντάκτης:</t>
        </r>
        <r>
          <rPr>
            <sz val="9"/>
            <color indexed="81"/>
            <rFont val="Tahoma"/>
            <family val="2"/>
            <charset val="161"/>
          </rPr>
          <t xml:space="preserve">
O2 remains the same. A percentage of O2 will be purchased, and the rest of it will come from Dry Air.</t>
        </r>
      </text>
    </comment>
    <comment ref="C104" authorId="0" shapeId="0">
      <text>
        <r>
          <rPr>
            <sz val="9"/>
            <color indexed="81"/>
            <rFont val="Tahoma"/>
            <family val="2"/>
            <charset val="161"/>
          </rPr>
          <t>O2 coming from non-combustible O2 from NG,</t>
        </r>
      </text>
    </comment>
    <comment ref="E104" authorId="0" shapeId="0">
      <text>
        <r>
          <rPr>
            <sz val="9"/>
            <color indexed="81"/>
            <rFont val="Tahoma"/>
            <family val="2"/>
            <charset val="161"/>
          </rPr>
          <t>a) non-combutible O2 of NG</t>
        </r>
        <r>
          <rPr>
            <b/>
            <sz val="9"/>
            <color indexed="81"/>
            <rFont val="Tahoma"/>
            <family val="2"/>
            <charset val="161"/>
          </rPr>
          <t xml:space="preserve">
</t>
        </r>
        <r>
          <rPr>
            <sz val="9"/>
            <color indexed="81"/>
            <rFont val="Tahoma"/>
            <family val="2"/>
            <charset val="161"/>
          </rPr>
          <t>b) O2 from excess air
The rest of the O2 in the Air is used for the NG combustion.</t>
        </r>
      </text>
    </comment>
    <comment ref="R105" authorId="0" shapeId="0">
      <text>
        <r>
          <rPr>
            <sz val="9"/>
            <color indexed="81"/>
            <rFont val="Tahoma"/>
            <family val="2"/>
            <charset val="161"/>
          </rPr>
          <t>O2 coming from non-combustible O2 from NG,</t>
        </r>
      </text>
    </comment>
    <comment ref="T105" authorId="0" shapeId="0">
      <text>
        <r>
          <rPr>
            <sz val="9"/>
            <color indexed="81"/>
            <rFont val="Tahoma"/>
            <family val="2"/>
            <charset val="161"/>
          </rPr>
          <t>Non-combutible O2 of NG</t>
        </r>
        <r>
          <rPr>
            <b/>
            <sz val="9"/>
            <color indexed="81"/>
            <rFont val="Tahoma"/>
            <family val="2"/>
            <charset val="161"/>
          </rPr>
          <t xml:space="preserve">
</t>
        </r>
        <r>
          <rPr>
            <sz val="9"/>
            <color indexed="81"/>
            <rFont val="Tahoma"/>
            <family val="2"/>
            <charset val="161"/>
          </rPr>
          <t>The rest of the O2 in the Air is used for the NG combustion.</t>
        </r>
      </text>
    </comment>
    <comment ref="C106"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E106"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R107"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T107"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J108" authorId="0" shapeId="0">
      <text>
        <r>
          <rPr>
            <b/>
            <sz val="9"/>
            <color indexed="81"/>
            <rFont val="Tahoma"/>
            <family val="2"/>
          </rPr>
          <t>Συντάκτης:</t>
        </r>
        <r>
          <rPr>
            <sz val="9"/>
            <color indexed="81"/>
            <rFont val="Tahoma"/>
            <family val="2"/>
          </rPr>
          <t xml:space="preserve">
validated by de Diego (2016). https://lifeoptimelt.com/pdf/GLASS%20INTERNATIONAL%202017%20JULY%20OPTIMELT%20PAIPER%20PUBLISED.pdf </t>
        </r>
      </text>
    </comment>
    <comment ref="AJ120" authorId="0" shapeId="0">
      <text>
        <r>
          <rPr>
            <b/>
            <sz val="9"/>
            <color indexed="81"/>
            <rFont val="Tahoma"/>
            <family val="2"/>
            <charset val="161"/>
          </rPr>
          <t>Συντάκτης:</t>
        </r>
        <r>
          <rPr>
            <sz val="9"/>
            <color indexed="81"/>
            <rFont val="Tahoma"/>
            <family val="2"/>
            <charset val="161"/>
          </rPr>
          <t xml:space="preserve">
The relation between Qng and m*cp remains constant only when substracting them. It's because the ratio Qng/m*cp changes due to the constant process emissions and varied combustion emissions.</t>
        </r>
      </text>
    </comment>
    <comment ref="G126" authorId="0" shapeId="0">
      <text>
        <r>
          <rPr>
            <b/>
            <sz val="9"/>
            <color indexed="81"/>
            <rFont val="Tahoma"/>
            <family val="2"/>
            <charset val="161"/>
          </rPr>
          <t>Συντάκτης:</t>
        </r>
        <r>
          <rPr>
            <sz val="9"/>
            <color indexed="81"/>
            <rFont val="Tahoma"/>
            <family val="2"/>
            <charset val="161"/>
          </rPr>
          <t xml:space="preserve">
From the division of AFT/Flue gas Temp for O2 20.94 v/v %.
Alternatively, we can argue that the flue gas Temp. = Furnace Temp = 1559,4oC and derive the ratio from that.</t>
        </r>
      </text>
    </comment>
    <comment ref="B139" authorId="0" shapeId="0">
      <text>
        <r>
          <rPr>
            <b/>
            <sz val="9"/>
            <color indexed="81"/>
            <rFont val="Tahoma"/>
            <family val="2"/>
            <charset val="161"/>
          </rPr>
          <t>Συντάκτης:</t>
        </r>
        <r>
          <rPr>
            <sz val="9"/>
            <color indexed="81"/>
            <rFont val="Tahoma"/>
            <family val="2"/>
            <charset val="161"/>
          </rPr>
          <t xml:space="preserve">
* used the fig 9.2 by Zheng (2011) and extended to 2800oC
* the point that th lines cross are the 68.8%, which is justified by the same Qflue result.
* found the line equation and calculated parameters for all AFT.
* I kept the y=ax+b stable and recalculated the 68.8%.
Initial formulas: a= (2065 - 1558) / (68.8 - 81 )
                        b= 1558 -a*81
  Recov.flue (%) = Qflue(base)*100/Qng(base)</t>
        </r>
      </text>
    </comment>
  </commentList>
</comments>
</file>

<file path=xl/comments9.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C7"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J20" authorId="0" shapeId="0">
      <text>
        <r>
          <rPr>
            <b/>
            <sz val="9"/>
            <color indexed="81"/>
            <rFont val="Tahoma"/>
            <family val="2"/>
            <charset val="161"/>
          </rPr>
          <t>Συντάκτης:</t>
        </r>
        <r>
          <rPr>
            <sz val="9"/>
            <color indexed="81"/>
            <rFont val="Tahoma"/>
            <family val="2"/>
            <charset val="161"/>
          </rPr>
          <t xml:space="preserve">
https://www.sciencedirect.com/science/article/pii/S0960148117304809
</t>
        </r>
        <r>
          <rPr>
            <b/>
            <sz val="9"/>
            <color indexed="81"/>
            <rFont val="Tahoma"/>
            <family val="2"/>
            <charset val="161"/>
          </rPr>
          <t xml:space="preserve">(Eq. 13-15) 
</t>
        </r>
        <r>
          <rPr>
            <sz val="9"/>
            <color indexed="81"/>
            <rFont val="Tahoma"/>
            <family val="2"/>
            <charset val="161"/>
          </rPr>
          <t>H2 + 1/2 O2 --&gt; H2O
CO + 1/2 O2 --&gt; CO2
CO2 --&gt; CO + 1/2 O2</t>
        </r>
      </text>
    </comment>
  </commentList>
</comments>
</file>

<file path=xl/sharedStrings.xml><?xml version="1.0" encoding="utf-8"?>
<sst xmlns="http://schemas.openxmlformats.org/spreadsheetml/2006/main" count="3241" uniqueCount="1163">
  <si>
    <t>Year; VALUE</t>
  </si>
  <si>
    <t>COMMODITY DATA</t>
  </si>
  <si>
    <t>Commodity; VALUE</t>
  </si>
  <si>
    <t>Natural gas</t>
  </si>
  <si>
    <t>Market price; VALUE</t>
  </si>
  <si>
    <t>Market price; UNIT</t>
  </si>
  <si>
    <t>Market price; LOWER LIMIT</t>
  </si>
  <si>
    <t>Market price; UPPER LIMIT</t>
  </si>
  <si>
    <t>Market price; SOURCE</t>
  </si>
  <si>
    <t>Market price; COMMENT</t>
  </si>
  <si>
    <t>Market price; VERIFICATION</t>
  </si>
  <si>
    <t>Data</t>
  </si>
  <si>
    <t>Value</t>
  </si>
  <si>
    <t>Unit</t>
  </si>
  <si>
    <t>Mtn</t>
  </si>
  <si>
    <t>Raw materials (input)</t>
  </si>
  <si>
    <t>ktn/yr</t>
  </si>
  <si>
    <t>Glass consumption in NL (2015)</t>
  </si>
  <si>
    <t>Comments</t>
  </si>
  <si>
    <t>Post-consumer recycling rate of glass (2015)</t>
  </si>
  <si>
    <t>Cullet</t>
  </si>
  <si>
    <t>-</t>
  </si>
  <si>
    <t>GJ/tn</t>
  </si>
  <si>
    <t>Melting</t>
  </si>
  <si>
    <t xml:space="preserve">Annealing </t>
  </si>
  <si>
    <t>Range</t>
  </si>
  <si>
    <t>Celsius</t>
  </si>
  <si>
    <t>Melting temperature of Silica sand (SiO2)</t>
  </si>
  <si>
    <t>Celcius</t>
  </si>
  <si>
    <t>Melting temperature of Limestone (CaCO3)</t>
  </si>
  <si>
    <t>Melting temperature of soda ash (Na2CO3)</t>
  </si>
  <si>
    <t xml:space="preserve"> </t>
  </si>
  <si>
    <t>Preheating of batch (3-6h) (optional)</t>
  </si>
  <si>
    <t>Batch blanket heating (40-60min)</t>
  </si>
  <si>
    <t>1350-&gt;1550</t>
  </si>
  <si>
    <t>Energy</t>
  </si>
  <si>
    <t>Melting energy saved per +10% cullet additon</t>
  </si>
  <si>
    <t>%</t>
  </si>
  <si>
    <t>Energy consumption melting (100% cullet)</t>
  </si>
  <si>
    <t>1.5-2</t>
  </si>
  <si>
    <t>Energy consumption melting (50% cullet)</t>
  </si>
  <si>
    <t xml:space="preserve"> 3.4 - 3.55</t>
  </si>
  <si>
    <t>Energy consumption melting (0% cullet)</t>
  </si>
  <si>
    <t>Output</t>
  </si>
  <si>
    <t>tn molten glass/day</t>
  </si>
  <si>
    <t>CO2 saved</t>
  </si>
  <si>
    <t>kg CO2/tn of cullet</t>
  </si>
  <si>
    <t>Temperature of flue gas</t>
  </si>
  <si>
    <t>Steam output</t>
  </si>
  <si>
    <t>tn/h</t>
  </si>
  <si>
    <t>Pressure of steam</t>
  </si>
  <si>
    <t>Mpa</t>
  </si>
  <si>
    <t>https://converter.eu/heat_capacity/#23.631_Calorie/Gram_%C2%B0C_in_Kilojoule/Kilogram_%C2%B0C</t>
  </si>
  <si>
    <t>Mass</t>
  </si>
  <si>
    <t>unit</t>
  </si>
  <si>
    <t>Molar mass</t>
  </si>
  <si>
    <t>n</t>
  </si>
  <si>
    <t>Cp(min)</t>
  </si>
  <si>
    <t>Cp(max)</t>
  </si>
  <si>
    <t>SiO2</t>
  </si>
  <si>
    <t>kg</t>
  </si>
  <si>
    <t>kg/mol</t>
  </si>
  <si>
    <t>kJ/mol*K</t>
  </si>
  <si>
    <t>https://webbook.nist.gov/cgi/cbook.cgi?ID=C14808607&amp;Type=JANAFS&amp;Table=on</t>
  </si>
  <si>
    <t>CaCO3</t>
  </si>
  <si>
    <t>Na2CO3</t>
  </si>
  <si>
    <t xml:space="preserve">https://www.solvay.us/en/binaries/HeatEffects_of_the_TronaSystem-237230.pdf </t>
  </si>
  <si>
    <t>bar</t>
  </si>
  <si>
    <t>Converter</t>
  </si>
  <si>
    <t>MJ</t>
  </si>
  <si>
    <t xml:space="preserve">Electricity </t>
  </si>
  <si>
    <t>€/kWh</t>
  </si>
  <si>
    <t>Electricity prices for industry in NL (2017)</t>
  </si>
  <si>
    <t>(Beerkens, 2012; Deg, 2018): 1200-&gt;1350</t>
  </si>
  <si>
    <t>Sand Dissolution (1.5-2h)</t>
  </si>
  <si>
    <t>Traditional batch</t>
  </si>
  <si>
    <t>Temperature change (liquid)</t>
  </si>
  <si>
    <t>Temperature change (solid)</t>
  </si>
  <si>
    <t>Furnace Temperature (0% cullet)</t>
  </si>
  <si>
    <t>Furnace Temperature (100% cullet)</t>
  </si>
  <si>
    <t xml:space="preserve">Energy savings for +1% cullet (by weight) </t>
  </si>
  <si>
    <t>Furnace Temperature (oC)</t>
  </si>
  <si>
    <t xml:space="preserve">https://www.researchgate.net/publication/224302393_Reduction_of_fuel_consumption_in_an_industrial_glass_melting_furnace </t>
  </si>
  <si>
    <t>(Beerkens, 2012)</t>
  </si>
  <si>
    <t>2.7-3</t>
  </si>
  <si>
    <t xml:space="preserve">(0% cullet but with technology interventions) - 2.7GJ/tn with Batch preheat, 3GJ/tn without it </t>
  </si>
  <si>
    <t>1450-1650</t>
  </si>
  <si>
    <t>Electricity</t>
  </si>
  <si>
    <t>Cullet use in Batch mix (2015)</t>
  </si>
  <si>
    <t>€/yr</t>
  </si>
  <si>
    <t>Input</t>
  </si>
  <si>
    <t>Low pressure fining</t>
  </si>
  <si>
    <t>(pp.17) Beerkens, 2012</t>
  </si>
  <si>
    <t>Al2O3</t>
  </si>
  <si>
    <t>Melting temperature of Alumina (Al2O3)</t>
  </si>
  <si>
    <t>Furnace efficiency</t>
  </si>
  <si>
    <t>Fining (1-3h)</t>
  </si>
  <si>
    <t>CaO</t>
  </si>
  <si>
    <t>CO2</t>
  </si>
  <si>
    <t>Recycled cullet in NL (input) (2015)</t>
  </si>
  <si>
    <t>100-550</t>
  </si>
  <si>
    <t>tn</t>
  </si>
  <si>
    <t>Percentage of indirect emisisons (of total)</t>
  </si>
  <si>
    <t>Furnace capacity</t>
  </si>
  <si>
    <t>300-350</t>
  </si>
  <si>
    <t>tn/day</t>
  </si>
  <si>
    <t>(IED, 2012)</t>
  </si>
  <si>
    <t>Raw materials saved by adding  1tn of cullet</t>
  </si>
  <si>
    <t>Pack-to-melt ratio</t>
  </si>
  <si>
    <t>User Input</t>
  </si>
  <si>
    <t>(.xls FEVE Recycling-YEAR-2015; VNG, 2012)</t>
  </si>
  <si>
    <t>(Worrell et al., 2008. p.67) --&gt; I get 16MJ from my calculations</t>
  </si>
  <si>
    <t>1MBTU = 0.29307 kWh, 1GJ = 0.9478 MBtu = 277.8 kWh</t>
  </si>
  <si>
    <t>kg/m3</t>
  </si>
  <si>
    <t>m3</t>
  </si>
  <si>
    <t>1)</t>
  </si>
  <si>
    <t>2)</t>
  </si>
  <si>
    <t>Composition</t>
  </si>
  <si>
    <t>CaMg(CO3)2</t>
  </si>
  <si>
    <t>MgO</t>
  </si>
  <si>
    <t>Batch weight</t>
  </si>
  <si>
    <t>Total Raw</t>
  </si>
  <si>
    <t>Na2O</t>
  </si>
  <si>
    <t>Flint</t>
  </si>
  <si>
    <t>Amber</t>
  </si>
  <si>
    <r>
      <t>Melting temperature of Dolomite (CaMg(CO</t>
    </r>
    <r>
      <rPr>
        <sz val="8"/>
        <color theme="1"/>
        <rFont val="Calibri"/>
        <family val="2"/>
        <charset val="161"/>
        <scheme val="minor"/>
      </rPr>
      <t>3</t>
    </r>
    <r>
      <rPr>
        <sz val="11"/>
        <color theme="1"/>
        <rFont val="Calibri"/>
        <family val="2"/>
        <scheme val="minor"/>
      </rPr>
      <t>)</t>
    </r>
    <r>
      <rPr>
        <sz val="8"/>
        <color theme="1"/>
        <rFont val="Calibri"/>
        <family val="2"/>
        <charset val="161"/>
        <scheme val="minor"/>
      </rPr>
      <t>2</t>
    </r>
    <r>
      <rPr>
        <sz val="11"/>
        <color theme="1"/>
        <rFont val="Calibri"/>
        <family val="2"/>
        <scheme val="minor"/>
      </rPr>
      <t>)</t>
    </r>
  </si>
  <si>
    <t>Dolomite is not preferable, if the company doesn’t want MgO in the final composition.</t>
  </si>
  <si>
    <t>Batch</t>
  </si>
  <si>
    <t>CO2 from process emissions</t>
  </si>
  <si>
    <t>CO2 Intensity from process emissions</t>
  </si>
  <si>
    <t>tn CO2/tn molten glass</t>
  </si>
  <si>
    <r>
      <t xml:space="preserve">(Wikipedia, Glass recycling) </t>
    </r>
    <r>
      <rPr>
        <b/>
        <sz val="11"/>
        <color theme="1"/>
        <rFont val="Calibri"/>
        <family val="2"/>
        <charset val="161"/>
        <scheme val="minor"/>
      </rPr>
      <t>Confirmed</t>
    </r>
  </si>
  <si>
    <t>tn Input material</t>
  </si>
  <si>
    <t>tn CO2</t>
  </si>
  <si>
    <t>Internal cullet</t>
  </si>
  <si>
    <t>GJ/tn molten glass</t>
  </si>
  <si>
    <t>FEVE: 90% was recycled in 2017</t>
  </si>
  <si>
    <t>CH4</t>
  </si>
  <si>
    <t>O2</t>
  </si>
  <si>
    <t>H2O</t>
  </si>
  <si>
    <t>kg/tn molten glass</t>
  </si>
  <si>
    <t>mol/tn molten glass</t>
  </si>
  <si>
    <t>(Hubert, 2015)</t>
  </si>
  <si>
    <t>* Increasing Na2O content also decreases the viscosity</t>
  </si>
  <si>
    <t xml:space="preserve">   </t>
  </si>
  <si>
    <t>* Al2O3 makes a favourable influence on the tensile strength</t>
  </si>
  <si>
    <t>Batch melting point (oC)</t>
  </si>
  <si>
    <t>Temperature for sand dissolution</t>
  </si>
  <si>
    <t>1100-1350</t>
  </si>
  <si>
    <t>External cullet</t>
  </si>
  <si>
    <t>Hydrogen gas</t>
  </si>
  <si>
    <t>C</t>
  </si>
  <si>
    <t>Ca</t>
  </si>
  <si>
    <t>Si</t>
  </si>
  <si>
    <t>Mg</t>
  </si>
  <si>
    <t>O</t>
  </si>
  <si>
    <t>Na</t>
  </si>
  <si>
    <t>Al</t>
  </si>
  <si>
    <t>Compound</t>
  </si>
  <si>
    <t>Legend</t>
  </si>
  <si>
    <t xml:space="preserve">Amber: </t>
  </si>
  <si>
    <t>http://www.freepatentsonline.com/2443142.pdf</t>
  </si>
  <si>
    <t>https://www.bullseyeglass.com/images/stories/bullseye/PDF/news/GSLtd_redox-and-refining.pdf</t>
  </si>
  <si>
    <t>SO2 (g):</t>
  </si>
  <si>
    <t>Flint:</t>
  </si>
  <si>
    <t>a</t>
  </si>
  <si>
    <t>kJ/K*mol</t>
  </si>
  <si>
    <t>https://sci-hub.tw/https://doi.org/10.1111/j.1151-2916.1958.tb12895.x</t>
  </si>
  <si>
    <t>g/mol</t>
  </si>
  <si>
    <t>Be</t>
  </si>
  <si>
    <t>https://www.lehigh.edu/imi/teched/GlassProcess/Lectures/Lecture01_Hubert_Comm_glasses_and%20Raw_Matls.pdf</t>
  </si>
  <si>
    <t>See also Hubert (2015, p.60)</t>
  </si>
  <si>
    <t xml:space="preserve">https://www.lehigh.edu/imi/teched/GlassProcess/Lectures/Lecture01_Hubert_Comm_glasses_and%20Raw_Matls.pdf </t>
  </si>
  <si>
    <t xml:space="preserve">https://link.springer.com/article/10.1007/s10717-012-9449-6 </t>
  </si>
  <si>
    <t>Emerald (approx.):</t>
  </si>
  <si>
    <r>
      <t xml:space="preserve">Cullet </t>
    </r>
    <r>
      <rPr>
        <sz val="9"/>
        <color theme="1"/>
        <rFont val="Calibri"/>
        <family val="2"/>
        <charset val="161"/>
        <scheme val="minor"/>
      </rPr>
      <t>(F/A/E)</t>
    </r>
  </si>
  <si>
    <t>Molten glass</t>
  </si>
  <si>
    <t>SO2</t>
  </si>
  <si>
    <t>tn CO2/tn packed glass</t>
  </si>
  <si>
    <t>.</t>
  </si>
  <si>
    <t>ΔHglass</t>
  </si>
  <si>
    <t>GJ/tn of glass</t>
  </si>
  <si>
    <t>ΔHgas</t>
  </si>
  <si>
    <t>GJ/tn of gas</t>
  </si>
  <si>
    <t>Na2SO4</t>
  </si>
  <si>
    <t>S</t>
  </si>
  <si>
    <t>wt %</t>
  </si>
  <si>
    <t>rest-Na2O</t>
  </si>
  <si>
    <t>rest-SiO2</t>
  </si>
  <si>
    <t>Normalize NCS:</t>
  </si>
  <si>
    <t>kJ/kg CaO</t>
  </si>
  <si>
    <t>kJ/kg Na2O</t>
  </si>
  <si>
    <t>kJ/kg SiO2</t>
  </si>
  <si>
    <t>(Norm)</t>
  </si>
  <si>
    <t>wt% norm</t>
  </si>
  <si>
    <t xml:space="preserve">[flint] </t>
  </si>
  <si>
    <t>[amber]</t>
  </si>
  <si>
    <t xml:space="preserve">[emerald] </t>
  </si>
  <si>
    <t>(Eq. 19, Tables II and VI, composition VI)</t>
  </si>
  <si>
    <t>(Eq. 19, Tables II and VI, composition V)</t>
  </si>
  <si>
    <t>kJ/kg Na2CO3</t>
  </si>
  <si>
    <t>kJ/kg CaCO3</t>
  </si>
  <si>
    <t>kJ/kg Na2SO4</t>
  </si>
  <si>
    <t>kJ/kg CaMg(CO3)2</t>
  </si>
  <si>
    <t>1+b</t>
  </si>
  <si>
    <t>b</t>
  </si>
  <si>
    <t>Included CO2, SO2, and O2 emitted during the melting (not from NG combustion)</t>
  </si>
  <si>
    <t xml:space="preserve">ΔHa (co2) </t>
  </si>
  <si>
    <t xml:space="preserve">ΔHb (so2) </t>
  </si>
  <si>
    <t xml:space="preserve">ΔHc (o2) </t>
  </si>
  <si>
    <r>
      <t>ΔH</t>
    </r>
    <r>
      <rPr>
        <sz val="9"/>
        <color theme="1"/>
        <rFont val="Calibri"/>
        <family val="2"/>
        <charset val="161"/>
        <scheme val="minor"/>
      </rPr>
      <t xml:space="preserve">R </t>
    </r>
    <r>
      <rPr>
        <sz val="11"/>
        <color theme="1"/>
        <rFont val="Calibri"/>
        <family val="2"/>
        <charset val="161"/>
        <scheme val="minor"/>
      </rPr>
      <t>= ΔHd + ΔHg</t>
    </r>
  </si>
  <si>
    <t>ΔΗna2co3 * mfrac</t>
  </si>
  <si>
    <t>ΔΗcaco3 * mfrac</t>
  </si>
  <si>
    <t>ΔHcamg(co3)2 * mfrac</t>
  </si>
  <si>
    <t>ΔΗna2so4 * mfrac</t>
  </si>
  <si>
    <t>tn of batch/tn molten glass</t>
  </si>
  <si>
    <t>c</t>
  </si>
  <si>
    <r>
      <rPr>
        <b/>
        <sz val="11"/>
        <color theme="1"/>
        <rFont val="Calibri"/>
        <family val="2"/>
        <charset val="161"/>
        <scheme val="minor"/>
      </rPr>
      <t>Fining agent</t>
    </r>
    <r>
      <rPr>
        <sz val="11"/>
        <color theme="1"/>
        <rFont val="Calibri"/>
        <family val="2"/>
        <scheme val="minor"/>
      </rPr>
      <t>: Na</t>
    </r>
    <r>
      <rPr>
        <vertAlign val="subscript"/>
        <sz val="11"/>
        <color theme="1"/>
        <rFont val="Calibri"/>
        <family val="2"/>
        <charset val="161"/>
        <scheme val="minor"/>
      </rPr>
      <t>2</t>
    </r>
    <r>
      <rPr>
        <sz val="11"/>
        <color theme="1"/>
        <rFont val="Calibri"/>
        <family val="2"/>
        <scheme val="minor"/>
      </rPr>
      <t>SO</t>
    </r>
    <r>
      <rPr>
        <vertAlign val="subscript"/>
        <sz val="11"/>
        <color theme="1"/>
        <rFont val="Calibri"/>
        <family val="2"/>
        <charset val="161"/>
        <scheme val="minor"/>
      </rPr>
      <t>4</t>
    </r>
    <r>
      <rPr>
        <sz val="11"/>
        <color theme="1"/>
        <rFont val="Calibri"/>
        <family val="2"/>
        <scheme val="minor"/>
      </rPr>
      <t xml:space="preserve">  --&gt; Na</t>
    </r>
    <r>
      <rPr>
        <vertAlign val="subscript"/>
        <sz val="11"/>
        <color theme="1"/>
        <rFont val="Calibri"/>
        <family val="2"/>
        <charset val="161"/>
        <scheme val="minor"/>
      </rPr>
      <t>2</t>
    </r>
    <r>
      <rPr>
        <sz val="11"/>
        <color theme="1"/>
        <rFont val="Calibri"/>
        <family val="2"/>
        <scheme val="minor"/>
      </rPr>
      <t>O + SO</t>
    </r>
    <r>
      <rPr>
        <vertAlign val="subscript"/>
        <sz val="11"/>
        <color theme="1"/>
        <rFont val="Calibri"/>
        <family val="2"/>
        <charset val="161"/>
        <scheme val="minor"/>
      </rPr>
      <t xml:space="preserve">2 </t>
    </r>
    <r>
      <rPr>
        <sz val="11"/>
        <color theme="1"/>
        <rFont val="Calibri"/>
        <family val="2"/>
        <scheme val="minor"/>
      </rPr>
      <t>+ 1/2 O</t>
    </r>
    <r>
      <rPr>
        <vertAlign val="subscript"/>
        <sz val="11"/>
        <color theme="1"/>
        <rFont val="Calibri"/>
        <family val="2"/>
        <charset val="161"/>
        <scheme val="minor"/>
      </rPr>
      <t>2</t>
    </r>
  </si>
  <si>
    <r>
      <rPr>
        <b/>
        <sz val="11"/>
        <color theme="1"/>
        <rFont val="Calibri"/>
        <family val="2"/>
        <charset val="161"/>
        <scheme val="minor"/>
      </rPr>
      <t>Glass type</t>
    </r>
    <r>
      <rPr>
        <sz val="11"/>
        <color theme="1"/>
        <rFont val="Calibri"/>
        <family val="2"/>
        <scheme val="minor"/>
      </rPr>
      <t xml:space="preserve"> (Flint:1, Amber:2, Emerald:3)</t>
    </r>
  </si>
  <si>
    <t>%wt</t>
  </si>
  <si>
    <r>
      <t xml:space="preserve">Batch </t>
    </r>
    <r>
      <rPr>
        <b/>
        <u/>
        <sz val="11"/>
        <color theme="1"/>
        <rFont val="Calibri"/>
        <family val="2"/>
        <charset val="161"/>
        <scheme val="minor"/>
      </rPr>
      <t>without</t>
    </r>
    <r>
      <rPr>
        <b/>
        <sz val="11"/>
        <color theme="1"/>
        <rFont val="Calibri"/>
        <family val="2"/>
        <charset val="161"/>
        <scheme val="minor"/>
      </rPr>
      <t xml:space="preserve"> Cullet Addition</t>
    </r>
  </si>
  <si>
    <r>
      <t xml:space="preserve">Batch </t>
    </r>
    <r>
      <rPr>
        <b/>
        <u/>
        <sz val="11"/>
        <color theme="1"/>
        <rFont val="Calibri"/>
        <family val="2"/>
        <charset val="161"/>
        <scheme val="minor"/>
      </rPr>
      <t>with</t>
    </r>
    <r>
      <rPr>
        <b/>
        <sz val="11"/>
        <color theme="1"/>
        <rFont val="Calibri"/>
        <family val="2"/>
        <charset val="161"/>
        <scheme val="minor"/>
      </rPr>
      <t xml:space="preserve"> Cullet addition</t>
    </r>
  </si>
  <si>
    <t>tn SO2/tn molten glass</t>
  </si>
  <si>
    <t>tn O2/tn molten glass</t>
  </si>
  <si>
    <t>tn cullet/tn molten glass</t>
  </si>
  <si>
    <t>SO2 gas emitted</t>
  </si>
  <si>
    <t>Gases emitted</t>
  </si>
  <si>
    <t>Glass Comp.</t>
  </si>
  <si>
    <t>Batch Comp.</t>
  </si>
  <si>
    <t>(Madivate, 1998, Table VI)</t>
  </si>
  <si>
    <t>(Madivate, 1998, Table V)</t>
  </si>
  <si>
    <t>(Madivate, 1998, Eq. 21)</t>
  </si>
  <si>
    <t>O2 gas emitted</t>
  </si>
  <si>
    <t>https://webbook.nist.gov/cgi/cbook.cgi?ID=C7757826&amp;Units=SI&amp;Mask=2#Thermo-Condensed</t>
  </si>
  <si>
    <t xml:space="preserve">(Madivate, 1998, Eq.11, 12) </t>
  </si>
  <si>
    <t>(Madivate, 1998, Eq. 10, Table I)</t>
  </si>
  <si>
    <t>Sources</t>
  </si>
  <si>
    <t>(Dzuzer, 2012) Δhglass (s --&gt; l) = 127.6 KJ/kg (maybe emerald)</t>
  </si>
  <si>
    <t>Flint Glass</t>
  </si>
  <si>
    <t>Amber Glass</t>
  </si>
  <si>
    <t>https://sci-hub.tw/10.1111/j.1151-2916.1951.tb09128.x</t>
  </si>
  <si>
    <t>(Dzuzer, 2012)</t>
  </si>
  <si>
    <t>https://link.springer.com/article/10.1007/s10717-012-9449-6</t>
  </si>
  <si>
    <t>(Deng, 2018) "75% cullet decreases the activation energy for the batch to approx. 210KJ/mol"</t>
  </si>
  <si>
    <t>Specific Heat of glass</t>
  </si>
  <si>
    <t>(1951)</t>
  </si>
  <si>
    <t>(1958)</t>
  </si>
  <si>
    <t>where Cm: mean specific heat from 0oC to T; Co: true specific heat at 0oC; a: constant</t>
  </si>
  <si>
    <t>Benchmarking temperatures</t>
  </si>
  <si>
    <t>(Moore &amp; Sharp, 1951; 1958)</t>
  </si>
  <si>
    <t>&gt;&gt; the Co is replaced with the mean specific heat between 0oC and Tm (=Cp(s))</t>
  </si>
  <si>
    <t>(solid cp)</t>
  </si>
  <si>
    <t>https://link.springer.com/content/pdf/10.1007%2FBF00309451.pdf</t>
  </si>
  <si>
    <t>, (liquid cp) Felder &amp; Rousseau 2005, and</t>
  </si>
  <si>
    <t>https://www.eng-tips.com/viewthread.cfm?qid=61961</t>
  </si>
  <si>
    <t>Conradt (2008), and</t>
  </si>
  <si>
    <t xml:space="preserve">http://rruff.info/doclib/am/vol70/AM70_261.pdf </t>
  </si>
  <si>
    <t>Theoretical Energy requirement for melting</t>
  </si>
  <si>
    <t>Formula applied: Cm = (a*T + Co) / (0.00146*T + 1) (Moore &amp; Sharp, 1951; 1958)</t>
  </si>
  <si>
    <t>wt% / Mi</t>
  </si>
  <si>
    <t xml:space="preserve">Molar mass </t>
  </si>
  <si>
    <t>Flint glass</t>
  </si>
  <si>
    <t>Amber glass</t>
  </si>
  <si>
    <r>
      <t xml:space="preserve">Emerald </t>
    </r>
    <r>
      <rPr>
        <sz val="11"/>
        <color theme="1"/>
        <rFont val="Calibri"/>
        <family val="2"/>
        <charset val="161"/>
        <scheme val="minor"/>
      </rPr>
      <t>glass</t>
    </r>
  </si>
  <si>
    <t>Co</t>
  </si>
  <si>
    <t>Input material</t>
  </si>
  <si>
    <t>tn of gas/tn molten glass</t>
  </si>
  <si>
    <t>(Beerkens, 2012, pp. 21). Reacts above 1200oC with Na2SO4 (Hujova, 2017)</t>
  </si>
  <si>
    <t>Cp(s) 0 =&gt; Tm</t>
  </si>
  <si>
    <t>Cp(l) Tm =&gt; Tf</t>
  </si>
  <si>
    <t xml:space="preserve">where b: drops with cullet </t>
  </si>
  <si>
    <t>addition (i.e fewer gases,</t>
  </si>
  <si>
    <t>than the cullet increase)</t>
  </si>
  <si>
    <t>Batch weight = 1+b =</t>
  </si>
  <si>
    <t>= Cullet + Raw + Gases</t>
  </si>
  <si>
    <t>ΔHg</t>
  </si>
  <si>
    <t>ΔHd</t>
  </si>
  <si>
    <t>GJ</t>
  </si>
  <si>
    <t>ΤΕR</t>
  </si>
  <si>
    <t>3.3% (Madivate, 1998); 2.5% (Drummond, 2011); 2-3% (Butler, 2011)</t>
  </si>
  <si>
    <t>2.0-3.3</t>
  </si>
  <si>
    <t>Melting temperature of cullet</t>
  </si>
  <si>
    <t>GJ/tn of gas     =</t>
  </si>
  <si>
    <t xml:space="preserve">Deng (2018): in 1000C the cullet particles remain separated, in 1100C the cullet has all melted. Also 1000 C, according to http://www.commissionoceanindien.org/archives/environment.ioconline.org/fr/solid-waste-management/recycling-of-glass.html </t>
  </si>
  <si>
    <t>Melting Temperature of cullet-containing batch</t>
  </si>
  <si>
    <t>1100-1500</t>
  </si>
  <si>
    <t>(Madivate, 1998, pp.3303): 1100(100%cullet)-1500(0% cullet)</t>
  </si>
  <si>
    <t>It follows the changes of cullet and energy savings by half, allowing the upper boundary to move (Apply +3.3% compared to 1500)</t>
  </si>
  <si>
    <t>(Eq. 19, Tables II and VI, composition IV) - only included oxides SiO2, Na2O, CaO, MgO, Al2O3. See also Barin (1991). pp 437</t>
  </si>
  <si>
    <t>(Madivate, 1998,  Eq. 20) ΔHgas * b: The heat content of the gases released from the batch during melting (originally kJ/kg of gas, and multiplied by "b" kg of gas/tn molten glass)</t>
  </si>
  <si>
    <t xml:space="preserve">Madivate (1998) </t>
  </si>
  <si>
    <t>(Madivate, 1998,  Eq. 20) They start from To(K), because the released gases are not included in ΔHglass (oxides instead of Raw materials).</t>
  </si>
  <si>
    <r>
      <rPr>
        <b/>
        <sz val="11"/>
        <color theme="1"/>
        <rFont val="Calibri"/>
        <family val="2"/>
        <charset val="161"/>
        <scheme val="minor"/>
      </rPr>
      <t>glass = Raw + cullet in To</t>
    </r>
    <r>
      <rPr>
        <sz val="11"/>
        <color theme="1"/>
        <rFont val="Calibri"/>
        <family val="2"/>
        <charset val="161"/>
        <scheme val="minor"/>
      </rPr>
      <t>. Starting from To and heating it, we get exactly the same mass of molten glass in Tmelt.  The gases are calculated separately. So, glass = glass melt (Madivate, 1998, Eq. 3)</t>
    </r>
  </si>
  <si>
    <t>Drops to 1000 with cullet addition</t>
  </si>
  <si>
    <t>Drops to 780 due to silica: https://www.solvay.us/en/binaries/HeatEffects_of_the_TronaSystem-237230.pdf and http://www.matweb.com/search/datasheet_print.aspx?matguid=bea4bfa9c8bd462093d50da5eebe78ac</t>
  </si>
  <si>
    <t>(same for changing the base temperature from 0oC to 25oC - optional)</t>
  </si>
  <si>
    <t xml:space="preserve">&gt;&gt; For Cp of liquid glass, where the mean specific heat from a new base Tm is needed instead of 0oC, </t>
  </si>
  <si>
    <r>
      <rPr>
        <b/>
        <sz val="11"/>
        <color theme="1"/>
        <rFont val="Calibri"/>
        <family val="2"/>
        <charset val="161"/>
        <scheme val="minor"/>
      </rPr>
      <t>&gt;&gt;</t>
    </r>
    <r>
      <rPr>
        <sz val="11"/>
        <color theme="1"/>
        <rFont val="Calibri"/>
        <family val="2"/>
        <scheme val="minor"/>
      </rPr>
      <t xml:space="preserve"> The </t>
    </r>
    <r>
      <rPr>
        <b/>
        <sz val="11"/>
        <color theme="1"/>
        <rFont val="Calibri"/>
        <family val="2"/>
        <charset val="161"/>
        <scheme val="minor"/>
      </rPr>
      <t>Cp of glass</t>
    </r>
    <r>
      <rPr>
        <sz val="11"/>
        <color theme="1"/>
        <rFont val="Calibri"/>
        <family val="2"/>
        <scheme val="minor"/>
      </rPr>
      <t xml:space="preserve"> was calculated as the weighted average of the Cp's of its its compounds.</t>
    </r>
  </si>
  <si>
    <t>(flint) Cp = 0.503 kJ/K*kg</t>
  </si>
  <si>
    <r>
      <rPr>
        <sz val="11"/>
        <color theme="1"/>
        <rFont val="Calibri"/>
        <family val="2"/>
        <charset val="161"/>
        <scheme val="minor"/>
      </rPr>
      <t>(Madivate, 1998, Eq.3) where</t>
    </r>
    <r>
      <rPr>
        <b/>
        <sz val="11"/>
        <color theme="1"/>
        <rFont val="Calibri"/>
        <family val="2"/>
        <charset val="161"/>
        <scheme val="minor"/>
      </rPr>
      <t xml:space="preserve"> TER (= ΔΗ1) = ΔHR + ΔHglass + ΔHgas</t>
    </r>
    <r>
      <rPr>
        <sz val="11"/>
        <color theme="1"/>
        <rFont val="Calibri"/>
        <family val="2"/>
        <charset val="161"/>
        <scheme val="minor"/>
      </rPr>
      <t xml:space="preserve"> (Theoretical Energy requirement) </t>
    </r>
  </si>
  <si>
    <t>MWh/tn molten glass</t>
  </si>
  <si>
    <t>Qfuel</t>
  </si>
  <si>
    <r>
      <t>TER' (=Q</t>
    </r>
    <r>
      <rPr>
        <b/>
        <sz val="10"/>
        <color theme="1"/>
        <rFont val="Calibri"/>
        <family val="2"/>
        <charset val="161"/>
        <scheme val="minor"/>
      </rPr>
      <t>melting</t>
    </r>
    <r>
      <rPr>
        <b/>
        <sz val="11"/>
        <color theme="1"/>
        <rFont val="Calibri"/>
        <family val="2"/>
        <charset val="161"/>
        <scheme val="minor"/>
      </rPr>
      <t>)</t>
    </r>
  </si>
  <si>
    <r>
      <t>(</t>
    </r>
    <r>
      <rPr>
        <b/>
        <sz val="11"/>
        <color theme="1"/>
        <rFont val="Calibri"/>
        <family val="2"/>
        <charset val="161"/>
        <scheme val="minor"/>
      </rPr>
      <t>Fining</t>
    </r>
    <r>
      <rPr>
        <sz val="11"/>
        <color theme="1"/>
        <rFont val="Calibri"/>
        <family val="2"/>
        <scheme val="minor"/>
      </rPr>
      <t>: liquid) Q=m*Cp*ΔΤ,  where: ΔT=(Tf-Tmelt)</t>
    </r>
  </si>
  <si>
    <t>ratio Qng/Qfuel</t>
  </si>
  <si>
    <t>H</t>
  </si>
  <si>
    <r>
      <t xml:space="preserve">Energy for </t>
    </r>
    <r>
      <rPr>
        <b/>
        <sz val="11"/>
        <color theme="1"/>
        <rFont val="Calibri"/>
        <family val="2"/>
        <charset val="161"/>
        <scheme val="minor"/>
      </rPr>
      <t>melting</t>
    </r>
    <r>
      <rPr>
        <sz val="11"/>
        <color theme="1"/>
        <rFont val="Calibri"/>
        <family val="2"/>
        <scheme val="minor"/>
      </rPr>
      <t xml:space="preserve"> and</t>
    </r>
    <r>
      <rPr>
        <b/>
        <sz val="11"/>
        <color theme="1"/>
        <rFont val="Calibri"/>
        <family val="2"/>
        <charset val="161"/>
        <scheme val="minor"/>
      </rPr>
      <t xml:space="preserve"> fining</t>
    </r>
  </si>
  <si>
    <t>Avg. ratio</t>
  </si>
  <si>
    <t>(regardless NG efficiency or H values)</t>
  </si>
  <si>
    <t>Total (GJ)</t>
  </si>
  <si>
    <t>kg/kWh</t>
  </si>
  <si>
    <t>Indirect emissions factor</t>
  </si>
  <si>
    <t>Preheater efficiency</t>
  </si>
  <si>
    <t>Regenerator effciency</t>
  </si>
  <si>
    <t xml:space="preserve">which drops in a diff. rate </t>
  </si>
  <si>
    <t>Wasted cullet</t>
  </si>
  <si>
    <t>tn/tn molten glass</t>
  </si>
  <si>
    <t xml:space="preserve">&gt;&gt; The fuel requirement for Fining is included in the calculations below. </t>
  </si>
  <si>
    <t>Regenerator</t>
  </si>
  <si>
    <t>Qfurnace</t>
  </si>
  <si>
    <t>N2</t>
  </si>
  <si>
    <t>Ar</t>
  </si>
  <si>
    <t>C2H6</t>
  </si>
  <si>
    <t>C3H8</t>
  </si>
  <si>
    <t>C4H10</t>
  </si>
  <si>
    <t>C5H12</t>
  </si>
  <si>
    <t>N</t>
  </si>
  <si>
    <t>% vol</t>
  </si>
  <si>
    <t>MJ/m3</t>
  </si>
  <si>
    <t>CH4 + 2O2    --&gt;   CO2 + 2H2O</t>
  </si>
  <si>
    <t>C2H6 + 7/2 O2    --&gt;   2CO2 + 3H2O</t>
  </si>
  <si>
    <t>C3H8 + 5O2    --&gt;   3CO2 + 4H2O</t>
  </si>
  <si>
    <t>C4H10 + 13/2 O2    --&gt;   4CO2 + 5H2O</t>
  </si>
  <si>
    <t>C5H12 + 8O2    --&gt;   5CO2 + 6H2O</t>
  </si>
  <si>
    <t>kJ/kg*K</t>
  </si>
  <si>
    <t>Qflue</t>
  </si>
  <si>
    <t>Example</t>
  </si>
  <si>
    <t xml:space="preserve">kg </t>
  </si>
  <si>
    <t>NG Groningen</t>
  </si>
  <si>
    <t>Combustion Products</t>
  </si>
  <si>
    <t>Cp (kJ/kg*K)</t>
  </si>
  <si>
    <t>d (kg/m3)</t>
  </si>
  <si>
    <t>M (kg/mol)</t>
  </si>
  <si>
    <t>total (m3)</t>
  </si>
  <si>
    <t>Oxygen</t>
  </si>
  <si>
    <t>Dry Air</t>
  </si>
  <si>
    <t>(with batch preheating)</t>
  </si>
  <si>
    <t>μ combustion</t>
  </si>
  <si>
    <t>Heat recovered</t>
  </si>
  <si>
    <t>Direct CO2</t>
  </si>
  <si>
    <t>Indirect CO2</t>
  </si>
  <si>
    <t>H2O (vapor)</t>
  </si>
  <si>
    <t>Air required (kg)</t>
  </si>
  <si>
    <t>Qng (GJ)</t>
  </si>
  <si>
    <t>Ratio (kg air/GJ ng)</t>
  </si>
  <si>
    <t>(dmnl)</t>
  </si>
  <si>
    <t>Flue combust.(kg)</t>
  </si>
  <si>
    <t>Ratio (kg flue/GJ ng)</t>
  </si>
  <si>
    <t>kg flue/GJ</t>
  </si>
  <si>
    <t>kg air/GJ</t>
  </si>
  <si>
    <t>APPENDIX</t>
  </si>
  <si>
    <t>Qfuel (GJ)</t>
  </si>
  <si>
    <r>
      <rPr>
        <b/>
        <sz val="11"/>
        <color theme="1"/>
        <rFont val="Calibri"/>
        <family val="2"/>
        <charset val="161"/>
        <scheme val="minor"/>
      </rPr>
      <t>Cullet percentage</t>
    </r>
    <r>
      <rPr>
        <sz val="11"/>
        <color theme="1"/>
        <rFont val="Calibri"/>
        <family val="2"/>
        <scheme val="minor"/>
      </rPr>
      <t xml:space="preserve"> [0-100] %</t>
    </r>
  </si>
  <si>
    <t>Direct CO2 intensity</t>
  </si>
  <si>
    <t>Total CO2 intensity</t>
  </si>
  <si>
    <t>Heat Available</t>
  </si>
  <si>
    <t xml:space="preserve">MJ/m3 </t>
  </si>
  <si>
    <t xml:space="preserve">https://www.trutechtools.com/Understanding-Combustion-Efficiency_c_261.html </t>
  </si>
  <si>
    <t>Excess air</t>
  </si>
  <si>
    <t>MJ/kg</t>
  </si>
  <si>
    <t>CxHy (kg)</t>
  </si>
  <si>
    <t>O2 (kg)</t>
  </si>
  <si>
    <t>CO2(kg)</t>
  </si>
  <si>
    <t>mol</t>
  </si>
  <si>
    <t>mass %</t>
  </si>
  <si>
    <t>H2O(kg)</t>
  </si>
  <si>
    <t>vol %</t>
  </si>
  <si>
    <t>total (kg)</t>
  </si>
  <si>
    <t>Flue gasses from NG combustion</t>
  </si>
  <si>
    <t>Table: Complete stoichiometric combustion of natural gas with pure O2 (excl. the Non-combustible components)</t>
  </si>
  <si>
    <t>Air Compounds</t>
  </si>
  <si>
    <r>
      <t>CO2</t>
    </r>
    <r>
      <rPr>
        <b/>
        <vertAlign val="subscript"/>
        <sz val="11"/>
        <color theme="1"/>
        <rFont val="Calibri"/>
        <family val="2"/>
        <charset val="161"/>
        <scheme val="minor"/>
      </rPr>
      <t>air</t>
    </r>
    <r>
      <rPr>
        <b/>
        <sz val="11"/>
        <color theme="1"/>
        <rFont val="Calibri"/>
        <family val="2"/>
        <charset val="161"/>
        <scheme val="minor"/>
      </rPr>
      <t xml:space="preserve"> (kg)</t>
    </r>
  </si>
  <si>
    <t>NG combustion (Reactants)</t>
  </si>
  <si>
    <t>NG combustion (Products)</t>
  </si>
  <si>
    <t>CH4 + 2O2</t>
  </si>
  <si>
    <t>C2H6 + 7/2 O2</t>
  </si>
  <si>
    <t>C3H8 + 5O2</t>
  </si>
  <si>
    <t>C4H10 + 13/2 O2</t>
  </si>
  <si>
    <t>C5H12 + 8O2</t>
  </si>
  <si>
    <t>CO2 + 2H2O</t>
  </si>
  <si>
    <t>2CO2 + 3H2O</t>
  </si>
  <si>
    <t>3CO2 + 4H2O</t>
  </si>
  <si>
    <t>5CO2 + 6H2O</t>
  </si>
  <si>
    <r>
      <t>O2</t>
    </r>
    <r>
      <rPr>
        <b/>
        <vertAlign val="subscript"/>
        <sz val="11"/>
        <color theme="1"/>
        <rFont val="Calibri"/>
        <family val="2"/>
        <charset val="161"/>
        <scheme val="minor"/>
      </rPr>
      <t>air</t>
    </r>
    <r>
      <rPr>
        <b/>
        <sz val="11"/>
        <color theme="1"/>
        <rFont val="Calibri"/>
        <family val="2"/>
        <charset val="161"/>
        <scheme val="minor"/>
      </rPr>
      <t xml:space="preserve"> (kg)</t>
    </r>
  </si>
  <si>
    <r>
      <t>N2</t>
    </r>
    <r>
      <rPr>
        <b/>
        <vertAlign val="subscript"/>
        <sz val="11"/>
        <color theme="1"/>
        <rFont val="Calibri"/>
        <family val="2"/>
        <charset val="161"/>
        <scheme val="minor"/>
      </rPr>
      <t>air</t>
    </r>
    <r>
      <rPr>
        <b/>
        <sz val="11"/>
        <color theme="1"/>
        <rFont val="Calibri"/>
        <family val="2"/>
        <charset val="161"/>
        <scheme val="minor"/>
      </rPr>
      <t xml:space="preserve"> (kg)</t>
    </r>
  </si>
  <si>
    <r>
      <t>Ar</t>
    </r>
    <r>
      <rPr>
        <b/>
        <vertAlign val="subscript"/>
        <sz val="11"/>
        <color theme="1"/>
        <rFont val="Calibri"/>
        <family val="2"/>
        <charset val="161"/>
        <scheme val="minor"/>
      </rPr>
      <t>air</t>
    </r>
    <r>
      <rPr>
        <b/>
        <sz val="11"/>
        <color theme="1"/>
        <rFont val="Calibri"/>
        <family val="2"/>
        <charset val="161"/>
        <scheme val="minor"/>
      </rPr>
      <t xml:space="preserve"> (kg)</t>
    </r>
  </si>
  <si>
    <t>Gasses from Batch melting</t>
  </si>
  <si>
    <t>Total Flue gasses</t>
  </si>
  <si>
    <t>mol %</t>
  </si>
  <si>
    <t>(upd.) vol %</t>
  </si>
  <si>
    <t>m3 O2</t>
  </si>
  <si>
    <t>Substituting O2 for Air</t>
  </si>
  <si>
    <t>Compounds</t>
  </si>
  <si>
    <t>O2 substitution</t>
  </si>
  <si>
    <t>O2 enrichment</t>
  </si>
  <si>
    <t>Stoichiometric Air composition</t>
  </si>
  <si>
    <r>
      <t>C</t>
    </r>
    <r>
      <rPr>
        <vertAlign val="subscript"/>
        <sz val="11"/>
        <color theme="1"/>
        <rFont val="Calibri"/>
        <family val="2"/>
        <scheme val="minor"/>
      </rPr>
      <t>p</t>
    </r>
    <r>
      <rPr>
        <sz val="11"/>
        <color theme="1"/>
        <rFont val="Calibri"/>
        <family val="2"/>
        <scheme val="minor"/>
      </rPr>
      <t>° = A + B*t + C*t</t>
    </r>
    <r>
      <rPr>
        <vertAlign val="superscript"/>
        <sz val="11"/>
        <color theme="1"/>
        <rFont val="Calibri"/>
        <family val="2"/>
        <scheme val="minor"/>
      </rPr>
      <t>2</t>
    </r>
    <r>
      <rPr>
        <sz val="11"/>
        <color theme="1"/>
        <rFont val="Calibri"/>
        <family val="2"/>
        <scheme val="minor"/>
      </rPr>
      <t xml:space="preserve"> + D*t</t>
    </r>
    <r>
      <rPr>
        <vertAlign val="superscript"/>
        <sz val="11"/>
        <color theme="1"/>
        <rFont val="Calibri"/>
        <family val="2"/>
        <scheme val="minor"/>
      </rPr>
      <t>3</t>
    </r>
    <r>
      <rPr>
        <sz val="11"/>
        <color theme="1"/>
        <rFont val="Calibri"/>
        <family val="2"/>
        <scheme val="minor"/>
      </rPr>
      <t xml:space="preserve"> + E/t</t>
    </r>
    <r>
      <rPr>
        <vertAlign val="superscript"/>
        <sz val="11"/>
        <color theme="1"/>
        <rFont val="Calibri"/>
        <family val="2"/>
        <scheme val="minor"/>
      </rPr>
      <t xml:space="preserve">2  </t>
    </r>
    <r>
      <rPr>
        <sz val="11"/>
        <color theme="1"/>
        <rFont val="Calibri"/>
        <family val="2"/>
        <charset val="161"/>
        <scheme val="minor"/>
      </rPr>
      <t>[J/mol*K and t=T/1000]</t>
    </r>
  </si>
  <si>
    <t>v/v %</t>
  </si>
  <si>
    <t>O2 (kg-mol)</t>
  </si>
  <si>
    <t>CxHy (kg-mol)</t>
  </si>
  <si>
    <t>CO2 (kg-mol)</t>
  </si>
  <si>
    <t>H2O(kg-mol)</t>
  </si>
  <si>
    <r>
      <t>N2</t>
    </r>
    <r>
      <rPr>
        <vertAlign val="subscript"/>
        <sz val="11"/>
        <color theme="1"/>
        <rFont val="Calibri"/>
        <family val="2"/>
        <charset val="161"/>
        <scheme val="minor"/>
      </rPr>
      <t>air</t>
    </r>
    <r>
      <rPr>
        <sz val="11"/>
        <color theme="1"/>
        <rFont val="Calibri"/>
        <family val="2"/>
        <charset val="161"/>
        <scheme val="minor"/>
      </rPr>
      <t xml:space="preserve"> (kg-mol)</t>
    </r>
  </si>
  <si>
    <r>
      <t>Ar</t>
    </r>
    <r>
      <rPr>
        <vertAlign val="subscript"/>
        <sz val="11"/>
        <color theme="1"/>
        <rFont val="Calibri"/>
        <family val="2"/>
        <charset val="161"/>
        <scheme val="minor"/>
      </rPr>
      <t>air</t>
    </r>
    <r>
      <rPr>
        <sz val="11"/>
        <color theme="1"/>
        <rFont val="Calibri"/>
        <family val="2"/>
        <charset val="161"/>
        <scheme val="minor"/>
      </rPr>
      <t xml:space="preserve"> (kg-mol)</t>
    </r>
  </si>
  <si>
    <r>
      <t>CO2</t>
    </r>
    <r>
      <rPr>
        <vertAlign val="subscript"/>
        <sz val="11"/>
        <color theme="1"/>
        <rFont val="Calibri"/>
        <family val="2"/>
        <charset val="161"/>
        <scheme val="minor"/>
      </rPr>
      <t>air</t>
    </r>
    <r>
      <rPr>
        <sz val="11"/>
        <color theme="1"/>
        <rFont val="Calibri"/>
        <family val="2"/>
        <charset val="161"/>
        <scheme val="minor"/>
      </rPr>
      <t xml:space="preserve"> (kg-mol)</t>
    </r>
  </si>
  <si>
    <r>
      <t>O2</t>
    </r>
    <r>
      <rPr>
        <vertAlign val="subscript"/>
        <sz val="11"/>
        <color theme="1"/>
        <rFont val="Calibri"/>
        <family val="2"/>
        <charset val="161"/>
        <scheme val="minor"/>
      </rPr>
      <t>air</t>
    </r>
    <r>
      <rPr>
        <sz val="11"/>
        <color theme="1"/>
        <rFont val="Calibri"/>
        <family val="2"/>
        <charset val="161"/>
        <scheme val="minor"/>
      </rPr>
      <t xml:space="preserve"> (kg-mol)</t>
    </r>
  </si>
  <si>
    <t>AFT (oC)</t>
  </si>
  <si>
    <t xml:space="preserve">Source (graph): </t>
  </si>
  <si>
    <t xml:space="preserve">https://pdfs.semanticscholar.org/010d/6eb0f790d7fa872038c9ed1d5d7fdcda2bca.pdf </t>
  </si>
  <si>
    <t>Tflame</t>
  </si>
  <si>
    <t>MJ/(kg*K)</t>
  </si>
  <si>
    <t>mP * CpP</t>
  </si>
  <si>
    <t>LHV</t>
  </si>
  <si>
    <t>Cp</t>
  </si>
  <si>
    <t>T</t>
  </si>
  <si>
    <t>CH4:</t>
  </si>
  <si>
    <t>K</t>
  </si>
  <si>
    <r>
      <t>H</t>
    </r>
    <r>
      <rPr>
        <sz val="8"/>
        <color theme="1"/>
        <rFont val="Calibri"/>
        <family val="2"/>
        <scheme val="minor"/>
      </rPr>
      <t>calorific value</t>
    </r>
    <r>
      <rPr>
        <sz val="11"/>
        <color theme="1"/>
        <rFont val="Calibri"/>
        <family val="2"/>
        <scheme val="minor"/>
      </rPr>
      <t xml:space="preserve"> + H</t>
    </r>
    <r>
      <rPr>
        <sz val="8"/>
        <color theme="1"/>
        <rFont val="Calibri"/>
        <family val="2"/>
        <scheme val="minor"/>
      </rPr>
      <t>reactants</t>
    </r>
    <r>
      <rPr>
        <sz val="11"/>
        <color theme="1"/>
        <rFont val="Calibri"/>
        <family val="2"/>
        <scheme val="minor"/>
      </rPr>
      <t xml:space="preserve"> = H</t>
    </r>
    <r>
      <rPr>
        <sz val="8"/>
        <color theme="1"/>
        <rFont val="Calibri"/>
        <family val="2"/>
        <scheme val="minor"/>
      </rPr>
      <t>products</t>
    </r>
    <r>
      <rPr>
        <sz val="11"/>
        <color theme="1"/>
        <rFont val="Calibri"/>
        <family val="2"/>
        <scheme val="minor"/>
      </rPr>
      <t xml:space="preserve"> + Q</t>
    </r>
    <r>
      <rPr>
        <sz val="8"/>
        <color theme="1"/>
        <rFont val="Calibri"/>
        <family val="2"/>
        <scheme val="minor"/>
      </rPr>
      <t>loss</t>
    </r>
    <r>
      <rPr>
        <sz val="11"/>
        <color theme="1"/>
        <rFont val="Calibri"/>
        <family val="2"/>
        <scheme val="minor"/>
      </rPr>
      <t xml:space="preserve"> + Q</t>
    </r>
    <r>
      <rPr>
        <sz val="8"/>
        <color theme="1"/>
        <rFont val="Calibri"/>
        <family val="2"/>
        <scheme val="minor"/>
      </rPr>
      <t>useful</t>
    </r>
  </si>
  <si>
    <t>=&gt; Tflame = To + mNG * LHV / mp * Cp</t>
  </si>
  <si>
    <t>=&gt; mNG*LHV + mR * CpR * (Tpreh - To) = mP * CpP * (Tflame - To)</t>
  </si>
  <si>
    <t>O2 in flue gas</t>
  </si>
  <si>
    <t>O2 in Dry Air</t>
  </si>
  <si>
    <t>(source)</t>
  </si>
  <si>
    <t>Ar:</t>
  </si>
  <si>
    <t>SO2:</t>
  </si>
  <si>
    <r>
      <t>T.</t>
    </r>
    <r>
      <rPr>
        <sz val="9"/>
        <color theme="1"/>
        <rFont val="Calibri"/>
        <family val="2"/>
        <charset val="161"/>
        <scheme val="minor"/>
      </rPr>
      <t xml:space="preserve">ambient </t>
    </r>
    <r>
      <rPr>
        <sz val="8"/>
        <color theme="1"/>
        <rFont val="Calibri"/>
        <family val="2"/>
        <charset val="161"/>
        <scheme val="minor"/>
      </rPr>
      <t>(</t>
    </r>
    <r>
      <rPr>
        <vertAlign val="superscript"/>
        <sz val="8"/>
        <color theme="1"/>
        <rFont val="Calibri"/>
        <family val="2"/>
        <charset val="161"/>
        <scheme val="minor"/>
      </rPr>
      <t>o</t>
    </r>
    <r>
      <rPr>
        <sz val="8"/>
        <color theme="1"/>
        <rFont val="Calibri"/>
        <family val="2"/>
        <charset val="161"/>
        <scheme val="minor"/>
      </rPr>
      <t>C)</t>
    </r>
  </si>
  <si>
    <r>
      <t>T.</t>
    </r>
    <r>
      <rPr>
        <sz val="9"/>
        <color theme="1"/>
        <rFont val="Calibri"/>
        <family val="2"/>
        <charset val="161"/>
        <scheme val="minor"/>
      </rPr>
      <t>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</si>
  <si>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</si>
  <si>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2200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</si>
  <si>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</si>
  <si>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</si>
  <si>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25-2200</t>
    </r>
    <r>
      <rPr>
        <vertAlign val="superscript"/>
        <sz val="9"/>
        <color theme="1"/>
        <rFont val="Calibri"/>
        <family val="2"/>
        <charset val="161"/>
        <scheme val="minor"/>
      </rPr>
      <t>o</t>
    </r>
    <r>
      <rPr>
        <sz val="9"/>
        <color theme="1"/>
        <rFont val="Calibri"/>
        <family val="2"/>
        <charset val="161"/>
        <scheme val="minor"/>
      </rPr>
      <t>C</t>
    </r>
  </si>
  <si>
    <t>MJ/kg*K</t>
  </si>
  <si>
    <t>m*cp (Air)</t>
  </si>
  <si>
    <t>m*cp (Flue)</t>
  </si>
  <si>
    <r>
      <t>T.</t>
    </r>
    <r>
      <rPr>
        <b/>
        <sz val="9"/>
        <color theme="1"/>
        <rFont val="Calibri"/>
        <family val="2"/>
        <charset val="161"/>
        <scheme val="minor"/>
      </rPr>
      <t>25</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</si>
  <si>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</si>
  <si>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</si>
  <si>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</si>
  <si>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</si>
  <si>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25-2200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</si>
  <si>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</si>
  <si>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25-2800</t>
    </r>
    <r>
      <rPr>
        <b/>
        <vertAlign val="superscript"/>
        <sz val="9"/>
        <color theme="1"/>
        <rFont val="Calibri"/>
        <family val="2"/>
        <charset val="161"/>
        <scheme val="minor"/>
      </rPr>
      <t>o</t>
    </r>
    <r>
      <rPr>
        <b/>
        <sz val="9"/>
        <color theme="1"/>
        <rFont val="Calibri"/>
        <family val="2"/>
        <charset val="161"/>
        <scheme val="minor"/>
      </rPr>
      <t>C</t>
    </r>
  </si>
  <si>
    <t>Adiabatic Flame Temperature (AFT)</t>
  </si>
  <si>
    <t>Tflue</t>
  </si>
  <si>
    <t>4CO2 + 5H2O</t>
  </si>
  <si>
    <t>Currently used</t>
  </si>
  <si>
    <t>NG savings (%)</t>
  </si>
  <si>
    <t>Commodity; UNIT</t>
  </si>
  <si>
    <t>Recycled Cullet</t>
  </si>
  <si>
    <r>
      <t xml:space="preserve">Process Emissions </t>
    </r>
    <r>
      <rPr>
        <sz val="11"/>
        <color theme="1"/>
        <rFont val="Calibri"/>
        <family val="2"/>
        <charset val="161"/>
        <scheme val="minor"/>
      </rPr>
      <t>(only melting, excl. indirect emissions)</t>
    </r>
  </si>
  <si>
    <t>ratio AFT/Flue</t>
  </si>
  <si>
    <r>
      <t>T.</t>
    </r>
    <r>
      <rPr>
        <sz val="9"/>
        <color theme="1"/>
        <rFont val="Calibri"/>
        <family val="2"/>
        <charset val="161"/>
        <scheme val="minor"/>
      </rPr>
      <t>25-2500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</si>
  <si>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</si>
  <si>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25-2800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</si>
  <si>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2800</t>
    </r>
    <r>
      <rPr>
        <vertAlign val="superscript"/>
        <sz val="9"/>
        <color theme="1"/>
        <rFont val="Calibri"/>
        <family val="2"/>
        <charset val="161"/>
        <scheme val="minor"/>
      </rPr>
      <t>o</t>
    </r>
    <r>
      <rPr>
        <sz val="9"/>
        <color theme="1"/>
        <rFont val="Calibri"/>
        <family val="2"/>
        <charset val="161"/>
        <scheme val="minor"/>
      </rPr>
      <t>C</t>
    </r>
  </si>
  <si>
    <t>Gas properties:</t>
  </si>
  <si>
    <t xml:space="preserve"> Gasunie (1980),</t>
  </si>
  <si>
    <t>NIST website, and</t>
  </si>
  <si>
    <t>EngineeringToolbox.</t>
  </si>
  <si>
    <r>
      <t>T.</t>
    </r>
    <r>
      <rPr>
        <sz val="9"/>
        <color theme="1"/>
        <rFont val="Calibri"/>
        <family val="2"/>
        <charset val="161"/>
        <scheme val="minor"/>
      </rPr>
      <t>25-500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</si>
  <si>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500</t>
    </r>
    <r>
      <rPr>
        <vertAlign val="superscript"/>
        <sz val="9"/>
        <color theme="1"/>
        <rFont val="Calibri"/>
        <family val="2"/>
        <charset val="161"/>
        <scheme val="minor"/>
      </rPr>
      <t>o</t>
    </r>
    <r>
      <rPr>
        <sz val="9"/>
        <color theme="1"/>
        <rFont val="Calibri"/>
        <family val="2"/>
        <charset val="161"/>
        <scheme val="minor"/>
      </rPr>
      <t>C</t>
    </r>
  </si>
  <si>
    <t>m*cp (Flame)</t>
  </si>
  <si>
    <t>Limestone</t>
  </si>
  <si>
    <t>Soda ash</t>
  </si>
  <si>
    <t>Dolomite</t>
  </si>
  <si>
    <t>Check links:</t>
  </si>
  <si>
    <t xml:space="preserve">https://libguides.asu.edu/c.php?g=264174&amp;p=1766501 </t>
  </si>
  <si>
    <t>Electric boosting</t>
  </si>
  <si>
    <t>Nm3</t>
  </si>
  <si>
    <r>
      <t>Q</t>
    </r>
    <r>
      <rPr>
        <sz val="10"/>
        <color theme="1"/>
        <rFont val="Calibri"/>
        <family val="2"/>
        <charset val="161"/>
        <scheme val="minor"/>
      </rPr>
      <t>NG</t>
    </r>
  </si>
  <si>
    <r>
      <rPr>
        <sz val="11"/>
        <color theme="1"/>
        <rFont val="Calibri"/>
        <family val="2"/>
        <charset val="161"/>
        <scheme val="minor"/>
      </rPr>
      <t>Q</t>
    </r>
    <r>
      <rPr>
        <sz val="10"/>
        <color theme="1"/>
        <rFont val="Calibri"/>
        <family val="2"/>
        <charset val="161"/>
        <scheme val="minor"/>
      </rPr>
      <t>fining</t>
    </r>
  </si>
  <si>
    <t>MWh</t>
  </si>
  <si>
    <r>
      <t xml:space="preserve">=&gt; mNG*LHV = mP * CpP * (Tflame - To) </t>
    </r>
    <r>
      <rPr>
        <b/>
        <sz val="10"/>
        <color theme="1"/>
        <rFont val="Calibri"/>
        <family val="2"/>
        <scheme val="minor"/>
      </rPr>
      <t>[Tpreh = 25]</t>
    </r>
  </si>
  <si>
    <r>
      <t xml:space="preserve">=&gt; CV + HR = HP </t>
    </r>
    <r>
      <rPr>
        <b/>
        <sz val="10"/>
        <color theme="1"/>
        <rFont val="Calibri"/>
        <family val="2"/>
        <scheme val="minor"/>
      </rPr>
      <t>[adiabatic]</t>
    </r>
  </si>
  <si>
    <t xml:space="preserve">25 vol% O2 </t>
  </si>
  <si>
    <t>20.95 vol% O2</t>
  </si>
  <si>
    <t>40 vol% O2</t>
  </si>
  <si>
    <t>100 vol% O2</t>
  </si>
  <si>
    <t>Embed the gas content (b) into the Total Raw (tn Input raw)</t>
  </si>
  <si>
    <t>tn Input raw (with gas content)</t>
  </si>
  <si>
    <t>tn Input raw (w/o gas content)</t>
  </si>
  <si>
    <t>a=</t>
  </si>
  <si>
    <t>b=</t>
  </si>
  <si>
    <t>Qflue (GJ)</t>
  </si>
  <si>
    <t>Tflue (oC)</t>
  </si>
  <si>
    <t>Base AFT</t>
  </si>
  <si>
    <t>Adjusted AFT</t>
  </si>
  <si>
    <t>Minimum AFT</t>
  </si>
  <si>
    <t>Recycled Flue gas (%)</t>
  </si>
  <si>
    <t>y = ax + b</t>
  </si>
  <si>
    <t>The Tflame and Tflue for O2 substitution is not applicable when I have Excess air or O2 enrichment. Therefore the Tflame comes from the VLOOKUP, and the Recycled flue gas from the Fig. 9.2.</t>
  </si>
  <si>
    <t>Molten glass (tn)</t>
  </si>
  <si>
    <t>O2 v/v %</t>
  </si>
  <si>
    <t>Pull rate (%)</t>
  </si>
  <si>
    <t>Pull rate</t>
  </si>
  <si>
    <r>
      <t xml:space="preserve">(Zheng 2011, </t>
    </r>
    <r>
      <rPr>
        <sz val="9.5"/>
        <color theme="1"/>
        <rFont val="Calibri"/>
        <family val="2"/>
        <charset val="161"/>
        <scheme val="minor"/>
      </rPr>
      <t>Fig. 9.2</t>
    </r>
    <r>
      <rPr>
        <sz val="10"/>
        <color theme="1"/>
        <rFont val="Calibri"/>
        <family val="2"/>
        <scheme val="minor"/>
      </rPr>
      <t>)</t>
    </r>
  </si>
  <si>
    <t>(1a) Benchmarking conditions</t>
  </si>
  <si>
    <t>(1b) Benchmarking conditions</t>
  </si>
  <si>
    <t>(1c) Benchmarking conditions</t>
  </si>
  <si>
    <t>It is assumed that the pull rates will increase for higher O2 vol% (Baukal, 2013, Table 23.3; Ch. 24.3.1.2)</t>
  </si>
  <si>
    <t>The original graph for AFT was shifted 50 degC to the right to include the impact of the process emissions.</t>
  </si>
  <si>
    <t>m*cp (O2)</t>
  </si>
  <si>
    <t>T.preheat O2</t>
  </si>
  <si>
    <t>Recycled flue gas</t>
  </si>
  <si>
    <t>Oxy/fuel Combustion</t>
  </si>
  <si>
    <r>
      <t>N2</t>
    </r>
    <r>
      <rPr>
        <b/>
        <sz val="11"/>
        <color theme="1"/>
        <rFont val="Calibri"/>
        <family val="2"/>
        <charset val="161"/>
        <scheme val="minor"/>
      </rPr>
      <t xml:space="preserve"> (kg)</t>
    </r>
  </si>
  <si>
    <r>
      <t>N2</t>
    </r>
    <r>
      <rPr>
        <sz val="11"/>
        <color theme="1"/>
        <rFont val="Calibri"/>
        <family val="2"/>
        <charset val="161"/>
        <scheme val="minor"/>
      </rPr>
      <t xml:space="preserve"> (kg-mol)</t>
    </r>
  </si>
  <si>
    <r>
      <t>O2</t>
    </r>
    <r>
      <rPr>
        <sz val="11"/>
        <color theme="1"/>
        <rFont val="Calibri"/>
        <family val="2"/>
        <charset val="161"/>
        <scheme val="minor"/>
      </rPr>
      <t xml:space="preserve"> (kg-mol)</t>
    </r>
  </si>
  <si>
    <r>
      <t>O2</t>
    </r>
    <r>
      <rPr>
        <b/>
        <sz val="11"/>
        <color theme="1"/>
        <rFont val="Calibri"/>
        <family val="2"/>
        <charset val="161"/>
        <scheme val="minor"/>
      </rPr>
      <t xml:space="preserve"> (kg)</t>
    </r>
  </si>
  <si>
    <r>
      <t>CO2</t>
    </r>
    <r>
      <rPr>
        <sz val="11"/>
        <color theme="1"/>
        <rFont val="Calibri"/>
        <family val="2"/>
        <charset val="161"/>
        <scheme val="minor"/>
      </rPr>
      <t xml:space="preserve"> (kg-mol)</t>
    </r>
  </si>
  <si>
    <r>
      <t>CO2</t>
    </r>
    <r>
      <rPr>
        <b/>
        <sz val="11"/>
        <color theme="1"/>
        <rFont val="Calibri"/>
        <family val="2"/>
        <charset val="161"/>
        <scheme val="minor"/>
      </rPr>
      <t xml:space="preserve"> (kg)</t>
    </r>
  </si>
  <si>
    <t xml:space="preserve">&gt;&gt; depends on the purity of purchased O2 </t>
  </si>
  <si>
    <t>or the O2 separation technologies</t>
  </si>
  <si>
    <t>MWh/tn</t>
  </si>
  <si>
    <t>fixed</t>
  </si>
  <si>
    <t>Detailed properties: pdf ITR (2011)</t>
  </si>
  <si>
    <t>€/tn CO2</t>
  </si>
  <si>
    <t>Remarks</t>
  </si>
  <si>
    <t xml:space="preserve">*In order to calculate the Tflue of benchmarking conditions, we use the fixed ratio AFT/Tflue = 0.755 based on the logic described in Koshmanesh (2007). </t>
  </si>
  <si>
    <t xml:space="preserve">The same ratio is used when the Excess air increases, as it can be seen from the Fig. 9.2 of Zheng (2011). </t>
  </si>
  <si>
    <t>Instead of using the Recycled Flue gasses (%) which corresponds to the new Tflue, I calculate a new percentage since the ratio is fixed.</t>
  </si>
  <si>
    <t>For example, for 12.5% excess air the Recycled Flue gases are 71.3% based on the Fig. 9.2 but 69.1% based on my calculations. I keep the later.</t>
  </si>
  <si>
    <t>Required O2</t>
  </si>
  <si>
    <t>(3a) Benchmarking conditions</t>
  </si>
  <si>
    <t>(2a) Benchmarking conditions</t>
  </si>
  <si>
    <t>CO2 European Emission Allowances PRICE:</t>
  </si>
  <si>
    <t>https://markets.businessinsider.com/commodities/co2-emissionsrechte</t>
  </si>
  <si>
    <t>Catalog/materials:</t>
  </si>
  <si>
    <t>Glass production (2009)</t>
  </si>
  <si>
    <t>CG industry (%) (2009)</t>
  </si>
  <si>
    <t>tn/plant/d</t>
  </si>
  <si>
    <t>tn/furnace/d</t>
  </si>
  <si>
    <t xml:space="preserve">ΔΗf1 = </t>
  </si>
  <si>
    <t xml:space="preserve">ΔΗf2 = </t>
  </si>
  <si>
    <t xml:space="preserve">ΔΗf3 = </t>
  </si>
  <si>
    <t>Solid Glass</t>
  </si>
  <si>
    <t>1) Air/fuel firing</t>
  </si>
  <si>
    <t>2) Oxy/fuel firing</t>
  </si>
  <si>
    <t>3) Electric melting</t>
  </si>
  <si>
    <t>The Netherlands</t>
  </si>
  <si>
    <t>Electr</t>
  </si>
  <si>
    <t xml:space="preserve">Current NG </t>
  </si>
  <si>
    <t>O2 in flue gas (%)</t>
  </si>
  <si>
    <t>[example]</t>
  </si>
  <si>
    <t>GJ/net ton glass</t>
  </si>
  <si>
    <t>Year</t>
  </si>
  <si>
    <t xml:space="preserve">&lt;&lt; difference in </t>
  </si>
  <si>
    <r>
      <t xml:space="preserve">(Madivate, 1998, Eq.23): Theoretical Energy requirement </t>
    </r>
    <r>
      <rPr>
        <b/>
        <sz val="11"/>
        <rFont val="Calibri"/>
        <family val="2"/>
        <charset val="161"/>
        <scheme val="minor"/>
      </rPr>
      <t>with cullet addition</t>
    </r>
  </si>
  <si>
    <t>Kelvin to Celcius</t>
  </si>
  <si>
    <t>, ("cullet") Cp=4.187*(0.1794+0.632*(D8+Kelvin.Celcius)*10^(-4)) kJ/k*kg</t>
  </si>
  <si>
    <t>Room Temperature</t>
  </si>
  <si>
    <t>Tflame (oC)</t>
  </si>
  <si>
    <t>Mode</t>
  </si>
  <si>
    <t>type</t>
  </si>
  <si>
    <t>Heat Balance</t>
  </si>
  <si>
    <t>Air preheating</t>
  </si>
  <si>
    <t>Savings compared to Air preheating</t>
  </si>
  <si>
    <t>Benchmark NG</t>
  </si>
  <si>
    <t>m3 O2/m3 NG</t>
  </si>
  <si>
    <t>m3 CO2/m3 NG</t>
  </si>
  <si>
    <t>Energy balance equation for the furnace</t>
  </si>
  <si>
    <t>*In order to make this adaptation, the option of "no WHR" will include the values of Tflue, Qflue, Recycled flue based on the fixed ratio.</t>
  </si>
  <si>
    <t>The Tflame for O2 enrichment will be the Tflame from the VLOOKUP.</t>
  </si>
  <si>
    <t>The Tflue for O2 enrichment will be the Recycled Flue gas (%) of the Fig. 9.2.</t>
  </si>
  <si>
    <t>kg/tn melt</t>
  </si>
  <si>
    <t>Direct CO2 savings</t>
  </si>
  <si>
    <t>Using O2-enriched Air</t>
  </si>
  <si>
    <t>Using Excess air</t>
  </si>
  <si>
    <t>Stoichiometric (Dry) Air composition</t>
  </si>
  <si>
    <t xml:space="preserve">For constant composition of combustion agent (Dry air) or for more Excess air, the ratio of AFT to Tflue is equal to 0,755. </t>
  </si>
  <si>
    <t>(1a) Air/firing; only Air preheating</t>
  </si>
  <si>
    <t>(1b) Air/firing; Both Air and Batch preheating</t>
  </si>
  <si>
    <t>(1c) Air/firing; only Batch preheating</t>
  </si>
  <si>
    <t>Table: Combustion of NG with atmposhperic air (incl. the effect of Excess air, O2 enrichment and O2 substitution)</t>
  </si>
  <si>
    <t>Air-Oxy/fuel combustion</t>
  </si>
  <si>
    <t>Oxy/fuel combustion</t>
  </si>
  <si>
    <t>Electr. Boosting</t>
  </si>
  <si>
    <t>extra (+1)</t>
  </si>
  <si>
    <t>extra (+50)</t>
  </si>
  <si>
    <t>Glass Pull</t>
  </si>
  <si>
    <t>ratio output CO2/NG</t>
  </si>
  <si>
    <r>
      <rPr>
        <b/>
        <sz val="11"/>
        <color theme="1"/>
        <rFont val="Calibri"/>
        <family val="2"/>
        <charset val="161"/>
        <scheme val="minor"/>
      </rPr>
      <t>Furnace output</t>
    </r>
    <r>
      <rPr>
        <sz val="11"/>
        <color theme="1"/>
        <rFont val="Calibri"/>
        <family val="2"/>
        <scheme val="minor"/>
      </rPr>
      <t xml:space="preserve"> (TPD)</t>
    </r>
  </si>
  <si>
    <t>tn of molten glass per day</t>
  </si>
  <si>
    <t>Additional glass pull</t>
  </si>
  <si>
    <t>Electric boosting to Pull rate</t>
  </si>
  <si>
    <t>O2 v/v%</t>
  </si>
  <si>
    <t>Additional comparisons can be done across all technologies by adjusting the individual benchmarking conditions.</t>
  </si>
  <si>
    <r>
      <t xml:space="preserve">Additional glass pull </t>
    </r>
    <r>
      <rPr>
        <sz val="11"/>
        <color theme="1"/>
        <rFont val="Calibri"/>
        <family val="2"/>
        <charset val="161"/>
        <scheme val="minor"/>
      </rPr>
      <t>(e.g. demand increase)</t>
    </r>
  </si>
  <si>
    <t>http://www.iiceram.org/pdf/Present_Practice__Future_Challenges_in_Glass_Industry__Compatibility_Mode_.pdf</t>
  </si>
  <si>
    <t>KW</t>
  </si>
  <si>
    <t>Glass</t>
  </si>
  <si>
    <t>Glass (endoth.)</t>
  </si>
  <si>
    <t>Losses (comb.)</t>
  </si>
  <si>
    <t>False air</t>
  </si>
  <si>
    <t>Humidity</t>
  </si>
  <si>
    <t>Flue gas (comb.)</t>
  </si>
  <si>
    <t>Air preheat</t>
  </si>
  <si>
    <t>factor (KW to GJ)</t>
  </si>
  <si>
    <t>Losses (regen.)</t>
  </si>
  <si>
    <t>Flue gas (regen.)</t>
  </si>
  <si>
    <t>Total loss</t>
  </si>
  <si>
    <t>Validation</t>
  </si>
  <si>
    <t>(Stormont, 2017): Average of 19 furnaces = 16.4kW of continuous boost power input per extra tn/day = 0.396MWh. (In specific, 16.6kW for flint, 16.4kW for amber, 16.2kW for green). Validation:</t>
  </si>
  <si>
    <t>stack&lt;&lt;</t>
  </si>
  <si>
    <t>Losses (Regen.)</t>
  </si>
  <si>
    <t>Losses (Combustion space)</t>
  </si>
  <si>
    <t>Savings from Boosting/oxidant adjustment</t>
  </si>
  <si>
    <t>Benchmarking parameters; Air/fuel, no WHR</t>
  </si>
  <si>
    <t>Regen. Efficiency</t>
  </si>
  <si>
    <t>Batch preheat</t>
  </si>
  <si>
    <t>Flue gas (preh.)</t>
  </si>
  <si>
    <t>= 1.432</t>
  </si>
  <si>
    <t>= 5.700</t>
  </si>
  <si>
    <t>Benchmarking parameters</t>
  </si>
  <si>
    <t>(Wallenberger, 2010) Air preheating is allowed for Flue gas temperatures [1250, 1480]oC</t>
  </si>
  <si>
    <t>ratio required O2/NG</t>
  </si>
  <si>
    <t>Qpreheat NG</t>
  </si>
  <si>
    <t>QNG</t>
  </si>
  <si>
    <t>Qelectr</t>
  </si>
  <si>
    <r>
      <t>To achieve the same values:</t>
    </r>
    <r>
      <rPr>
        <sz val="10"/>
        <color theme="1"/>
        <rFont val="Calibri"/>
        <family val="2"/>
        <scheme val="minor"/>
      </rPr>
      <t xml:space="preserve"> set the </t>
    </r>
    <r>
      <rPr>
        <u/>
        <sz val="10"/>
        <color theme="1"/>
        <rFont val="Calibri"/>
        <family val="2"/>
        <scheme val="minor"/>
      </rPr>
      <t>Molten glass to 300tn</t>
    </r>
    <r>
      <rPr>
        <sz val="10"/>
        <color theme="1"/>
        <rFont val="Calibri"/>
        <family val="2"/>
        <scheme val="minor"/>
      </rPr>
      <t xml:space="preserve"> and </t>
    </r>
    <r>
      <rPr>
        <u/>
        <sz val="10"/>
        <color theme="1"/>
        <rFont val="Calibri"/>
        <family val="2"/>
        <scheme val="minor"/>
      </rPr>
      <t>Electric boosting to 5.364%</t>
    </r>
    <r>
      <rPr>
        <sz val="10"/>
        <color theme="1"/>
        <rFont val="Calibri"/>
        <family val="2"/>
        <scheme val="minor"/>
      </rPr>
      <t xml:space="preserve"> (Table 1a, bench). My calculations assume a 70% regen. Effciiency</t>
    </r>
  </si>
  <si>
    <t>Tpreheat air</t>
  </si>
  <si>
    <t>Tpreheat batch</t>
  </si>
  <si>
    <t>Qstack loss</t>
  </si>
  <si>
    <t>QNG (w/o preheat)</t>
  </si>
  <si>
    <t>Qpreheat air</t>
  </si>
  <si>
    <t>Qpreheat batch</t>
  </si>
  <si>
    <t>QNG (w/ preheat)</t>
  </si>
  <si>
    <t>Qfuel (w/ preheat)</t>
  </si>
  <si>
    <t>Qelectr (w/preheat)</t>
  </si>
  <si>
    <t>T.preheat batch</t>
  </si>
  <si>
    <t>QNG (bench.)</t>
  </si>
  <si>
    <t>Tflue gas input</t>
  </si>
  <si>
    <t>Qflue gases</t>
  </si>
  <si>
    <t>Qlosses regenerator</t>
  </si>
  <si>
    <t>Qflue regenerator</t>
  </si>
  <si>
    <t>Tflue gas exit</t>
  </si>
  <si>
    <t>Tpreheat NG</t>
  </si>
  <si>
    <t>ratio Qflue/Qfuel</t>
  </si>
  <si>
    <r>
      <t xml:space="preserve">Losses as a percentage of the </t>
    </r>
    <r>
      <rPr>
        <b/>
        <sz val="10"/>
        <color theme="1"/>
        <rFont val="Calibri"/>
        <family val="2"/>
        <scheme val="minor"/>
      </rPr>
      <t>heat input (=Qfuel+Qair preh.) (Conradt, 2007)</t>
    </r>
  </si>
  <si>
    <t>Q Fuel</t>
  </si>
  <si>
    <r>
      <t xml:space="preserve">Heat balance [Khoshmanesh et al. 2007]: </t>
    </r>
    <r>
      <rPr>
        <sz val="10"/>
        <color theme="1"/>
        <rFont val="Calibri"/>
        <family val="2"/>
        <scheme val="minor"/>
      </rPr>
      <t xml:space="preserve">(Qfuel  -  Qflue  +  Qpreheated air) * μ   =    Qmelting  +  (Qglass tank loss  +  Qcombustion space loss)   -  Qpreheated batch      </t>
    </r>
  </si>
  <si>
    <t>Q Natural gas</t>
  </si>
  <si>
    <t>Q Electricity</t>
  </si>
  <si>
    <t>T.preheat NG</t>
  </si>
  <si>
    <t>Qpreheat O2</t>
  </si>
  <si>
    <t>Tpreheat O2</t>
  </si>
  <si>
    <t>NG saved (bench.)</t>
  </si>
  <si>
    <t>NG saved (1a)</t>
  </si>
  <si>
    <t>NG saved (1b)</t>
  </si>
  <si>
    <t>NG saved (1c)</t>
  </si>
  <si>
    <t>NG saved (bench.) %</t>
  </si>
  <si>
    <t>NG saved (2a)</t>
  </si>
  <si>
    <t xml:space="preserve">Qelectr </t>
  </si>
  <si>
    <r>
      <rPr>
        <b/>
        <sz val="11"/>
        <color theme="1"/>
        <rFont val="Calibri"/>
        <family val="2"/>
        <charset val="161"/>
        <scheme val="minor"/>
      </rPr>
      <t>Theoretical minimum</t>
    </r>
    <r>
      <rPr>
        <sz val="11"/>
        <color theme="1"/>
        <rFont val="Calibri"/>
        <family val="2"/>
        <scheme val="minor"/>
      </rPr>
      <t xml:space="preserve"> (Beerkens, 2012) for ultimate insulation, optimum regenerator. Hans: by knowing the Theoretical minimum, we also know the maximal energy efficiency.</t>
    </r>
  </si>
  <si>
    <t>Table: Combustion of NG with atmposhperic air and O2 addition (Benchmark, D1 tab, Table 1a)</t>
  </si>
  <si>
    <t>Table: Combustion of NG with atmposhperic air (excl. the adjustments on combustion agent) - constant</t>
  </si>
  <si>
    <t>Table: Combustion of NG with O2 (Benchmark, D1 tab, Table 2a)</t>
  </si>
  <si>
    <t>NG saved (2b)</t>
  </si>
  <si>
    <t>(2a) Oxy/fuel furnace</t>
  </si>
  <si>
    <t>(3a) CTVM Electric Furnace</t>
  </si>
  <si>
    <t>Cullet (bench. 76%)</t>
  </si>
  <si>
    <t>The listed options consist of combinations of proven technologies for fuel, carbon and cost savings.</t>
  </si>
  <si>
    <t>Qflue input</t>
  </si>
  <si>
    <t>Batch/cullet Preheater</t>
  </si>
  <si>
    <t>Flue gas treatment</t>
  </si>
  <si>
    <t xml:space="preserve">An addition of NG by +1GJ results in a change in m*cp by </t>
  </si>
  <si>
    <r>
      <t xml:space="preserve">An addition of </t>
    </r>
    <r>
      <rPr>
        <b/>
        <sz val="11"/>
        <color theme="1"/>
        <rFont val="Calibri"/>
        <family val="2"/>
        <charset val="161"/>
        <scheme val="minor"/>
      </rPr>
      <t>NG</t>
    </r>
    <r>
      <rPr>
        <sz val="11"/>
        <color theme="1"/>
        <rFont val="Calibri"/>
        <family val="2"/>
        <scheme val="minor"/>
      </rPr>
      <t xml:space="preserve"> by +1GJ results in an addition of </t>
    </r>
    <r>
      <rPr>
        <b/>
        <sz val="11"/>
        <color theme="1"/>
        <rFont val="Calibri"/>
        <family val="2"/>
        <charset val="161"/>
        <scheme val="minor"/>
      </rPr>
      <t>m*cp</t>
    </r>
    <r>
      <rPr>
        <sz val="11"/>
        <color theme="1"/>
        <rFont val="Calibri"/>
        <family val="2"/>
        <scheme val="minor"/>
      </rPr>
      <t xml:space="preserve"> by</t>
    </r>
  </si>
  <si>
    <t>GJ / (MJ/kg*K)</t>
  </si>
  <si>
    <t>The values are expressed in tonnes of molten glass.</t>
  </si>
  <si>
    <t>rate Qng/m*cp (flame)</t>
  </si>
  <si>
    <t>m*cp</t>
  </si>
  <si>
    <r>
      <t>So, R = (Qng1 - Qng0) / (m*cp1 - m*cp0) = 0.485 kg*K/kJ, added by the difference D= Qng1*R - m*cp</t>
    </r>
    <r>
      <rPr>
        <b/>
        <vertAlign val="subscript"/>
        <sz val="10"/>
        <color theme="1"/>
        <rFont val="Calibri"/>
        <family val="2"/>
        <charset val="161"/>
        <scheme val="minor"/>
      </rPr>
      <t>ng1</t>
    </r>
    <r>
      <rPr>
        <b/>
        <sz val="10"/>
        <color theme="1"/>
        <rFont val="Calibri"/>
        <family val="2"/>
        <charset val="161"/>
        <scheme val="minor"/>
      </rPr>
      <t xml:space="preserve"> =</t>
    </r>
  </si>
  <si>
    <t>Hence: m*cp (current) = Qng*R + D, where Qng: Natural gas input, m*Cp: product masses times their respective heat capacities</t>
  </si>
  <si>
    <t>Biomethane</t>
  </si>
  <si>
    <t>dif (adj.)</t>
  </si>
  <si>
    <t>dif (bench.)</t>
  </si>
  <si>
    <t>Formula: NG * rate + diff.</t>
  </si>
  <si>
    <t xml:space="preserve">I need two tables: One for the random adjustments (left: already have it), </t>
  </si>
  <si>
    <t>and one for the benchmark tables (copy the previous and use the Qng of the benchmarks)</t>
  </si>
  <si>
    <t>&gt;&gt; so that the diff. (bench) will change in different pace than diff (adj.)</t>
  </si>
  <si>
    <t>Gross CV.</t>
  </si>
  <si>
    <t>Net CV.</t>
  </si>
  <si>
    <t>volume</t>
  </si>
  <si>
    <t>density</t>
  </si>
  <si>
    <t>mass</t>
  </si>
  <si>
    <t>molar mass</t>
  </si>
  <si>
    <t>Parameter</t>
  </si>
  <si>
    <t>Air</t>
  </si>
  <si>
    <t>Oxy</t>
  </si>
  <si>
    <t>&gt;&gt;&gt;&gt;&gt;</t>
  </si>
  <si>
    <t>* Paste here only the commodity data (energy carriers/materials) which are not found in the Y directory</t>
  </si>
  <si>
    <t>* Make sure the names of inputs are the same as in Y directory.</t>
  </si>
  <si>
    <t>2017 EUR/kWh</t>
  </si>
  <si>
    <t>2018 EUR/m3</t>
  </si>
  <si>
    <t>2018 EUR/kWh</t>
  </si>
  <si>
    <t>2019 EUR/ton</t>
  </si>
  <si>
    <t>2018 EUR/ton</t>
  </si>
  <si>
    <t>Silica sand</t>
  </si>
  <si>
    <t>Aluminium</t>
  </si>
  <si>
    <t>Sodium  sulphate</t>
  </si>
  <si>
    <t>Viscosity: a measure of its resistance to flow (i.e. a thick mixture). It has a tendency to prevent crystallisation</t>
  </si>
  <si>
    <r>
      <rPr>
        <b/>
        <sz val="11"/>
        <color theme="1"/>
        <rFont val="Calibri"/>
        <family val="2"/>
        <charset val="161"/>
        <scheme val="minor"/>
      </rPr>
      <t>Drops to 1300-1350</t>
    </r>
    <r>
      <rPr>
        <sz val="11"/>
        <color theme="1"/>
        <rFont val="Calibri"/>
        <family val="2"/>
        <scheme val="minor"/>
      </rPr>
      <t xml:space="preserve"> for 75% cullet by adding Na2O, obtained from soda ash (Deng, 2018; Beerkens, 2012; Meechoowas, 2012) </t>
    </r>
  </si>
  <si>
    <r>
      <t xml:space="preserve">(Tapasa, 2012). And </t>
    </r>
    <r>
      <rPr>
        <b/>
        <sz val="11"/>
        <color theme="1"/>
        <rFont val="Calibri"/>
        <family val="2"/>
        <charset val="161"/>
        <scheme val="minor"/>
      </rPr>
      <t xml:space="preserve">1600oC for 76% cullet </t>
    </r>
    <r>
      <rPr>
        <sz val="11"/>
        <color theme="1"/>
        <rFont val="Calibri"/>
        <family val="2"/>
        <charset val="161"/>
        <scheme val="minor"/>
      </rPr>
      <t>(Sven Kahl, Ardagh)</t>
    </r>
  </si>
  <si>
    <t>(Sven Kahl, Ardagh). For Temperatures below 1470oC, we endanger the integrity of the crown (regenerative furnace).</t>
  </si>
  <si>
    <t>Reference, for cullet 68%. It will be varied, based on cullet increase (%)</t>
  </si>
  <si>
    <t>(WEC Report, 2018): "Hydrogen - Industry as catalyst"; VNPI (2018)</t>
  </si>
  <si>
    <r>
      <rPr>
        <b/>
        <sz val="11"/>
        <color theme="1"/>
        <rFont val="Calibri"/>
        <family val="2"/>
        <charset val="161"/>
        <scheme val="minor"/>
      </rPr>
      <t>formula:</t>
    </r>
    <r>
      <rPr>
        <sz val="11"/>
        <color theme="1"/>
        <rFont val="Calibri"/>
        <family val="2"/>
        <scheme val="minor"/>
      </rPr>
      <t xml:space="preserve"> Furnace Efficiency = 100 - (%Oxygene)/2 - (Flue Gas Temperature)/20. Doesn't apply for adjusted oxidant.</t>
    </r>
  </si>
  <si>
    <t>Furnace output (tpd)</t>
  </si>
  <si>
    <t>1400-1600</t>
  </si>
  <si>
    <t>(Sven Kahl) 90%; (Adeyemo, 2015; Ecofys, 2009) Range 85-94%.</t>
  </si>
  <si>
    <t>Emerald green</t>
  </si>
  <si>
    <t>Emerald green Glass</t>
  </si>
  <si>
    <r>
      <t xml:space="preserve">Material Flow Analysis - </t>
    </r>
    <r>
      <rPr>
        <sz val="14"/>
        <color theme="1"/>
        <rFont val="Calibri"/>
        <family val="2"/>
        <charset val="161"/>
        <scheme val="minor"/>
      </rPr>
      <t>Mass balance</t>
    </r>
  </si>
  <si>
    <r>
      <t xml:space="preserve">Energy Flow Analysis - </t>
    </r>
    <r>
      <rPr>
        <sz val="14"/>
        <color theme="1"/>
        <rFont val="Calibri"/>
        <family val="2"/>
        <charset val="161"/>
        <scheme val="minor"/>
      </rPr>
      <t>Energy balance</t>
    </r>
  </si>
  <si>
    <r>
      <t xml:space="preserve">Energy Flow Analysis - </t>
    </r>
    <r>
      <rPr>
        <sz val="14"/>
        <color theme="1"/>
        <rFont val="Calibri"/>
        <family val="2"/>
        <charset val="161"/>
        <scheme val="minor"/>
      </rPr>
      <t>Heat Balance for regenerative furnace</t>
    </r>
  </si>
  <si>
    <r>
      <t xml:space="preserve">Fuel combustion - </t>
    </r>
    <r>
      <rPr>
        <sz val="14"/>
        <color theme="1"/>
        <rFont val="Calibri"/>
        <family val="2"/>
        <charset val="161"/>
        <scheme val="minor"/>
      </rPr>
      <t>Natural gas, Biomethane, Adiabatic Flame Temperature</t>
    </r>
  </si>
  <si>
    <r>
      <t xml:space="preserve">Injection System </t>
    </r>
    <r>
      <rPr>
        <sz val="14"/>
        <color theme="1"/>
        <rFont val="Calibri"/>
        <family val="2"/>
        <scheme val="minor"/>
      </rPr>
      <t>- Techniques employed to inject the input streams into the required system.</t>
    </r>
  </si>
  <si>
    <t>(Madivate, 1998,  Eq. 16, 17, 18)</t>
  </si>
  <si>
    <t xml:space="preserve">Latent heat required to enable the reactions between the batch components to form the glass </t>
  </si>
  <si>
    <t>where Tm: Melting temperature for 100% cullet, close to the temperature window for sand dissolution (Beerkens, 2012). Same logic.</t>
  </si>
  <si>
    <t>where Tf: Furnace temperature for 100% cullet, E: energy saving (%), C: cullet (%), C/10: times that a 10% cullet is added</t>
  </si>
  <si>
    <r>
      <t xml:space="preserve">Formula: </t>
    </r>
    <r>
      <rPr>
        <sz val="11"/>
        <color theme="1"/>
        <rFont val="Calibri"/>
        <family val="2"/>
        <charset val="161"/>
        <scheme val="minor"/>
      </rPr>
      <t>Tf*(1+E*(1-C/100))/(2*10)</t>
    </r>
  </si>
  <si>
    <r>
      <t xml:space="preserve">Formula: </t>
    </r>
    <r>
      <rPr>
        <sz val="11"/>
        <color theme="1"/>
        <rFont val="Calibri"/>
        <family val="2"/>
        <charset val="161"/>
        <scheme val="minor"/>
      </rPr>
      <t>Tm*(1+E*(1-C/100))/(2*10)</t>
    </r>
  </si>
  <si>
    <t>For changes in the oxydant (+/- O2), the ratio of AFT to Tflue is expressed by the recycled flue gas ratio of Zheng (2011).</t>
  </si>
  <si>
    <t>H2O (kg-mol)</t>
  </si>
  <si>
    <t>CO (kg-mol)</t>
  </si>
  <si>
    <t>H2 (kg-mol)</t>
  </si>
  <si>
    <t>CH4 + H2O</t>
  </si>
  <si>
    <t>C2H6 + 2H2O</t>
  </si>
  <si>
    <t>C3H8 + 3H2O</t>
  </si>
  <si>
    <t>C4H10 +4H2O</t>
  </si>
  <si>
    <t>C5H12 +5H2O</t>
  </si>
  <si>
    <t>CO (kg)</t>
  </si>
  <si>
    <t>H2(kg-mol)</t>
  </si>
  <si>
    <t>H2(kg)</t>
  </si>
  <si>
    <t>CO2 (kg)</t>
  </si>
  <si>
    <t>SO2 (kg)</t>
  </si>
  <si>
    <r>
      <t>SO2</t>
    </r>
    <r>
      <rPr>
        <sz val="11"/>
        <color theme="1"/>
        <rFont val="Calibri"/>
        <family val="2"/>
        <charset val="161"/>
        <scheme val="minor"/>
      </rPr>
      <t xml:space="preserve"> (kg-mol)</t>
    </r>
  </si>
  <si>
    <t>CO</t>
  </si>
  <si>
    <t>H2</t>
  </si>
  <si>
    <t>CO + 3H2</t>
  </si>
  <si>
    <t>2CO + 5H2</t>
  </si>
  <si>
    <t>3CO + 7H2</t>
  </si>
  <si>
    <t>5CO + 9H2</t>
  </si>
  <si>
    <t>4CO + 9H2</t>
  </si>
  <si>
    <t>Table: Oxy-combustion of syngas</t>
  </si>
  <si>
    <t>H2 + 1/2 O2</t>
  </si>
  <si>
    <t>CO + 1/2 O2</t>
  </si>
  <si>
    <t>(right) Combustion of syngas with oxygen</t>
  </si>
  <si>
    <t>(left) Combustion of NG with flue gases for syngas production</t>
  </si>
  <si>
    <r>
      <t xml:space="preserve">O2 </t>
    </r>
    <r>
      <rPr>
        <sz val="11"/>
        <color theme="1"/>
        <rFont val="Calibri"/>
        <family val="2"/>
        <charset val="161"/>
        <scheme val="minor"/>
      </rPr>
      <t>(from CO2)</t>
    </r>
  </si>
  <si>
    <r>
      <t xml:space="preserve">CO </t>
    </r>
    <r>
      <rPr>
        <sz val="11"/>
        <color theme="1"/>
        <rFont val="Calibri"/>
        <family val="2"/>
        <charset val="161"/>
        <scheme val="minor"/>
      </rPr>
      <t>(from CO2)</t>
    </r>
  </si>
  <si>
    <r>
      <t xml:space="preserve"> Syngas - </t>
    </r>
    <r>
      <rPr>
        <sz val="14"/>
        <color theme="1"/>
        <rFont val="Calibri"/>
        <family val="2"/>
        <charset val="161"/>
        <scheme val="minor"/>
      </rPr>
      <t>Production and Oxy-combustion</t>
    </r>
  </si>
  <si>
    <t>Syngas</t>
  </si>
  <si>
    <t>(2b) Benchmarking conditions</t>
  </si>
  <si>
    <t>These two parameters (R and D) are not constant, but adjusted based on the fuel input (see Fuel tab, below the second table of NG combustion).</t>
  </si>
  <si>
    <t>(Air)</t>
  </si>
  <si>
    <t>(Oxy)</t>
  </si>
  <si>
    <t>Heat recovered (TCR)</t>
  </si>
  <si>
    <t>Qflue (TCR)</t>
  </si>
  <si>
    <t>Tflue (TCR)</t>
  </si>
  <si>
    <t>100 vol% O2 (syngas)</t>
  </si>
  <si>
    <t>Fuel gain</t>
  </si>
  <si>
    <t>Fuel gain (TO2=550)</t>
  </si>
  <si>
    <t>Fuel gain (TO2=650)</t>
  </si>
  <si>
    <t>Temp. NG</t>
  </si>
  <si>
    <t>9GJ</t>
  </si>
  <si>
    <t>8GJ</t>
  </si>
  <si>
    <t>kg CxHy / GJ NG</t>
  </si>
  <si>
    <t>kg CxHy</t>
  </si>
  <si>
    <t>m*Cp (NG)</t>
  </si>
  <si>
    <t xml:space="preserve">http://www.agc-glass.eu/en/sustainability/production-process-and-technologies/hot-oxycombustion-furnace-design </t>
  </si>
  <si>
    <t>and AGV (2010)</t>
  </si>
  <si>
    <t>https://www.ecoheatox.com/sites/ecoheatox/files/2017/01/31/2016-10-21_nexelia_heat_oxy-combustion.pdf</t>
  </si>
  <si>
    <t>Heat exchanger losses</t>
  </si>
  <si>
    <t>NG &amp; O2 Preheating</t>
  </si>
  <si>
    <t>Recuperator efficiency</t>
  </si>
  <si>
    <t>Qstack</t>
  </si>
  <si>
    <t>Qlosses recuperator</t>
  </si>
  <si>
    <t>Qflue recuperator</t>
  </si>
  <si>
    <t>Heat Exchanger efficiency</t>
  </si>
  <si>
    <t>Qlosses exch.</t>
  </si>
  <si>
    <t>Heat exchangers required</t>
  </si>
  <si>
    <t>m*Cp (flue)</t>
  </si>
  <si>
    <t>rate Flue gas/Qng (air)</t>
  </si>
  <si>
    <t>rate Flue gas/Qng (oxy)</t>
  </si>
  <si>
    <t>rate Air/Qng</t>
  </si>
  <si>
    <t>(2b) Optimelt TCR and Optimelt Plus</t>
  </si>
  <si>
    <t>Qng (Optimelt Plus)</t>
  </si>
  <si>
    <t>Losses (wall&amp;tank)</t>
  </si>
  <si>
    <t xml:space="preserve">                                    (heat released in the combustion space)        (heat consumption of the furnace)</t>
  </si>
  <si>
    <t>NG saved (2a)'</t>
  </si>
  <si>
    <r>
      <t xml:space="preserve">New formula. </t>
    </r>
    <r>
      <rPr>
        <sz val="10"/>
        <rFont val="Calibri"/>
        <family val="2"/>
        <charset val="161"/>
        <scheme val="minor"/>
      </rPr>
      <t>First I excluded the regen. losses from the heat balance equation. This results in a lower Qng than the benchmark.</t>
    </r>
  </si>
  <si>
    <t>Adjustment of Oxidiser</t>
  </si>
  <si>
    <t>NG saved (bench.)'</t>
  </si>
  <si>
    <t>NG saved (2b)'</t>
  </si>
  <si>
    <t>Batch/cullet (Y/N)</t>
  </si>
  <si>
    <t>Tflue gas input (f.exit)</t>
  </si>
  <si>
    <t>Energy carrier</t>
  </si>
  <si>
    <r>
      <t>Q</t>
    </r>
    <r>
      <rPr>
        <sz val="8"/>
        <rFont val="Calibri"/>
        <family val="2"/>
        <scheme val="minor"/>
      </rPr>
      <t xml:space="preserve">NG </t>
    </r>
    <r>
      <rPr>
        <sz val="10"/>
        <rFont val="Calibri"/>
        <family val="2"/>
        <scheme val="minor"/>
      </rPr>
      <t>or Q</t>
    </r>
    <r>
      <rPr>
        <sz val="8"/>
        <rFont val="Calibri"/>
        <family val="2"/>
        <scheme val="minor"/>
      </rPr>
      <t>BM</t>
    </r>
  </si>
  <si>
    <t xml:space="preserve">Biomethane </t>
  </si>
  <si>
    <t>(y / n)</t>
  </si>
  <si>
    <t>Tflue gas cooled</t>
  </si>
  <si>
    <t>Tflue gas</t>
  </si>
  <si>
    <t>Fuel gain (0% cullet)</t>
  </si>
  <si>
    <t>Fuel gain (76% cullet)</t>
  </si>
  <si>
    <t>Temp. Batch mix (oC)</t>
  </si>
  <si>
    <t>1st stream of hot air</t>
  </si>
  <si>
    <t>2nd stream of hot air</t>
  </si>
  <si>
    <t xml:space="preserve">(Koshmanesh et al. 2007) </t>
  </si>
  <si>
    <t>&gt;&gt; After renewing a furnace, we have fewer radiation losses. Energy loss per year of operation +1.3% for air/fuel, +0.8% for oxy/fuel.</t>
  </si>
  <si>
    <t>ΔT cooling</t>
  </si>
  <si>
    <t xml:space="preserve">It takes place in a quench chamber, that is operated either with air and/or water. </t>
  </si>
  <si>
    <t xml:space="preserve">Flue gases are  cleaned with ESP before the regenerator (but requires T=250-380oC). If it's applied, then cooling is not necessary. </t>
  </si>
  <si>
    <r>
      <t xml:space="preserve">So in that case, the flue gas probably has to go through cleaning </t>
    </r>
    <r>
      <rPr>
        <u/>
        <sz val="10"/>
        <color theme="1"/>
        <rFont val="Calibri"/>
        <family val="2"/>
        <charset val="161"/>
        <scheme val="minor"/>
      </rPr>
      <t xml:space="preserve">before </t>
    </r>
    <r>
      <rPr>
        <sz val="10"/>
        <color theme="1"/>
        <rFont val="Calibri"/>
        <family val="2"/>
        <scheme val="minor"/>
      </rPr>
      <t>the regenerator.</t>
    </r>
  </si>
  <si>
    <t>(see the logic/conditions in batch preheater)</t>
  </si>
  <si>
    <t>Tflue (f.exit)</t>
  </si>
  <si>
    <t>Table 1a is the referencing technology (i.e. Regenerative furnace, 76% cullet, 8% Electr. boosting). Therefore, savings of all other options are compared to that one (i.e. "NG (bench.)" ).</t>
  </si>
  <si>
    <t>Energy carrier; (Air-)Oxy/fuel combustion</t>
  </si>
  <si>
    <t>Energy carrier; for Oxy/fuel combustion</t>
  </si>
  <si>
    <r>
      <t>Q</t>
    </r>
    <r>
      <rPr>
        <b/>
        <sz val="8"/>
        <rFont val="Calibri"/>
        <family val="2"/>
        <charset val="161"/>
        <scheme val="minor"/>
      </rPr>
      <t xml:space="preserve">NG </t>
    </r>
    <r>
      <rPr>
        <b/>
        <sz val="10"/>
        <rFont val="Calibri"/>
        <family val="2"/>
        <charset val="161"/>
        <scheme val="minor"/>
      </rPr>
      <t>or Q</t>
    </r>
    <r>
      <rPr>
        <b/>
        <sz val="8"/>
        <rFont val="Calibri"/>
        <family val="2"/>
        <charset val="161"/>
        <scheme val="minor"/>
      </rPr>
      <t>BM</t>
    </r>
  </si>
  <si>
    <t>Melting &amp; Fining</t>
  </si>
  <si>
    <t>Refining &amp; Condit.</t>
  </si>
  <si>
    <t>Surface treatment</t>
  </si>
  <si>
    <t>Batch Preparation</t>
  </si>
  <si>
    <t>Activity</t>
  </si>
  <si>
    <t>Total</t>
  </si>
  <si>
    <t>Forming &amp; Moulding</t>
  </si>
  <si>
    <t>Electric furnace temperature</t>
  </si>
  <si>
    <t>1300-1350</t>
  </si>
  <si>
    <t>tpd</t>
  </si>
  <si>
    <t>MWh/tn molten</t>
  </si>
  <si>
    <t>GJ/tn molten</t>
  </si>
  <si>
    <t>Tfurnace</t>
  </si>
  <si>
    <t>rate (50% cullet)</t>
  </si>
  <si>
    <t>Inspection</t>
  </si>
  <si>
    <t>Refining: 10% of total NG, and about 8% of total energy consumption</t>
  </si>
  <si>
    <t>90% of total NG is used for melting</t>
  </si>
  <si>
    <t>Forming: energy used for the forming machines should be higher than 0.08MWh</t>
  </si>
  <si>
    <t>Annealing: The NG used should be very low (2%)</t>
  </si>
  <si>
    <t>Emisisons factor</t>
  </si>
  <si>
    <t>Carbon price</t>
  </si>
  <si>
    <t>Electricity price</t>
  </si>
  <si>
    <t>Natural gas price</t>
  </si>
  <si>
    <t>Raw materials</t>
  </si>
  <si>
    <t>eur/mwh</t>
  </si>
  <si>
    <t>eur/kwh</t>
  </si>
  <si>
    <t>eur/kwh = 1000*eur/MWh = 1000*3.6*eur/GJ</t>
  </si>
  <si>
    <t>€/tn molten</t>
  </si>
  <si>
    <t>€/tn packed glass</t>
  </si>
  <si>
    <t>€/kg packed glass</t>
  </si>
  <si>
    <t>Product price</t>
  </si>
  <si>
    <t>Oxygen price</t>
  </si>
  <si>
    <t>€/m3</t>
  </si>
  <si>
    <t>Objective</t>
  </si>
  <si>
    <t>Emerald</t>
  </si>
  <si>
    <t>O&amp;M</t>
  </si>
  <si>
    <t>+</t>
  </si>
  <si>
    <t xml:space="preserve">Connect the Glass pull </t>
  </si>
  <si>
    <t>directly with Boosting</t>
  </si>
  <si>
    <t>Additional pull</t>
  </si>
  <si>
    <t>tn molten glass</t>
  </si>
  <si>
    <t>Technology selection</t>
  </si>
  <si>
    <t xml:space="preserve">(both here and Oxy, </t>
  </si>
  <si>
    <t>both Bench. and adj.)</t>
  </si>
  <si>
    <t>Carbon cost</t>
  </si>
  <si>
    <t>Packed glass Mass</t>
  </si>
  <si>
    <t>(conversion)</t>
  </si>
  <si>
    <t>Cullet factor</t>
  </si>
  <si>
    <t>Scherpbier et al. 2018</t>
  </si>
  <si>
    <t>https://www.made-in-china.com/productdirectory.do?word=silica+sand+Price&amp;subaction=hunt&amp;style=b&amp;mode=and&amp;code=0&amp;comProvince=nolimit&amp;order=0&amp;isOpenCorrection=1</t>
  </si>
  <si>
    <t>Fixed value</t>
  </si>
  <si>
    <t>(eg. Cryogenic system - 3000t/d and 99.5% O2 purity)</t>
  </si>
  <si>
    <t>(E) saved (% total fuel)</t>
  </si>
  <si>
    <t>(C) saved (% total CO2)</t>
  </si>
  <si>
    <t>1b</t>
  </si>
  <si>
    <t>1c</t>
  </si>
  <si>
    <t>2a</t>
  </si>
  <si>
    <t>2b</t>
  </si>
  <si>
    <t>3a</t>
  </si>
  <si>
    <t>Energy savings</t>
  </si>
  <si>
    <t>CO2 savings</t>
  </si>
  <si>
    <t>Technology</t>
  </si>
  <si>
    <r>
      <rPr>
        <u/>
        <sz val="10"/>
        <color theme="1"/>
        <rFont val="Calibri"/>
        <family val="2"/>
        <charset val="161"/>
        <scheme val="minor"/>
      </rPr>
      <t>Note:</t>
    </r>
    <r>
      <rPr>
        <sz val="10"/>
        <color theme="1"/>
        <rFont val="Calibri"/>
        <family val="2"/>
        <scheme val="minor"/>
      </rPr>
      <t xml:space="preserve"> NG for melting accounts for 80% of plant's NG, CO2 from melting account for 88% of plant's emissions.</t>
    </r>
  </si>
  <si>
    <t>Purchased O2</t>
  </si>
  <si>
    <t>Pure Oxygen</t>
  </si>
  <si>
    <r>
      <t xml:space="preserve">Then I multiplied the new Qng by the rate </t>
    </r>
    <r>
      <rPr>
        <u/>
        <sz val="10"/>
        <color theme="1"/>
        <rFont val="Calibri"/>
        <family val="2"/>
        <charset val="161"/>
        <scheme val="minor"/>
      </rPr>
      <t>Qng to m*cp (flame</t>
    </r>
    <r>
      <rPr>
        <i/>
        <u/>
        <sz val="10"/>
        <color theme="1"/>
        <rFont val="Calibri"/>
        <family val="2"/>
        <charset val="161"/>
        <scheme val="minor"/>
      </rPr>
      <t>)</t>
    </r>
    <r>
      <rPr>
        <sz val="10"/>
        <color theme="1"/>
        <rFont val="Calibri"/>
        <family val="2"/>
        <scheme val="minor"/>
      </rPr>
      <t xml:space="preserve"> and added a calibrated difference. </t>
    </r>
  </si>
  <si>
    <t>Qfuel (w/o preheat)</t>
  </si>
  <si>
    <t xml:space="preserve">Qfuel (w/o preheat) </t>
  </si>
  <si>
    <t>GJ (adjusted)</t>
  </si>
  <si>
    <t>Qng (o2 subst)</t>
  </si>
  <si>
    <t>Qng (bench. o2 subst)</t>
  </si>
  <si>
    <t>Qng (o2 enrich) - new</t>
  </si>
  <si>
    <t>Qng (o2 enrich) -old</t>
  </si>
  <si>
    <t>ΔΤ cooling</t>
  </si>
  <si>
    <t>Qpreheat air (cooled)</t>
  </si>
  <si>
    <t>Tpreheat air (cooled)</t>
  </si>
  <si>
    <t xml:space="preserve">Losses </t>
  </si>
  <si>
    <t>Losses factor</t>
  </si>
  <si>
    <t>Capacity</t>
  </si>
  <si>
    <t>Calibration:</t>
  </si>
  <si>
    <t>Data retrieved from websites of Praxair, Electroglass, Glass Worldwide, Fraunhofer, Glassman, concerning 160tpd and 240tpd electric furnaces.</t>
  </si>
  <si>
    <t>Cullet (bench. 50%)</t>
  </si>
  <si>
    <t>Indirect CO2 savings</t>
  </si>
  <si>
    <t>Electricity saved (3a)</t>
  </si>
  <si>
    <t>Electricity saved (bench.)</t>
  </si>
  <si>
    <t>Savings from Batch/cullet preheating</t>
  </si>
  <si>
    <t>% (of Total)</t>
  </si>
  <si>
    <t xml:space="preserve">Revenues = </t>
  </si>
  <si>
    <t xml:space="preserve">Taxes = </t>
  </si>
  <si>
    <t>Net Profit</t>
  </si>
  <si>
    <t>ROI</t>
  </si>
  <si>
    <t xml:space="preserve">€ </t>
  </si>
  <si>
    <t>Start-up costs</t>
  </si>
  <si>
    <t>Batch/cullet preheater</t>
  </si>
  <si>
    <t>Source</t>
  </si>
  <si>
    <t>TRL</t>
  </si>
  <si>
    <t>Purchase Equipment Cost (PEC) of Technologies under study</t>
  </si>
  <si>
    <t>Electric furnace</t>
  </si>
  <si>
    <t>PB &amp; DNV GL (2015b)</t>
  </si>
  <si>
    <t>Air–Oxy/fuel burner</t>
  </si>
  <si>
    <t xml:space="preserve">Cryogenic system </t>
  </si>
  <si>
    <t>Oxy-fuel furnace</t>
  </si>
  <si>
    <t>Optimelt TCR</t>
  </si>
  <si>
    <t>Nexelia (2017)</t>
  </si>
  <si>
    <t>NG/O2 preheater</t>
  </si>
  <si>
    <t>Lifetime (avg.)</t>
  </si>
  <si>
    <t>PB &amp; DNV GL (2015a)</t>
  </si>
  <si>
    <t>Fraunhofer (2019a)</t>
  </si>
  <si>
    <t>Sundaram (2016)</t>
  </si>
  <si>
    <t>Wallenberger (2010)</t>
  </si>
  <si>
    <t xml:space="preserve">de Diego (2016a) </t>
  </si>
  <si>
    <t>Baukal (2013)</t>
  </si>
  <si>
    <t>Qelectr. (w/o preheat)</t>
  </si>
  <si>
    <t>Qelectr (w/ preheat)</t>
  </si>
  <si>
    <r>
      <t>Q</t>
    </r>
    <r>
      <rPr>
        <sz val="9"/>
        <color theme="1"/>
        <rFont val="Calibri"/>
        <family val="2"/>
        <charset val="161"/>
        <scheme val="minor"/>
      </rPr>
      <t>NG (w/o O2 subst.)</t>
    </r>
  </si>
  <si>
    <r>
      <t>Q</t>
    </r>
    <r>
      <rPr>
        <sz val="9"/>
        <color theme="1"/>
        <rFont val="Calibri"/>
        <family val="2"/>
        <charset val="161"/>
        <scheme val="minor"/>
      </rPr>
      <t>NG (w/o preheat)</t>
    </r>
  </si>
  <si>
    <t>Qelect. (w/o preheat)</t>
  </si>
  <si>
    <t>Regenerative Burners</t>
  </si>
  <si>
    <t>O’Connor (2015)</t>
  </si>
  <si>
    <t>ktn/plant</t>
  </si>
  <si>
    <t>ktn CO2/yr</t>
  </si>
  <si>
    <t>Rate of Electricity to glass Pull</t>
  </si>
  <si>
    <t>Qelect (req.)</t>
  </si>
  <si>
    <t>Savings from cullet</t>
  </si>
  <si>
    <t>Furnace Direct emisisons</t>
  </si>
  <si>
    <t>Furnace Indirect emisisons</t>
  </si>
  <si>
    <t xml:space="preserve">extra (+ X) </t>
  </si>
  <si>
    <r>
      <rPr>
        <b/>
        <sz val="10"/>
        <color theme="1"/>
        <rFont val="Calibri"/>
        <family val="2"/>
        <charset val="161"/>
        <scheme val="minor"/>
      </rPr>
      <t>Table:</t>
    </r>
    <r>
      <rPr>
        <sz val="10"/>
        <color theme="1"/>
        <rFont val="Calibri"/>
        <family val="2"/>
        <charset val="161"/>
        <scheme val="minor"/>
      </rPr>
      <t xml:space="preserve"> Estimation of energy consumption of Electric furnace. </t>
    </r>
  </si>
  <si>
    <r>
      <rPr>
        <b/>
        <sz val="11"/>
        <color theme="1"/>
        <rFont val="Calibri"/>
        <family val="2"/>
        <charset val="161"/>
        <scheme val="minor"/>
      </rPr>
      <t>Table A1:</t>
    </r>
    <r>
      <rPr>
        <sz val="11"/>
        <color theme="1"/>
        <rFont val="Calibri"/>
        <family val="2"/>
        <charset val="161"/>
        <scheme val="minor"/>
      </rPr>
      <t xml:space="preserve"> Energy and CO2 emmision savings compared to Regenerative furnace</t>
    </r>
  </si>
  <si>
    <r>
      <t xml:space="preserve">Example A1: </t>
    </r>
    <r>
      <rPr>
        <sz val="11"/>
        <color theme="1"/>
        <rFont val="Calibri"/>
        <family val="2"/>
        <scheme val="minor"/>
      </rPr>
      <t>Relation between Electric boosting with Glass Pull</t>
    </r>
  </si>
  <si>
    <r>
      <rPr>
        <b/>
        <sz val="11"/>
        <color theme="1"/>
        <rFont val="Calibri"/>
        <family val="2"/>
        <charset val="161"/>
        <scheme val="minor"/>
      </rPr>
      <t xml:space="preserve">Example A2: </t>
    </r>
    <r>
      <rPr>
        <sz val="11"/>
        <color theme="1"/>
        <rFont val="Calibri"/>
        <family val="2"/>
        <charset val="161"/>
        <scheme val="minor"/>
      </rPr>
      <t>Heat Balance in a regenerative furnace</t>
    </r>
  </si>
  <si>
    <r>
      <rPr>
        <b/>
        <sz val="10"/>
        <color theme="1"/>
        <rFont val="Calibri"/>
        <family val="2"/>
        <charset val="161"/>
        <scheme val="minor"/>
      </rPr>
      <t>Figure A1</t>
    </r>
    <r>
      <rPr>
        <sz val="10"/>
        <color theme="1"/>
        <rFont val="Calibri"/>
        <family val="2"/>
        <scheme val="minor"/>
      </rPr>
      <t>: Energy savings with reactants preheating (based on AGC (2010)).</t>
    </r>
  </si>
  <si>
    <r>
      <rPr>
        <b/>
        <sz val="10"/>
        <color theme="1"/>
        <rFont val="Calibri"/>
        <family val="2"/>
        <charset val="161"/>
        <scheme val="minor"/>
      </rPr>
      <t>Figure A2</t>
    </r>
    <r>
      <rPr>
        <sz val="10"/>
        <color theme="1"/>
        <rFont val="Calibri"/>
        <family val="2"/>
        <scheme val="minor"/>
      </rPr>
      <t>: Energy savings with batch/cullet preheating. Adapted on Koshmanesh et al. (2007).</t>
    </r>
  </si>
  <si>
    <r>
      <rPr>
        <b/>
        <sz val="11"/>
        <color theme="1"/>
        <rFont val="Calibri"/>
        <family val="2"/>
        <charset val="161"/>
        <scheme val="minor"/>
      </rPr>
      <t>Figure A1:</t>
    </r>
    <r>
      <rPr>
        <sz val="11"/>
        <color theme="1"/>
        <rFont val="Calibri"/>
        <family val="2"/>
        <scheme val="minor"/>
      </rPr>
      <t xml:space="preserve"> Composition of flue gases</t>
    </r>
  </si>
  <si>
    <r>
      <rPr>
        <b/>
        <sz val="10"/>
        <color theme="1"/>
        <rFont val="Calibri"/>
        <family val="2"/>
        <charset val="161"/>
        <scheme val="minor"/>
      </rPr>
      <t>Table A1</t>
    </r>
    <r>
      <rPr>
        <sz val="10"/>
        <color theme="1"/>
        <rFont val="Calibri"/>
        <family val="2"/>
        <scheme val="minor"/>
      </rPr>
      <t>: Validation on stability of air-fuel and flue-fuel ratios (for constant O2 vol% of flue gasses)</t>
    </r>
  </si>
  <si>
    <t>Table A2: Relation of O2 vol% Adiabatic flame Temperature and Pull rates (for any O2 enhancement method)</t>
  </si>
  <si>
    <r>
      <rPr>
        <b/>
        <sz val="11"/>
        <color theme="1"/>
        <rFont val="Calibri"/>
        <family val="2"/>
        <charset val="161"/>
        <scheme val="minor"/>
      </rPr>
      <t>Figure A1</t>
    </r>
    <r>
      <rPr>
        <sz val="11"/>
        <color theme="1"/>
        <rFont val="Calibri"/>
        <family val="2"/>
        <scheme val="minor"/>
      </rPr>
      <t>: Average melting energy consumption (Beerkens, 2012)</t>
    </r>
  </si>
  <si>
    <t>Total CG production of packed glass (2009)</t>
  </si>
  <si>
    <r>
      <t xml:space="preserve">Values are expressed </t>
    </r>
    <r>
      <rPr>
        <b/>
        <sz val="10"/>
        <color theme="1"/>
        <rFont val="Calibri"/>
        <family val="2"/>
        <charset val="161"/>
        <scheme val="minor"/>
      </rPr>
      <t>in tonnes of molten glass</t>
    </r>
    <r>
      <rPr>
        <sz val="10"/>
        <color theme="1"/>
        <rFont val="Calibri"/>
        <family val="2"/>
        <scheme val="minor"/>
      </rPr>
      <t>. Division by the pack-to-melt ratio (i.e. 90%) is required for expressing the values in tonnes of packed glass.</t>
    </r>
  </si>
  <si>
    <t>GJ/tn packed glass</t>
  </si>
  <si>
    <t>Payback Time</t>
  </si>
  <si>
    <t>Return of Investment (ROI)</t>
  </si>
  <si>
    <t>years</t>
  </si>
  <si>
    <t>PER tonne of MOLTEN glass</t>
  </si>
  <si>
    <t>PER tonne of PACKED glass</t>
  </si>
  <si>
    <t>pack-to-melt ratio</t>
  </si>
  <si>
    <r>
      <t xml:space="preserve">Economic Analysis </t>
    </r>
    <r>
      <rPr>
        <sz val="14"/>
        <color theme="1"/>
        <rFont val="Calibri"/>
        <family val="2"/>
        <charset val="161"/>
        <scheme val="minor"/>
      </rPr>
      <t>- Product price and Investment cost</t>
    </r>
  </si>
  <si>
    <t>Oxygen substitution</t>
  </si>
  <si>
    <t>Oxygen enrichment</t>
  </si>
  <si>
    <t>Excess Combustion Air</t>
  </si>
  <si>
    <t>https://repository.upenn.edu/cgi/viewcontent.cgi?article=1080&amp;context=cbe_sdr</t>
  </si>
  <si>
    <t>* see Fig 9.1.1 (p.60)</t>
  </si>
  <si>
    <t>Bare-module cost (MEUR)</t>
  </si>
  <si>
    <t>* see table 1</t>
  </si>
  <si>
    <t xml:space="preserve">https://americancombustion.com/brochures/industrialHeatingTechnicalPaper.pdf </t>
  </si>
  <si>
    <t>Pull increase</t>
  </si>
  <si>
    <t>https://www.bloomeng.com/uploads/Regenerative%20Firing%20vs_%20Oxy%20Fuel%20Firing%20-%20AIST2013.pdf</t>
  </si>
  <si>
    <t>* see costs (air+oxy)</t>
  </si>
  <si>
    <t>kg CO2/tn packed glass</t>
  </si>
  <si>
    <t>KWh/tn molten (plant)</t>
  </si>
  <si>
    <t>KWh/tn molten (furnace)</t>
  </si>
  <si>
    <t>GJ/tn molten (furnace)</t>
  </si>
  <si>
    <t>GJ/tn packed (furnace)</t>
  </si>
  <si>
    <r>
      <t xml:space="preserve">Example: </t>
    </r>
    <r>
      <rPr>
        <sz val="11"/>
        <color theme="1"/>
        <rFont val="Calibri"/>
        <family val="2"/>
        <charset val="161"/>
        <scheme val="minor"/>
      </rPr>
      <t>Calculation of Natural Gas and Electricity price per tn of molten glass</t>
    </r>
  </si>
  <si>
    <t>Natural Gas</t>
  </si>
  <si>
    <t>Electricty</t>
  </si>
  <si>
    <t>Manufacturing cost per packed glass</t>
  </si>
  <si>
    <t>Product cost</t>
  </si>
  <si>
    <t>€-cent /packed glass</t>
  </si>
  <si>
    <t>Total CG production per plant (2017)</t>
  </si>
  <si>
    <t>Total CG production per plant per day</t>
  </si>
  <si>
    <t>Total CG production per furnace plant per day</t>
  </si>
  <si>
    <t>Total Direct CO2 emissions per plant per year</t>
  </si>
  <si>
    <t>VNG (2012)</t>
  </si>
  <si>
    <t>VNG (2012); Also 1 billion bottles per plant per year on average (2017)</t>
  </si>
  <si>
    <t>expressed in ktn packed glass; Kahl (2019, personal communication)</t>
  </si>
  <si>
    <t>Kahl (2019, personal communication)</t>
  </si>
  <si>
    <t>tn packed</t>
  </si>
  <si>
    <t>tn molten</t>
  </si>
  <si>
    <t>kg packed</t>
  </si>
  <si>
    <t>bottles</t>
  </si>
  <si>
    <t>GJ/tn packed</t>
  </si>
  <si>
    <t>MJ/bottle</t>
  </si>
  <si>
    <t>tn packed/day</t>
  </si>
  <si>
    <t>tn molten/day  (TPD)</t>
  </si>
  <si>
    <r>
      <t xml:space="preserve">€/packed glass </t>
    </r>
    <r>
      <rPr>
        <sz val="11"/>
        <color theme="1"/>
        <rFont val="Calibri"/>
        <family val="2"/>
        <charset val="161"/>
        <scheme val="minor"/>
      </rPr>
      <t>(i.e. per bottle)</t>
    </r>
  </si>
  <si>
    <t>Total Plant Direct Costs (TPDC)</t>
  </si>
  <si>
    <t>Total Plant Indirect Costs (TPIC)</t>
  </si>
  <si>
    <t>Purchase Equipment Cost (PEC)</t>
  </si>
  <si>
    <t>Total Plant Cost (TPC)</t>
  </si>
  <si>
    <t>Profitability Analysis</t>
  </si>
  <si>
    <t>kg packed/yr</t>
  </si>
  <si>
    <t>bottles/yr  (per plant)</t>
  </si>
  <si>
    <t>tn packed/yr</t>
  </si>
  <si>
    <t>Capital expenditure (CAPEX)</t>
  </si>
  <si>
    <t xml:space="preserve">O&amp;M Expenditures (OPEX) = </t>
  </si>
  <si>
    <r>
      <rPr>
        <b/>
        <sz val="11"/>
        <color theme="1"/>
        <rFont val="Calibri"/>
        <family val="2"/>
        <charset val="161"/>
        <scheme val="minor"/>
      </rPr>
      <t>Examples:</t>
    </r>
    <r>
      <rPr>
        <sz val="11"/>
        <color theme="1"/>
        <rFont val="Calibri"/>
        <family val="2"/>
        <scheme val="minor"/>
      </rPr>
      <t xml:space="preserve"> CAPEX/OPEX calculation. Sources (links):</t>
    </r>
  </si>
  <si>
    <t>"Performance metrics" table</t>
  </si>
  <si>
    <t>"Glass botle",</t>
  </si>
  <si>
    <t>"Capex/Opex",</t>
  </si>
  <si>
    <t>Glass type</t>
  </si>
  <si>
    <t>(1: Flint, 2: Amber, 3: Green)</t>
  </si>
  <si>
    <t>Oxy-fuel brurners (oxyfired furnace)</t>
  </si>
  <si>
    <t>CCS (oxyfuel combustion)</t>
  </si>
  <si>
    <t xml:space="preserve">0) Regenerative furnace </t>
  </si>
  <si>
    <t>1) Regenerative furnace with batch preheater</t>
  </si>
  <si>
    <t>Oxyfuel furnace</t>
  </si>
  <si>
    <t>Airfuel furnace</t>
  </si>
  <si>
    <t>Savings from Oxygen/NG preheating</t>
  </si>
  <si>
    <t>Savings from Batch/Cullet preheating</t>
  </si>
  <si>
    <t>Oxyfuel</t>
  </si>
  <si>
    <t>Optimelt</t>
  </si>
  <si>
    <t>Oxyfuel furnace (with NG/O2 preheater)</t>
  </si>
  <si>
    <t>Oxyfuel furnace (w/o NG/O2 preheater)</t>
  </si>
  <si>
    <t>Savings from Batch/cullet &amp; Oxygen/NG preheating</t>
  </si>
  <si>
    <t>Not applicable</t>
  </si>
  <si>
    <t>Qelectr (Optimelt Plus)</t>
  </si>
  <si>
    <t>Efficiency factor</t>
  </si>
  <si>
    <t>Other Levers</t>
  </si>
  <si>
    <t>Natural gas gain</t>
  </si>
  <si>
    <t>Electricity gain</t>
  </si>
  <si>
    <t>Technology list</t>
  </si>
  <si>
    <t>Uncertainty parameters - (X)</t>
  </si>
  <si>
    <t>Technology levers - (L)</t>
  </si>
  <si>
    <t>Outcomes of interest - (M)</t>
  </si>
  <si>
    <t>(0-10): see Technology List</t>
  </si>
  <si>
    <t>Ratio Natural gas to Fuel</t>
  </si>
  <si>
    <t>Important value</t>
  </si>
  <si>
    <t>Fuel</t>
  </si>
  <si>
    <t>NG</t>
  </si>
  <si>
    <t>Air/fuel; batch preheat</t>
  </si>
  <si>
    <t>Air/fuel; air preheat</t>
  </si>
  <si>
    <t>Air/fuel; w/o preheating</t>
  </si>
  <si>
    <t>Air/fuel; both preheaters</t>
  </si>
  <si>
    <t>Electric</t>
  </si>
  <si>
    <r>
      <rPr>
        <i/>
        <sz val="11"/>
        <color theme="1"/>
        <rFont val="Calibri"/>
        <family val="2"/>
        <charset val="161"/>
        <scheme val="minor"/>
      </rPr>
      <t>Fuel = NG + Electr / nε</t>
    </r>
    <r>
      <rPr>
        <sz val="11"/>
        <color theme="1"/>
        <rFont val="Calibri"/>
        <family val="2"/>
        <scheme val="minor"/>
      </rPr>
      <t>, where nε = 40% efficiency of electr. generation (Blok &amp; Nieuwlaar, 2007).</t>
    </r>
  </si>
  <si>
    <t>(E)</t>
  </si>
  <si>
    <t>(C)</t>
  </si>
  <si>
    <r>
      <rPr>
        <b/>
        <sz val="11"/>
        <color theme="1"/>
        <rFont val="Calibri"/>
        <family val="2"/>
        <charset val="161"/>
        <scheme val="minor"/>
      </rPr>
      <t>Table 2</t>
    </r>
    <r>
      <rPr>
        <sz val="11"/>
        <color theme="1"/>
        <rFont val="Calibri"/>
        <family val="2"/>
        <scheme val="minor"/>
      </rPr>
      <t>: Comparison of furnace types</t>
    </r>
  </si>
  <si>
    <t>Energy (E) and CO2 emission (C) reductions compared to a state-of-art Regenerative furnace</t>
  </si>
  <si>
    <t>Oxyfuel to Optimelt</t>
  </si>
  <si>
    <t>Optimelt to Electric</t>
  </si>
  <si>
    <t>Oxyfuel to Electric</t>
  </si>
  <si>
    <t>(0: No; 1: yes)</t>
  </si>
  <si>
    <t>Biomethane (switch)</t>
  </si>
  <si>
    <t>Table: Combustion of NG with Flue gases (i.e. combustion of hydrocarbonates with CO2, H2O and other compounds of flue gas)</t>
  </si>
  <si>
    <t>Biomethane price</t>
  </si>
  <si>
    <t>tn packed glass</t>
  </si>
  <si>
    <t>Cullet used</t>
  </si>
  <si>
    <t>Model specification</t>
  </si>
  <si>
    <r>
      <t xml:space="preserve">&gt;&gt; That's the unavoidable energy requirement for melting. It's required for </t>
    </r>
    <r>
      <rPr>
        <b/>
        <sz val="11"/>
        <color theme="1"/>
        <rFont val="Calibri"/>
        <family val="2"/>
        <charset val="161"/>
        <scheme val="minor"/>
      </rPr>
      <t>(a) energy for melting (latent heat)</t>
    </r>
    <r>
      <rPr>
        <sz val="11"/>
        <color theme="1"/>
        <rFont val="Calibri"/>
        <family val="2"/>
        <scheme val="minor"/>
      </rPr>
      <t xml:space="preserve">, </t>
    </r>
    <r>
      <rPr>
        <b/>
        <sz val="11"/>
        <color theme="1"/>
        <rFont val="Calibri"/>
        <family val="2"/>
        <charset val="161"/>
        <scheme val="minor"/>
      </rPr>
      <t/>
    </r>
  </si>
  <si>
    <r>
      <rPr>
        <b/>
        <sz val="11"/>
        <color theme="1"/>
        <rFont val="Calibri"/>
        <family val="2"/>
        <charset val="161"/>
        <scheme val="minor"/>
      </rPr>
      <t>(b)</t>
    </r>
    <r>
      <rPr>
        <sz val="11"/>
        <color theme="1"/>
        <rFont val="Calibri"/>
        <family val="2"/>
        <charset val="161"/>
        <scheme val="minor"/>
      </rPr>
      <t xml:space="preserve"> Endothermic fusion and carbonate decomposition, </t>
    </r>
    <r>
      <rPr>
        <b/>
        <sz val="11"/>
        <color theme="1"/>
        <rFont val="Calibri"/>
        <family val="2"/>
        <charset val="161"/>
        <scheme val="minor"/>
      </rPr>
      <t>(c)</t>
    </r>
    <r>
      <rPr>
        <sz val="11"/>
        <color theme="1"/>
        <rFont val="Calibri"/>
        <family val="2"/>
        <charset val="161"/>
        <scheme val="minor"/>
      </rPr>
      <t xml:space="preserve"> the heat content of the gases released from the batch during melting, and manufacturing processes.</t>
    </r>
  </si>
  <si>
    <t>How expensive a reduction is &amp; Above which price to make an investment</t>
  </si>
  <si>
    <r>
      <rPr>
        <b/>
        <sz val="11"/>
        <color theme="1"/>
        <rFont val="Calibri"/>
        <family val="2"/>
        <charset val="161"/>
        <scheme val="minor"/>
      </rPr>
      <t>Tables A1, A2:</t>
    </r>
    <r>
      <rPr>
        <sz val="11"/>
        <color theme="1"/>
        <rFont val="Calibri"/>
        <family val="2"/>
        <scheme val="minor"/>
      </rPr>
      <t xml:space="preserve"> Energy consumption and eitted CO2 per industrial activity.</t>
    </r>
  </si>
  <si>
    <t>Dir. Emissions (kg CO2)</t>
  </si>
  <si>
    <t>Ind.emissions (kg CO2)</t>
  </si>
  <si>
    <t>Electricity (MWh)</t>
  </si>
  <si>
    <t>Electricity (GJ)</t>
  </si>
  <si>
    <t>Natural gas (GJ)</t>
  </si>
  <si>
    <t>Total Fuel use (GJ)</t>
  </si>
  <si>
    <t>NG saved (GJ) /packed glass (kg)</t>
  </si>
  <si>
    <t>Plant fuel (GJ) / packed glass (kg)</t>
  </si>
  <si>
    <t>CO2 (kg) saved / packed glass (kg)</t>
  </si>
  <si>
    <t>Plant CO2 (kg) / packed glass (kg)</t>
  </si>
  <si>
    <t>(0.95 - 1.05)</t>
  </si>
  <si>
    <t>(0.8 - 1.2)</t>
  </si>
  <si>
    <t>https://www.statista.com/statistics/596254/electricity-industry-price-netherlands/</t>
  </si>
  <si>
    <t xml:space="preserve">https://ec.europa.eu/eurostat/statistics-explained/index.php?title=File:Gas_prices_for_non-household_consumers,_first_half_2018_(EUR_per_kWh).png </t>
  </si>
  <si>
    <t>Benefits</t>
  </si>
  <si>
    <t xml:space="preserve">Revenues (bench.) = </t>
  </si>
  <si>
    <t>2) Oxy/fuel furnace</t>
  </si>
  <si>
    <t>3) Oxy/fuel furnace with Batch/cullet preheater</t>
  </si>
  <si>
    <t>4) Oxy/fuel furnace with NG/O2 preheater</t>
  </si>
  <si>
    <t>5) Oxy/fuel furnace with Batch/cullet and NG/O2 preheater</t>
  </si>
  <si>
    <t>6) Optimelt TCR furnace</t>
  </si>
  <si>
    <t>7) Optimelt TCR furnace with Batch/cullet preheater</t>
  </si>
  <si>
    <t>8) Optimelt PLUS furnace</t>
  </si>
  <si>
    <t>9) Electric furnace</t>
  </si>
  <si>
    <t>Energy use (melting)</t>
  </si>
  <si>
    <t>Natural gas (melting)</t>
  </si>
  <si>
    <t>Electricity (melting)</t>
  </si>
  <si>
    <r>
      <rPr>
        <b/>
        <sz val="11"/>
        <color theme="1"/>
        <rFont val="Calibri"/>
        <family val="2"/>
        <charset val="161"/>
        <scheme val="minor"/>
      </rPr>
      <t>Table 1:</t>
    </r>
    <r>
      <rPr>
        <sz val="11"/>
        <color theme="1"/>
        <rFont val="Calibri"/>
        <family val="2"/>
        <scheme val="minor"/>
      </rPr>
      <t xml:space="preserve"> Example of Calculation of primary energy use (Furnace)</t>
    </r>
  </si>
  <si>
    <r>
      <t xml:space="preserve">% </t>
    </r>
    <r>
      <rPr>
        <sz val="9"/>
        <color theme="1"/>
        <rFont val="Calibri"/>
        <family val="2"/>
        <charset val="161"/>
        <scheme val="minor"/>
      </rPr>
      <t>(less than 32%)</t>
    </r>
  </si>
  <si>
    <r>
      <t xml:space="preserve">% </t>
    </r>
    <r>
      <rPr>
        <sz val="9"/>
        <color theme="1"/>
        <rFont val="Calibri"/>
        <family val="2"/>
        <charset val="161"/>
        <scheme val="minor"/>
      </rPr>
      <t>(less than 15%)</t>
    </r>
  </si>
  <si>
    <t>Payback period</t>
  </si>
  <si>
    <t>Total costs</t>
  </si>
  <si>
    <r>
      <t xml:space="preserve">&gt;&gt; When I need three furnaces, does it mean </t>
    </r>
    <r>
      <rPr>
        <u/>
        <sz val="11"/>
        <color rgb="FFFF0000"/>
        <rFont val="Calibri"/>
        <family val="2"/>
        <scheme val="minor"/>
      </rPr>
      <t>I multiply only the PEC by 3</t>
    </r>
    <r>
      <rPr>
        <sz val="11"/>
        <color rgb="FFFF0000"/>
        <rFont val="Calibri"/>
        <family val="2"/>
        <scheme val="minor"/>
      </rPr>
      <t>? Same would happen to energy use and emissions.</t>
    </r>
  </si>
  <si>
    <t>Thesis title</t>
  </si>
  <si>
    <t xml:space="preserve">"Decarbonisation of the Dutch Container glass industry by 2050 - </t>
  </si>
  <si>
    <t>A model-based analysis of technology options"</t>
  </si>
  <si>
    <t>Programme</t>
  </si>
  <si>
    <t>MSc Engineering and Policy Analysis, TU Delft</t>
  </si>
  <si>
    <t>Defense date</t>
  </si>
  <si>
    <t>September 23rd, 2019</t>
  </si>
  <si>
    <t>Author, TU Delft</t>
  </si>
  <si>
    <t>Ioannis Papadogeorgos</t>
  </si>
  <si>
    <t>1st Supervisor, TU Delft</t>
  </si>
  <si>
    <t xml:space="preserve">Prof. Dr. Andrea Ramirez Ramirez </t>
  </si>
  <si>
    <t>2nd Supervisor, TU Delft</t>
  </si>
  <si>
    <t>Assoc. Prof. Jan H. Kwakkel</t>
  </si>
  <si>
    <t>Ext. Supervisor, PBL / TNO</t>
  </si>
  <si>
    <t xml:space="preserve">Dr. Klara M. Schure </t>
  </si>
  <si>
    <t>An electronic version of the thesis is available at http://repository.tudelft.nl/</t>
  </si>
  <si>
    <t>Excel Sheet</t>
  </si>
  <si>
    <t>DESCRIPTION</t>
  </si>
  <si>
    <t>Economic Analysis</t>
  </si>
  <si>
    <t>Performed calculations on Product Costs, Investemnet costs, Return of Investment and Payback Period.</t>
  </si>
  <si>
    <t>1.Batch Preparation</t>
  </si>
  <si>
    <t>General information on the Dutch Container glass industry.</t>
  </si>
  <si>
    <t>2.Melting&amp;Fining</t>
  </si>
  <si>
    <t>General information on the melting activities of the glass plant.</t>
  </si>
  <si>
    <t>Mass Balance</t>
  </si>
  <si>
    <t>Performed calculations on raw materials, cullet and process emissions.</t>
  </si>
  <si>
    <t>Energy Balance</t>
  </si>
  <si>
    <t>Performed calculations on energy for melting (i.e. latent heat of reaction, heat of glass, heat of flue gases) and fining.</t>
  </si>
  <si>
    <t>Performed calculations on natural gas and biomethane combustion, with and without adjustments on the combustion agent.</t>
  </si>
  <si>
    <t>Performed calculations on syngas generatio and combustion.</t>
  </si>
  <si>
    <t>Performed calculations on heat balance and heat recovery options.</t>
  </si>
  <si>
    <t>D1_furnace</t>
  </si>
  <si>
    <t>Performed calculations with regards to three types of furnaces (i.e. airful, oxyfuel and electric) and their combinations with preheating options.</t>
  </si>
  <si>
    <t>D2_Batch reformulation</t>
  </si>
  <si>
    <t>Performed mass balances for eight alternative glass types.</t>
  </si>
  <si>
    <t>Commodity data</t>
  </si>
  <si>
    <t>Information on commodities, such as their market price, which is not plant- or technology-specific. The commodities include energy carriers, raw materials, products and waste products.</t>
  </si>
  <si>
    <t>Plant configuration</t>
  </si>
  <si>
    <t>Pant characteristics, with a particular focus on the melting technologies</t>
  </si>
  <si>
    <t>Comment section</t>
  </si>
  <si>
    <t>Additional information regarding a value or parameter. The sources mentioned in the form (Author, Year) can be retrieved from the Reference list in the thesis.</t>
  </si>
  <si>
    <t>Global</t>
  </si>
  <si>
    <r>
      <t xml:space="preserve">Glass MORDM: </t>
    </r>
    <r>
      <rPr>
        <sz val="16"/>
        <color theme="1"/>
        <rFont val="Calibri"/>
        <family val="2"/>
        <charset val="161"/>
        <scheme val="minor"/>
      </rPr>
      <t>Robust decision support method</t>
    </r>
  </si>
  <si>
    <t>Model specification and a summary of results. The user can retrieved more melting-specific information in the D1_Furnace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</si>
</sst>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00"/>
    <numFmt numFmtId="165" formatCode="0.000"/>
    <numFmt numFmtId="166" formatCode="0.0"/>
    <numFmt numFmtId="167" formatCode="0.000000"/>
    <numFmt numFmtId="168" formatCode="0.0000000000"/>
    <numFmt numFmtId="169" formatCode="0.00000"/>
    <numFmt numFmtId="170" formatCode="0.0000"/>
    <numFmt numFmtId="171" formatCode="0.00000000"/>
    <numFmt numFmtId="172" formatCode="0.000000000"/>
    <numFmt numFmtId="173" formatCode="_-* #,##0\ _€_-;\-* #,##0\ _€_-;_-* &quot;-&quot;??\ _€_-;_-@_-"/>
    <numFmt numFmtId="174" formatCode="_-* #,##0\ &quot;€&quot;_-;\-* #,##0\ &quot;€&quot;_-;_-* &quot;-&quot;??\ &quot;€&quot;_-;_-@_-"/>
  </numFmts>
  <fonts count="144"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rgb="FF3F3F76"/>
      <name val="Calibri"/>
      <family val="2"/>
      <charset val="161"/>
      <scheme val="minor"/>
    </font>
    <font>
      <b/>
      <sz val="11"/>
      <color theme="1"/>
      <name val="Calibri"/>
      <family val="2"/>
      <charset val="161"/>
      <scheme val="minor"/>
    </font>
    <font>
      <b/>
      <sz val="16"/>
      <color theme="1"/>
      <name val="Calibri"/>
      <family val="2"/>
      <scheme val="minor"/>
    </font>
    <font>
      <b/>
      <sz val="11"/>
      <color theme="1"/>
      <name val="Calibri"/>
      <family val="2"/>
      <scheme val="minor"/>
    </font>
    <font>
      <b/>
      <sz val="9"/>
      <color indexed="81"/>
      <name val="Tahoma"/>
      <family val="2"/>
      <charset val="161"/>
    </font>
    <font>
      <sz val="9"/>
      <color indexed="81"/>
      <name val="Tahoma"/>
      <family val="2"/>
      <charset val="161"/>
    </font>
    <font>
      <u/>
      <sz val="11"/>
      <color theme="10"/>
      <name val="Calibri"/>
      <family val="2"/>
      <scheme val="minor"/>
    </font>
    <font>
      <sz val="8"/>
      <color theme="1"/>
      <name val="Calibri"/>
      <family val="2"/>
      <charset val="161"/>
      <scheme val="minor"/>
    </font>
    <font>
      <sz val="10"/>
      <color theme="1"/>
      <name val="Calibri"/>
      <family val="2"/>
      <scheme val="minor"/>
    </font>
    <font>
      <sz val="11"/>
      <color rgb="FFFF0000"/>
      <name val="Calibri"/>
      <family val="2"/>
      <charset val="161"/>
      <scheme val="minor"/>
    </font>
    <font>
      <b/>
      <sz val="11"/>
      <color rgb="FFFF0000"/>
      <name val="Calibri"/>
      <family val="2"/>
      <charset val="161"/>
      <scheme val="minor"/>
    </font>
    <font>
      <sz val="11"/>
      <color rgb="FFFF0000"/>
      <name val="Calibri"/>
      <family val="2"/>
      <scheme val="minor"/>
    </font>
    <font>
      <sz val="10"/>
      <color theme="1"/>
      <name val="Calibri"/>
      <family val="2"/>
      <charset val="161"/>
      <scheme val="minor"/>
    </font>
    <font>
      <sz val="11"/>
      <name val="Calibri"/>
      <family val="2"/>
      <scheme val="minor"/>
    </font>
    <font>
      <b/>
      <sz val="10"/>
      <color theme="1"/>
      <name val="Calibri"/>
      <family val="2"/>
      <charset val="161"/>
      <scheme val="minor"/>
    </font>
    <font>
      <sz val="12"/>
      <name val="Trebuchet MS"/>
      <family val="2"/>
    </font>
    <font>
      <sz val="11"/>
      <name val="Calibri"/>
      <family val="2"/>
      <charset val="161"/>
      <scheme val="minor"/>
    </font>
    <font>
      <sz val="8"/>
      <name val="Verdana"/>
      <family val="2"/>
      <charset val="161"/>
    </font>
    <font>
      <b/>
      <u/>
      <sz val="11"/>
      <color theme="1"/>
      <name val="Calibri"/>
      <family val="2"/>
      <charset val="161"/>
      <scheme val="minor"/>
    </font>
    <font>
      <b/>
      <sz val="11"/>
      <name val="Calibri"/>
      <family val="2"/>
      <charset val="161"/>
      <scheme val="minor"/>
    </font>
    <font>
      <sz val="11"/>
      <color theme="1"/>
      <name val="Calibri"/>
      <family val="2"/>
      <scheme val="minor"/>
    </font>
    <font>
      <sz val="8"/>
      <color theme="1"/>
      <name val="Verdana"/>
      <family val="2"/>
      <charset val="161"/>
    </font>
    <font>
      <sz val="8"/>
      <color theme="1"/>
      <name val="Calibri"/>
      <family val="2"/>
      <scheme val="minor"/>
    </font>
    <font>
      <b/>
      <sz val="14"/>
      <color theme="1"/>
      <name val="Calibri"/>
      <family val="2"/>
      <charset val="161"/>
      <scheme val="minor"/>
    </font>
    <font>
      <sz val="9"/>
      <color theme="1"/>
      <name val="Calibri"/>
      <family val="2"/>
      <charset val="161"/>
      <scheme val="minor"/>
    </font>
    <font>
      <b/>
      <sz val="9"/>
      <color theme="1"/>
      <name val="Calibri"/>
      <family val="2"/>
      <charset val="161"/>
      <scheme val="minor"/>
    </font>
    <font>
      <i/>
      <sz val="11"/>
      <color theme="1"/>
      <name val="Calibri"/>
      <family val="2"/>
      <charset val="161"/>
      <scheme val="minor"/>
    </font>
    <font>
      <b/>
      <i/>
      <sz val="11"/>
      <color theme="1"/>
      <name val="Calibri"/>
      <family val="2"/>
      <charset val="161"/>
      <scheme val="minor"/>
    </font>
    <font>
      <vertAlign val="subscript"/>
      <sz val="11"/>
      <color theme="1"/>
      <name val="Calibri"/>
      <family val="2"/>
      <charset val="161"/>
      <scheme val="minor"/>
    </font>
    <font>
      <b/>
      <sz val="12"/>
      <color theme="1"/>
      <name val="Calibri"/>
      <family val="2"/>
      <charset val="161"/>
      <scheme val="minor"/>
    </font>
    <font>
      <sz val="12"/>
      <color theme="1"/>
      <name val="Calibri"/>
      <family val="2"/>
      <charset val="161"/>
      <scheme val="minor"/>
    </font>
    <font>
      <b/>
      <sz val="14"/>
      <color theme="0"/>
      <name val="Calibri"/>
      <family val="2"/>
      <charset val="161"/>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sz val="10"/>
      <name val="Calibri"/>
      <family val="2"/>
      <scheme val="minor"/>
    </font>
    <font>
      <sz val="12"/>
      <color rgb="FFFF0000"/>
      <name val="Calibri"/>
      <family val="2"/>
      <charset val="161"/>
      <scheme val="minor"/>
    </font>
    <font>
      <b/>
      <sz val="8"/>
      <name val="Calibri"/>
      <family val="2"/>
      <charset val="161"/>
      <scheme val="minor"/>
    </font>
    <font>
      <b/>
      <sz val="11"/>
      <name val="Calibri"/>
      <family val="2"/>
      <scheme val="minor"/>
    </font>
    <font>
      <b/>
      <sz val="11"/>
      <color rgb="FFFF0000"/>
      <name val="Calibri"/>
      <family val="2"/>
      <scheme val="minor"/>
    </font>
    <font>
      <b/>
      <sz val="16"/>
      <name val="Calibri"/>
      <family val="2"/>
      <charset val="161"/>
      <scheme val="minor"/>
    </font>
    <font>
      <b/>
      <vertAlign val="subscript"/>
      <sz val="11"/>
      <color theme="1"/>
      <name val="Calibri"/>
      <family val="2"/>
      <charset val="161"/>
      <scheme val="minor"/>
    </font>
    <font>
      <vertAlign val="subscript"/>
      <sz val="11"/>
      <color theme="1"/>
      <name val="Calibri"/>
      <family val="2"/>
      <scheme val="minor"/>
    </font>
    <font>
      <vertAlign val="superscript"/>
      <sz val="11"/>
      <color theme="1"/>
      <name val="Calibri"/>
      <family val="2"/>
      <scheme val="minor"/>
    </font>
    <font>
      <b/>
      <sz val="12"/>
      <color theme="1"/>
      <name val="Calibri"/>
      <family val="2"/>
      <scheme val="minor"/>
    </font>
    <font>
      <b/>
      <sz val="12"/>
      <name val="Calibri"/>
      <family val="2"/>
      <charset val="161"/>
      <scheme val="minor"/>
    </font>
    <font>
      <vertAlign val="superscript"/>
      <sz val="9"/>
      <color theme="1"/>
      <name val="Calibri"/>
      <family val="2"/>
      <charset val="161"/>
      <scheme val="minor"/>
    </font>
    <font>
      <vertAlign val="superscript"/>
      <sz val="8"/>
      <color theme="1"/>
      <name val="Calibri"/>
      <family val="2"/>
      <charset val="161"/>
      <scheme val="minor"/>
    </font>
    <font>
      <b/>
      <vertAlign val="superscript"/>
      <sz val="9"/>
      <color theme="1"/>
      <name val="Calibri"/>
      <family val="2"/>
      <charset val="161"/>
      <scheme val="minor"/>
    </font>
    <font>
      <b/>
      <sz val="10"/>
      <color theme="1"/>
      <name val="Calibri"/>
      <family val="2"/>
      <scheme val="minor"/>
    </font>
    <font>
      <sz val="9.5"/>
      <color theme="1"/>
      <name val="Calibri"/>
      <family val="2"/>
      <charset val="161"/>
      <scheme val="minor"/>
    </font>
    <font>
      <sz val="9"/>
      <color theme="1"/>
      <name val="Calibri"/>
      <family val="2"/>
      <scheme val="minor"/>
    </font>
    <font>
      <sz val="10"/>
      <color rgb="FF0070C0"/>
      <name val="Calibri"/>
      <family val="2"/>
      <scheme val="minor"/>
    </font>
    <font>
      <sz val="10"/>
      <color rgb="FFFF0000"/>
      <name val="Calibri"/>
      <family val="2"/>
      <scheme val="minor"/>
    </font>
    <font>
      <sz val="9"/>
      <color indexed="81"/>
      <name val="Tahoma"/>
      <family val="2"/>
    </font>
    <font>
      <u/>
      <sz val="9"/>
      <color indexed="81"/>
      <name val="Tahoma"/>
      <family val="2"/>
      <charset val="161"/>
    </font>
    <font>
      <b/>
      <sz val="10"/>
      <name val="Calibri"/>
      <family val="2"/>
      <scheme val="minor"/>
    </font>
    <font>
      <b/>
      <sz val="10"/>
      <color rgb="FFFF0000"/>
      <name val="Calibri"/>
      <family val="2"/>
      <scheme val="minor"/>
    </font>
    <font>
      <u/>
      <sz val="10"/>
      <color theme="10"/>
      <name val="Calibri"/>
      <family val="2"/>
      <scheme val="minor"/>
    </font>
    <font>
      <u/>
      <sz val="10"/>
      <color theme="1"/>
      <name val="Calibri"/>
      <family val="2"/>
      <scheme val="minor"/>
    </font>
    <font>
      <i/>
      <sz val="10"/>
      <name val="Calibri"/>
      <family val="2"/>
      <scheme val="minor"/>
    </font>
    <font>
      <b/>
      <sz val="10"/>
      <color theme="0"/>
      <name val="Calibri"/>
      <family val="2"/>
      <scheme val="minor"/>
    </font>
    <font>
      <sz val="10"/>
      <color theme="4" tint="-0.249977111117893"/>
      <name val="Calibri"/>
      <family val="2"/>
      <scheme val="minor"/>
    </font>
    <font>
      <b/>
      <u/>
      <sz val="10"/>
      <color theme="10"/>
      <name val="Calibri"/>
      <family val="2"/>
      <scheme val="minor"/>
    </font>
    <font>
      <b/>
      <sz val="14"/>
      <color theme="1"/>
      <name val="Calibri"/>
      <family val="2"/>
      <scheme val="minor"/>
    </font>
    <font>
      <b/>
      <sz val="10"/>
      <name val="Calibri"/>
      <family val="2"/>
      <charset val="161"/>
      <scheme val="minor"/>
    </font>
    <font>
      <sz val="10"/>
      <color rgb="FFFF0000"/>
      <name val="Calibri"/>
      <family val="2"/>
      <charset val="161"/>
      <scheme val="minor"/>
    </font>
    <font>
      <b/>
      <sz val="10"/>
      <color rgb="FFFF0000"/>
      <name val="Calibri"/>
      <family val="2"/>
      <charset val="161"/>
      <scheme val="minor"/>
    </font>
    <font>
      <sz val="10"/>
      <name val="Calibri"/>
      <family val="2"/>
      <charset val="161"/>
      <scheme val="minor"/>
    </font>
    <font>
      <b/>
      <vertAlign val="subscript"/>
      <sz val="10"/>
      <color theme="1"/>
      <name val="Calibri"/>
      <family val="2"/>
      <charset val="161"/>
      <scheme val="minor"/>
    </font>
    <font>
      <b/>
      <sz val="9"/>
      <color indexed="81"/>
      <name val="Tahoma"/>
      <family val="2"/>
    </font>
    <font>
      <sz val="14"/>
      <color theme="1"/>
      <name val="Calibri"/>
      <family val="2"/>
      <charset val="161"/>
      <scheme val="minor"/>
    </font>
    <font>
      <sz val="14"/>
      <color theme="1"/>
      <name val="Calibri"/>
      <family val="2"/>
      <scheme val="minor"/>
    </font>
    <font>
      <strike/>
      <sz val="10"/>
      <color theme="1"/>
      <name val="Calibri"/>
      <family val="2"/>
      <scheme val="minor"/>
    </font>
    <font>
      <b/>
      <i/>
      <sz val="10"/>
      <color theme="1"/>
      <name val="Calibri"/>
      <family val="2"/>
      <charset val="161"/>
      <scheme val="minor"/>
    </font>
    <font>
      <sz val="8"/>
      <name val="Calibri"/>
      <family val="2"/>
      <scheme val="minor"/>
    </font>
    <font>
      <sz val="10"/>
      <color indexed="81"/>
      <name val="Calibri"/>
      <family val="2"/>
      <scheme val="minor"/>
    </font>
    <font>
      <sz val="10"/>
      <color indexed="81"/>
      <name val="Cambria"/>
      <family val="1"/>
      <scheme val="major"/>
    </font>
    <font>
      <b/>
      <sz val="10"/>
      <color indexed="81"/>
      <name val="Calibri"/>
      <family val="2"/>
      <scheme val="minor"/>
    </font>
    <font>
      <b/>
      <sz val="10"/>
      <color indexed="81"/>
      <name val="Cambria"/>
      <family val="1"/>
      <scheme val="major"/>
    </font>
    <font>
      <u/>
      <sz val="10"/>
      <color theme="1"/>
      <name val="Calibri"/>
      <family val="2"/>
      <charset val="161"/>
      <scheme val="minor"/>
    </font>
    <font>
      <i/>
      <sz val="10"/>
      <color theme="9" tint="-0.249977111117893"/>
      <name val="Calibri"/>
      <family val="2"/>
      <scheme val="minor"/>
    </font>
    <font>
      <i/>
      <sz val="10"/>
      <color rgb="FFFF0000"/>
      <name val="Calibri"/>
      <family val="2"/>
      <charset val="161"/>
      <scheme val="minor"/>
    </font>
    <font>
      <i/>
      <u/>
      <sz val="10"/>
      <color theme="1"/>
      <name val="Calibri"/>
      <family val="2"/>
      <charset val="161"/>
      <scheme val="minor"/>
    </font>
    <font>
      <sz val="9"/>
      <color theme="1"/>
      <name val="Calibri Light"/>
      <family val="2"/>
      <charset val="161"/>
    </font>
    <font>
      <b/>
      <i/>
      <sz val="11"/>
      <color theme="1"/>
      <name val="Calibri"/>
      <family val="2"/>
      <scheme val="minor"/>
    </font>
    <font>
      <b/>
      <sz val="16"/>
      <color theme="1"/>
      <name val="Calibri"/>
      <family val="2"/>
      <charset val="161"/>
      <scheme val="minor"/>
    </font>
    <font>
      <i/>
      <sz val="11"/>
      <color rgb="FFFF0000"/>
      <name val="Calibri"/>
      <family val="2"/>
      <scheme val="minor"/>
    </font>
    <font>
      <u/>
      <sz val="11"/>
      <color rgb="FFFF0000"/>
      <name val="Calibri"/>
      <family val="2"/>
      <scheme val="minor"/>
    </font>
    <font>
      <sz val="16"/>
      <color theme="1"/>
      <name val="Calibri"/>
      <family val="2"/>
      <charset val="161"/>
      <scheme val="minor"/>
    </font>
    <font>
      <b/>
      <sz val="10"/>
      <name val="Calibri"/>
      <family val="2"/>
    </font>
    <font>
      <b/>
      <sz val="10"/>
      <color theme="1"/>
      <name val="Calibri"/>
      <family val="2"/>
    </font>
    <font>
      <sz val="9"/>
      <color theme="1"/>
      <name val="Calibri"/>
      <family val="2"/>
    </font>
  </fonts>
  <fills count="53">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rgb="FF0070C0"/>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D9D9D9"/>
        <bgColor indexed="64"/>
      </patternFill>
    </fill>
    <fill>
      <patternFill patternType="solid">
        <fgColor rgb="FFB8CCE4"/>
        <bgColor indexed="64"/>
      </patternFill>
    </fill>
    <fill>
      <patternFill patternType="solid">
        <fgColor rgb="FFFFFFCC"/>
        <bgColor indexed="64"/>
      </patternFill>
    </fill>
    <fill>
      <patternFill patternType="solid">
        <fgColor theme="0" tint="-0.3499862666707357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BCE292"/>
        <bgColor indexed="64"/>
      </patternFill>
    </fill>
  </fills>
  <borders count="89">
    <border>
      <left/>
      <right/>
      <top/>
      <bottom/>
      <diagonal/>
    </border>
    <border>
      <left style="thin">
        <color rgb="FF7F7F7F"/>
      </left>
      <right style="thin">
        <color rgb="FF7F7F7F"/>
      </right>
      <top style="thin">
        <color rgb="FF7F7F7F"/>
      </top>
      <bottom style="thin">
        <color rgb="FF7F7F7F"/>
      </bottom>
      <diagonal/>
    </border>
    <border>
      <left/>
      <right/>
      <top style="medium">
        <color indexed="64"/>
      </top>
      <bottom/>
      <diagonal/>
    </border>
    <border>
      <left style="medium">
        <color indexed="64"/>
      </left>
      <right/>
      <top/>
      <bottom/>
      <diagonal/>
    </border>
    <border>
      <left/>
      <right/>
      <top style="dotted">
        <color indexed="64"/>
      </top>
      <bottom/>
      <diagonal/>
    </border>
    <border>
      <left style="dotted">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top style="dotted">
        <color indexed="64"/>
      </top>
      <bottom/>
      <diagonal/>
    </border>
    <border>
      <left style="thin">
        <color indexed="64"/>
      </left>
      <right/>
      <top style="medium">
        <color indexed="64"/>
      </top>
      <bottom/>
      <diagonal/>
    </border>
    <border>
      <left style="thin">
        <color indexed="64"/>
      </left>
      <right/>
      <top/>
      <bottom style="dotted">
        <color indexed="64"/>
      </bottom>
      <diagonal/>
    </border>
    <border>
      <left style="thin">
        <color indexed="64"/>
      </left>
      <right style="thin">
        <color indexed="64"/>
      </right>
      <top style="thin">
        <color indexed="64"/>
      </top>
      <bottom style="thin">
        <color indexed="64"/>
      </bottom>
      <diagonal/>
    </border>
    <border>
      <left/>
      <right/>
      <top/>
      <bottom style="dotted">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style="dotted">
        <color indexed="64"/>
      </bottom>
      <diagonal/>
    </border>
    <border>
      <left/>
      <right style="medium">
        <color indexed="64"/>
      </right>
      <top/>
      <bottom style="dotted">
        <color indexed="64"/>
      </bottom>
      <diagonal/>
    </border>
    <border>
      <left/>
      <right style="medium">
        <color indexed="64"/>
      </right>
      <top style="dotted">
        <color indexed="64"/>
      </top>
      <bottom/>
      <diagonal/>
    </border>
    <border>
      <left style="medium">
        <color indexed="64"/>
      </left>
      <right/>
      <top style="dotted">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dotted">
        <color indexed="64"/>
      </left>
      <right/>
      <top style="thin">
        <color indexed="64"/>
      </top>
      <bottom/>
      <diagonal/>
    </border>
    <border>
      <left style="dotted">
        <color indexed="64"/>
      </left>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style="dotted">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bottom style="dotted">
        <color indexed="64"/>
      </bottom>
      <diagonal/>
    </border>
    <border>
      <left style="dotted">
        <color indexed="64"/>
      </left>
      <right style="dotted">
        <color indexed="64"/>
      </right>
      <top style="medium">
        <color indexed="64"/>
      </top>
      <bottom style="thin">
        <color indexed="64"/>
      </bottom>
      <diagonal/>
    </border>
    <border>
      <left style="dotted">
        <color indexed="64"/>
      </left>
      <right style="dotted">
        <color indexed="64"/>
      </right>
      <top style="thin">
        <color rgb="FFFF0000"/>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rgb="FFFF0000"/>
      </top>
      <bottom/>
      <diagonal/>
    </border>
    <border>
      <left style="thin">
        <color rgb="FFFF0000"/>
      </left>
      <right/>
      <top style="thin">
        <color rgb="FFFF0000"/>
      </top>
      <bottom/>
      <diagonal/>
    </border>
    <border>
      <left/>
      <right style="thin">
        <color rgb="FFFF0000"/>
      </right>
      <top style="thin">
        <color rgb="FFFF0000"/>
      </top>
      <bottom/>
      <diagonal/>
    </border>
    <border>
      <left/>
      <right style="thin">
        <color indexed="64"/>
      </right>
      <top/>
      <bottom style="medium">
        <color indexed="64"/>
      </bottom>
      <diagonal/>
    </border>
    <border>
      <left style="thin">
        <color indexed="64"/>
      </left>
      <right/>
      <top/>
      <bottom style="medium">
        <color indexed="64"/>
      </bottom>
      <diagonal/>
    </border>
  </borders>
  <cellStyleXfs count="46">
    <xf numFmtId="0" fontId="0" fillId="0" borderId="0"/>
    <xf numFmtId="0" fontId="47" fillId="0" borderId="0" applyNumberFormat="0" applyFill="0" applyBorder="0" applyAlignment="0" applyProtection="0"/>
    <xf numFmtId="44" fontId="61" fillId="0" borderId="0" applyFont="0" applyFill="0" applyBorder="0" applyAlignment="0" applyProtection="0"/>
    <xf numFmtId="0" fontId="61" fillId="16" borderId="0" applyNumberFormat="0" applyBorder="0" applyAlignment="0" applyProtection="0"/>
    <xf numFmtId="0" fontId="61" fillId="20" borderId="0" applyNumberFormat="0" applyBorder="0" applyAlignment="0" applyProtection="0"/>
    <xf numFmtId="0" fontId="61" fillId="24" borderId="0" applyNumberFormat="0" applyBorder="0" applyAlignment="0" applyProtection="0"/>
    <xf numFmtId="0" fontId="61" fillId="28" borderId="0" applyNumberFormat="0" applyBorder="0" applyAlignment="0" applyProtection="0"/>
    <xf numFmtId="0" fontId="61" fillId="32" borderId="0" applyNumberFormat="0" applyBorder="0" applyAlignment="0" applyProtection="0"/>
    <xf numFmtId="0" fontId="61" fillId="36" borderId="0" applyNumberFormat="0" applyBorder="0" applyAlignment="0" applyProtection="0"/>
    <xf numFmtId="0" fontId="61" fillId="17" borderId="0" applyNumberFormat="0" applyBorder="0" applyAlignment="0" applyProtection="0"/>
    <xf numFmtId="0" fontId="61" fillId="21" borderId="0" applyNumberFormat="0" applyBorder="0" applyAlignment="0" applyProtection="0"/>
    <xf numFmtId="0" fontId="61" fillId="25" borderId="0" applyNumberFormat="0" applyBorder="0" applyAlignment="0" applyProtection="0"/>
    <xf numFmtId="0" fontId="61" fillId="29" borderId="0" applyNumberFormat="0" applyBorder="0" applyAlignment="0" applyProtection="0"/>
    <xf numFmtId="0" fontId="61" fillId="33" borderId="0" applyNumberFormat="0" applyBorder="0" applyAlignment="0" applyProtection="0"/>
    <xf numFmtId="0" fontId="61" fillId="37" borderId="0" applyNumberFormat="0" applyBorder="0" applyAlignment="0" applyProtection="0"/>
    <xf numFmtId="0" fontId="61" fillId="18" borderId="0" applyNumberFormat="0" applyBorder="0" applyAlignment="0" applyProtection="0"/>
    <xf numFmtId="0" fontId="61" fillId="22" borderId="0" applyNumberFormat="0" applyBorder="0" applyAlignment="0" applyProtection="0"/>
    <xf numFmtId="0" fontId="61" fillId="26" borderId="0" applyNumberFormat="0" applyBorder="0" applyAlignment="0" applyProtection="0"/>
    <xf numFmtId="0" fontId="61" fillId="30" borderId="0" applyNumberFormat="0" applyBorder="0" applyAlignment="0" applyProtection="0"/>
    <xf numFmtId="0" fontId="61" fillId="34" borderId="0" applyNumberFormat="0" applyBorder="0" applyAlignment="0" applyProtection="0"/>
    <xf numFmtId="0" fontId="61" fillId="38" borderId="0" applyNumberFormat="0" applyBorder="0" applyAlignment="0" applyProtection="0"/>
    <xf numFmtId="0" fontId="73" fillId="15" borderId="0" applyNumberFormat="0" applyBorder="0" applyAlignment="0" applyProtection="0"/>
    <xf numFmtId="0" fontId="73" fillId="19" borderId="0" applyNumberFormat="0" applyBorder="0" applyAlignment="0" applyProtection="0"/>
    <xf numFmtId="0" fontId="73" fillId="23" borderId="0" applyNumberFormat="0" applyBorder="0" applyAlignment="0" applyProtection="0"/>
    <xf numFmtId="0" fontId="73" fillId="27" borderId="0" applyNumberFormat="0" applyBorder="0" applyAlignment="0" applyProtection="0"/>
    <xf numFmtId="0" fontId="73" fillId="31" borderId="0" applyNumberFormat="0" applyBorder="0" applyAlignment="0" applyProtection="0"/>
    <xf numFmtId="0" fontId="73" fillId="35" borderId="0" applyNumberFormat="0" applyBorder="0" applyAlignment="0" applyProtection="0"/>
    <xf numFmtId="0" fontId="74" fillId="10" borderId="0" applyNumberFormat="0" applyBorder="0" applyAlignment="0" applyProtection="0"/>
    <xf numFmtId="0" fontId="75" fillId="12" borderId="1" applyNumberFormat="0" applyAlignment="0" applyProtection="0"/>
    <xf numFmtId="0" fontId="76" fillId="13" borderId="46" applyNumberFormat="0" applyAlignment="0" applyProtection="0"/>
    <xf numFmtId="0" fontId="77" fillId="0" borderId="0" applyNumberFormat="0" applyFill="0" applyBorder="0" applyAlignment="0" applyProtection="0"/>
    <xf numFmtId="0" fontId="78" fillId="9" borderId="0" applyNumberFormat="0" applyBorder="0" applyAlignment="0" applyProtection="0"/>
    <xf numFmtId="0" fontId="79" fillId="0" borderId="41" applyNumberFormat="0" applyFill="0" applyAlignment="0" applyProtection="0"/>
    <xf numFmtId="0" fontId="80" fillId="0" borderId="42" applyNumberFormat="0" applyFill="0" applyAlignment="0" applyProtection="0"/>
    <xf numFmtId="0" fontId="81" fillId="0" borderId="43" applyNumberFormat="0" applyFill="0" applyAlignment="0" applyProtection="0"/>
    <xf numFmtId="0" fontId="81" fillId="0" borderId="0" applyNumberFormat="0" applyFill="0" applyBorder="0" applyAlignment="0" applyProtection="0"/>
    <xf numFmtId="0" fontId="82" fillId="0" borderId="45" applyNumberFormat="0" applyFill="0" applyAlignment="0" applyProtection="0"/>
    <xf numFmtId="0" fontId="83" fillId="11" borderId="0" applyNumberFormat="0" applyBorder="0" applyAlignment="0" applyProtection="0"/>
    <xf numFmtId="0" fontId="61" fillId="14" borderId="47" applyNumberFormat="0" applyFont="0" applyAlignment="0" applyProtection="0"/>
    <xf numFmtId="0" fontId="84" fillId="12" borderId="44" applyNumberFormat="0" applyAlignment="0" applyProtection="0"/>
    <xf numFmtId="0" fontId="85" fillId="0" borderId="0" applyNumberFormat="0" applyFill="0" applyBorder="0" applyAlignment="0" applyProtection="0"/>
    <xf numFmtId="0" fontId="44" fillId="0" borderId="48" applyNumberFormat="0" applyFill="0" applyAlignment="0" applyProtection="0"/>
    <xf numFmtId="0" fontId="52" fillId="0" borderId="0" applyNumberFormat="0" applyFill="0" applyBorder="0" applyAlignment="0" applyProtection="0"/>
    <xf numFmtId="0" fontId="41" fillId="2" borderId="1" applyNumberFormat="0" applyAlignment="0" applyProtection="0"/>
    <xf numFmtId="43" fontId="61" fillId="0" borderId="0" applyFont="0" applyFill="0" applyBorder="0" applyAlignment="0" applyProtection="0"/>
    <xf numFmtId="9" fontId="61" fillId="0" borderId="0" applyFont="0" applyFill="0" applyBorder="0" applyAlignment="0" applyProtection="0"/>
  </cellStyleXfs>
  <cellXfs count="1483">
    <xf numFmtId="0" fontId="0" fillId="0" borderId="0" xfId="0"/>
    <xf numFmtId="0" fontId="43" fillId="0" borderId="0" xfId="0" applyFont="1"/>
    <xf numFmtId="0" fontId="44" fillId="0" borderId="0" xfId="0" applyFont="1"/>
    <xf numFmtId="0" fontId="44" fillId="0" borderId="0" xfId="0" applyFont="1" applyAlignment="1"/>
    <xf numFmtId="0" fontId="41" fillId="2" borderId="1" xfId="43" applyAlignment="1">
      <alignment horizontal="left"/>
    </xf>
    <xf numFmtId="0" fontId="41" fillId="2" borderId="1" xfId="43"/>
    <xf numFmtId="0" fontId="42" fillId="0" borderId="0" xfId="0" applyFont="1"/>
    <xf numFmtId="0" fontId="42"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Border="1" applyAlignment="1">
      <alignment horizontal="right"/>
    </xf>
    <xf numFmtId="0" fontId="0" fillId="0" borderId="2" xfId="0" applyBorder="1"/>
    <xf numFmtId="0" fontId="0" fillId="0" borderId="3" xfId="0" applyBorder="1"/>
    <xf numFmtId="0" fontId="0" fillId="0" borderId="4" xfId="0" applyFill="1" applyBorder="1"/>
    <xf numFmtId="0" fontId="0" fillId="0" borderId="4" xfId="0" applyBorder="1"/>
    <xf numFmtId="0" fontId="0" fillId="0" borderId="4" xfId="0" applyBorder="1" applyAlignment="1">
      <alignment horizontal="right"/>
    </xf>
    <xf numFmtId="0" fontId="0" fillId="0" borderId="0" xfId="0" applyFill="1" applyBorder="1" applyAlignment="1">
      <alignment horizontal="right"/>
    </xf>
    <xf numFmtId="0" fontId="0" fillId="0" borderId="0" xfId="0" applyFill="1" applyBorder="1"/>
    <xf numFmtId="0" fontId="47" fillId="0" borderId="0" xfId="1"/>
    <xf numFmtId="0" fontId="0" fillId="0" borderId="0" xfId="0" applyFill="1"/>
    <xf numFmtId="0" fontId="0" fillId="0" borderId="7" xfId="0" applyBorder="1"/>
    <xf numFmtId="0" fontId="41" fillId="2" borderId="1" xfId="43" applyAlignment="1">
      <alignment horizontal="right"/>
    </xf>
    <xf numFmtId="0" fontId="0" fillId="0" borderId="0" xfId="0" applyFill="1" applyAlignment="1">
      <alignment horizontal="left"/>
    </xf>
    <xf numFmtId="0" fontId="0" fillId="0" borderId="0" xfId="0" applyFill="1" applyAlignment="1">
      <alignment horizontal="right"/>
    </xf>
    <xf numFmtId="0" fontId="42" fillId="0" borderId="10" xfId="0" applyFont="1" applyBorder="1"/>
    <xf numFmtId="0" fontId="42" fillId="0" borderId="10" xfId="0" applyFont="1" applyBorder="1" applyAlignment="1">
      <alignment horizontal="left"/>
    </xf>
    <xf numFmtId="0" fontId="0" fillId="0" borderId="10" xfId="0" applyFill="1" applyBorder="1"/>
    <xf numFmtId="0" fontId="0" fillId="0" borderId="10" xfId="0" applyBorder="1"/>
    <xf numFmtId="0" fontId="0" fillId="0" borderId="10" xfId="0" applyBorder="1" applyAlignment="1">
      <alignment horizontal="right"/>
    </xf>
    <xf numFmtId="0" fontId="47" fillId="0" borderId="10" xfId="1" applyBorder="1"/>
    <xf numFmtId="0" fontId="42" fillId="0" borderId="0" xfId="0" applyFont="1" applyFill="1"/>
    <xf numFmtId="0" fontId="0" fillId="0" borderId="11" xfId="0" applyBorder="1"/>
    <xf numFmtId="0" fontId="47" fillId="0" borderId="0" xfId="1" applyBorder="1"/>
    <xf numFmtId="0" fontId="0" fillId="0" borderId="8" xfId="0" applyBorder="1"/>
    <xf numFmtId="0" fontId="42" fillId="0" borderId="0" xfId="0" applyFont="1" applyFill="1" applyBorder="1"/>
    <xf numFmtId="0" fontId="0" fillId="0" borderId="11" xfId="0" applyBorder="1" applyAlignment="1">
      <alignment horizontal="right"/>
    </xf>
    <xf numFmtId="0" fontId="42" fillId="0" borderId="0" xfId="0" applyFont="1" applyBorder="1"/>
    <xf numFmtId="0" fontId="42" fillId="0" borderId="15" xfId="0" applyFont="1" applyBorder="1"/>
    <xf numFmtId="0" fontId="0" fillId="0" borderId="0" xfId="0" applyAlignment="1">
      <alignment horizontal="center"/>
    </xf>
    <xf numFmtId="0" fontId="0" fillId="0" borderId="9" xfId="0" applyBorder="1"/>
    <xf numFmtId="0" fontId="0" fillId="0" borderId="17" xfId="0" applyBorder="1"/>
    <xf numFmtId="0" fontId="0" fillId="0" borderId="9" xfId="0" applyBorder="1" applyAlignment="1">
      <alignment horizontal="right"/>
    </xf>
    <xf numFmtId="0" fontId="0" fillId="0" borderId="0" xfId="0" applyBorder="1" applyAlignment="1">
      <alignment horizontal="left"/>
    </xf>
    <xf numFmtId="0" fontId="0" fillId="0" borderId="4" xfId="0" applyBorder="1" applyAlignment="1">
      <alignment horizontal="left"/>
    </xf>
    <xf numFmtId="0" fontId="52" fillId="0" borderId="0" xfId="0" applyFont="1" applyBorder="1"/>
    <xf numFmtId="0" fontId="52" fillId="0" borderId="0" xfId="0" applyFont="1"/>
    <xf numFmtId="0" fontId="52" fillId="0" borderId="0" xfId="0" applyFont="1" applyAlignment="1">
      <alignment horizontal="right"/>
    </xf>
    <xf numFmtId="0" fontId="52" fillId="0" borderId="10" xfId="0" applyFont="1" applyBorder="1"/>
    <xf numFmtId="0" fontId="52" fillId="0" borderId="0" xfId="0" applyFont="1" applyFill="1" applyBorder="1"/>
    <xf numFmtId="0" fontId="0" fillId="0" borderId="10" xfId="0" applyFill="1" applyBorder="1" applyAlignment="1">
      <alignment horizontal="right"/>
    </xf>
    <xf numFmtId="49" fontId="56" fillId="0" borderId="0" xfId="0" applyNumberFormat="1" applyFont="1" applyFill="1" applyBorder="1" applyAlignment="1" applyProtection="1">
      <alignment horizontal="left" vertical="center"/>
    </xf>
    <xf numFmtId="0" fontId="0" fillId="0" borderId="0" xfId="0" applyBorder="1" applyAlignment="1">
      <alignment horizontal="center"/>
    </xf>
    <xf numFmtId="0" fontId="0" fillId="0" borderId="0" xfId="0" applyFill="1" applyBorder="1" applyAlignment="1">
      <alignment horizontal="center"/>
    </xf>
    <xf numFmtId="0" fontId="0" fillId="0" borderId="21" xfId="0" applyBorder="1"/>
    <xf numFmtId="0" fontId="42" fillId="0" borderId="10" xfId="0" applyFont="1" applyFill="1" applyBorder="1"/>
    <xf numFmtId="0" fontId="42" fillId="0" borderId="11" xfId="0" applyFont="1" applyBorder="1"/>
    <xf numFmtId="0" fontId="0" fillId="0" borderId="14" xfId="0" applyBorder="1"/>
    <xf numFmtId="0" fontId="0" fillId="0" borderId="13" xfId="0" applyBorder="1"/>
    <xf numFmtId="0" fontId="0" fillId="0" borderId="15" xfId="0" applyBorder="1"/>
    <xf numFmtId="0" fontId="0" fillId="0" borderId="11" xfId="0" applyFill="1" applyBorder="1"/>
    <xf numFmtId="165" fontId="0" fillId="0" borderId="0" xfId="0" applyNumberFormat="1" applyBorder="1"/>
    <xf numFmtId="0" fontId="42" fillId="0" borderId="11" xfId="0" applyFont="1" applyBorder="1" applyAlignment="1">
      <alignment horizontal="right"/>
    </xf>
    <xf numFmtId="165" fontId="0" fillId="0" borderId="11" xfId="0" applyNumberFormat="1" applyBorder="1"/>
    <xf numFmtId="0" fontId="0" fillId="0" borderId="9" xfId="0" applyFill="1" applyBorder="1"/>
    <xf numFmtId="0" fontId="42" fillId="0" borderId="0" xfId="0" applyFont="1" applyBorder="1" applyAlignment="1">
      <alignment horizontal="right"/>
    </xf>
    <xf numFmtId="0" fontId="0" fillId="0" borderId="8" xfId="0" applyFill="1" applyBorder="1"/>
    <xf numFmtId="0" fontId="0" fillId="0" borderId="10" xfId="0" applyBorder="1" applyAlignment="1">
      <alignment horizontal="left"/>
    </xf>
    <xf numFmtId="0" fontId="0" fillId="0" borderId="8" xfId="0" applyBorder="1" applyAlignment="1">
      <alignment horizontal="right"/>
    </xf>
    <xf numFmtId="0" fontId="0" fillId="0" borderId="0" xfId="0" applyBorder="1" applyAlignment="1">
      <alignment wrapText="1"/>
    </xf>
    <xf numFmtId="0" fontId="0" fillId="0" borderId="14" xfId="0" applyBorder="1" applyAlignment="1">
      <alignment horizontal="right"/>
    </xf>
    <xf numFmtId="0" fontId="36" fillId="0" borderId="0" xfId="0" applyFont="1"/>
    <xf numFmtId="0" fontId="42" fillId="0" borderId="0" xfId="0" applyFont="1" applyBorder="1" applyAlignment="1">
      <alignment vertical="center" textRotation="90"/>
    </xf>
    <xf numFmtId="0" fontId="42" fillId="0" borderId="0" xfId="0" applyFont="1" applyFill="1" applyBorder="1" applyAlignment="1">
      <alignment horizontal="right"/>
    </xf>
    <xf numFmtId="0" fontId="0" fillId="0" borderId="0" xfId="0" applyFill="1" applyBorder="1" applyAlignment="1">
      <alignment horizontal="left"/>
    </xf>
    <xf numFmtId="0" fontId="37" fillId="0" borderId="0" xfId="0" applyFont="1" applyFill="1" applyBorder="1"/>
    <xf numFmtId="0" fontId="0" fillId="0" borderId="0" xfId="0" applyFill="1" applyBorder="1" applyAlignment="1"/>
    <xf numFmtId="165" fontId="0" fillId="0" borderId="0" xfId="0" applyNumberFormat="1"/>
    <xf numFmtId="0" fontId="57" fillId="0" borderId="0" xfId="0" applyFont="1"/>
    <xf numFmtId="0" fontId="51" fillId="0" borderId="0" xfId="0" applyFont="1"/>
    <xf numFmtId="166" fontId="0" fillId="0" borderId="0" xfId="0" applyNumberFormat="1" applyBorder="1"/>
    <xf numFmtId="165" fontId="0" fillId="0" borderId="0" xfId="0" applyNumberFormat="1" applyFill="1" applyBorder="1"/>
    <xf numFmtId="0" fontId="0" fillId="0" borderId="10" xfId="0" applyBorder="1" applyAlignment="1">
      <alignment horizontal="center"/>
    </xf>
    <xf numFmtId="165" fontId="0" fillId="0" borderId="4" xfId="0" applyNumberFormat="1" applyBorder="1"/>
    <xf numFmtId="166" fontId="0" fillId="0" borderId="16" xfId="0" applyNumberFormat="1" applyBorder="1"/>
    <xf numFmtId="0" fontId="0" fillId="0" borderId="16" xfId="0" applyBorder="1"/>
    <xf numFmtId="0" fontId="0" fillId="0" borderId="26" xfId="0" applyFill="1" applyBorder="1" applyAlignment="1">
      <alignment horizontal="right"/>
    </xf>
    <xf numFmtId="0" fontId="0" fillId="0" borderId="35" xfId="0" applyBorder="1"/>
    <xf numFmtId="2" fontId="0" fillId="0" borderId="0" xfId="0" applyNumberFormat="1"/>
    <xf numFmtId="0" fontId="42" fillId="0" borderId="0" xfId="0" applyFont="1" applyFill="1" applyBorder="1" applyAlignment="1">
      <alignment horizontal="left"/>
    </xf>
    <xf numFmtId="0" fontId="54" fillId="0" borderId="0" xfId="0" applyFont="1"/>
    <xf numFmtId="0" fontId="42" fillId="0" borderId="0" xfId="0" applyFont="1" applyFill="1" applyBorder="1" applyAlignment="1"/>
    <xf numFmtId="0" fontId="52" fillId="0" borderId="0" xfId="0" applyFont="1" applyBorder="1" applyAlignment="1">
      <alignment horizontal="right"/>
    </xf>
    <xf numFmtId="0" fontId="0" fillId="0" borderId="14" xfId="0" applyFill="1" applyBorder="1"/>
    <xf numFmtId="165" fontId="54" fillId="0" borderId="0" xfId="0" applyNumberFormat="1" applyFont="1" applyBorder="1"/>
    <xf numFmtId="0" fontId="54" fillId="0" borderId="0" xfId="0" applyFont="1" applyFill="1" applyBorder="1"/>
    <xf numFmtId="2" fontId="0" fillId="0" borderId="0" xfId="0" applyNumberFormat="1" applyBorder="1"/>
    <xf numFmtId="165" fontId="0" fillId="0" borderId="8" xfId="0" applyNumberFormat="1" applyBorder="1"/>
    <xf numFmtId="2" fontId="0" fillId="0" borderId="8" xfId="0" applyNumberFormat="1" applyBorder="1"/>
    <xf numFmtId="0" fontId="38" fillId="0" borderId="0" xfId="0" applyFont="1" applyFill="1" applyBorder="1" applyAlignment="1">
      <alignment horizontal="right"/>
    </xf>
    <xf numFmtId="0" fontId="37" fillId="0" borderId="0" xfId="0" applyFont="1" applyFill="1" applyBorder="1" applyAlignment="1">
      <alignment horizontal="right"/>
    </xf>
    <xf numFmtId="0" fontId="35" fillId="0" borderId="0" xfId="0" applyFont="1" applyFill="1" applyBorder="1" applyAlignment="1">
      <alignment horizontal="right"/>
    </xf>
    <xf numFmtId="167" fontId="0" fillId="0" borderId="0" xfId="0" applyNumberFormat="1"/>
    <xf numFmtId="0" fontId="57" fillId="0" borderId="10" xfId="0" applyFont="1" applyBorder="1"/>
    <xf numFmtId="165" fontId="0" fillId="0" borderId="5" xfId="0" applyNumberFormat="1" applyBorder="1"/>
    <xf numFmtId="166" fontId="0" fillId="0" borderId="0" xfId="0" applyNumberFormat="1"/>
    <xf numFmtId="165" fontId="0" fillId="0" borderId="10" xfId="0" applyNumberFormat="1" applyFill="1" applyBorder="1"/>
    <xf numFmtId="0" fontId="0" fillId="0" borderId="10" xfId="0" applyFill="1" applyBorder="1" applyAlignment="1">
      <alignment horizontal="left"/>
    </xf>
    <xf numFmtId="0" fontId="64" fillId="0" borderId="0" xfId="0" applyFont="1"/>
    <xf numFmtId="0" fontId="51" fillId="0" borderId="0" xfId="0" applyFont="1" applyBorder="1"/>
    <xf numFmtId="0" fontId="42" fillId="0" borderId="10" xfId="0" applyFont="1" applyBorder="1" applyAlignment="1">
      <alignment horizontal="right"/>
    </xf>
    <xf numFmtId="0" fontId="34" fillId="0" borderId="10" xfId="0" applyFont="1" applyBorder="1" applyAlignment="1">
      <alignment horizontal="left"/>
    </xf>
    <xf numFmtId="0" fontId="60" fillId="0" borderId="0" xfId="0" applyFont="1" applyFill="1" applyBorder="1" applyAlignment="1"/>
    <xf numFmtId="165" fontId="0" fillId="0" borderId="10" xfId="0" applyNumberFormat="1" applyBorder="1" applyAlignment="1">
      <alignment horizontal="right"/>
    </xf>
    <xf numFmtId="170" fontId="0" fillId="0" borderId="0" xfId="0" applyNumberFormat="1"/>
    <xf numFmtId="170" fontId="0" fillId="0" borderId="0" xfId="0" applyNumberFormat="1" applyBorder="1"/>
    <xf numFmtId="165" fontId="0" fillId="0" borderId="0" xfId="0" applyNumberFormat="1" applyAlignment="1">
      <alignment horizontal="center"/>
    </xf>
    <xf numFmtId="0" fontId="58" fillId="0" borderId="0" xfId="0" applyFont="1" applyFill="1" applyBorder="1"/>
    <xf numFmtId="0" fontId="62" fillId="0" borderId="0" xfId="0" applyFont="1" applyBorder="1"/>
    <xf numFmtId="0" fontId="63" fillId="0" borderId="0" xfId="0" applyFont="1" applyBorder="1"/>
    <xf numFmtId="0" fontId="0" fillId="3" borderId="0" xfId="0" applyFill="1" applyBorder="1"/>
    <xf numFmtId="0" fontId="42" fillId="0" borderId="11" xfId="0" applyFont="1" applyBorder="1" applyAlignment="1">
      <alignment horizontal="left"/>
    </xf>
    <xf numFmtId="0" fontId="42" fillId="0" borderId="17" xfId="0" applyFont="1" applyBorder="1" applyAlignment="1">
      <alignment horizontal="left"/>
    </xf>
    <xf numFmtId="0" fontId="52" fillId="0" borderId="0" xfId="0" applyFont="1" applyFill="1" applyBorder="1" applyAlignment="1">
      <alignment horizontal="center"/>
    </xf>
    <xf numFmtId="49" fontId="0" fillId="0" borderId="0" xfId="0" applyNumberFormat="1"/>
    <xf numFmtId="165" fontId="0" fillId="0" borderId="0" xfId="0" applyNumberFormat="1" applyFill="1"/>
    <xf numFmtId="165" fontId="0" fillId="6" borderId="0" xfId="0" applyNumberFormat="1" applyFill="1" applyBorder="1"/>
    <xf numFmtId="170" fontId="0" fillId="0" borderId="0" xfId="0" applyNumberFormat="1" applyFill="1" applyBorder="1"/>
    <xf numFmtId="0" fontId="42" fillId="0" borderId="15" xfId="0" applyFont="1" applyBorder="1" applyAlignment="1">
      <alignment horizontal="right"/>
    </xf>
    <xf numFmtId="0" fontId="42" fillId="0" borderId="0" xfId="0" applyFont="1" applyBorder="1" applyAlignment="1">
      <alignment horizontal="left"/>
    </xf>
    <xf numFmtId="0" fontId="42" fillId="0" borderId="11" xfId="0" applyFont="1" applyBorder="1" applyAlignment="1">
      <alignment horizontal="center"/>
    </xf>
    <xf numFmtId="0" fontId="42" fillId="0" borderId="0" xfId="0" applyFont="1" applyBorder="1" applyAlignment="1">
      <alignment horizontal="center"/>
    </xf>
    <xf numFmtId="0" fontId="0" fillId="0" borderId="13" xfId="0" applyFill="1" applyBorder="1"/>
    <xf numFmtId="0" fontId="42" fillId="0" borderId="11" xfId="0" applyFont="1" applyFill="1" applyBorder="1" applyAlignment="1">
      <alignment horizontal="right"/>
    </xf>
    <xf numFmtId="0" fontId="0" fillId="0" borderId="17" xfId="0" applyFill="1" applyBorder="1"/>
    <xf numFmtId="165" fontId="42" fillId="0" borderId="0" xfId="0" applyNumberFormat="1" applyFont="1" applyFill="1" applyBorder="1"/>
    <xf numFmtId="0" fontId="0" fillId="0" borderId="9" xfId="0" applyBorder="1" applyAlignment="1">
      <alignment horizontal="center"/>
    </xf>
    <xf numFmtId="49" fontId="0" fillId="0" borderId="0" xfId="0" applyNumberFormat="1" applyBorder="1" applyAlignment="1">
      <alignment horizontal="right"/>
    </xf>
    <xf numFmtId="165" fontId="0" fillId="0" borderId="8" xfId="0" applyNumberFormat="1" applyFill="1" applyBorder="1"/>
    <xf numFmtId="170" fontId="0" fillId="0" borderId="0" xfId="0" applyNumberFormat="1" applyAlignment="1"/>
    <xf numFmtId="0" fontId="51" fillId="0" borderId="0" xfId="0" applyFont="1" applyFill="1" applyBorder="1"/>
    <xf numFmtId="0" fontId="67" fillId="0" borderId="10" xfId="0" applyFont="1" applyBorder="1"/>
    <xf numFmtId="0" fontId="0" fillId="0" borderId="9" xfId="0" applyBorder="1" applyAlignment="1">
      <alignment horizontal="left"/>
    </xf>
    <xf numFmtId="165" fontId="0" fillId="0" borderId="9" xfId="0" applyNumberFormat="1" applyFill="1" applyBorder="1"/>
    <xf numFmtId="169" fontId="0" fillId="0" borderId="0" xfId="0" applyNumberFormat="1" applyBorder="1"/>
    <xf numFmtId="1" fontId="0" fillId="0" borderId="0" xfId="0" applyNumberFormat="1" applyBorder="1"/>
    <xf numFmtId="0" fontId="42" fillId="0" borderId="17" xfId="0" applyFont="1" applyBorder="1" applyAlignment="1">
      <alignment horizontal="right"/>
    </xf>
    <xf numFmtId="2" fontId="0" fillId="0" borderId="10" xfId="0" applyNumberFormat="1" applyBorder="1"/>
    <xf numFmtId="2" fontId="0" fillId="0" borderId="14" xfId="0" applyNumberFormat="1" applyBorder="1"/>
    <xf numFmtId="0" fontId="0" fillId="4" borderId="23" xfId="0" applyFill="1" applyBorder="1"/>
    <xf numFmtId="0" fontId="0" fillId="4" borderId="24" xfId="0" applyFill="1" applyBorder="1"/>
    <xf numFmtId="2" fontId="0" fillId="0" borderId="23" xfId="0" applyNumberFormat="1" applyBorder="1"/>
    <xf numFmtId="2" fontId="0" fillId="0" borderId="22" xfId="0" applyNumberFormat="1" applyBorder="1"/>
    <xf numFmtId="2" fontId="0" fillId="0" borderId="23" xfId="0" applyNumberFormat="1" applyFill="1" applyBorder="1"/>
    <xf numFmtId="0" fontId="54" fillId="0" borderId="0" xfId="0" applyFont="1" applyBorder="1"/>
    <xf numFmtId="165" fontId="0" fillId="0" borderId="9" xfId="0" applyNumberFormat="1" applyBorder="1"/>
    <xf numFmtId="2" fontId="0" fillId="0" borderId="9" xfId="0" applyNumberFormat="1" applyBorder="1"/>
    <xf numFmtId="2" fontId="0" fillId="0" borderId="13" xfId="0" applyNumberFormat="1" applyBorder="1"/>
    <xf numFmtId="0" fontId="42" fillId="0" borderId="11" xfId="0" applyFont="1" applyFill="1" applyBorder="1"/>
    <xf numFmtId="2" fontId="0" fillId="0" borderId="24" xfId="0" applyNumberFormat="1" applyBorder="1"/>
    <xf numFmtId="0" fontId="54" fillId="0" borderId="10" xfId="0" applyFont="1" applyFill="1" applyBorder="1"/>
    <xf numFmtId="0" fontId="0" fillId="0" borderId="19" xfId="0" applyBorder="1"/>
    <xf numFmtId="0" fontId="70" fillId="0" borderId="36" xfId="0" applyFont="1" applyBorder="1"/>
    <xf numFmtId="165" fontId="0" fillId="0" borderId="10" xfId="0" applyNumberFormat="1" applyBorder="1"/>
    <xf numFmtId="169" fontId="54" fillId="0" borderId="0" xfId="0" applyNumberFormat="1" applyFont="1" applyBorder="1"/>
    <xf numFmtId="0" fontId="42" fillId="4" borderId="15" xfId="0" applyFont="1" applyFill="1" applyBorder="1" applyAlignment="1"/>
    <xf numFmtId="0" fontId="42" fillId="4" borderId="11" xfId="0" applyFont="1" applyFill="1" applyBorder="1" applyAlignment="1"/>
    <xf numFmtId="0" fontId="42" fillId="4" borderId="17" xfId="0" applyFont="1" applyFill="1" applyBorder="1" applyAlignment="1"/>
    <xf numFmtId="0" fontId="32" fillId="4" borderId="22" xfId="0" applyFont="1" applyFill="1" applyBorder="1" applyAlignment="1">
      <alignment horizontal="left"/>
    </xf>
    <xf numFmtId="0" fontId="32" fillId="4" borderId="23" xfId="0" applyFont="1" applyFill="1" applyBorder="1" applyAlignment="1">
      <alignment horizontal="left"/>
    </xf>
    <xf numFmtId="0" fontId="32" fillId="0" borderId="18" xfId="0" applyFont="1" applyBorder="1" applyAlignment="1">
      <alignment horizontal="left"/>
    </xf>
    <xf numFmtId="0" fontId="0" fillId="0" borderId="26" xfId="0" applyBorder="1" applyAlignment="1">
      <alignment horizontal="right"/>
    </xf>
    <xf numFmtId="165" fontId="54" fillId="0" borderId="4" xfId="0" applyNumberFormat="1" applyFont="1" applyBorder="1"/>
    <xf numFmtId="165" fontId="54" fillId="0" borderId="8" xfId="0" applyNumberFormat="1" applyFont="1" applyBorder="1"/>
    <xf numFmtId="165" fontId="0" fillId="0" borderId="0" xfId="0" applyNumberFormat="1" applyFill="1" applyBorder="1" applyAlignment="1">
      <alignment horizontal="right"/>
    </xf>
    <xf numFmtId="165" fontId="32" fillId="0" borderId="0" xfId="0" applyNumberFormat="1" applyFont="1" applyFill="1" applyBorder="1" applyAlignment="1">
      <alignment horizontal="right"/>
    </xf>
    <xf numFmtId="0" fontId="32" fillId="0" borderId="0" xfId="0" applyFont="1" applyFill="1" applyBorder="1" applyAlignment="1">
      <alignment horizontal="left"/>
    </xf>
    <xf numFmtId="165" fontId="54" fillId="0" borderId="10" xfId="0" applyNumberFormat="1" applyFont="1" applyBorder="1"/>
    <xf numFmtId="165" fontId="57" fillId="0" borderId="0" xfId="0" applyNumberFormat="1" applyFont="1" applyBorder="1"/>
    <xf numFmtId="165" fontId="0" fillId="0" borderId="0" xfId="0" applyNumberFormat="1" applyBorder="1" applyAlignment="1">
      <alignment horizontal="left"/>
    </xf>
    <xf numFmtId="165" fontId="54" fillId="0" borderId="9" xfId="0" applyNumberFormat="1" applyFont="1" applyBorder="1"/>
    <xf numFmtId="0" fontId="71" fillId="0" borderId="14" xfId="0" applyFont="1" applyBorder="1" applyAlignment="1">
      <alignment wrapText="1"/>
    </xf>
    <xf numFmtId="0" fontId="0" fillId="0" borderId="36"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9" xfId="0" applyFill="1" applyBorder="1" applyAlignment="1">
      <alignment horizontal="center"/>
    </xf>
    <xf numFmtId="0" fontId="0" fillId="0" borderId="29" xfId="0" applyFill="1" applyBorder="1" applyAlignment="1">
      <alignment horizontal="center"/>
    </xf>
    <xf numFmtId="0" fontId="0" fillId="8" borderId="6" xfId="0" applyFill="1" applyBorder="1"/>
    <xf numFmtId="165" fontId="0" fillId="0" borderId="17" xfId="0" applyNumberFormat="1" applyBorder="1"/>
    <xf numFmtId="166" fontId="42" fillId="5" borderId="0" xfId="0" applyNumberFormat="1" applyFont="1" applyFill="1" applyBorder="1" applyAlignment="1">
      <alignment horizontal="center"/>
    </xf>
    <xf numFmtId="0" fontId="42" fillId="0" borderId="23" xfId="0" applyFont="1" applyBorder="1"/>
    <xf numFmtId="165" fontId="0" fillId="0" borderId="0" xfId="0" applyNumberFormat="1" applyFill="1" applyAlignment="1">
      <alignment horizontal="center"/>
    </xf>
    <xf numFmtId="170" fontId="0" fillId="0" borderId="0" xfId="0" applyNumberFormat="1" applyFill="1" applyBorder="1" applyAlignment="1"/>
    <xf numFmtId="0" fontId="42" fillId="4" borderId="10" xfId="0" applyFont="1" applyFill="1" applyBorder="1"/>
    <xf numFmtId="0" fontId="40" fillId="0" borderId="0" xfId="0" applyFont="1" applyBorder="1"/>
    <xf numFmtId="0" fontId="0" fillId="0" borderId="24" xfId="0" applyBorder="1"/>
    <xf numFmtId="0" fontId="0" fillId="0" borderId="0" xfId="0" applyBorder="1" applyAlignment="1"/>
    <xf numFmtId="0" fontId="47" fillId="0" borderId="0" xfId="1" applyFill="1" applyBorder="1"/>
    <xf numFmtId="170" fontId="52" fillId="0" borderId="0" xfId="0" applyNumberFormat="1" applyFont="1" applyFill="1" applyBorder="1" applyAlignment="1">
      <alignment horizontal="center"/>
    </xf>
    <xf numFmtId="0" fontId="0" fillId="0" borderId="38" xfId="0" applyBorder="1"/>
    <xf numFmtId="0" fontId="0" fillId="0" borderId="39" xfId="0" applyBorder="1"/>
    <xf numFmtId="165" fontId="52" fillId="0" borderId="11" xfId="0" applyNumberFormat="1" applyFont="1" applyBorder="1"/>
    <xf numFmtId="0" fontId="52" fillId="0" borderId="11" xfId="0" applyFont="1" applyFill="1" applyBorder="1"/>
    <xf numFmtId="0" fontId="31" fillId="0" borderId="10" xfId="0" applyFont="1" applyBorder="1"/>
    <xf numFmtId="49" fontId="0" fillId="0" borderId="8" xfId="0" applyNumberFormat="1" applyBorder="1" applyAlignment="1">
      <alignment horizontal="right"/>
    </xf>
    <xf numFmtId="0" fontId="47" fillId="0" borderId="8" xfId="1" applyBorder="1"/>
    <xf numFmtId="0" fontId="51" fillId="0" borderId="10" xfId="0" applyFont="1" applyFill="1" applyBorder="1" applyAlignment="1">
      <alignment horizontal="right"/>
    </xf>
    <xf numFmtId="169" fontId="0" fillId="0" borderId="0" xfId="0" applyNumberFormat="1"/>
    <xf numFmtId="0" fontId="0" fillId="0" borderId="14" xfId="0" applyBorder="1" applyAlignment="1">
      <alignment horizontal="left"/>
    </xf>
    <xf numFmtId="0" fontId="31" fillId="0" borderId="10" xfId="0" applyFont="1" applyFill="1" applyBorder="1" applyAlignment="1">
      <alignment horizontal="left"/>
    </xf>
    <xf numFmtId="0" fontId="60" fillId="0" borderId="0" xfId="0" applyFont="1" applyBorder="1" applyAlignment="1">
      <alignment horizontal="center"/>
    </xf>
    <xf numFmtId="169" fontId="0" fillId="0" borderId="0" xfId="0" applyNumberFormat="1" applyBorder="1" applyAlignment="1">
      <alignment horizontal="center"/>
    </xf>
    <xf numFmtId="0" fontId="57" fillId="0" borderId="0" xfId="0" applyFont="1" applyBorder="1" applyAlignment="1">
      <alignment horizontal="center"/>
    </xf>
    <xf numFmtId="0" fontId="57" fillId="0" borderId="0" xfId="0" applyFont="1" applyFill="1" applyBorder="1" applyAlignment="1">
      <alignment horizontal="center"/>
    </xf>
    <xf numFmtId="0" fontId="42" fillId="0" borderId="10" xfId="0" applyFont="1" applyBorder="1" applyAlignment="1">
      <alignment horizontal="center"/>
    </xf>
    <xf numFmtId="170" fontId="0" fillId="0" borderId="10" xfId="0" applyNumberFormat="1" applyBorder="1" applyAlignment="1">
      <alignment horizontal="center"/>
    </xf>
    <xf numFmtId="170" fontId="0" fillId="0" borderId="0" xfId="0" applyNumberFormat="1" applyBorder="1" applyAlignment="1">
      <alignment horizontal="center"/>
    </xf>
    <xf numFmtId="170" fontId="0" fillId="0" borderId="8" xfId="0" applyNumberFormat="1" applyBorder="1" applyAlignment="1">
      <alignment horizontal="center"/>
    </xf>
    <xf numFmtId="0" fontId="0" fillId="0" borderId="13" xfId="0" applyBorder="1" applyAlignment="1">
      <alignment horizontal="center"/>
    </xf>
    <xf numFmtId="0" fontId="0" fillId="0" borderId="9" xfId="0" applyFill="1" applyBorder="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2" fontId="0" fillId="0" borderId="0" xfId="0" applyNumberFormat="1" applyFill="1" applyBorder="1" applyAlignment="1">
      <alignment horizontal="center"/>
    </xf>
    <xf numFmtId="165" fontId="54" fillId="0" borderId="0" xfId="0" applyNumberFormat="1" applyFont="1" applyFill="1" applyBorder="1" applyAlignment="1">
      <alignment horizontal="center"/>
    </xf>
    <xf numFmtId="2" fontId="42" fillId="0" borderId="23" xfId="0" applyNumberFormat="1" applyFont="1" applyBorder="1" applyAlignment="1">
      <alignment horizontal="center"/>
    </xf>
    <xf numFmtId="0" fontId="42" fillId="0" borderId="23" xfId="0" applyFont="1" applyBorder="1" applyAlignment="1">
      <alignment horizontal="center"/>
    </xf>
    <xf numFmtId="0" fontId="42" fillId="0" borderId="0" xfId="0" applyFont="1" applyFill="1" applyBorder="1" applyAlignment="1">
      <alignment horizontal="center"/>
    </xf>
    <xf numFmtId="170" fontId="0" fillId="0" borderId="10" xfId="0" applyNumberFormat="1" applyFill="1" applyBorder="1" applyAlignment="1">
      <alignment horizontal="center"/>
    </xf>
    <xf numFmtId="170" fontId="0" fillId="0" borderId="0" xfId="0" applyNumberFormat="1" applyFill="1" applyBorder="1" applyAlignment="1">
      <alignment horizontal="center"/>
    </xf>
    <xf numFmtId="166" fontId="0" fillId="0" borderId="0" xfId="0" applyNumberFormat="1" applyBorder="1" applyAlignment="1">
      <alignment horizontal="center"/>
    </xf>
    <xf numFmtId="0" fontId="0" fillId="0" borderId="13" xfId="0" applyFill="1" applyBorder="1" applyAlignment="1">
      <alignment horizontal="center"/>
    </xf>
    <xf numFmtId="170" fontId="54" fillId="0" borderId="0" xfId="0" applyNumberFormat="1" applyFont="1" applyBorder="1" applyAlignment="1">
      <alignment horizontal="center"/>
    </xf>
    <xf numFmtId="0" fontId="33" fillId="0" borderId="9" xfId="0" applyFont="1" applyBorder="1" applyAlignment="1">
      <alignment horizontal="center"/>
    </xf>
    <xf numFmtId="170" fontId="54" fillId="0" borderId="8" xfId="0" applyNumberFormat="1" applyFont="1" applyBorder="1" applyAlignment="1">
      <alignment horizontal="center"/>
    </xf>
    <xf numFmtId="0" fontId="33" fillId="0" borderId="13" xfId="0" applyFont="1" applyBorder="1" applyAlignment="1">
      <alignment horizontal="center"/>
    </xf>
    <xf numFmtId="0" fontId="42" fillId="0" borderId="17" xfId="0" applyFont="1" applyBorder="1" applyAlignment="1">
      <alignment horizontal="center"/>
    </xf>
    <xf numFmtId="0" fontId="42" fillId="0" borderId="9" xfId="0" applyFont="1" applyBorder="1" applyAlignment="1">
      <alignment horizontal="center"/>
    </xf>
    <xf numFmtId="170" fontId="42" fillId="0" borderId="14" xfId="0" applyNumberFormat="1" applyFont="1" applyBorder="1" applyAlignment="1">
      <alignment horizontal="center"/>
    </xf>
    <xf numFmtId="170" fontId="42" fillId="0" borderId="8" xfId="0" applyNumberFormat="1" applyFont="1" applyBorder="1" applyAlignment="1">
      <alignment horizontal="center"/>
    </xf>
    <xf numFmtId="0" fontId="0" fillId="0" borderId="20" xfId="0" applyBorder="1"/>
    <xf numFmtId="49" fontId="0" fillId="0" borderId="10" xfId="0" applyNumberFormat="1" applyBorder="1"/>
    <xf numFmtId="0" fontId="42" fillId="0" borderId="4" xfId="0" applyFont="1" applyFill="1" applyBorder="1" applyAlignment="1">
      <alignment horizontal="left"/>
    </xf>
    <xf numFmtId="165" fontId="32" fillId="0" borderId="4" xfId="0" applyNumberFormat="1" applyFont="1" applyFill="1" applyBorder="1" applyAlignment="1">
      <alignment horizontal="right"/>
    </xf>
    <xf numFmtId="0" fontId="32" fillId="0" borderId="4" xfId="0" applyFont="1" applyFill="1" applyBorder="1" applyAlignment="1">
      <alignment horizontal="left"/>
    </xf>
    <xf numFmtId="165" fontId="31" fillId="0" borderId="0" xfId="0" applyNumberFormat="1" applyFont="1" applyFill="1" applyBorder="1" applyAlignment="1">
      <alignment horizontal="right"/>
    </xf>
    <xf numFmtId="167" fontId="42" fillId="0" borderId="0" xfId="0" applyNumberFormat="1" applyFont="1" applyAlignment="1">
      <alignment horizontal="center"/>
    </xf>
    <xf numFmtId="0" fontId="42" fillId="0" borderId="12" xfId="0" applyFont="1" applyBorder="1"/>
    <xf numFmtId="0" fontId="60" fillId="0" borderId="10" xfId="0" applyFont="1" applyBorder="1" applyAlignment="1">
      <alignment horizontal="right"/>
    </xf>
    <xf numFmtId="0" fontId="0" fillId="3" borderId="0" xfId="0" applyFill="1" applyBorder="1" applyAlignment="1">
      <alignment horizontal="right"/>
    </xf>
    <xf numFmtId="0" fontId="30" fillId="0" borderId="10" xfId="0" applyFont="1" applyBorder="1"/>
    <xf numFmtId="165" fontId="54" fillId="0" borderId="0" xfId="0" applyNumberFormat="1" applyFont="1" applyFill="1" applyBorder="1"/>
    <xf numFmtId="170" fontId="54" fillId="0" borderId="0" xfId="0" applyNumberFormat="1" applyFont="1" applyFill="1" applyBorder="1"/>
    <xf numFmtId="0" fontId="30" fillId="0" borderId="10" xfId="0" applyFont="1" applyFill="1" applyBorder="1"/>
    <xf numFmtId="169" fontId="0" fillId="0" borderId="0" xfId="0" applyNumberFormat="1" applyFill="1" applyBorder="1" applyAlignment="1">
      <alignment horizontal="center"/>
    </xf>
    <xf numFmtId="0" fontId="0" fillId="0" borderId="10" xfId="0" applyFont="1" applyBorder="1"/>
    <xf numFmtId="170" fontId="57" fillId="0" borderId="0" xfId="0" applyNumberFormat="1" applyFont="1" applyFill="1" applyBorder="1"/>
    <xf numFmtId="0" fontId="60" fillId="0" borderId="10" xfId="0" applyFont="1" applyBorder="1"/>
    <xf numFmtId="0" fontId="0" fillId="0" borderId="0" xfId="0" applyNumberFormat="1" applyFill="1" applyBorder="1"/>
    <xf numFmtId="0" fontId="39" fillId="0" borderId="10" xfId="0" applyFont="1" applyBorder="1"/>
    <xf numFmtId="0" fontId="36" fillId="0" borderId="10" xfId="0" applyFont="1" applyBorder="1"/>
    <xf numFmtId="0" fontId="52" fillId="0" borderId="15" xfId="0" applyFont="1" applyBorder="1" applyAlignment="1">
      <alignment horizontal="left"/>
    </xf>
    <xf numFmtId="0" fontId="70" fillId="0" borderId="0" xfId="0" applyFont="1" applyFill="1" applyBorder="1"/>
    <xf numFmtId="0" fontId="30" fillId="0" borderId="0" xfId="0" applyFont="1" applyFill="1" applyBorder="1"/>
    <xf numFmtId="0" fontId="57" fillId="0" borderId="0" xfId="0" applyFont="1" applyFill="1" applyAlignment="1">
      <alignment horizontal="left"/>
    </xf>
    <xf numFmtId="165" fontId="0" fillId="0" borderId="13" xfId="0" applyNumberFormat="1" applyBorder="1"/>
    <xf numFmtId="1" fontId="0" fillId="0" borderId="10" xfId="0" applyNumberFormat="1" applyBorder="1"/>
    <xf numFmtId="0" fontId="0" fillId="0" borderId="16" xfId="0" applyBorder="1" applyAlignment="1">
      <alignment horizontal="right"/>
    </xf>
    <xf numFmtId="1" fontId="0" fillId="0" borderId="0" xfId="0" applyNumberFormat="1"/>
    <xf numFmtId="165" fontId="0" fillId="0" borderId="0" xfId="0" applyNumberFormat="1" applyBorder="1" applyAlignment="1">
      <alignment horizontal="left"/>
    </xf>
    <xf numFmtId="0" fontId="0" fillId="0" borderId="35" xfId="0" applyFill="1" applyBorder="1" applyAlignment="1">
      <alignment horizontal="left"/>
    </xf>
    <xf numFmtId="0" fontId="57" fillId="0" borderId="0" xfId="0" applyFont="1" applyBorder="1"/>
    <xf numFmtId="0" fontId="57" fillId="0" borderId="9" xfId="0" applyFont="1" applyBorder="1"/>
    <xf numFmtId="0" fontId="42" fillId="0" borderId="6" xfId="0" applyFont="1" applyFill="1" applyBorder="1"/>
    <xf numFmtId="0" fontId="42" fillId="0" borderId="12" xfId="0" applyFont="1" applyFill="1" applyBorder="1"/>
    <xf numFmtId="0" fontId="42" fillId="0" borderId="6" xfId="0" applyFont="1" applyFill="1" applyBorder="1" applyAlignment="1">
      <alignment horizontal="left"/>
    </xf>
    <xf numFmtId="0" fontId="42" fillId="0" borderId="25" xfId="0" applyFont="1" applyBorder="1"/>
    <xf numFmtId="165" fontId="50" fillId="0" borderId="0" xfId="0" applyNumberFormat="1" applyFont="1" applyBorder="1"/>
    <xf numFmtId="0" fontId="50" fillId="0" borderId="0" xfId="0" applyFont="1" applyBorder="1"/>
    <xf numFmtId="0" fontId="50" fillId="0" borderId="0" xfId="0" applyFont="1" applyBorder="1" applyAlignment="1">
      <alignment horizontal="right"/>
    </xf>
    <xf numFmtId="0" fontId="87" fillId="0" borderId="0" xfId="0" applyFont="1" applyBorder="1" applyAlignment="1">
      <alignment horizontal="right"/>
    </xf>
    <xf numFmtId="2" fontId="50" fillId="0" borderId="0" xfId="0" applyNumberFormat="1" applyFont="1" applyBorder="1"/>
    <xf numFmtId="2" fontId="42" fillId="0" borderId="0" xfId="0" applyNumberFormat="1" applyFont="1" applyBorder="1"/>
    <xf numFmtId="165" fontId="57" fillId="3" borderId="0" xfId="0" applyNumberFormat="1" applyFont="1" applyFill="1" applyBorder="1"/>
    <xf numFmtId="165" fontId="42" fillId="0" borderId="0" xfId="0" applyNumberFormat="1" applyFont="1" applyBorder="1" applyAlignment="1">
      <alignment horizontal="left"/>
    </xf>
    <xf numFmtId="0" fontId="60" fillId="0" borderId="0" xfId="0" applyFont="1" applyFill="1" applyBorder="1" applyAlignment="1">
      <alignment horizontal="right"/>
    </xf>
    <xf numFmtId="170" fontId="42" fillId="0" borderId="13" xfId="0" applyNumberFormat="1" applyFont="1" applyBorder="1" applyAlignment="1">
      <alignment horizontal="left"/>
    </xf>
    <xf numFmtId="2" fontId="0" fillId="0" borderId="0" xfId="0" applyNumberFormat="1" applyFill="1" applyBorder="1"/>
    <xf numFmtId="0" fontId="0" fillId="0" borderId="15" xfId="0" applyBorder="1" applyAlignment="1">
      <alignment horizontal="left"/>
    </xf>
    <xf numFmtId="0" fontId="57" fillId="0" borderId="11" xfId="0" applyFont="1" applyFill="1" applyBorder="1" applyAlignment="1">
      <alignment horizontal="right"/>
    </xf>
    <xf numFmtId="0" fontId="57" fillId="0" borderId="14" xfId="0" applyFont="1" applyFill="1" applyBorder="1" applyAlignment="1">
      <alignment horizontal="left"/>
    </xf>
    <xf numFmtId="0" fontId="0" fillId="0" borderId="36" xfId="0" applyBorder="1"/>
    <xf numFmtId="0" fontId="0" fillId="0" borderId="39" xfId="0" applyFill="1" applyBorder="1"/>
    <xf numFmtId="165" fontId="42" fillId="0" borderId="8" xfId="0" applyNumberFormat="1" applyFont="1" applyBorder="1"/>
    <xf numFmtId="165" fontId="0" fillId="0" borderId="0" xfId="0" applyNumberFormat="1" applyBorder="1" applyAlignment="1">
      <alignment horizontal="right"/>
    </xf>
    <xf numFmtId="1" fontId="0" fillId="0" borderId="8" xfId="0" applyNumberFormat="1" applyFill="1" applyBorder="1"/>
    <xf numFmtId="165" fontId="57" fillId="0" borderId="0" xfId="0" applyNumberFormat="1" applyFont="1" applyFill="1" applyBorder="1"/>
    <xf numFmtId="165" fontId="57" fillId="0" borderId="0" xfId="0" applyNumberFormat="1" applyFont="1" applyFill="1" applyBorder="1" applyAlignment="1">
      <alignment horizontal="right"/>
    </xf>
    <xf numFmtId="0" fontId="57" fillId="0" borderId="10" xfId="0" applyFont="1" applyFill="1" applyBorder="1" applyAlignment="1">
      <alignment horizontal="left"/>
    </xf>
    <xf numFmtId="0" fontId="57" fillId="0" borderId="8" xfId="0" applyFont="1" applyFill="1" applyBorder="1" applyAlignment="1">
      <alignment horizontal="right"/>
    </xf>
    <xf numFmtId="2" fontId="42" fillId="0" borderId="13" xfId="0" applyNumberFormat="1" applyFont="1" applyBorder="1" applyAlignment="1">
      <alignment horizontal="left"/>
    </xf>
    <xf numFmtId="0" fontId="0" fillId="0" borderId="3" xfId="0" applyBorder="1" applyAlignment="1">
      <alignment horizontal="right"/>
    </xf>
    <xf numFmtId="0" fontId="49" fillId="0" borderId="0" xfId="0" applyFont="1" applyBorder="1"/>
    <xf numFmtId="0" fontId="49" fillId="0" borderId="0" xfId="0" applyFont="1" applyBorder="1" applyAlignment="1">
      <alignment horizontal="right"/>
    </xf>
    <xf numFmtId="49" fontId="0" fillId="0" borderId="3" xfId="0" applyNumberFormat="1" applyBorder="1"/>
    <xf numFmtId="0" fontId="0" fillId="0" borderId="3" xfId="0" applyFill="1" applyBorder="1"/>
    <xf numFmtId="9" fontId="0" fillId="4" borderId="29" xfId="0" applyNumberFormat="1" applyFill="1" applyBorder="1"/>
    <xf numFmtId="169" fontId="0" fillId="0" borderId="0" xfId="0" applyNumberFormat="1" applyFill="1" applyBorder="1"/>
    <xf numFmtId="0" fontId="31" fillId="0" borderId="0" xfId="0" applyFont="1" applyFill="1" applyBorder="1" applyAlignment="1">
      <alignment horizontal="left"/>
    </xf>
    <xf numFmtId="169" fontId="0" fillId="0" borderId="8" xfId="0" applyNumberFormat="1" applyFill="1" applyBorder="1"/>
    <xf numFmtId="0" fontId="0" fillId="0" borderId="35" xfId="0" applyBorder="1" applyAlignment="1">
      <alignment horizontal="left"/>
    </xf>
    <xf numFmtId="49" fontId="42" fillId="0" borderId="0" xfId="0" applyNumberFormat="1" applyFont="1" applyAlignment="1">
      <alignment horizontal="right"/>
    </xf>
    <xf numFmtId="49" fontId="0" fillId="0" borderId="0" xfId="0" applyNumberFormat="1" applyFill="1" applyBorder="1"/>
    <xf numFmtId="0" fontId="57" fillId="0" borderId="0" xfId="0" applyFont="1" applyFill="1" applyBorder="1" applyAlignment="1">
      <alignment horizontal="right"/>
    </xf>
    <xf numFmtId="0" fontId="31" fillId="0" borderId="38" xfId="0" applyFont="1" applyBorder="1" applyAlignment="1">
      <alignment wrapText="1"/>
    </xf>
    <xf numFmtId="165" fontId="0" fillId="3" borderId="0" xfId="0" applyNumberFormat="1" applyFill="1" applyBorder="1"/>
    <xf numFmtId="0" fontId="60" fillId="0" borderId="0" xfId="0" applyFont="1" applyBorder="1" applyAlignment="1">
      <alignment horizontal="right"/>
    </xf>
    <xf numFmtId="0" fontId="49" fillId="0" borderId="0" xfId="0" applyFont="1" applyAlignment="1">
      <alignment horizontal="left"/>
    </xf>
    <xf numFmtId="0" fontId="91" fillId="0" borderId="0" xfId="0" applyFont="1"/>
    <xf numFmtId="0" fontId="57" fillId="0" borderId="25" xfId="0" applyFont="1" applyBorder="1"/>
    <xf numFmtId="0" fontId="28" fillId="0" borderId="0" xfId="0" applyFont="1"/>
    <xf numFmtId="2" fontId="0" fillId="0" borderId="11" xfId="0" applyNumberFormat="1" applyBorder="1"/>
    <xf numFmtId="169" fontId="42" fillId="0" borderId="0" xfId="0" applyNumberFormat="1" applyFont="1" applyFill="1" applyBorder="1" applyAlignment="1"/>
    <xf numFmtId="0" fontId="60" fillId="0" borderId="0" xfId="0" applyFont="1" applyAlignment="1">
      <alignment horizontal="left"/>
    </xf>
    <xf numFmtId="2" fontId="0" fillId="0" borderId="0" xfId="0" applyNumberFormat="1" applyBorder="1" applyAlignment="1">
      <alignment horizontal="right"/>
    </xf>
    <xf numFmtId="2" fontId="28" fillId="0" borderId="0" xfId="0" applyNumberFormat="1" applyFont="1" applyFill="1" applyBorder="1" applyAlignment="1"/>
    <xf numFmtId="2" fontId="42" fillId="0" borderId="23" xfId="0" applyNumberFormat="1" applyFont="1" applyBorder="1"/>
    <xf numFmtId="165" fontId="50" fillId="0" borderId="0" xfId="0" applyNumberFormat="1" applyFont="1" applyFill="1" applyBorder="1"/>
    <xf numFmtId="2" fontId="60" fillId="0" borderId="23" xfId="0" applyNumberFormat="1" applyFont="1" applyBorder="1"/>
    <xf numFmtId="2" fontId="57" fillId="0" borderId="0" xfId="0" applyNumberFormat="1" applyFont="1" applyFill="1" applyBorder="1" applyAlignment="1"/>
    <xf numFmtId="2" fontId="57" fillId="0" borderId="0" xfId="0" applyNumberFormat="1" applyFont="1" applyFill="1" applyBorder="1" applyAlignment="1">
      <alignment horizontal="right"/>
    </xf>
    <xf numFmtId="165" fontId="50" fillId="0" borderId="0" xfId="0" applyNumberFormat="1" applyFont="1"/>
    <xf numFmtId="165" fontId="50" fillId="0" borderId="0" xfId="0" applyNumberFormat="1" applyFont="1" applyFill="1" applyBorder="1" applyAlignment="1"/>
    <xf numFmtId="2" fontId="57" fillId="0" borderId="0" xfId="0" applyNumberFormat="1" applyFont="1" applyBorder="1"/>
    <xf numFmtId="0" fontId="57" fillId="0" borderId="0" xfId="0" applyFont="1" applyBorder="1" applyAlignment="1">
      <alignment horizontal="right"/>
    </xf>
    <xf numFmtId="2" fontId="57" fillId="0" borderId="8" xfId="0" applyNumberFormat="1" applyFont="1" applyFill="1" applyBorder="1" applyAlignment="1">
      <alignment horizontal="right"/>
    </xf>
    <xf numFmtId="2" fontId="27" fillId="0" borderId="0" xfId="0" applyNumberFormat="1" applyFont="1" applyFill="1" applyBorder="1" applyAlignment="1">
      <alignment horizontal="right"/>
    </xf>
    <xf numFmtId="2" fontId="27" fillId="0" borderId="8" xfId="0" applyNumberFormat="1" applyFont="1" applyFill="1" applyBorder="1" applyAlignment="1">
      <alignment horizontal="right"/>
    </xf>
    <xf numFmtId="165" fontId="57" fillId="0" borderId="8" xfId="0" applyNumberFormat="1" applyFont="1" applyFill="1" applyBorder="1" applyAlignment="1">
      <alignment horizontal="right"/>
    </xf>
    <xf numFmtId="165" fontId="89" fillId="0" borderId="0" xfId="0" applyNumberFormat="1" applyFont="1" applyBorder="1"/>
    <xf numFmtId="165" fontId="54" fillId="0" borderId="14" xfId="0" applyNumberFormat="1" applyFont="1" applyFill="1" applyBorder="1"/>
    <xf numFmtId="165" fontId="54" fillId="0" borderId="8" xfId="0" applyNumberFormat="1" applyFont="1" applyBorder="1" applyAlignment="1">
      <alignment horizontal="left"/>
    </xf>
    <xf numFmtId="165" fontId="54" fillId="0" borderId="8" xfId="0" applyNumberFormat="1" applyFont="1" applyFill="1" applyBorder="1"/>
    <xf numFmtId="165" fontId="54" fillId="0" borderId="13" xfId="0" applyNumberFormat="1" applyFont="1" applyBorder="1"/>
    <xf numFmtId="165" fontId="0" fillId="0" borderId="14" xfId="0" applyNumberFormat="1" applyFill="1" applyBorder="1"/>
    <xf numFmtId="2" fontId="57" fillId="0" borderId="0" xfId="0" applyNumberFormat="1" applyFont="1" applyBorder="1" applyAlignment="1">
      <alignment horizontal="right"/>
    </xf>
    <xf numFmtId="165" fontId="57" fillId="0" borderId="23" xfId="0" applyNumberFormat="1" applyFont="1" applyBorder="1"/>
    <xf numFmtId="2" fontId="54" fillId="0" borderId="24" xfId="0" applyNumberFormat="1" applyFont="1" applyBorder="1"/>
    <xf numFmtId="2" fontId="57" fillId="0" borderId="9" xfId="0" applyNumberFormat="1" applyFont="1" applyBorder="1"/>
    <xf numFmtId="2" fontId="57" fillId="0" borderId="9" xfId="0" applyNumberFormat="1" applyFont="1" applyBorder="1" applyAlignment="1">
      <alignment horizontal="right"/>
    </xf>
    <xf numFmtId="0" fontId="60" fillId="0" borderId="17" xfId="0" applyFont="1" applyBorder="1" applyAlignment="1">
      <alignment horizontal="right"/>
    </xf>
    <xf numFmtId="165" fontId="57" fillId="0" borderId="9" xfId="0" applyNumberFormat="1" applyFont="1" applyBorder="1" applyAlignment="1">
      <alignment horizontal="right"/>
    </xf>
    <xf numFmtId="2" fontId="0" fillId="0" borderId="10" xfId="0" applyNumberFormat="1" applyBorder="1" applyAlignment="1">
      <alignment horizontal="right"/>
    </xf>
    <xf numFmtId="2" fontId="57" fillId="0" borderId="24" xfId="0" applyNumberFormat="1" applyFont="1" applyBorder="1"/>
    <xf numFmtId="2" fontId="60" fillId="0" borderId="9" xfId="0" applyNumberFormat="1" applyFont="1" applyBorder="1" applyAlignment="1">
      <alignment horizontal="right"/>
    </xf>
    <xf numFmtId="2" fontId="54" fillId="0" borderId="0" xfId="0" applyNumberFormat="1" applyFont="1" applyBorder="1" applyAlignment="1">
      <alignment horizontal="right"/>
    </xf>
    <xf numFmtId="2" fontId="42" fillId="0" borderId="0" xfId="0" applyNumberFormat="1" applyFont="1" applyFill="1" applyBorder="1"/>
    <xf numFmtId="0" fontId="50" fillId="0" borderId="0" xfId="0" applyFont="1" applyFill="1" applyBorder="1"/>
    <xf numFmtId="165" fontId="51" fillId="0" borderId="0" xfId="0" applyNumberFormat="1" applyFont="1" applyFill="1" applyBorder="1"/>
    <xf numFmtId="2" fontId="0" fillId="40" borderId="0" xfId="0" applyNumberFormat="1" applyFill="1" applyBorder="1" applyAlignment="1">
      <alignment horizontal="right"/>
    </xf>
    <xf numFmtId="2" fontId="57" fillId="40" borderId="0" xfId="0" applyNumberFormat="1" applyFont="1" applyFill="1" applyBorder="1" applyAlignment="1"/>
    <xf numFmtId="2" fontId="57" fillId="40" borderId="0" xfId="0" applyNumberFormat="1" applyFont="1" applyFill="1" applyBorder="1"/>
    <xf numFmtId="0" fontId="53" fillId="0" borderId="0" xfId="0" applyFont="1" applyFill="1" applyBorder="1" applyAlignment="1"/>
    <xf numFmtId="0" fontId="42" fillId="0" borderId="33" xfId="0" applyFont="1" applyBorder="1" applyAlignment="1">
      <alignment horizontal="right"/>
    </xf>
    <xf numFmtId="0" fontId="42" fillId="0" borderId="33" xfId="0" applyFont="1" applyFill="1" applyBorder="1" applyAlignment="1">
      <alignment horizontal="right"/>
    </xf>
    <xf numFmtId="0" fontId="60" fillId="0" borderId="11" xfId="0" applyFont="1" applyBorder="1" applyAlignment="1">
      <alignment horizontal="right"/>
    </xf>
    <xf numFmtId="2" fontId="57" fillId="40" borderId="9" xfId="0" applyNumberFormat="1" applyFont="1" applyFill="1" applyBorder="1" applyAlignment="1"/>
    <xf numFmtId="0" fontId="42" fillId="0" borderId="34" xfId="0" applyFont="1" applyFill="1" applyBorder="1" applyAlignment="1">
      <alignment horizontal="right"/>
    </xf>
    <xf numFmtId="2" fontId="28" fillId="40" borderId="0" xfId="0" applyNumberFormat="1" applyFont="1" applyFill="1" applyBorder="1"/>
    <xf numFmtId="2" fontId="0" fillId="40" borderId="0" xfId="0" applyNumberFormat="1" applyFill="1" applyBorder="1"/>
    <xf numFmtId="165" fontId="60" fillId="0" borderId="0" xfId="0" applyNumberFormat="1" applyFont="1" applyFill="1" applyBorder="1" applyAlignment="1">
      <alignment horizontal="right"/>
    </xf>
    <xf numFmtId="165" fontId="60" fillId="0" borderId="9" xfId="0" applyNumberFormat="1" applyFont="1" applyFill="1" applyBorder="1" applyAlignment="1">
      <alignment horizontal="right"/>
    </xf>
    <xf numFmtId="165" fontId="60" fillId="0" borderId="8" xfId="0" applyNumberFormat="1" applyFont="1" applyFill="1" applyBorder="1" applyAlignment="1">
      <alignment horizontal="right"/>
    </xf>
    <xf numFmtId="165" fontId="60" fillId="0" borderId="13" xfId="0" applyNumberFormat="1" applyFont="1" applyFill="1" applyBorder="1" applyAlignment="1">
      <alignment horizontal="right"/>
    </xf>
    <xf numFmtId="2" fontId="0" fillId="40" borderId="9" xfId="0" applyNumberFormat="1" applyFill="1" applyBorder="1"/>
    <xf numFmtId="2" fontId="51" fillId="0" borderId="0" xfId="0" applyNumberFormat="1" applyFont="1" applyBorder="1"/>
    <xf numFmtId="165" fontId="42" fillId="0" borderId="0" xfId="0" applyNumberFormat="1" applyFont="1" applyFill="1" applyBorder="1" applyAlignment="1"/>
    <xf numFmtId="2" fontId="57" fillId="0" borderId="9" xfId="0" applyNumberFormat="1" applyFont="1" applyFill="1" applyBorder="1" applyAlignment="1">
      <alignment horizontal="right"/>
    </xf>
    <xf numFmtId="2" fontId="57" fillId="0" borderId="13" xfId="0" applyNumberFormat="1" applyFont="1" applyFill="1" applyBorder="1" applyAlignment="1">
      <alignment horizontal="right"/>
    </xf>
    <xf numFmtId="0" fontId="57" fillId="0" borderId="8" xfId="0" applyFont="1" applyBorder="1" applyAlignment="1">
      <alignment horizontal="right"/>
    </xf>
    <xf numFmtId="2" fontId="89" fillId="0" borderId="23" xfId="0" applyNumberFormat="1" applyFont="1" applyBorder="1"/>
    <xf numFmtId="0" fontId="42" fillId="0" borderId="0" xfId="0" applyFont="1" applyFill="1" applyBorder="1" applyAlignment="1">
      <alignment horizontal="center" vertical="center"/>
    </xf>
    <xf numFmtId="0" fontId="0" fillId="0" borderId="8" xfId="0" applyBorder="1" applyAlignment="1">
      <alignment horizontal="center"/>
    </xf>
    <xf numFmtId="0" fontId="60" fillId="0" borderId="9" xfId="0" applyFont="1" applyBorder="1" applyAlignment="1">
      <alignment horizontal="right"/>
    </xf>
    <xf numFmtId="2" fontId="57" fillId="0" borderId="10" xfId="0" applyNumberFormat="1" applyFont="1" applyBorder="1"/>
    <xf numFmtId="2" fontId="57" fillId="0" borderId="22" xfId="0" applyNumberFormat="1" applyFont="1" applyBorder="1"/>
    <xf numFmtId="0" fontId="60" fillId="0" borderId="15" xfId="0" applyFont="1" applyBorder="1" applyAlignment="1">
      <alignment horizontal="right"/>
    </xf>
    <xf numFmtId="2" fontId="54" fillId="0" borderId="9" xfId="0" applyNumberFormat="1" applyFont="1" applyBorder="1"/>
    <xf numFmtId="2" fontId="54" fillId="0" borderId="9" xfId="0" applyNumberFormat="1" applyFont="1" applyBorder="1" applyAlignment="1">
      <alignment horizontal="right"/>
    </xf>
    <xf numFmtId="2" fontId="54" fillId="0" borderId="10" xfId="0" applyNumberFormat="1" applyFont="1" applyBorder="1" applyAlignment="1">
      <alignment horizontal="right"/>
    </xf>
    <xf numFmtId="2" fontId="57" fillId="0" borderId="0" xfId="0" applyNumberFormat="1" applyFont="1" applyFill="1" applyBorder="1"/>
    <xf numFmtId="2" fontId="42" fillId="0" borderId="9" xfId="0" applyNumberFormat="1" applyFont="1" applyBorder="1"/>
    <xf numFmtId="0" fontId="57" fillId="0" borderId="0" xfId="0" applyFont="1" applyFill="1" applyBorder="1" applyAlignment="1">
      <alignment horizontal="left"/>
    </xf>
    <xf numFmtId="2" fontId="42" fillId="0" borderId="23" xfId="0" applyNumberFormat="1" applyFont="1" applyFill="1" applyBorder="1" applyAlignment="1">
      <alignment horizontal="right"/>
    </xf>
    <xf numFmtId="2" fontId="26" fillId="0" borderId="23" xfId="0" applyNumberFormat="1" applyFont="1" applyFill="1" applyBorder="1" applyAlignment="1">
      <alignment horizontal="right"/>
    </xf>
    <xf numFmtId="165" fontId="42" fillId="0" borderId="11" xfId="0" applyNumberFormat="1" applyFont="1" applyBorder="1" applyAlignment="1">
      <alignment horizontal="right"/>
    </xf>
    <xf numFmtId="2" fontId="26" fillId="0" borderId="0" xfId="0" applyNumberFormat="1" applyFont="1" applyBorder="1" applyAlignment="1">
      <alignment horizontal="right"/>
    </xf>
    <xf numFmtId="0" fontId="60" fillId="0" borderId="11" xfId="0" applyFont="1" applyFill="1" applyBorder="1" applyAlignment="1">
      <alignment horizontal="right"/>
    </xf>
    <xf numFmtId="2" fontId="0" fillId="0" borderId="14" xfId="0" applyNumberFormat="1" applyBorder="1" applyAlignment="1">
      <alignment horizontal="right"/>
    </xf>
    <xf numFmtId="2" fontId="54" fillId="0" borderId="8" xfId="0" applyNumberFormat="1" applyFont="1" applyBorder="1" applyAlignment="1">
      <alignment horizontal="right"/>
    </xf>
    <xf numFmtId="2" fontId="54" fillId="0" borderId="13" xfId="0" applyNumberFormat="1" applyFont="1" applyBorder="1" applyAlignment="1"/>
    <xf numFmtId="2" fontId="60" fillId="0" borderId="22" xfId="0" applyNumberFormat="1" applyFont="1" applyBorder="1"/>
    <xf numFmtId="0" fontId="0" fillId="0" borderId="35" xfId="0" applyFill="1" applyBorder="1"/>
    <xf numFmtId="1" fontId="0" fillId="0" borderId="0" xfId="0" applyNumberFormat="1" applyBorder="1" applyAlignment="1">
      <alignment horizontal="center"/>
    </xf>
    <xf numFmtId="0" fontId="29" fillId="0" borderId="0" xfId="0" applyFont="1" applyFill="1" applyBorder="1"/>
    <xf numFmtId="0" fontId="0" fillId="0" borderId="11" xfId="0" applyBorder="1" applyAlignment="1">
      <alignment horizontal="center"/>
    </xf>
    <xf numFmtId="0" fontId="25" fillId="0" borderId="33" xfId="0" applyFont="1" applyBorder="1" applyAlignment="1">
      <alignment horizontal="right"/>
    </xf>
    <xf numFmtId="0" fontId="25" fillId="0" borderId="33" xfId="0" applyFont="1" applyFill="1" applyBorder="1" applyAlignment="1">
      <alignment horizontal="right"/>
    </xf>
    <xf numFmtId="0" fontId="25" fillId="0" borderId="32" xfId="0" applyFont="1" applyFill="1" applyBorder="1" applyAlignment="1">
      <alignment horizontal="right"/>
    </xf>
    <xf numFmtId="1" fontId="0" fillId="4" borderId="9" xfId="0" applyNumberFormat="1" applyFill="1" applyBorder="1"/>
    <xf numFmtId="1" fontId="0" fillId="0" borderId="9" xfId="0" applyNumberFormat="1" applyBorder="1"/>
    <xf numFmtId="1" fontId="0" fillId="0" borderId="9" xfId="0" applyNumberFormat="1" applyFill="1" applyBorder="1"/>
    <xf numFmtId="0" fontId="50" fillId="0" borderId="25" xfId="0" applyFont="1" applyBorder="1"/>
    <xf numFmtId="165" fontId="42" fillId="0" borderId="0" xfId="0" applyNumberFormat="1" applyFont="1" applyBorder="1"/>
    <xf numFmtId="165" fontId="0" fillId="0" borderId="11" xfId="0" applyNumberFormat="1" applyFill="1" applyBorder="1"/>
    <xf numFmtId="165" fontId="54" fillId="0" borderId="0" xfId="0" applyNumberFormat="1" applyFont="1" applyBorder="1" applyAlignment="1">
      <alignment horizontal="right"/>
    </xf>
    <xf numFmtId="0" fontId="96" fillId="0" borderId="25" xfId="0" applyFont="1" applyBorder="1"/>
    <xf numFmtId="0" fontId="0" fillId="0" borderId="25" xfId="0" applyFont="1" applyBorder="1"/>
    <xf numFmtId="1" fontId="0" fillId="4" borderId="10" xfId="0" applyNumberFormat="1" applyFill="1" applyBorder="1"/>
    <xf numFmtId="1" fontId="0" fillId="0" borderId="10" xfId="0" applyNumberFormat="1" applyFill="1" applyBorder="1"/>
    <xf numFmtId="0" fontId="49" fillId="0" borderId="0" xfId="0" applyFont="1"/>
    <xf numFmtId="165" fontId="0" fillId="0" borderId="56" xfId="0" applyNumberFormat="1" applyBorder="1"/>
    <xf numFmtId="0" fontId="42" fillId="0" borderId="17" xfId="0" applyFont="1" applyFill="1" applyBorder="1" applyAlignment="1">
      <alignment horizontal="right"/>
    </xf>
    <xf numFmtId="169" fontId="0" fillId="0" borderId="0" xfId="0" applyNumberFormat="1" applyFill="1" applyBorder="1" applyAlignment="1">
      <alignment horizontal="right" vertical="center"/>
    </xf>
    <xf numFmtId="165" fontId="0" fillId="0" borderId="57" xfId="0" applyNumberFormat="1" applyFill="1" applyBorder="1"/>
    <xf numFmtId="0" fontId="42" fillId="0" borderId="13" xfId="0" applyFont="1" applyFill="1" applyBorder="1"/>
    <xf numFmtId="0" fontId="0" fillId="0" borderId="35" xfId="0" applyBorder="1" applyAlignment="1">
      <alignment horizontal="center"/>
    </xf>
    <xf numFmtId="165" fontId="0" fillId="0" borderId="16" xfId="0" quotePrefix="1" applyNumberFormat="1" applyBorder="1" applyAlignment="1">
      <alignment horizontal="center"/>
    </xf>
    <xf numFmtId="0" fontId="0" fillId="0" borderId="21" xfId="0" applyBorder="1" applyAlignment="1">
      <alignment horizontal="center"/>
    </xf>
    <xf numFmtId="0" fontId="42" fillId="0" borderId="37" xfId="0" applyFont="1" applyBorder="1" applyAlignment="1">
      <alignment horizontal="center"/>
    </xf>
    <xf numFmtId="0" fontId="42" fillId="0" borderId="58" xfId="0" applyFont="1" applyFill="1" applyBorder="1" applyAlignment="1">
      <alignment horizontal="center"/>
    </xf>
    <xf numFmtId="0" fontId="0" fillId="0" borderId="59" xfId="0" applyBorder="1"/>
    <xf numFmtId="0" fontId="42" fillId="0" borderId="60" xfId="0" applyFont="1" applyBorder="1"/>
    <xf numFmtId="0" fontId="42" fillId="0" borderId="61" xfId="0" applyFont="1" applyBorder="1"/>
    <xf numFmtId="0" fontId="0" fillId="0" borderId="16" xfId="0" applyFill="1" applyBorder="1"/>
    <xf numFmtId="2" fontId="0" fillId="0" borderId="0" xfId="0" applyNumberFormat="1" applyFill="1" applyBorder="1" applyAlignment="1">
      <alignment horizontal="right"/>
    </xf>
    <xf numFmtId="0" fontId="0" fillId="0" borderId="3" xfId="0" applyBorder="1" applyAlignment="1">
      <alignment horizontal="left"/>
    </xf>
    <xf numFmtId="2" fontId="28" fillId="0" borderId="10" xfId="0" applyNumberFormat="1" applyFont="1" applyBorder="1"/>
    <xf numFmtId="0" fontId="24" fillId="0" borderId="33" xfId="0" applyFont="1" applyBorder="1" applyAlignment="1">
      <alignment horizontal="right"/>
    </xf>
    <xf numFmtId="0" fontId="24" fillId="0" borderId="33" xfId="0" applyFont="1" applyFill="1" applyBorder="1" applyAlignment="1">
      <alignment horizontal="right"/>
    </xf>
    <xf numFmtId="0" fontId="24" fillId="0" borderId="32" xfId="0" applyFont="1" applyFill="1" applyBorder="1" applyAlignment="1">
      <alignment horizontal="right"/>
    </xf>
    <xf numFmtId="165" fontId="42" fillId="0" borderId="0" xfId="0" applyNumberFormat="1" applyFont="1" applyBorder="1" applyAlignment="1">
      <alignment horizontal="center"/>
    </xf>
    <xf numFmtId="0" fontId="42" fillId="0" borderId="2" xfId="0" applyFont="1" applyBorder="1"/>
    <xf numFmtId="0" fontId="42" fillId="0" borderId="2" xfId="0" applyFont="1" applyBorder="1" applyAlignment="1">
      <alignment horizontal="right"/>
    </xf>
    <xf numFmtId="0" fontId="42" fillId="0" borderId="19" xfId="0" applyFont="1" applyBorder="1" applyAlignment="1">
      <alignment horizontal="left"/>
    </xf>
    <xf numFmtId="0" fontId="0" fillId="0" borderId="35" xfId="0" applyBorder="1" applyAlignment="1">
      <alignment horizontal="left" vertical="center"/>
    </xf>
    <xf numFmtId="0" fontId="0" fillId="4" borderId="0" xfId="0" applyFill="1" applyBorder="1" applyAlignment="1">
      <alignment horizontal="right"/>
    </xf>
    <xf numFmtId="0" fontId="0" fillId="0" borderId="2" xfId="0" applyBorder="1" applyAlignment="1">
      <alignment horizontal="right"/>
    </xf>
    <xf numFmtId="0" fontId="0" fillId="0" borderId="18" xfId="0" applyBorder="1"/>
    <xf numFmtId="0" fontId="0" fillId="0" borderId="51" xfId="0" applyBorder="1" applyAlignment="1">
      <alignment horizontal="left"/>
    </xf>
    <xf numFmtId="0" fontId="0" fillId="0" borderId="21" xfId="0" applyBorder="1" applyAlignment="1">
      <alignment horizontal="left"/>
    </xf>
    <xf numFmtId="0" fontId="0" fillId="0" borderId="19" xfId="0" applyBorder="1" applyAlignment="1">
      <alignment horizontal="left"/>
    </xf>
    <xf numFmtId="16" fontId="0" fillId="0" borderId="0" xfId="0" applyNumberFormat="1" applyBorder="1" applyAlignment="1">
      <alignment horizontal="right"/>
    </xf>
    <xf numFmtId="0" fontId="0" fillId="39" borderId="3" xfId="0" applyFill="1" applyBorder="1"/>
    <xf numFmtId="0" fontId="0" fillId="39" borderId="0" xfId="0" applyFill="1" applyBorder="1"/>
    <xf numFmtId="0" fontId="0" fillId="39" borderId="0" xfId="0" applyFill="1" applyBorder="1" applyAlignment="1">
      <alignment horizontal="right"/>
    </xf>
    <xf numFmtId="0" fontId="0" fillId="39" borderId="35" xfId="0" applyFill="1" applyBorder="1" applyAlignment="1">
      <alignment horizontal="left"/>
    </xf>
    <xf numFmtId="0" fontId="42" fillId="0" borderId="3" xfId="0" applyFont="1" applyBorder="1" applyAlignment="1">
      <alignment vertical="center" textRotation="90"/>
    </xf>
    <xf numFmtId="0" fontId="42" fillId="0" borderId="20" xfId="0" applyFont="1" applyBorder="1" applyAlignment="1">
      <alignment vertical="center" textRotation="90"/>
    </xf>
    <xf numFmtId="0" fontId="42" fillId="0" borderId="2" xfId="0" applyFont="1" applyBorder="1" applyAlignment="1">
      <alignment horizontal="center"/>
    </xf>
    <xf numFmtId="0" fontId="41" fillId="2" borderId="1" xfId="43" applyAlignment="1">
      <alignment horizontal="center"/>
    </xf>
    <xf numFmtId="0" fontId="41" fillId="2" borderId="1" xfId="43" applyAlignment="1">
      <alignment horizontal="right" wrapText="1"/>
    </xf>
    <xf numFmtId="165" fontId="54" fillId="0" borderId="0" xfId="0" applyNumberFormat="1" applyFont="1" applyBorder="1" applyAlignment="1">
      <alignment horizontal="center"/>
    </xf>
    <xf numFmtId="165" fontId="54" fillId="0" borderId="16" xfId="0" applyNumberFormat="1" applyFont="1" applyFill="1" applyBorder="1" applyAlignment="1">
      <alignment horizontal="center"/>
    </xf>
    <xf numFmtId="0" fontId="57" fillId="0" borderId="17" xfId="0" applyFont="1" applyFill="1" applyBorder="1" applyAlignment="1">
      <alignment horizontal="right"/>
    </xf>
    <xf numFmtId="0" fontId="0" fillId="0" borderId="9" xfId="0" applyFill="1" applyBorder="1" applyAlignment="1">
      <alignment horizontal="right"/>
    </xf>
    <xf numFmtId="0" fontId="0" fillId="0" borderId="22" xfId="0" applyBorder="1" applyAlignment="1">
      <alignment horizontal="center"/>
    </xf>
    <xf numFmtId="0" fontId="0" fillId="0" borderId="23" xfId="0" applyBorder="1" applyAlignment="1">
      <alignment horizontal="center"/>
    </xf>
    <xf numFmtId="0" fontId="0" fillId="0" borderId="23" xfId="0" applyFont="1" applyBorder="1" applyAlignment="1">
      <alignment horizontal="center"/>
    </xf>
    <xf numFmtId="0" fontId="0" fillId="0" borderId="24" xfId="0" applyFont="1" applyBorder="1" applyAlignment="1">
      <alignment horizontal="center"/>
    </xf>
    <xf numFmtId="0" fontId="0" fillId="0" borderId="63" xfId="0" applyFont="1" applyBorder="1" applyAlignment="1">
      <alignment horizontal="center"/>
    </xf>
    <xf numFmtId="165" fontId="54" fillId="0" borderId="16" xfId="0" applyNumberFormat="1" applyFont="1" applyBorder="1" applyAlignment="1">
      <alignment horizontal="center"/>
    </xf>
    <xf numFmtId="165" fontId="60" fillId="0" borderId="0" xfId="0" applyNumberFormat="1" applyFont="1" applyBorder="1" applyAlignment="1">
      <alignment horizontal="center"/>
    </xf>
    <xf numFmtId="165" fontId="60" fillId="0" borderId="16" xfId="0" quotePrefix="1" applyNumberFormat="1" applyFont="1" applyBorder="1" applyAlignment="1">
      <alignment horizontal="center"/>
    </xf>
    <xf numFmtId="0" fontId="42" fillId="0" borderId="64" xfId="0" applyFont="1" applyBorder="1"/>
    <xf numFmtId="165" fontId="60" fillId="0" borderId="0" xfId="0" applyNumberFormat="1" applyFont="1" applyBorder="1"/>
    <xf numFmtId="0" fontId="60" fillId="0" borderId="9" xfId="0" applyFont="1" applyFill="1" applyBorder="1"/>
    <xf numFmtId="2" fontId="54" fillId="0" borderId="8" xfId="0" applyNumberFormat="1" applyFont="1" applyBorder="1"/>
    <xf numFmtId="165" fontId="60" fillId="0" borderId="7" xfId="0" applyNumberFormat="1" applyFont="1" applyFill="1" applyBorder="1"/>
    <xf numFmtId="165" fontId="0" fillId="0" borderId="16" xfId="0" applyNumberFormat="1" applyBorder="1" applyAlignment="1">
      <alignment horizontal="center"/>
    </xf>
    <xf numFmtId="49" fontId="42" fillId="0" borderId="0" xfId="0" applyNumberFormat="1" applyFont="1" applyFill="1" applyBorder="1" applyAlignment="1">
      <alignment horizontal="right"/>
    </xf>
    <xf numFmtId="165" fontId="42" fillId="0" borderId="0" xfId="0" applyNumberFormat="1" applyFont="1" applyBorder="1" applyAlignment="1">
      <alignment horizontal="right"/>
    </xf>
    <xf numFmtId="1" fontId="0" fillId="0" borderId="0" xfId="0" applyNumberFormat="1" applyFill="1"/>
    <xf numFmtId="1" fontId="0" fillId="0" borderId="0" xfId="0" applyNumberFormat="1" applyBorder="1" applyAlignment="1">
      <alignment horizontal="right"/>
    </xf>
    <xf numFmtId="1" fontId="42" fillId="0" borderId="0" xfId="0" applyNumberFormat="1" applyFont="1" applyBorder="1" applyAlignment="1">
      <alignment horizontal="center"/>
    </xf>
    <xf numFmtId="0" fontId="23" fillId="0" borderId="0" xfId="0" applyFont="1" applyFill="1" applyBorder="1"/>
    <xf numFmtId="165" fontId="54" fillId="0" borderId="16" xfId="0" quotePrefix="1" applyNumberFormat="1" applyFont="1" applyBorder="1" applyAlignment="1">
      <alignment horizontal="center"/>
    </xf>
    <xf numFmtId="49" fontId="49" fillId="0" borderId="3" xfId="0" applyNumberFormat="1" applyFont="1" applyBorder="1"/>
    <xf numFmtId="2" fontId="0" fillId="0" borderId="9" xfId="0" applyNumberFormat="1" applyBorder="1" applyAlignment="1">
      <alignment horizontal="center"/>
    </xf>
    <xf numFmtId="2" fontId="0" fillId="0" borderId="8" xfId="0" applyNumberFormat="1" applyBorder="1" applyAlignment="1">
      <alignment horizontal="center"/>
    </xf>
    <xf numFmtId="2" fontId="0" fillId="0" borderId="11" xfId="0" applyNumberFormat="1" applyBorder="1" applyAlignment="1">
      <alignment horizontal="center"/>
    </xf>
    <xf numFmtId="43" fontId="0" fillId="0" borderId="0" xfId="44" applyFont="1"/>
    <xf numFmtId="0" fontId="0" fillId="0" borderId="13" xfId="0" applyBorder="1" applyAlignment="1">
      <alignment horizontal="left"/>
    </xf>
    <xf numFmtId="0" fontId="0" fillId="0" borderId="8" xfId="0" applyBorder="1" applyAlignment="1">
      <alignment horizontal="left"/>
    </xf>
    <xf numFmtId="165" fontId="51" fillId="0" borderId="24" xfId="0" applyNumberFormat="1" applyFont="1" applyBorder="1" applyAlignment="1">
      <alignment horizontal="center"/>
    </xf>
    <xf numFmtId="1" fontId="60" fillId="0" borderId="14" xfId="0" applyNumberFormat="1" applyFont="1" applyBorder="1"/>
    <xf numFmtId="0" fontId="57" fillId="0" borderId="22" xfId="0" applyFont="1" applyBorder="1" applyAlignment="1">
      <alignment horizontal="right"/>
    </xf>
    <xf numFmtId="0" fontId="57" fillId="0" borderId="23" xfId="0" applyFont="1" applyBorder="1"/>
    <xf numFmtId="0" fontId="0" fillId="0" borderId="30" xfId="0" applyBorder="1"/>
    <xf numFmtId="0" fontId="0" fillId="0" borderId="66" xfId="0" applyBorder="1"/>
    <xf numFmtId="0" fontId="0" fillId="0" borderId="28" xfId="0" applyBorder="1"/>
    <xf numFmtId="0" fontId="60" fillId="0" borderId="0" xfId="0" applyFont="1"/>
    <xf numFmtId="49" fontId="0" fillId="0" borderId="0" xfId="0" applyNumberFormat="1" applyFill="1" applyAlignment="1">
      <alignment horizontal="right"/>
    </xf>
    <xf numFmtId="166" fontId="42" fillId="0" borderId="0" xfId="0" applyNumberFormat="1" applyFont="1" applyFill="1" applyAlignment="1">
      <alignment horizontal="right"/>
    </xf>
    <xf numFmtId="0" fontId="0" fillId="0" borderId="60" xfId="0" applyBorder="1" applyAlignment="1">
      <alignment horizontal="right"/>
    </xf>
    <xf numFmtId="0" fontId="0" fillId="0" borderId="54" xfId="0" applyBorder="1" applyAlignment="1">
      <alignment horizontal="center"/>
    </xf>
    <xf numFmtId="0" fontId="42" fillId="0" borderId="67" xfId="0" applyFont="1" applyBorder="1" applyAlignment="1">
      <alignment horizontal="center"/>
    </xf>
    <xf numFmtId="165" fontId="42" fillId="0" borderId="68" xfId="0" applyNumberFormat="1" applyFont="1" applyBorder="1" applyAlignment="1">
      <alignment horizontal="center"/>
    </xf>
    <xf numFmtId="165" fontId="60" fillId="0" borderId="69" xfId="0" applyNumberFormat="1" applyFont="1" applyBorder="1" applyAlignment="1">
      <alignment horizontal="center"/>
    </xf>
    <xf numFmtId="165" fontId="60" fillId="0" borderId="70" xfId="0" applyNumberFormat="1" applyFont="1" applyBorder="1" applyAlignment="1">
      <alignment horizontal="center"/>
    </xf>
    <xf numFmtId="166" fontId="0" fillId="0" borderId="0" xfId="0" applyNumberFormat="1" applyBorder="1" applyAlignment="1">
      <alignment horizontal="right"/>
    </xf>
    <xf numFmtId="0" fontId="0" fillId="0" borderId="20" xfId="0" applyFill="1" applyBorder="1"/>
    <xf numFmtId="0" fontId="49" fillId="0" borderId="59" xfId="0" applyFont="1" applyBorder="1" applyAlignment="1">
      <alignment horizontal="left"/>
    </xf>
    <xf numFmtId="2" fontId="0" fillId="4" borderId="9" xfId="0" applyNumberFormat="1" applyFill="1" applyBorder="1"/>
    <xf numFmtId="2" fontId="0" fillId="0" borderId="9" xfId="0" applyNumberFormat="1" applyFill="1" applyBorder="1"/>
    <xf numFmtId="0" fontId="0" fillId="0" borderId="50" xfId="0" applyBorder="1"/>
    <xf numFmtId="0" fontId="0" fillId="0" borderId="33" xfId="0" applyBorder="1"/>
    <xf numFmtId="0" fontId="0" fillId="0" borderId="71" xfId="0" applyBorder="1"/>
    <xf numFmtId="0" fontId="0" fillId="0" borderId="21" xfId="0" applyBorder="1" applyAlignment="1">
      <alignment horizontal="right"/>
    </xf>
    <xf numFmtId="0" fontId="0" fillId="0" borderId="14" xfId="0" applyBorder="1" applyAlignment="1">
      <alignment horizontal="left"/>
    </xf>
    <xf numFmtId="0" fontId="0" fillId="0" borderId="8" xfId="0" applyBorder="1" applyAlignment="1">
      <alignment horizontal="left"/>
    </xf>
    <xf numFmtId="0" fontId="42" fillId="0" borderId="0" xfId="0" applyFont="1" applyBorder="1" applyAlignment="1">
      <alignment horizontal="center"/>
    </xf>
    <xf numFmtId="0" fontId="49" fillId="0" borderId="15" xfId="0" applyFont="1" applyBorder="1"/>
    <xf numFmtId="0" fontId="0" fillId="0" borderId="0" xfId="0" applyFont="1" applyBorder="1" applyAlignment="1">
      <alignment horizontal="right"/>
    </xf>
    <xf numFmtId="0" fontId="44" fillId="0" borderId="0" xfId="0" applyFont="1" applyFill="1"/>
    <xf numFmtId="0" fontId="42" fillId="0" borderId="35" xfId="0" applyFont="1" applyBorder="1" applyAlignment="1">
      <alignment horizontal="left"/>
    </xf>
    <xf numFmtId="0" fontId="54" fillId="0" borderId="0" xfId="0" applyFont="1" applyBorder="1" applyAlignment="1">
      <alignment horizontal="center"/>
    </xf>
    <xf numFmtId="0" fontId="57" fillId="0" borderId="9" xfId="0" applyFont="1" applyFill="1" applyBorder="1" applyAlignment="1">
      <alignment horizontal="right"/>
    </xf>
    <xf numFmtId="165" fontId="57" fillId="0" borderId="8" xfId="0" applyNumberFormat="1" applyFont="1" applyBorder="1"/>
    <xf numFmtId="0" fontId="25" fillId="0" borderId="32" xfId="0" applyFont="1" applyFill="1" applyBorder="1" applyAlignment="1">
      <alignment horizontal="right" vertical="center"/>
    </xf>
    <xf numFmtId="0" fontId="42" fillId="0" borderId="33" xfId="0" applyFont="1" applyFill="1" applyBorder="1" applyAlignment="1">
      <alignment horizontal="right" vertical="center"/>
    </xf>
    <xf numFmtId="0" fontId="25" fillId="0" borderId="33" xfId="0" applyFont="1" applyFill="1" applyBorder="1" applyAlignment="1">
      <alignment horizontal="right" vertical="center"/>
    </xf>
    <xf numFmtId="0" fontId="20" fillId="0" borderId="33" xfId="0" applyFont="1" applyFill="1" applyBorder="1" applyAlignment="1">
      <alignment horizontal="right" vertical="center"/>
    </xf>
    <xf numFmtId="0" fontId="42" fillId="0" borderId="34" xfId="0" applyFont="1" applyFill="1" applyBorder="1" applyAlignment="1">
      <alignment horizontal="right" vertical="center"/>
    </xf>
    <xf numFmtId="0" fontId="42" fillId="0" borderId="33" xfId="0" applyFont="1" applyBorder="1" applyAlignment="1">
      <alignment horizontal="right" vertical="center"/>
    </xf>
    <xf numFmtId="0" fontId="25" fillId="0" borderId="33" xfId="0" applyFont="1" applyBorder="1" applyAlignment="1">
      <alignment horizontal="right" vertical="center"/>
    </xf>
    <xf numFmtId="0" fontId="42" fillId="4" borderId="18" xfId="0" applyFont="1" applyFill="1" applyBorder="1" applyAlignment="1"/>
    <xf numFmtId="0" fontId="42" fillId="4" borderId="2" xfId="0" applyFont="1" applyFill="1" applyBorder="1" applyAlignment="1">
      <alignment horizontal="left"/>
    </xf>
    <xf numFmtId="0" fontId="42" fillId="4" borderId="19" xfId="0" applyFont="1" applyFill="1" applyBorder="1" applyAlignment="1">
      <alignment horizontal="left"/>
    </xf>
    <xf numFmtId="0" fontId="0" fillId="0" borderId="3" xfId="0" applyFill="1" applyBorder="1" applyAlignment="1">
      <alignment horizontal="right"/>
    </xf>
    <xf numFmtId="0" fontId="60" fillId="0" borderId="72" xfId="0" applyFont="1" applyBorder="1" applyAlignment="1">
      <alignment horizontal="right"/>
    </xf>
    <xf numFmtId="165" fontId="42" fillId="0" borderId="33" xfId="0" applyNumberFormat="1" applyFont="1" applyBorder="1"/>
    <xf numFmtId="0" fontId="42" fillId="0" borderId="33" xfId="0" applyFont="1" applyBorder="1"/>
    <xf numFmtId="0" fontId="21" fillId="0" borderId="3" xfId="0" applyFont="1" applyFill="1" applyBorder="1" applyAlignment="1"/>
    <xf numFmtId="0" fontId="42" fillId="0" borderId="35" xfId="0" applyFont="1" applyFill="1" applyBorder="1" applyAlignment="1">
      <alignment horizontal="left"/>
    </xf>
    <xf numFmtId="0" fontId="32" fillId="0" borderId="52" xfId="0" applyFont="1" applyFill="1" applyBorder="1" applyAlignment="1"/>
    <xf numFmtId="0" fontId="42" fillId="0" borderId="51" xfId="0" applyFont="1" applyFill="1" applyBorder="1" applyAlignment="1">
      <alignment horizontal="left"/>
    </xf>
    <xf numFmtId="0" fontId="32" fillId="0" borderId="3" xfId="0" applyFont="1" applyFill="1" applyBorder="1" applyAlignment="1"/>
    <xf numFmtId="0" fontId="42" fillId="0" borderId="73" xfId="0" applyFont="1" applyBorder="1"/>
    <xf numFmtId="0" fontId="0" fillId="0" borderId="74" xfId="0" applyBorder="1"/>
    <xf numFmtId="165" fontId="42" fillId="0" borderId="74" xfId="0" applyNumberFormat="1" applyFont="1" applyBorder="1"/>
    <xf numFmtId="0" fontId="42" fillId="0" borderId="74" xfId="0" applyFont="1" applyBorder="1"/>
    <xf numFmtId="0" fontId="0" fillId="0" borderId="75" xfId="0" applyBorder="1"/>
    <xf numFmtId="2" fontId="0" fillId="5" borderId="0" xfId="0" applyNumberFormat="1" applyFill="1" applyBorder="1"/>
    <xf numFmtId="165" fontId="0" fillId="5" borderId="0" xfId="0" applyNumberFormat="1" applyFill="1" applyBorder="1"/>
    <xf numFmtId="170" fontId="54" fillId="0" borderId="0" xfId="0" applyNumberFormat="1" applyFont="1" applyFill="1" applyBorder="1" applyAlignment="1">
      <alignment horizontal="center"/>
    </xf>
    <xf numFmtId="170" fontId="42" fillId="0" borderId="14" xfId="0" applyNumberFormat="1" applyFont="1" applyBorder="1" applyAlignment="1">
      <alignment horizontal="center"/>
    </xf>
    <xf numFmtId="170" fontId="42" fillId="0" borderId="8" xfId="0" applyNumberFormat="1" applyFont="1" applyBorder="1" applyAlignment="1">
      <alignment horizontal="center"/>
    </xf>
    <xf numFmtId="165" fontId="54" fillId="0" borderId="0" xfId="0" applyNumberFormat="1" applyFont="1"/>
    <xf numFmtId="165" fontId="60" fillId="0" borderId="7" xfId="0" applyNumberFormat="1" applyFont="1" applyBorder="1"/>
    <xf numFmtId="0" fontId="0" fillId="0" borderId="38" xfId="0" applyBorder="1" applyAlignment="1"/>
    <xf numFmtId="0" fontId="44" fillId="0" borderId="38" xfId="0" applyFont="1" applyBorder="1"/>
    <xf numFmtId="0" fontId="0" fillId="0" borderId="10" xfId="0" applyFill="1" applyBorder="1" applyAlignment="1">
      <alignment horizontal="center"/>
    </xf>
    <xf numFmtId="0" fontId="52" fillId="0" borderId="9" xfId="0" applyFont="1" applyBorder="1"/>
    <xf numFmtId="0" fontId="42" fillId="0" borderId="5" xfId="0" applyFont="1" applyFill="1" applyBorder="1" applyAlignment="1">
      <alignment horizontal="center"/>
    </xf>
    <xf numFmtId="170" fontId="0" fillId="0" borderId="5" xfId="0" applyNumberFormat="1" applyFill="1" applyBorder="1" applyAlignment="1">
      <alignment horizontal="center"/>
    </xf>
    <xf numFmtId="170" fontId="52" fillId="0" borderId="5" xfId="0" applyNumberFormat="1" applyFont="1" applyFill="1" applyBorder="1" applyAlignment="1">
      <alignment horizontal="center"/>
    </xf>
    <xf numFmtId="170" fontId="54" fillId="0" borderId="5" xfId="0" applyNumberFormat="1" applyFont="1" applyFill="1" applyBorder="1" applyAlignment="1">
      <alignment horizontal="center"/>
    </xf>
    <xf numFmtId="1" fontId="0" fillId="4" borderId="0" xfId="0" applyNumberFormat="1" applyFill="1" applyBorder="1"/>
    <xf numFmtId="0" fontId="60" fillId="0" borderId="0" xfId="0" applyFont="1" applyBorder="1"/>
    <xf numFmtId="170" fontId="60" fillId="0" borderId="0" xfId="0" applyNumberFormat="1" applyFont="1" applyFill="1" applyBorder="1"/>
    <xf numFmtId="49" fontId="51" fillId="0" borderId="0" xfId="0" applyNumberFormat="1" applyFont="1" applyBorder="1"/>
    <xf numFmtId="0" fontId="0" fillId="44" borderId="17" xfId="0" applyFill="1" applyBorder="1"/>
    <xf numFmtId="165" fontId="57" fillId="0" borderId="0" xfId="0" applyNumberFormat="1" applyFont="1" applyFill="1"/>
    <xf numFmtId="0" fontId="0" fillId="3" borderId="0" xfId="0" applyFill="1"/>
    <xf numFmtId="0" fontId="0" fillId="0" borderId="11" xfId="0" applyBorder="1" applyAlignment="1">
      <alignment vertical="center"/>
    </xf>
    <xf numFmtId="0" fontId="0" fillId="0" borderId="0" xfId="0" applyBorder="1" applyAlignment="1">
      <alignment horizontal="center" vertical="center"/>
    </xf>
    <xf numFmtId="1" fontId="0" fillId="0" borderId="0" xfId="0" applyNumberFormat="1" applyBorder="1" applyAlignment="1">
      <alignment horizontal="right" vertical="center"/>
    </xf>
    <xf numFmtId="0" fontId="44" fillId="0" borderId="10" xfId="0" applyFont="1" applyBorder="1" applyAlignment="1">
      <alignment horizontal="right"/>
    </xf>
    <xf numFmtId="11" fontId="42" fillId="0" borderId="10" xfId="0" applyNumberFormat="1" applyFont="1" applyFill="1" applyBorder="1" applyAlignment="1">
      <alignment horizontal="right"/>
    </xf>
    <xf numFmtId="0" fontId="42" fillId="0" borderId="14" xfId="0" applyFont="1" applyFill="1" applyBorder="1" applyAlignment="1">
      <alignment horizontal="right"/>
    </xf>
    <xf numFmtId="0" fontId="0" fillId="0" borderId="8" xfId="0" applyFill="1" applyBorder="1" applyAlignment="1">
      <alignment horizontal="center"/>
    </xf>
    <xf numFmtId="169" fontId="0" fillId="0" borderId="8" xfId="0" applyNumberFormat="1" applyBorder="1"/>
    <xf numFmtId="0" fontId="42" fillId="44" borderId="15" xfId="0" applyFont="1" applyFill="1" applyBorder="1" applyAlignment="1">
      <alignment horizontal="center"/>
    </xf>
    <xf numFmtId="165" fontId="52" fillId="0" borderId="0" xfId="0" applyNumberFormat="1" applyFont="1" applyBorder="1" applyAlignment="1">
      <alignment horizontal="center"/>
    </xf>
    <xf numFmtId="0" fontId="104" fillId="0" borderId="0" xfId="0" applyFont="1" applyBorder="1"/>
    <xf numFmtId="49" fontId="102" fillId="0" borderId="3" xfId="0" applyNumberFormat="1" applyFont="1" applyFill="1" applyBorder="1" applyAlignment="1">
      <alignment horizontal="left"/>
    </xf>
    <xf numFmtId="0" fontId="55" fillId="0" borderId="37" xfId="0" applyFont="1" applyBorder="1" applyAlignment="1">
      <alignment horizontal="center"/>
    </xf>
    <xf numFmtId="2" fontId="24" fillId="0" borderId="0" xfId="0" applyNumberFormat="1" applyFont="1" applyBorder="1" applyAlignment="1">
      <alignment horizontal="right"/>
    </xf>
    <xf numFmtId="165" fontId="0" fillId="0" borderId="11" xfId="0" applyNumberFormat="1" applyBorder="1" applyAlignment="1">
      <alignment horizontal="center"/>
    </xf>
    <xf numFmtId="0" fontId="42" fillId="0" borderId="22" xfId="0" applyFont="1" applyBorder="1" applyAlignment="1">
      <alignment horizontal="right"/>
    </xf>
    <xf numFmtId="0" fontId="42" fillId="0" borderId="23" xfId="0" applyFont="1" applyFill="1" applyBorder="1" applyAlignment="1">
      <alignment horizontal="right"/>
    </xf>
    <xf numFmtId="0" fontId="42" fillId="0" borderId="24" xfId="0" applyFont="1" applyFill="1" applyBorder="1" applyAlignment="1">
      <alignment horizontal="right"/>
    </xf>
    <xf numFmtId="0" fontId="42" fillId="45" borderId="37" xfId="0" applyFont="1" applyFill="1" applyBorder="1" applyAlignment="1">
      <alignment horizontal="center"/>
    </xf>
    <xf numFmtId="0" fontId="42" fillId="45" borderId="65" xfId="0" applyFont="1" applyFill="1" applyBorder="1" applyAlignment="1">
      <alignment horizontal="center"/>
    </xf>
    <xf numFmtId="0" fontId="42" fillId="45" borderId="58" xfId="0" applyFont="1" applyFill="1" applyBorder="1" applyAlignment="1">
      <alignment horizontal="center"/>
    </xf>
    <xf numFmtId="165" fontId="104" fillId="0" borderId="0" xfId="0" applyNumberFormat="1" applyFont="1" applyBorder="1" applyAlignment="1">
      <alignment horizontal="center"/>
    </xf>
    <xf numFmtId="1" fontId="54" fillId="0" borderId="0" xfId="0" applyNumberFormat="1" applyFont="1" applyBorder="1" applyAlignment="1">
      <alignment horizontal="center"/>
    </xf>
    <xf numFmtId="1" fontId="0" fillId="0" borderId="35" xfId="0" applyNumberFormat="1" applyFill="1" applyBorder="1" applyAlignment="1">
      <alignment horizontal="center"/>
    </xf>
    <xf numFmtId="1" fontId="54" fillId="0" borderId="0" xfId="0" applyNumberFormat="1" applyFont="1" applyFill="1" applyBorder="1" applyAlignment="1">
      <alignment horizontal="center"/>
    </xf>
    <xf numFmtId="1" fontId="54" fillId="0" borderId="35" xfId="0" applyNumberFormat="1" applyFont="1" applyBorder="1" applyAlignment="1">
      <alignment horizontal="center"/>
    </xf>
    <xf numFmtId="1" fontId="54" fillId="0" borderId="16" xfId="0" applyNumberFormat="1" applyFont="1" applyFill="1" applyBorder="1" applyAlignment="1">
      <alignment horizontal="center"/>
    </xf>
    <xf numFmtId="1" fontId="0" fillId="0" borderId="21" xfId="0" applyNumberFormat="1" applyBorder="1" applyAlignment="1">
      <alignment horizontal="center"/>
    </xf>
    <xf numFmtId="0" fontId="42" fillId="0" borderId="9" xfId="0" applyFont="1" applyFill="1" applyBorder="1"/>
    <xf numFmtId="165" fontId="89" fillId="0" borderId="7" xfId="0" applyNumberFormat="1" applyFont="1" applyFill="1" applyBorder="1" applyAlignment="1"/>
    <xf numFmtId="165" fontId="89" fillId="0" borderId="0" xfId="0" applyNumberFormat="1" applyFont="1" applyFill="1" applyBorder="1" applyAlignment="1"/>
    <xf numFmtId="165" fontId="89" fillId="0" borderId="8" xfId="0" applyNumberFormat="1" applyFont="1" applyFill="1" applyBorder="1" applyAlignment="1"/>
    <xf numFmtId="165" fontId="54" fillId="0" borderId="7" xfId="0" applyNumberFormat="1" applyFont="1" applyBorder="1"/>
    <xf numFmtId="165" fontId="89" fillId="0" borderId="0" xfId="0" applyNumberFormat="1" applyFont="1"/>
    <xf numFmtId="165" fontId="54" fillId="0" borderId="11" xfId="0" applyNumberFormat="1" applyFont="1" applyBorder="1"/>
    <xf numFmtId="165" fontId="89" fillId="0" borderId="7" xfId="0" applyNumberFormat="1" applyFont="1" applyBorder="1"/>
    <xf numFmtId="0" fontId="17" fillId="0" borderId="32" xfId="0" applyFont="1" applyBorder="1" applyAlignment="1">
      <alignment horizontal="right"/>
    </xf>
    <xf numFmtId="165" fontId="42" fillId="0" borderId="7" xfId="0" applyNumberFormat="1" applyFont="1" applyBorder="1"/>
    <xf numFmtId="165" fontId="51" fillId="0" borderId="0" xfId="0" applyNumberFormat="1" applyFont="1" applyFill="1" applyBorder="1" applyAlignment="1">
      <alignment horizontal="center"/>
    </xf>
    <xf numFmtId="2" fontId="57" fillId="0" borderId="35" xfId="0" applyNumberFormat="1" applyFont="1" applyBorder="1" applyAlignment="1">
      <alignment horizontal="left"/>
    </xf>
    <xf numFmtId="165" fontId="52" fillId="0" borderId="0" xfId="0" applyNumberFormat="1" applyFont="1" applyBorder="1" applyAlignment="1">
      <alignment horizontal="left"/>
    </xf>
    <xf numFmtId="0" fontId="0" fillId="0" borderId="49" xfId="0" applyBorder="1"/>
    <xf numFmtId="2" fontId="54" fillId="0" borderId="30" xfId="0" applyNumberFormat="1" applyFont="1" applyBorder="1"/>
    <xf numFmtId="0" fontId="0" fillId="0" borderId="61" xfId="0" applyBorder="1" applyAlignment="1">
      <alignment horizontal="right"/>
    </xf>
    <xf numFmtId="1" fontId="42" fillId="42" borderId="16" xfId="0" applyNumberFormat="1" applyFont="1" applyFill="1" applyBorder="1" applyAlignment="1">
      <alignment horizontal="center"/>
    </xf>
    <xf numFmtId="166" fontId="42" fillId="42" borderId="16" xfId="0" applyNumberFormat="1" applyFont="1" applyFill="1" applyBorder="1" applyAlignment="1">
      <alignment horizontal="center"/>
    </xf>
    <xf numFmtId="2" fontId="57" fillId="0" borderId="21" xfId="0" applyNumberFormat="1" applyFont="1" applyBorder="1" applyAlignment="1">
      <alignment horizontal="left"/>
    </xf>
    <xf numFmtId="49" fontId="49" fillId="0" borderId="3" xfId="0" applyNumberFormat="1" applyFont="1" applyBorder="1" applyAlignment="1">
      <alignment vertical="center"/>
    </xf>
    <xf numFmtId="0" fontId="42" fillId="0" borderId="3" xfId="0" applyFont="1" applyFill="1" applyBorder="1" applyAlignment="1">
      <alignment horizontal="left"/>
    </xf>
    <xf numFmtId="2" fontId="42" fillId="0" borderId="0" xfId="0" applyNumberFormat="1" applyFont="1"/>
    <xf numFmtId="2" fontId="0" fillId="0" borderId="0" xfId="0" applyNumberFormat="1" applyFill="1"/>
    <xf numFmtId="0" fontId="42" fillId="0" borderId="25" xfId="0" applyFont="1" applyFill="1" applyBorder="1"/>
    <xf numFmtId="2" fontId="57" fillId="0" borderId="23" xfId="0" applyNumberFormat="1" applyFont="1" applyBorder="1"/>
    <xf numFmtId="165" fontId="60" fillId="42" borderId="16" xfId="0" applyNumberFormat="1" applyFont="1" applyFill="1" applyBorder="1" applyAlignment="1">
      <alignment horizontal="center"/>
    </xf>
    <xf numFmtId="1" fontId="52" fillId="0" borderId="0" xfId="0" applyNumberFormat="1" applyFont="1" applyAlignment="1">
      <alignment horizontal="left"/>
    </xf>
    <xf numFmtId="165" fontId="50" fillId="0" borderId="0" xfId="0" applyNumberFormat="1" applyFont="1" applyBorder="1" applyAlignment="1">
      <alignment horizontal="center"/>
    </xf>
    <xf numFmtId="0" fontId="16" fillId="0" borderId="3" xfId="0" applyFont="1" applyFill="1" applyBorder="1" applyAlignment="1">
      <alignment horizontal="left"/>
    </xf>
    <xf numFmtId="165" fontId="15" fillId="3" borderId="0" xfId="0" applyNumberFormat="1" applyFont="1" applyFill="1" applyBorder="1"/>
    <xf numFmtId="0" fontId="86" fillId="0" borderId="35" xfId="0" applyFont="1" applyFill="1" applyBorder="1" applyAlignment="1">
      <alignment horizontal="left"/>
    </xf>
    <xf numFmtId="0" fontId="100" fillId="8" borderId="0" xfId="0" applyFont="1" applyFill="1" applyAlignment="1"/>
    <xf numFmtId="0" fontId="100" fillId="0" borderId="0" xfId="0" applyFont="1" applyFill="1" applyBorder="1" applyAlignment="1">
      <alignment horizontal="left"/>
    </xf>
    <xf numFmtId="0" fontId="104" fillId="0" borderId="0" xfId="0" applyFont="1"/>
    <xf numFmtId="0" fontId="100" fillId="0" borderId="0" xfId="0" applyFont="1"/>
    <xf numFmtId="0" fontId="100" fillId="0" borderId="0" xfId="0" applyFont="1" applyFill="1" applyAlignment="1">
      <alignment horizontal="right" vertical="center"/>
    </xf>
    <xf numFmtId="0" fontId="86" fillId="0" borderId="0" xfId="0" applyFont="1" applyBorder="1"/>
    <xf numFmtId="0" fontId="86" fillId="0" borderId="0" xfId="0" applyFont="1"/>
    <xf numFmtId="0" fontId="100" fillId="0" borderId="3" xfId="0" applyFont="1" applyBorder="1" applyAlignment="1"/>
    <xf numFmtId="165" fontId="49" fillId="0" borderId="0" xfId="0" applyNumberFormat="1" applyFont="1" applyFill="1" applyBorder="1" applyAlignment="1">
      <alignment horizontal="right"/>
    </xf>
    <xf numFmtId="0" fontId="49" fillId="0" borderId="35" xfId="0" applyFont="1" applyBorder="1" applyAlignment="1">
      <alignment horizontal="left"/>
    </xf>
    <xf numFmtId="0" fontId="100" fillId="0" borderId="3" xfId="0" applyFont="1" applyFill="1" applyBorder="1" applyAlignment="1">
      <alignment horizontal="left"/>
    </xf>
    <xf numFmtId="0" fontId="49" fillId="0" borderId="0" xfId="0" applyFont="1" applyFill="1" applyBorder="1" applyAlignment="1">
      <alignment horizontal="left"/>
    </xf>
    <xf numFmtId="0" fontId="100" fillId="0" borderId="3" xfId="0" applyFont="1" applyFill="1" applyBorder="1" applyAlignment="1"/>
    <xf numFmtId="165" fontId="107" fillId="43" borderId="0" xfId="0" applyNumberFormat="1" applyFont="1" applyFill="1" applyBorder="1"/>
    <xf numFmtId="165" fontId="107" fillId="0" borderId="0" xfId="0" applyNumberFormat="1" applyFont="1" applyFill="1" applyBorder="1"/>
    <xf numFmtId="166" fontId="86" fillId="0" borderId="0" xfId="0" applyNumberFormat="1" applyFont="1" applyFill="1" applyBorder="1"/>
    <xf numFmtId="0" fontId="49" fillId="0" borderId="35" xfId="0" applyFont="1" applyFill="1" applyBorder="1" applyAlignment="1">
      <alignment horizontal="left"/>
    </xf>
    <xf numFmtId="0" fontId="49" fillId="0" borderId="0" xfId="0" applyFont="1" applyFill="1"/>
    <xf numFmtId="165" fontId="100" fillId="0" borderId="3" xfId="0" applyNumberFormat="1" applyFont="1" applyFill="1" applyBorder="1" applyAlignment="1"/>
    <xf numFmtId="165" fontId="49" fillId="0" borderId="0" xfId="0" applyNumberFormat="1" applyFont="1" applyFill="1" applyBorder="1"/>
    <xf numFmtId="165" fontId="100" fillId="0" borderId="3" xfId="0" applyNumberFormat="1" applyFont="1" applyFill="1" applyBorder="1" applyAlignment="1">
      <alignment horizontal="left"/>
    </xf>
    <xf numFmtId="165" fontId="86" fillId="0" borderId="0" xfId="0" applyNumberFormat="1" applyFont="1" applyFill="1" applyBorder="1"/>
    <xf numFmtId="0" fontId="49" fillId="0" borderId="52" xfId="0" applyFont="1" applyBorder="1" applyAlignment="1"/>
    <xf numFmtId="166" fontId="86" fillId="0" borderId="4" xfId="0" applyNumberFormat="1" applyFont="1" applyBorder="1"/>
    <xf numFmtId="0" fontId="49" fillId="0" borderId="51" xfId="0" applyFont="1" applyFill="1" applyBorder="1" applyAlignment="1">
      <alignment horizontal="left"/>
    </xf>
    <xf numFmtId="165" fontId="49" fillId="0" borderId="52" xfId="0" applyNumberFormat="1" applyFont="1" applyFill="1" applyBorder="1" applyAlignment="1"/>
    <xf numFmtId="165" fontId="49" fillId="0" borderId="3" xfId="0" applyNumberFormat="1" applyFont="1" applyFill="1" applyBorder="1" applyAlignment="1"/>
    <xf numFmtId="2" fontId="49" fillId="0" borderId="0" xfId="0" applyNumberFormat="1" applyFont="1" applyFill="1" applyBorder="1"/>
    <xf numFmtId="165" fontId="49" fillId="0" borderId="3" xfId="0" applyNumberFormat="1" applyFont="1" applyFill="1" applyBorder="1" applyAlignment="1">
      <alignment horizontal="left"/>
    </xf>
    <xf numFmtId="165" fontId="49" fillId="0" borderId="0" xfId="0" applyNumberFormat="1" applyFont="1" applyFill="1" applyBorder="1" applyAlignment="1">
      <alignment horizontal="left"/>
    </xf>
    <xf numFmtId="2" fontId="86" fillId="0" borderId="0" xfId="0" applyNumberFormat="1" applyFont="1" applyFill="1" applyBorder="1"/>
    <xf numFmtId="0" fontId="49" fillId="0" borderId="3" xfId="0" applyFont="1" applyBorder="1"/>
    <xf numFmtId="0" fontId="49" fillId="0" borderId="35" xfId="0" applyFont="1" applyBorder="1"/>
    <xf numFmtId="2" fontId="49" fillId="0" borderId="0" xfId="0" applyNumberFormat="1" applyFont="1"/>
    <xf numFmtId="0" fontId="86" fillId="0" borderId="52" xfId="0" applyFont="1" applyBorder="1" applyAlignment="1"/>
    <xf numFmtId="2" fontId="86" fillId="0" borderId="4" xfId="0" applyNumberFormat="1" applyFont="1" applyFill="1" applyBorder="1"/>
    <xf numFmtId="0" fontId="86" fillId="0" borderId="51" xfId="0" applyFont="1" applyFill="1" applyBorder="1" applyAlignment="1">
      <alignment horizontal="left"/>
    </xf>
    <xf numFmtId="2" fontId="49" fillId="0" borderId="0" xfId="0" applyNumberFormat="1" applyFont="1" applyAlignment="1">
      <alignment horizontal="center"/>
    </xf>
    <xf numFmtId="0" fontId="86" fillId="0" borderId="52" xfId="0" applyFont="1" applyBorder="1" applyAlignment="1">
      <alignment horizontal="left"/>
    </xf>
    <xf numFmtId="0" fontId="107" fillId="0" borderId="0" xfId="0" applyFont="1" applyBorder="1"/>
    <xf numFmtId="0" fontId="86" fillId="0" borderId="0" xfId="0" applyFont="1" applyFill="1" applyBorder="1" applyAlignment="1">
      <alignment horizontal="left"/>
    </xf>
    <xf numFmtId="0" fontId="49" fillId="0" borderId="3" xfId="0" applyFont="1" applyFill="1" applyBorder="1" applyAlignment="1"/>
    <xf numFmtId="2" fontId="49" fillId="0" borderId="0" xfId="0" applyNumberFormat="1" applyFont="1" applyBorder="1"/>
    <xf numFmtId="165" fontId="49" fillId="0" borderId="0" xfId="0" applyNumberFormat="1" applyFont="1"/>
    <xf numFmtId="0" fontId="49" fillId="0" borderId="3" xfId="0" applyFont="1" applyFill="1" applyBorder="1" applyAlignment="1">
      <alignment horizontal="left"/>
    </xf>
    <xf numFmtId="0" fontId="104" fillId="0" borderId="0" xfId="0" applyFont="1" applyAlignment="1">
      <alignment horizontal="right"/>
    </xf>
    <xf numFmtId="0" fontId="109" fillId="0" borderId="0" xfId="1" applyFont="1"/>
    <xf numFmtId="0" fontId="100" fillId="0" borderId="3" xfId="0" applyFont="1" applyFill="1" applyBorder="1" applyAlignment="1">
      <alignment horizontal="right"/>
    </xf>
    <xf numFmtId="0" fontId="100" fillId="0" borderId="0" xfId="0" applyFont="1" applyFill="1" applyBorder="1" applyAlignment="1">
      <alignment horizontal="right"/>
    </xf>
    <xf numFmtId="0" fontId="49" fillId="0" borderId="0" xfId="0" applyFont="1" applyFill="1" applyBorder="1" applyAlignment="1"/>
    <xf numFmtId="0" fontId="49" fillId="0" borderId="22" xfId="0" applyFont="1" applyBorder="1"/>
    <xf numFmtId="0" fontId="49" fillId="41" borderId="24" xfId="0" applyFont="1" applyFill="1" applyBorder="1"/>
    <xf numFmtId="1" fontId="49" fillId="0" borderId="0" xfId="0" applyNumberFormat="1" applyFont="1" applyFill="1" applyBorder="1" applyAlignment="1">
      <alignment horizontal="right"/>
    </xf>
    <xf numFmtId="1" fontId="86" fillId="0" borderId="0" xfId="0" applyNumberFormat="1" applyFont="1" applyFill="1" applyBorder="1" applyAlignment="1">
      <alignment horizontal="right"/>
    </xf>
    <xf numFmtId="0" fontId="49" fillId="0" borderId="24" xfId="0" applyFont="1" applyBorder="1"/>
    <xf numFmtId="0" fontId="49" fillId="0" borderId="22" xfId="0" applyFont="1" applyFill="1" applyBorder="1"/>
    <xf numFmtId="9" fontId="49" fillId="0" borderId="24" xfId="45" applyFont="1" applyBorder="1"/>
    <xf numFmtId="166" fontId="86" fillId="0" borderId="0" xfId="0" applyNumberFormat="1" applyFont="1" applyFill="1" applyBorder="1" applyAlignment="1">
      <alignment horizontal="right"/>
    </xf>
    <xf numFmtId="0" fontId="49" fillId="0" borderId="35" xfId="0" applyFont="1" applyFill="1" applyBorder="1"/>
    <xf numFmtId="2" fontId="86" fillId="0" borderId="0" xfId="0" applyNumberFormat="1" applyFont="1" applyFill="1" applyBorder="1" applyAlignment="1">
      <alignment horizontal="right"/>
    </xf>
    <xf numFmtId="0" fontId="86" fillId="0" borderId="35" xfId="0" applyFont="1" applyBorder="1" applyAlignment="1">
      <alignment horizontal="left"/>
    </xf>
    <xf numFmtId="0" fontId="86" fillId="0" borderId="3" xfId="0" applyFont="1" applyFill="1" applyBorder="1" applyAlignment="1">
      <alignment horizontal="left"/>
    </xf>
    <xf numFmtId="0" fontId="100" fillId="0" borderId="38" xfId="0" applyFont="1" applyBorder="1"/>
    <xf numFmtId="2" fontId="49" fillId="0" borderId="0" xfId="0" applyNumberFormat="1" applyFont="1" applyBorder="1" applyAlignment="1">
      <alignment horizontal="center"/>
    </xf>
    <xf numFmtId="2" fontId="49" fillId="0" borderId="0" xfId="0" applyNumberFormat="1" applyFont="1" applyBorder="1" applyAlignment="1">
      <alignment horizontal="right"/>
    </xf>
    <xf numFmtId="165" fontId="49" fillId="0" borderId="0" xfId="0" applyNumberFormat="1" applyFont="1" applyBorder="1" applyAlignment="1">
      <alignment horizontal="center"/>
    </xf>
    <xf numFmtId="165" fontId="49" fillId="5" borderId="38" xfId="0" applyNumberFormat="1" applyFont="1" applyFill="1" applyBorder="1" applyAlignment="1">
      <alignment horizontal="center"/>
    </xf>
    <xf numFmtId="0" fontId="107" fillId="0" borderId="3" xfId="0" applyFont="1" applyFill="1" applyBorder="1" applyAlignment="1">
      <alignment horizontal="left"/>
    </xf>
    <xf numFmtId="0" fontId="107" fillId="0" borderId="0" xfId="0" applyFont="1" applyFill="1" applyBorder="1" applyAlignment="1">
      <alignment horizontal="left"/>
    </xf>
    <xf numFmtId="0" fontId="49" fillId="0" borderId="38" xfId="0" applyFont="1" applyBorder="1"/>
    <xf numFmtId="0" fontId="49" fillId="0" borderId="39" xfId="0" applyFont="1" applyFill="1" applyBorder="1"/>
    <xf numFmtId="2" fontId="49" fillId="0" borderId="8" xfId="0" applyNumberFormat="1" applyFont="1" applyBorder="1" applyAlignment="1">
      <alignment horizontal="center"/>
    </xf>
    <xf numFmtId="0" fontId="49" fillId="0" borderId="8" xfId="0" applyFont="1" applyBorder="1"/>
    <xf numFmtId="2" fontId="49" fillId="0" borderId="8" xfId="0" applyNumberFormat="1" applyFont="1" applyBorder="1" applyAlignment="1">
      <alignment horizontal="right"/>
    </xf>
    <xf numFmtId="165" fontId="49" fillId="0" borderId="8" xfId="0" applyNumberFormat="1" applyFont="1" applyBorder="1" applyAlignment="1">
      <alignment horizontal="center"/>
    </xf>
    <xf numFmtId="165" fontId="49" fillId="5" borderId="39" xfId="0" applyNumberFormat="1" applyFont="1" applyFill="1" applyBorder="1" applyAlignment="1">
      <alignment horizontal="center"/>
    </xf>
    <xf numFmtId="0" fontId="49" fillId="0" borderId="0" xfId="0" applyFont="1" applyBorder="1" applyAlignment="1">
      <alignment horizontal="center"/>
    </xf>
    <xf numFmtId="0" fontId="49" fillId="0" borderId="3" xfId="0" applyFont="1" applyBorder="1" applyAlignment="1">
      <alignment horizontal="left"/>
    </xf>
    <xf numFmtId="0" fontId="100" fillId="0" borderId="36" xfId="0" applyFont="1" applyBorder="1"/>
    <xf numFmtId="2" fontId="49" fillId="0" borderId="11" xfId="0" applyNumberFormat="1" applyFont="1" applyBorder="1" applyAlignment="1">
      <alignment horizontal="center"/>
    </xf>
    <xf numFmtId="0" fontId="49" fillId="0" borderId="11" xfId="0" applyFont="1" applyBorder="1" applyAlignment="1">
      <alignment horizontal="right"/>
    </xf>
    <xf numFmtId="2" fontId="49" fillId="0" borderId="11" xfId="0" applyNumberFormat="1" applyFont="1" applyBorder="1" applyAlignment="1">
      <alignment horizontal="right"/>
    </xf>
    <xf numFmtId="165" fontId="100" fillId="0" borderId="11" xfId="0" applyNumberFormat="1" applyFont="1" applyBorder="1" applyAlignment="1">
      <alignment horizontal="center"/>
    </xf>
    <xf numFmtId="165" fontId="100" fillId="5" borderId="36" xfId="0" applyNumberFormat="1" applyFont="1" applyFill="1" applyBorder="1" applyAlignment="1">
      <alignment horizontal="center"/>
    </xf>
    <xf numFmtId="0" fontId="100" fillId="4" borderId="29" xfId="0" applyFont="1" applyFill="1" applyBorder="1"/>
    <xf numFmtId="2" fontId="49" fillId="4" borderId="23" xfId="0" applyNumberFormat="1" applyFont="1" applyFill="1" applyBorder="1" applyAlignment="1">
      <alignment horizontal="center"/>
    </xf>
    <xf numFmtId="0" fontId="49" fillId="4" borderId="23" xfId="0" applyFont="1" applyFill="1" applyBorder="1" applyAlignment="1">
      <alignment horizontal="right"/>
    </xf>
    <xf numFmtId="2" fontId="49" fillId="4" borderId="23" xfId="0" applyNumberFormat="1" applyFont="1" applyFill="1" applyBorder="1" applyAlignment="1">
      <alignment horizontal="right"/>
    </xf>
    <xf numFmtId="165" fontId="49" fillId="4" borderId="24" xfId="0" applyNumberFormat="1" applyFont="1" applyFill="1" applyBorder="1" applyAlignment="1">
      <alignment horizontal="center"/>
    </xf>
    <xf numFmtId="165" fontId="49" fillId="4" borderId="29" xfId="0" applyNumberFormat="1" applyFont="1" applyFill="1" applyBorder="1" applyAlignment="1">
      <alignment horizontal="center"/>
    </xf>
    <xf numFmtId="0" fontId="86" fillId="0" borderId="35" xfId="0" applyFont="1" applyBorder="1"/>
    <xf numFmtId="0" fontId="108" fillId="0" borderId="0" xfId="0" applyFont="1" applyFill="1" applyBorder="1"/>
    <xf numFmtId="0" fontId="49" fillId="45" borderId="38" xfId="0" applyFont="1" applyFill="1" applyBorder="1"/>
    <xf numFmtId="2" fontId="49" fillId="45" borderId="0" xfId="0" applyNumberFormat="1" applyFont="1" applyFill="1" applyBorder="1" applyAlignment="1">
      <alignment horizontal="center" vertical="center"/>
    </xf>
    <xf numFmtId="0" fontId="49" fillId="45" borderId="0" xfId="0" applyFont="1" applyFill="1" applyBorder="1" applyAlignment="1">
      <alignment horizontal="right"/>
    </xf>
    <xf numFmtId="2" fontId="49" fillId="45" borderId="0" xfId="0" applyNumberFormat="1" applyFont="1" applyFill="1" applyBorder="1" applyAlignment="1">
      <alignment horizontal="right"/>
    </xf>
    <xf numFmtId="165" fontId="49" fillId="45" borderId="9" xfId="0" applyNumberFormat="1" applyFont="1" applyFill="1" applyBorder="1" applyAlignment="1">
      <alignment horizontal="center"/>
    </xf>
    <xf numFmtId="0" fontId="49" fillId="0" borderId="0" xfId="0" applyFont="1" applyFill="1" applyBorder="1"/>
    <xf numFmtId="0" fontId="86" fillId="45" borderId="38" xfId="0" applyFont="1" applyFill="1" applyBorder="1"/>
    <xf numFmtId="0" fontId="86" fillId="45" borderId="0" xfId="0" applyFont="1" applyFill="1" applyBorder="1" applyAlignment="1">
      <alignment horizontal="right"/>
    </xf>
    <xf numFmtId="2" fontId="86" fillId="45" borderId="0" xfId="0" applyNumberFormat="1" applyFont="1" applyFill="1" applyBorder="1" applyAlignment="1">
      <alignment horizontal="right"/>
    </xf>
    <xf numFmtId="165" fontId="86" fillId="45" borderId="9" xfId="0" applyNumberFormat="1" applyFont="1" applyFill="1" applyBorder="1" applyAlignment="1">
      <alignment horizontal="center"/>
    </xf>
    <xf numFmtId="0" fontId="100" fillId="45" borderId="39" xfId="0" applyFont="1" applyFill="1" applyBorder="1"/>
    <xf numFmtId="2" fontId="49" fillId="45" borderId="8" xfId="0" applyNumberFormat="1" applyFont="1" applyFill="1" applyBorder="1" applyAlignment="1">
      <alignment horizontal="center" vertical="center"/>
    </xf>
    <xf numFmtId="0" fontId="49" fillId="45" borderId="8" xfId="0" applyFont="1" applyFill="1" applyBorder="1" applyAlignment="1">
      <alignment horizontal="right"/>
    </xf>
    <xf numFmtId="2" fontId="49" fillId="45" borderId="8" xfId="0" applyNumberFormat="1" applyFont="1" applyFill="1" applyBorder="1" applyAlignment="1">
      <alignment horizontal="right"/>
    </xf>
    <xf numFmtId="165" fontId="49" fillId="45" borderId="13" xfId="0" applyNumberFormat="1" applyFont="1" applyFill="1" applyBorder="1" applyAlignment="1">
      <alignment horizontal="center"/>
    </xf>
    <xf numFmtId="0" fontId="111" fillId="0" borderId="0" xfId="0" applyFont="1"/>
    <xf numFmtId="165" fontId="49" fillId="0" borderId="0" xfId="0" applyNumberFormat="1" applyFont="1" applyAlignment="1">
      <alignment horizontal="center"/>
    </xf>
    <xf numFmtId="0" fontId="49" fillId="0" borderId="20" xfId="0" applyFont="1" applyBorder="1"/>
    <xf numFmtId="0" fontId="49" fillId="0" borderId="16" xfId="0" applyFont="1" applyBorder="1"/>
    <xf numFmtId="0" fontId="49" fillId="0" borderId="21" xfId="0" applyFont="1" applyBorder="1"/>
    <xf numFmtId="0" fontId="100" fillId="8" borderId="36" xfId="0" applyFont="1" applyFill="1" applyBorder="1"/>
    <xf numFmtId="2" fontId="49" fillId="8" borderId="11" xfId="0" applyNumberFormat="1" applyFont="1" applyFill="1" applyBorder="1" applyAlignment="1">
      <alignment horizontal="center"/>
    </xf>
    <xf numFmtId="0" fontId="49" fillId="8" borderId="11" xfId="0" applyFont="1" applyFill="1" applyBorder="1" applyAlignment="1">
      <alignment horizontal="right"/>
    </xf>
    <xf numFmtId="2" fontId="49" fillId="8" borderId="11" xfId="0" applyNumberFormat="1" applyFont="1" applyFill="1" applyBorder="1" applyAlignment="1">
      <alignment horizontal="right"/>
    </xf>
    <xf numFmtId="165" fontId="100" fillId="8" borderId="11" xfId="0" applyNumberFormat="1" applyFont="1" applyFill="1" applyBorder="1" applyAlignment="1">
      <alignment horizontal="center"/>
    </xf>
    <xf numFmtId="165" fontId="49" fillId="3" borderId="38" xfId="0" applyNumberFormat="1" applyFont="1" applyFill="1" applyBorder="1" applyAlignment="1">
      <alignment horizontal="center"/>
    </xf>
    <xf numFmtId="0" fontId="100" fillId="4" borderId="39" xfId="0" applyFont="1" applyFill="1" applyBorder="1"/>
    <xf numFmtId="2" fontId="49" fillId="4" borderId="8" xfId="0" applyNumberFormat="1" applyFont="1" applyFill="1" applyBorder="1" applyAlignment="1">
      <alignment horizontal="center"/>
    </xf>
    <xf numFmtId="0" fontId="49" fillId="4" borderId="8" xfId="0" applyFont="1" applyFill="1" applyBorder="1" applyAlignment="1">
      <alignment horizontal="right"/>
    </xf>
    <xf numFmtId="2" fontId="49" fillId="4" borderId="8" xfId="0" applyNumberFormat="1" applyFont="1" applyFill="1" applyBorder="1" applyAlignment="1">
      <alignment horizontal="right"/>
    </xf>
    <xf numFmtId="165" fontId="49" fillId="4" borderId="8" xfId="0" applyNumberFormat="1" applyFont="1" applyFill="1" applyBorder="1" applyAlignment="1">
      <alignment horizontal="center"/>
    </xf>
    <xf numFmtId="165" fontId="49" fillId="4" borderId="39" xfId="0" applyNumberFormat="1" applyFont="1" applyFill="1" applyBorder="1" applyAlignment="1">
      <alignment horizontal="center"/>
    </xf>
    <xf numFmtId="9" fontId="49" fillId="0" borderId="0" xfId="45" applyFont="1" applyAlignment="1">
      <alignment horizontal="left"/>
    </xf>
    <xf numFmtId="0" fontId="49" fillId="41" borderId="0" xfId="0" applyFont="1" applyFill="1" applyBorder="1"/>
    <xf numFmtId="1" fontId="49" fillId="0" borderId="0" xfId="0" applyNumberFormat="1" applyFont="1" applyAlignment="1">
      <alignment horizontal="center"/>
    </xf>
    <xf numFmtId="0" fontId="49" fillId="0" borderId="52" xfId="0" applyFont="1" applyBorder="1"/>
    <xf numFmtId="0" fontId="49" fillId="0" borderId="4" xfId="0" applyFont="1" applyBorder="1"/>
    <xf numFmtId="165" fontId="49" fillId="0" borderId="36" xfId="0" applyNumberFormat="1" applyFont="1" applyBorder="1" applyAlignment="1">
      <alignment horizontal="center"/>
    </xf>
    <xf numFmtId="165" fontId="49" fillId="0" borderId="0" xfId="0" applyNumberFormat="1" applyFont="1" applyBorder="1" applyAlignment="1">
      <alignment horizontal="right"/>
    </xf>
    <xf numFmtId="0" fontId="100" fillId="0" borderId="18" xfId="0" applyFont="1" applyBorder="1"/>
    <xf numFmtId="0" fontId="49" fillId="0" borderId="19" xfId="0" applyFont="1" applyBorder="1"/>
    <xf numFmtId="0" fontId="49" fillId="0" borderId="0" xfId="9" applyFont="1" applyFill="1" applyBorder="1" applyAlignment="1"/>
    <xf numFmtId="165" fontId="49" fillId="0" borderId="38" xfId="0" applyNumberFormat="1" applyFont="1" applyFill="1" applyBorder="1" applyAlignment="1">
      <alignment horizontal="center"/>
    </xf>
    <xf numFmtId="0" fontId="107" fillId="0" borderId="3" xfId="0" applyFont="1" applyBorder="1"/>
    <xf numFmtId="0" fontId="49" fillId="3" borderId="0" xfId="0" applyFont="1" applyFill="1" applyBorder="1"/>
    <xf numFmtId="165" fontId="49" fillId="0" borderId="39" xfId="0" applyNumberFormat="1" applyFont="1" applyBorder="1" applyAlignment="1">
      <alignment horizontal="center"/>
    </xf>
    <xf numFmtId="9" fontId="49" fillId="0" borderId="0" xfId="0" applyNumberFormat="1" applyFont="1" applyAlignment="1">
      <alignment horizontal="left"/>
    </xf>
    <xf numFmtId="1" fontId="49" fillId="0" borderId="0" xfId="0" applyNumberFormat="1" applyFont="1" applyBorder="1"/>
    <xf numFmtId="0" fontId="100" fillId="0" borderId="20" xfId="0" applyFont="1" applyBorder="1"/>
    <xf numFmtId="165" fontId="49" fillId="0" borderId="0" xfId="0" applyNumberFormat="1" applyFont="1" applyBorder="1"/>
    <xf numFmtId="166" fontId="49" fillId="0" borderId="0" xfId="0" applyNumberFormat="1" applyFont="1" applyBorder="1"/>
    <xf numFmtId="0" fontId="104" fillId="0" borderId="0" xfId="0" applyFont="1" applyBorder="1" applyAlignment="1">
      <alignment horizontal="right"/>
    </xf>
    <xf numFmtId="0" fontId="100" fillId="0" borderId="15" xfId="0" applyFont="1" applyFill="1" applyBorder="1"/>
    <xf numFmtId="166" fontId="49" fillId="0" borderId="11" xfId="0" applyNumberFormat="1" applyFont="1" applyBorder="1"/>
    <xf numFmtId="166" fontId="49" fillId="3" borderId="17" xfId="0" applyNumberFormat="1" applyFont="1" applyFill="1" applyBorder="1"/>
    <xf numFmtId="165" fontId="86" fillId="0" borderId="0" xfId="0" applyNumberFormat="1" applyFont="1" applyBorder="1"/>
    <xf numFmtId="0" fontId="100" fillId="0" borderId="10" xfId="0" applyFont="1" applyBorder="1"/>
    <xf numFmtId="166" fontId="49" fillId="5" borderId="9" xfId="0" applyNumberFormat="1" applyFont="1" applyFill="1" applyBorder="1"/>
    <xf numFmtId="165" fontId="86" fillId="0" borderId="0" xfId="0" applyNumberFormat="1" applyFont="1" applyBorder="1" applyAlignment="1">
      <alignment horizontal="right"/>
    </xf>
    <xf numFmtId="0" fontId="100" fillId="0" borderId="22" xfId="0" applyFont="1" applyFill="1" applyBorder="1"/>
    <xf numFmtId="166" fontId="49" fillId="0" borderId="23" xfId="0" applyNumberFormat="1" applyFont="1" applyBorder="1"/>
    <xf numFmtId="166" fontId="49" fillId="0" borderId="24" xfId="0" applyNumberFormat="1" applyFont="1" applyFill="1" applyBorder="1"/>
    <xf numFmtId="0" fontId="100" fillId="0" borderId="0" xfId="0" applyFont="1" applyFill="1" applyBorder="1"/>
    <xf numFmtId="166" fontId="49" fillId="0" borderId="0" xfId="0" applyNumberFormat="1" applyFont="1" applyFill="1" applyBorder="1"/>
    <xf numFmtId="0" fontId="49" fillId="0" borderId="20" xfId="0" applyFont="1" applyBorder="1" applyAlignment="1">
      <alignment horizontal="left"/>
    </xf>
    <xf numFmtId="1" fontId="49" fillId="0" borderId="16" xfId="0" applyNumberFormat="1" applyFont="1" applyBorder="1"/>
    <xf numFmtId="2" fontId="100" fillId="0" borderId="0" xfId="0" applyNumberFormat="1" applyFont="1"/>
    <xf numFmtId="165" fontId="49" fillId="0" borderId="23" xfId="0" applyNumberFormat="1" applyFont="1" applyBorder="1"/>
    <xf numFmtId="165" fontId="49" fillId="3" borderId="24" xfId="0" applyNumberFormat="1" applyFont="1" applyFill="1" applyBorder="1"/>
    <xf numFmtId="165" fontId="100" fillId="43" borderId="0" xfId="0" applyNumberFormat="1" applyFont="1" applyFill="1" applyBorder="1"/>
    <xf numFmtId="0" fontId="109" fillId="0" borderId="0" xfId="1" applyFont="1" applyFill="1" applyBorder="1" applyAlignment="1">
      <alignment horizontal="left"/>
    </xf>
    <xf numFmtId="2" fontId="86" fillId="0" borderId="0" xfId="0" applyNumberFormat="1" applyFont="1" applyBorder="1"/>
    <xf numFmtId="0" fontId="49" fillId="0" borderId="0" xfId="0" applyFont="1" applyFill="1" applyBorder="1" applyAlignment="1">
      <alignment horizontal="right"/>
    </xf>
    <xf numFmtId="0" fontId="86" fillId="0" borderId="0" xfId="0" applyFont="1" applyFill="1" applyBorder="1"/>
    <xf numFmtId="0" fontId="100" fillId="0" borderId="3" xfId="0" applyFont="1" applyBorder="1" applyAlignment="1">
      <alignment horizontal="left"/>
    </xf>
    <xf numFmtId="0" fontId="49" fillId="0" borderId="52" xfId="0" applyFont="1" applyBorder="1" applyAlignment="1">
      <alignment horizontal="left"/>
    </xf>
    <xf numFmtId="2" fontId="49" fillId="0" borderId="4" xfId="0" applyNumberFormat="1" applyFont="1" applyFill="1" applyBorder="1"/>
    <xf numFmtId="0" fontId="86" fillId="0" borderId="3" xfId="0" applyFont="1" applyBorder="1" applyAlignment="1">
      <alignment horizontal="left"/>
    </xf>
    <xf numFmtId="2" fontId="49" fillId="0" borderId="0" xfId="0" applyNumberFormat="1" applyFont="1" applyFill="1" applyBorder="1" applyAlignment="1">
      <alignment horizontal="right"/>
    </xf>
    <xf numFmtId="0" fontId="100" fillId="0" borderId="35" xfId="0" applyFont="1" applyFill="1" applyBorder="1" applyAlignment="1">
      <alignment horizontal="left"/>
    </xf>
    <xf numFmtId="0" fontId="49" fillId="0" borderId="0" xfId="0" applyFont="1" applyAlignment="1">
      <alignment horizontal="right"/>
    </xf>
    <xf numFmtId="0" fontId="100" fillId="0" borderId="0" xfId="0" applyFont="1" applyFill="1"/>
    <xf numFmtId="0" fontId="100" fillId="0" borderId="0" xfId="0" applyFont="1" applyBorder="1"/>
    <xf numFmtId="0" fontId="49" fillId="0" borderId="22" xfId="0" applyFont="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100" fillId="0" borderId="0" xfId="0" applyFont="1" applyFill="1" applyBorder="1" applyAlignment="1">
      <alignment horizontal="center"/>
    </xf>
    <xf numFmtId="0" fontId="49" fillId="0" borderId="79" xfId="0" applyFont="1" applyBorder="1" applyAlignment="1">
      <alignment horizontal="center"/>
    </xf>
    <xf numFmtId="165" fontId="49" fillId="0" borderId="80" xfId="0" applyNumberFormat="1" applyFont="1" applyBorder="1" applyAlignment="1">
      <alignment horizontal="center"/>
    </xf>
    <xf numFmtId="0" fontId="49" fillId="0" borderId="0" xfId="0" applyFont="1" applyAlignment="1">
      <alignment horizontal="center"/>
    </xf>
    <xf numFmtId="0" fontId="113" fillId="0" borderId="0" xfId="0" applyFont="1" applyBorder="1" applyAlignment="1">
      <alignment horizontal="right"/>
    </xf>
    <xf numFmtId="0" fontId="49" fillId="0" borderId="81" xfId="0" applyFont="1" applyBorder="1" applyAlignment="1">
      <alignment horizontal="center"/>
    </xf>
    <xf numFmtId="165" fontId="49" fillId="0" borderId="82" xfId="0" applyNumberFormat="1" applyFont="1" applyBorder="1" applyAlignment="1">
      <alignment horizontal="center"/>
    </xf>
    <xf numFmtId="0" fontId="49" fillId="0" borderId="82" xfId="0" applyFont="1" applyBorder="1" applyAlignment="1">
      <alignment horizontal="center"/>
    </xf>
    <xf numFmtId="165" fontId="49" fillId="0" borderId="83" xfId="0" applyNumberFormat="1" applyFont="1" applyBorder="1" applyAlignment="1">
      <alignment horizontal="center"/>
    </xf>
    <xf numFmtId="0" fontId="100" fillId="0" borderId="85" xfId="0" applyFont="1" applyBorder="1" applyAlignment="1">
      <alignment horizontal="center"/>
    </xf>
    <xf numFmtId="165" fontId="49" fillId="0" borderId="84" xfId="0" applyNumberFormat="1" applyFont="1" applyBorder="1" applyAlignment="1">
      <alignment horizontal="center"/>
    </xf>
    <xf numFmtId="166" fontId="100" fillId="0" borderId="84" xfId="0" applyNumberFormat="1" applyFont="1" applyBorder="1" applyAlignment="1">
      <alignment horizontal="center"/>
    </xf>
    <xf numFmtId="165" fontId="49" fillId="0" borderId="86" xfId="0" applyNumberFormat="1" applyFont="1" applyBorder="1" applyAlignment="1">
      <alignment horizontal="center"/>
    </xf>
    <xf numFmtId="0" fontId="100" fillId="0" borderId="0" xfId="0" applyFont="1" applyAlignment="1">
      <alignment horizontal="center"/>
    </xf>
    <xf numFmtId="0" fontId="100" fillId="0" borderId="76" xfId="0" applyFont="1" applyFill="1" applyBorder="1" applyAlignment="1">
      <alignment horizontal="center"/>
    </xf>
    <xf numFmtId="165" fontId="49" fillId="0" borderId="77" xfId="0" applyNumberFormat="1" applyFont="1" applyBorder="1" applyAlignment="1">
      <alignment horizontal="center"/>
    </xf>
    <xf numFmtId="165" fontId="49" fillId="0" borderId="77" xfId="0" applyNumberFormat="1" applyFont="1" applyFill="1" applyBorder="1" applyAlignment="1">
      <alignment horizontal="center"/>
    </xf>
    <xf numFmtId="166" fontId="100" fillId="0" borderId="77" xfId="0" applyNumberFormat="1" applyFont="1" applyBorder="1" applyAlignment="1">
      <alignment horizontal="center"/>
    </xf>
    <xf numFmtId="165" fontId="49" fillId="0" borderId="78" xfId="0" applyNumberFormat="1" applyFont="1" applyBorder="1" applyAlignment="1">
      <alignment horizontal="center"/>
    </xf>
    <xf numFmtId="0" fontId="100" fillId="0" borderId="22" xfId="0" applyFont="1" applyFill="1" applyBorder="1" applyAlignment="1">
      <alignment horizontal="center"/>
    </xf>
    <xf numFmtId="165" fontId="49" fillId="0" borderId="23" xfId="0" applyNumberFormat="1" applyFont="1" applyBorder="1" applyAlignment="1">
      <alignment horizontal="center"/>
    </xf>
    <xf numFmtId="165" fontId="49" fillId="0" borderId="23" xfId="0" applyNumberFormat="1" applyFont="1" applyFill="1" applyBorder="1" applyAlignment="1">
      <alignment horizontal="center"/>
    </xf>
    <xf numFmtId="166" fontId="100" fillId="0" borderId="23" xfId="0" applyNumberFormat="1" applyFont="1" applyBorder="1" applyAlignment="1">
      <alignment horizontal="center"/>
    </xf>
    <xf numFmtId="165" fontId="49" fillId="0" borderId="24" xfId="0" applyNumberFormat="1" applyFont="1" applyBorder="1" applyAlignment="1">
      <alignment horizontal="center"/>
    </xf>
    <xf numFmtId="0" fontId="49" fillId="46" borderId="0" xfId="0" applyFont="1" applyFill="1" applyBorder="1"/>
    <xf numFmtId="0" fontId="49" fillId="46" borderId="0" xfId="0" applyFont="1" applyFill="1"/>
    <xf numFmtId="0" fontId="49" fillId="8" borderId="0" xfId="0" applyFont="1" applyFill="1"/>
    <xf numFmtId="165" fontId="49" fillId="0" borderId="0" xfId="0" applyNumberFormat="1" applyFont="1" applyBorder="1" applyAlignment="1"/>
    <xf numFmtId="1" fontId="86" fillId="0" borderId="0" xfId="0" applyNumberFormat="1" applyFont="1" applyFill="1" applyBorder="1"/>
    <xf numFmtId="0" fontId="49" fillId="0" borderId="10" xfId="0" applyFont="1" applyBorder="1"/>
    <xf numFmtId="1" fontId="86" fillId="3" borderId="0" xfId="0" applyNumberFormat="1" applyFont="1" applyFill="1" applyBorder="1"/>
    <xf numFmtId="1" fontId="49" fillId="0" borderId="0" xfId="0" applyNumberFormat="1" applyFont="1" applyBorder="1" applyAlignment="1"/>
    <xf numFmtId="1" fontId="49" fillId="0" borderId="10" xfId="0" applyNumberFormat="1" applyFont="1" applyBorder="1"/>
    <xf numFmtId="0" fontId="109" fillId="0" borderId="0" xfId="1" applyFont="1" applyFill="1" applyBorder="1"/>
    <xf numFmtId="165" fontId="49" fillId="0" borderId="0" xfId="0" applyNumberFormat="1" applyFont="1" applyFill="1" applyBorder="1" applyAlignment="1"/>
    <xf numFmtId="1" fontId="107" fillId="0" borderId="0" xfId="0" applyNumberFormat="1" applyFont="1" applyFill="1" applyBorder="1" applyAlignment="1">
      <alignment horizontal="right"/>
    </xf>
    <xf numFmtId="0" fontId="108" fillId="0" borderId="10" xfId="0" applyFont="1" applyBorder="1"/>
    <xf numFmtId="165" fontId="49" fillId="0" borderId="0" xfId="0" applyNumberFormat="1" applyFont="1" applyFill="1"/>
    <xf numFmtId="0" fontId="49" fillId="0" borderId="17" xfId="0" applyFont="1" applyBorder="1"/>
    <xf numFmtId="0" fontId="49" fillId="0" borderId="9" xfId="0" applyFont="1" applyBorder="1"/>
    <xf numFmtId="0" fontId="86" fillId="0" borderId="0" xfId="0" applyFont="1" applyBorder="1" applyAlignment="1">
      <alignment horizontal="left"/>
    </xf>
    <xf numFmtId="0" fontId="107" fillId="0" borderId="0" xfId="0" applyFont="1" applyFill="1" applyBorder="1"/>
    <xf numFmtId="0" fontId="104" fillId="0" borderId="0" xfId="0" applyFont="1" applyBorder="1" applyAlignment="1">
      <alignment horizontal="left"/>
    </xf>
    <xf numFmtId="0" fontId="104" fillId="0" borderId="0" xfId="0" applyFont="1" applyFill="1" applyBorder="1"/>
    <xf numFmtId="2" fontId="49" fillId="0" borderId="4" xfId="0" applyNumberFormat="1" applyFont="1" applyBorder="1"/>
    <xf numFmtId="171" fontId="104" fillId="0" borderId="0" xfId="0" applyNumberFormat="1" applyFont="1" applyBorder="1"/>
    <xf numFmtId="49" fontId="49" fillId="0" borderId="10" xfId="0" applyNumberFormat="1" applyFont="1" applyBorder="1"/>
    <xf numFmtId="0" fontId="100" fillId="0" borderId="15" xfId="0" applyFont="1" applyFill="1" applyBorder="1" applyAlignment="1">
      <alignment horizontal="left"/>
    </xf>
    <xf numFmtId="165" fontId="49" fillId="0" borderId="11" xfId="0" applyNumberFormat="1" applyFont="1" applyBorder="1" applyAlignment="1">
      <alignment horizontal="right"/>
    </xf>
    <xf numFmtId="0" fontId="49" fillId="0" borderId="17" xfId="0" applyFont="1" applyFill="1" applyBorder="1"/>
    <xf numFmtId="0" fontId="100" fillId="0" borderId="10" xfId="0" applyFont="1" applyFill="1" applyBorder="1" applyAlignment="1">
      <alignment horizontal="left"/>
    </xf>
    <xf numFmtId="0" fontId="49" fillId="0" borderId="9" xfId="0" applyFont="1" applyFill="1" applyBorder="1" applyAlignment="1">
      <alignment horizontal="left"/>
    </xf>
    <xf numFmtId="165" fontId="100" fillId="0" borderId="14" xfId="0" applyNumberFormat="1" applyFont="1" applyFill="1" applyBorder="1" applyAlignment="1">
      <alignment horizontal="left"/>
    </xf>
    <xf numFmtId="165" fontId="49" fillId="0" borderId="8" xfId="0" applyNumberFormat="1" applyFont="1" applyFill="1" applyBorder="1"/>
    <xf numFmtId="0" fontId="49" fillId="0" borderId="13" xfId="0" applyFont="1" applyFill="1" applyBorder="1" applyAlignment="1">
      <alignment horizontal="left"/>
    </xf>
    <xf numFmtId="0" fontId="103" fillId="0" borderId="0" xfId="0" applyFont="1"/>
    <xf numFmtId="2" fontId="49" fillId="0" borderId="0" xfId="0" applyNumberFormat="1" applyFont="1" applyFill="1" applyBorder="1" applyAlignment="1">
      <alignment horizontal="left"/>
    </xf>
    <xf numFmtId="166" fontId="49" fillId="0" borderId="0" xfId="0" applyNumberFormat="1" applyFont="1" applyFill="1" applyBorder="1" applyAlignment="1">
      <alignment horizontal="left"/>
    </xf>
    <xf numFmtId="165" fontId="49" fillId="3" borderId="38" xfId="0" applyNumberFormat="1" applyFont="1" applyFill="1" applyBorder="1" applyAlignment="1">
      <alignment horizontal="center" vertical="center"/>
    </xf>
    <xf numFmtId="165" fontId="49" fillId="3" borderId="39" xfId="0" applyNumberFormat="1" applyFont="1" applyFill="1" applyBorder="1" applyAlignment="1">
      <alignment horizontal="center" vertical="center"/>
    </xf>
    <xf numFmtId="0" fontId="86" fillId="0" borderId="3" xfId="0" applyFont="1" applyBorder="1"/>
    <xf numFmtId="165" fontId="86" fillId="0" borderId="3" xfId="0" applyNumberFormat="1" applyFont="1" applyFill="1" applyBorder="1" applyAlignment="1">
      <alignment horizontal="left"/>
    </xf>
    <xf numFmtId="166" fontId="86" fillId="3" borderId="0" xfId="0" applyNumberFormat="1" applyFont="1" applyFill="1" applyBorder="1"/>
    <xf numFmtId="165" fontId="86" fillId="0" borderId="3" xfId="0" applyNumberFormat="1" applyFont="1" applyFill="1" applyBorder="1" applyAlignment="1"/>
    <xf numFmtId="0" fontId="108" fillId="0" borderId="0" xfId="0" applyFont="1" applyFill="1" applyBorder="1" applyAlignment="1">
      <alignment horizontal="left"/>
    </xf>
    <xf numFmtId="0" fontId="86" fillId="0" borderId="29" xfId="0" applyFont="1" applyBorder="1"/>
    <xf numFmtId="0" fontId="107" fillId="0" borderId="23" xfId="0" applyFont="1" applyBorder="1" applyAlignment="1">
      <alignment horizontal="center"/>
    </xf>
    <xf numFmtId="0" fontId="107" fillId="0" borderId="23" xfId="0" applyFont="1" applyBorder="1"/>
    <xf numFmtId="0" fontId="107" fillId="0" borderId="29" xfId="0" applyFont="1" applyBorder="1" applyAlignment="1">
      <alignment horizontal="center"/>
    </xf>
    <xf numFmtId="0" fontId="49" fillId="41" borderId="0" xfId="0" applyFont="1" applyFill="1" applyBorder="1" applyAlignment="1">
      <alignment horizontal="right"/>
    </xf>
    <xf numFmtId="0" fontId="86" fillId="45" borderId="36" xfId="0" applyFont="1" applyFill="1" applyBorder="1"/>
    <xf numFmtId="2" fontId="86" fillId="45" borderId="11" xfId="0" applyNumberFormat="1" applyFont="1" applyFill="1" applyBorder="1" applyAlignment="1">
      <alignment horizontal="center" vertical="center"/>
    </xf>
    <xf numFmtId="0" fontId="86" fillId="45" borderId="11" xfId="0" applyFont="1" applyFill="1" applyBorder="1" applyAlignment="1">
      <alignment horizontal="right"/>
    </xf>
    <xf numFmtId="2" fontId="86" fillId="45" borderId="11" xfId="0" applyNumberFormat="1" applyFont="1" applyFill="1" applyBorder="1" applyAlignment="1">
      <alignment horizontal="right"/>
    </xf>
    <xf numFmtId="165" fontId="86" fillId="45" borderId="17" xfId="0" applyNumberFormat="1" applyFont="1" applyFill="1" applyBorder="1" applyAlignment="1">
      <alignment horizontal="center"/>
    </xf>
    <xf numFmtId="165" fontId="86" fillId="3" borderId="36" xfId="0" applyNumberFormat="1" applyFont="1" applyFill="1" applyBorder="1" applyAlignment="1">
      <alignment horizontal="center" vertical="center"/>
    </xf>
    <xf numFmtId="0" fontId="14" fillId="0" borderId="10" xfId="0" applyFont="1" applyBorder="1"/>
    <xf numFmtId="0" fontId="14" fillId="0" borderId="0" xfId="0" applyFont="1" applyBorder="1"/>
    <xf numFmtId="0" fontId="86" fillId="0" borderId="4" xfId="0" applyFont="1" applyFill="1" applyBorder="1"/>
    <xf numFmtId="0" fontId="86" fillId="0" borderId="51" xfId="0" applyFont="1" applyBorder="1"/>
    <xf numFmtId="0" fontId="53" fillId="0" borderId="0" xfId="0" applyFont="1"/>
    <xf numFmtId="0" fontId="115" fillId="8" borderId="0" xfId="0" applyFont="1" applyFill="1" applyAlignment="1">
      <alignment horizontal="left"/>
    </xf>
    <xf numFmtId="1" fontId="49" fillId="0" borderId="0" xfId="0" applyNumberFormat="1" applyFont="1" applyFill="1" applyBorder="1"/>
    <xf numFmtId="165" fontId="116" fillId="0" borderId="0" xfId="0" applyNumberFormat="1" applyFont="1" applyFill="1" applyBorder="1"/>
    <xf numFmtId="1" fontId="108" fillId="0" borderId="0" xfId="0" applyNumberFormat="1" applyFont="1" applyBorder="1" applyAlignment="1"/>
    <xf numFmtId="0" fontId="100" fillId="4" borderId="15" xfId="0" applyFont="1" applyFill="1" applyBorder="1"/>
    <xf numFmtId="0" fontId="49" fillId="0" borderId="11" xfId="0" applyFont="1" applyBorder="1"/>
    <xf numFmtId="165" fontId="49" fillId="0" borderId="11" xfId="0" applyNumberFormat="1" applyFont="1" applyBorder="1" applyAlignment="1"/>
    <xf numFmtId="165" fontId="49" fillId="0" borderId="17" xfId="0" applyNumberFormat="1" applyFont="1" applyBorder="1" applyAlignment="1"/>
    <xf numFmtId="0" fontId="86" fillId="0" borderId="10" xfId="0" applyFont="1" applyBorder="1" applyAlignment="1">
      <alignment horizontal="left"/>
    </xf>
    <xf numFmtId="0" fontId="108" fillId="0" borderId="9" xfId="0" applyFont="1" applyFill="1" applyBorder="1"/>
    <xf numFmtId="0" fontId="107" fillId="0" borderId="9" xfId="0" applyFont="1" applyFill="1" applyBorder="1"/>
    <xf numFmtId="0" fontId="104" fillId="0" borderId="10" xfId="0" applyFont="1" applyBorder="1" applyAlignment="1">
      <alignment horizontal="left"/>
    </xf>
    <xf numFmtId="0" fontId="49" fillId="0" borderId="26" xfId="0" applyFont="1" applyBorder="1"/>
    <xf numFmtId="0" fontId="103" fillId="0" borderId="9" xfId="0" applyFont="1" applyBorder="1"/>
    <xf numFmtId="0" fontId="103" fillId="0" borderId="9" xfId="0" applyFont="1" applyFill="1" applyBorder="1"/>
    <xf numFmtId="0" fontId="86" fillId="0" borderId="14" xfId="0" applyFont="1" applyBorder="1" applyAlignment="1">
      <alignment horizontal="left"/>
    </xf>
    <xf numFmtId="0" fontId="86" fillId="0" borderId="8" xfId="0" applyFont="1" applyBorder="1" applyAlignment="1">
      <alignment horizontal="left"/>
    </xf>
    <xf numFmtId="0" fontId="103" fillId="0" borderId="13" xfId="0" applyFont="1" applyBorder="1"/>
    <xf numFmtId="0" fontId="109" fillId="0" borderId="10" xfId="1" applyFont="1" applyFill="1" applyBorder="1"/>
    <xf numFmtId="0" fontId="49" fillId="47" borderId="0" xfId="0" applyFont="1" applyFill="1" applyBorder="1"/>
    <xf numFmtId="49" fontId="49" fillId="0" borderId="3" xfId="0" applyNumberFormat="1" applyFont="1" applyFill="1" applyBorder="1" applyAlignment="1">
      <alignment horizontal="left"/>
    </xf>
    <xf numFmtId="1" fontId="52" fillId="0" borderId="0" xfId="0" applyNumberFormat="1" applyFont="1" applyBorder="1" applyAlignment="1">
      <alignment horizontal="center"/>
    </xf>
    <xf numFmtId="1" fontId="86" fillId="0" borderId="11" xfId="0" applyNumberFormat="1" applyFont="1" applyFill="1" applyBorder="1"/>
    <xf numFmtId="165" fontId="49" fillId="47" borderId="9" xfId="0" applyNumberFormat="1" applyFont="1" applyFill="1" applyBorder="1" applyAlignment="1">
      <alignment horizontal="left"/>
    </xf>
    <xf numFmtId="0" fontId="100" fillId="4" borderId="10" xfId="0" applyFont="1" applyFill="1" applyBorder="1"/>
    <xf numFmtId="0" fontId="100" fillId="47" borderId="10" xfId="0" applyFont="1" applyFill="1" applyBorder="1"/>
    <xf numFmtId="0" fontId="49" fillId="0" borderId="10" xfId="0" applyFont="1" applyBorder="1" applyAlignment="1">
      <alignment horizontal="left"/>
    </xf>
    <xf numFmtId="1" fontId="108" fillId="0" borderId="9" xfId="0" applyNumberFormat="1" applyFont="1" applyBorder="1" applyAlignment="1"/>
    <xf numFmtId="0" fontId="49" fillId="0" borderId="14" xfId="0" applyFont="1" applyBorder="1"/>
    <xf numFmtId="0" fontId="49" fillId="0" borderId="13" xfId="0" applyFont="1" applyBorder="1"/>
    <xf numFmtId="1" fontId="49" fillId="0" borderId="8" xfId="0" applyNumberFormat="1" applyFont="1" applyFill="1" applyBorder="1"/>
    <xf numFmtId="0" fontId="49" fillId="0" borderId="8" xfId="0" applyFont="1" applyFill="1" applyBorder="1"/>
    <xf numFmtId="165" fontId="49" fillId="0" borderId="9" xfId="0" applyNumberFormat="1" applyFont="1" applyBorder="1" applyAlignment="1"/>
    <xf numFmtId="1" fontId="49" fillId="0" borderId="9" xfId="0" applyNumberFormat="1" applyFont="1" applyBorder="1" applyAlignment="1"/>
    <xf numFmtId="165" fontId="49" fillId="0" borderId="9" xfId="0" applyNumberFormat="1" applyFont="1" applyBorder="1" applyAlignment="1">
      <alignment horizontal="center"/>
    </xf>
    <xf numFmtId="1" fontId="108" fillId="0" borderId="9" xfId="0" applyNumberFormat="1" applyFont="1" applyBorder="1" applyAlignment="1">
      <alignment horizontal="center"/>
    </xf>
    <xf numFmtId="1" fontId="86" fillId="0" borderId="8" xfId="0" applyNumberFormat="1" applyFont="1" applyFill="1" applyBorder="1"/>
    <xf numFmtId="165" fontId="49" fillId="0" borderId="8" xfId="0" applyNumberFormat="1" applyFont="1" applyBorder="1" applyAlignment="1"/>
    <xf numFmtId="1" fontId="108" fillId="0" borderId="13" xfId="0" applyNumberFormat="1" applyFont="1" applyBorder="1" applyAlignment="1"/>
    <xf numFmtId="0" fontId="55" fillId="0" borderId="0" xfId="0" applyFont="1"/>
    <xf numFmtId="0" fontId="118" fillId="0" borderId="0" xfId="0" applyFont="1"/>
    <xf numFmtId="0" fontId="117" fillId="0" borderId="0" xfId="0" applyFont="1"/>
    <xf numFmtId="172" fontId="0" fillId="0" borderId="0" xfId="0" applyNumberFormat="1"/>
    <xf numFmtId="0" fontId="119" fillId="0" borderId="0" xfId="0" applyFont="1"/>
    <xf numFmtId="165" fontId="49" fillId="4" borderId="0" xfId="0" applyNumberFormat="1" applyFont="1" applyFill="1" applyAlignment="1">
      <alignment horizontal="center"/>
    </xf>
    <xf numFmtId="165" fontId="0" fillId="48" borderId="0" xfId="0" applyNumberFormat="1" applyFill="1" applyAlignment="1">
      <alignment horizontal="center"/>
    </xf>
    <xf numFmtId="165" fontId="42" fillId="49" borderId="55" xfId="0" applyNumberFormat="1" applyFont="1" applyFill="1" applyBorder="1" applyAlignment="1">
      <alignment horizontal="center"/>
    </xf>
    <xf numFmtId="165" fontId="42" fillId="39" borderId="55" xfId="0" applyNumberFormat="1" applyFont="1" applyFill="1" applyBorder="1" applyAlignment="1">
      <alignment horizontal="center"/>
    </xf>
    <xf numFmtId="0" fontId="42" fillId="4" borderId="22" xfId="0" applyFont="1" applyFill="1" applyBorder="1" applyAlignment="1"/>
    <xf numFmtId="0" fontId="42" fillId="4" borderId="24" xfId="0" applyFont="1" applyFill="1" applyBorder="1" applyAlignment="1"/>
    <xf numFmtId="0" fontId="60" fillId="0" borderId="10" xfId="0" applyFont="1" applyFill="1" applyBorder="1" applyAlignment="1">
      <alignment horizontal="left"/>
    </xf>
    <xf numFmtId="0" fontId="0" fillId="0" borderId="14" xfId="0" applyFill="1" applyBorder="1" applyAlignment="1">
      <alignment horizontal="left"/>
    </xf>
    <xf numFmtId="0" fontId="60" fillId="0" borderId="0" xfId="0" applyFont="1" applyFill="1" applyBorder="1"/>
    <xf numFmtId="0" fontId="57" fillId="0" borderId="13" xfId="0" applyFont="1" applyBorder="1"/>
    <xf numFmtId="165" fontId="0" fillId="5" borderId="0" xfId="0" applyNumberFormat="1" applyFont="1" applyFill="1" applyAlignment="1">
      <alignment horizontal="center"/>
    </xf>
    <xf numFmtId="0" fontId="0" fillId="50" borderId="0" xfId="0" applyFill="1" applyAlignment="1">
      <alignment horizontal="left"/>
    </xf>
    <xf numFmtId="165" fontId="49" fillId="5" borderId="36" xfId="0" applyNumberFormat="1" applyFont="1" applyFill="1" applyBorder="1" applyAlignment="1">
      <alignment horizontal="center" vertical="center"/>
    </xf>
    <xf numFmtId="0" fontId="13" fillId="0" borderId="10" xfId="0" applyFont="1" applyBorder="1"/>
    <xf numFmtId="2" fontId="0" fillId="0" borderId="16" xfId="0" applyNumberFormat="1" applyFill="1" applyBorder="1" applyAlignment="1">
      <alignment horizontal="right"/>
    </xf>
    <xf numFmtId="166" fontId="0" fillId="0" borderId="16" xfId="0" applyNumberFormat="1" applyBorder="1" applyAlignment="1">
      <alignment horizontal="right"/>
    </xf>
    <xf numFmtId="166" fontId="44" fillId="39" borderId="22" xfId="0" applyNumberFormat="1" applyFont="1" applyFill="1" applyBorder="1"/>
    <xf numFmtId="1" fontId="44" fillId="39" borderId="24" xfId="0" applyNumberFormat="1" applyFont="1" applyFill="1" applyBorder="1"/>
    <xf numFmtId="2" fontId="0" fillId="39" borderId="24" xfId="0" applyNumberFormat="1" applyFill="1" applyBorder="1"/>
    <xf numFmtId="166" fontId="42" fillId="39" borderId="22" xfId="0" applyNumberFormat="1" applyFont="1" applyFill="1" applyBorder="1"/>
    <xf numFmtId="1" fontId="42" fillId="39" borderId="23" xfId="0" applyNumberFormat="1" applyFont="1" applyFill="1" applyBorder="1"/>
    <xf numFmtId="1" fontId="42" fillId="39" borderId="22" xfId="0" applyNumberFormat="1" applyFont="1" applyFill="1" applyBorder="1"/>
    <xf numFmtId="1" fontId="42" fillId="39" borderId="24" xfId="0" applyNumberFormat="1" applyFont="1" applyFill="1" applyBorder="1"/>
    <xf numFmtId="170" fontId="51" fillId="0" borderId="0" xfId="0" applyNumberFormat="1" applyFont="1"/>
    <xf numFmtId="170" fontId="57" fillId="0" borderId="11" xfId="0" applyNumberFormat="1" applyFont="1" applyFill="1" applyBorder="1" applyAlignment="1">
      <alignment horizontal="right"/>
    </xf>
    <xf numFmtId="170" fontId="0" fillId="0" borderId="0" xfId="0" applyNumberFormat="1" applyBorder="1" applyAlignment="1">
      <alignment horizontal="right"/>
    </xf>
    <xf numFmtId="170" fontId="0" fillId="0" borderId="8" xfId="0" applyNumberFormat="1" applyBorder="1" applyAlignment="1">
      <alignment horizontal="right"/>
    </xf>
    <xf numFmtId="0" fontId="115" fillId="8" borderId="0" xfId="0" applyFont="1" applyFill="1" applyAlignment="1"/>
    <xf numFmtId="0" fontId="12" fillId="0" borderId="32" xfId="0" applyFont="1" applyFill="1" applyBorder="1" applyAlignment="1">
      <alignment horizontal="right"/>
    </xf>
    <xf numFmtId="0" fontId="12" fillId="0" borderId="33" xfId="0" applyFont="1" applyFill="1" applyBorder="1" applyAlignment="1">
      <alignment horizontal="right"/>
    </xf>
    <xf numFmtId="2" fontId="57" fillId="40" borderId="2" xfId="0" applyNumberFormat="1" applyFont="1" applyFill="1" applyBorder="1"/>
    <xf numFmtId="2" fontId="0" fillId="0" borderId="8" xfId="0" applyNumberFormat="1" applyBorder="1" applyAlignment="1">
      <alignment horizontal="right"/>
    </xf>
    <xf numFmtId="0" fontId="0" fillId="0" borderId="13" xfId="0" applyFill="1" applyBorder="1" applyAlignment="1">
      <alignment horizontal="right"/>
    </xf>
    <xf numFmtId="164" fontId="0" fillId="0" borderId="0" xfId="0" applyNumberFormat="1" applyBorder="1" applyAlignment="1">
      <alignment horizontal="right"/>
    </xf>
    <xf numFmtId="0" fontId="0" fillId="0" borderId="8" xfId="0" applyFill="1" applyBorder="1" applyAlignment="1">
      <alignment horizontal="right"/>
    </xf>
    <xf numFmtId="2" fontId="12" fillId="0" borderId="8" xfId="0" applyNumberFormat="1" applyFont="1" applyFill="1" applyBorder="1" applyAlignment="1">
      <alignment horizontal="right"/>
    </xf>
    <xf numFmtId="2" fontId="57" fillId="40" borderId="9" xfId="0" applyNumberFormat="1" applyFont="1" applyFill="1" applyBorder="1"/>
    <xf numFmtId="165" fontId="57" fillId="0" borderId="9" xfId="0" applyNumberFormat="1" applyFont="1" applyFill="1" applyBorder="1" applyAlignment="1">
      <alignment horizontal="right"/>
    </xf>
    <xf numFmtId="165" fontId="57" fillId="0" borderId="13" xfId="0" applyNumberFormat="1" applyFont="1" applyFill="1" applyBorder="1" applyAlignment="1">
      <alignment horizontal="right"/>
    </xf>
    <xf numFmtId="2" fontId="57" fillId="0" borderId="8" xfId="0" applyNumberFormat="1" applyFont="1" applyBorder="1" applyAlignment="1">
      <alignment horizontal="right"/>
    </xf>
    <xf numFmtId="0" fontId="42" fillId="0" borderId="15" xfId="0" applyFont="1" applyFill="1" applyBorder="1" applyAlignment="1">
      <alignment horizontal="right"/>
    </xf>
    <xf numFmtId="0" fontId="57" fillId="0" borderId="14" xfId="0" applyFont="1" applyBorder="1" applyAlignment="1">
      <alignment horizontal="right"/>
    </xf>
    <xf numFmtId="2" fontId="12" fillId="0" borderId="0" xfId="0" applyNumberFormat="1" applyFont="1" applyFill="1" applyBorder="1" applyAlignment="1">
      <alignment horizontal="right"/>
    </xf>
    <xf numFmtId="0" fontId="42" fillId="0" borderId="23" xfId="0" applyFont="1" applyFill="1" applyBorder="1" applyAlignment="1">
      <alignment horizontal="center"/>
    </xf>
    <xf numFmtId="2" fontId="57" fillId="0" borderId="10" xfId="0" applyNumberFormat="1" applyFont="1" applyBorder="1" applyAlignment="1">
      <alignment horizontal="right"/>
    </xf>
    <xf numFmtId="2" fontId="12" fillId="40" borderId="0" xfId="0" applyNumberFormat="1" applyFont="1" applyFill="1" applyBorder="1" applyAlignment="1">
      <alignment horizontal="right"/>
    </xf>
    <xf numFmtId="2" fontId="57" fillId="40" borderId="0" xfId="0" applyNumberFormat="1" applyFont="1" applyFill="1" applyBorder="1" applyAlignment="1">
      <alignment horizontal="right"/>
    </xf>
    <xf numFmtId="2" fontId="12" fillId="40" borderId="9" xfId="0" applyNumberFormat="1" applyFont="1" applyFill="1" applyBorder="1" applyAlignment="1">
      <alignment horizontal="right"/>
    </xf>
    <xf numFmtId="2" fontId="12" fillId="0" borderId="9" xfId="0" applyNumberFormat="1" applyFont="1" applyFill="1" applyBorder="1" applyAlignment="1">
      <alignment horizontal="right"/>
    </xf>
    <xf numFmtId="2" fontId="12" fillId="0" borderId="13" xfId="0" applyNumberFormat="1" applyFont="1" applyFill="1" applyBorder="1" applyAlignment="1">
      <alignment horizontal="right"/>
    </xf>
    <xf numFmtId="0" fontId="12" fillId="0" borderId="23" xfId="0" applyFont="1" applyFill="1" applyBorder="1" applyAlignment="1">
      <alignment horizontal="right"/>
    </xf>
    <xf numFmtId="0" fontId="57" fillId="0" borderId="10" xfId="0" applyFont="1" applyBorder="1" applyAlignment="1">
      <alignment horizontal="right"/>
    </xf>
    <xf numFmtId="2" fontId="0" fillId="0" borderId="13" xfId="0" applyNumberFormat="1" applyBorder="1" applyAlignment="1">
      <alignment horizontal="right"/>
    </xf>
    <xf numFmtId="166" fontId="0" fillId="0" borderId="9" xfId="0" applyNumberFormat="1" applyBorder="1"/>
    <xf numFmtId="166" fontId="0" fillId="0" borderId="13" xfId="0" applyNumberFormat="1" applyBorder="1"/>
    <xf numFmtId="0" fontId="64" fillId="45" borderId="0" xfId="0" applyFont="1" applyFill="1"/>
    <xf numFmtId="0" fontId="0" fillId="45" borderId="0" xfId="0" applyFill="1"/>
    <xf numFmtId="165" fontId="0" fillId="0" borderId="5" xfId="0" applyNumberFormat="1" applyFill="1" applyBorder="1"/>
    <xf numFmtId="0" fontId="0" fillId="0" borderId="36" xfId="0" applyBorder="1" applyAlignment="1">
      <alignment horizontal="left"/>
    </xf>
    <xf numFmtId="0" fontId="57" fillId="0" borderId="38" xfId="0" applyFont="1" applyFill="1" applyBorder="1" applyAlignment="1">
      <alignment horizontal="left"/>
    </xf>
    <xf numFmtId="0" fontId="57" fillId="0" borderId="39" xfId="0" applyFont="1" applyFill="1" applyBorder="1" applyAlignment="1">
      <alignment horizontal="left"/>
    </xf>
    <xf numFmtId="165" fontId="57" fillId="0" borderId="8" xfId="0" applyNumberFormat="1" applyFont="1" applyFill="1" applyBorder="1"/>
    <xf numFmtId="0" fontId="42" fillId="0" borderId="56" xfId="0" applyFont="1" applyFill="1" applyBorder="1" applyAlignment="1">
      <alignment horizontal="right"/>
    </xf>
    <xf numFmtId="2" fontId="42" fillId="0" borderId="0" xfId="0" applyNumberFormat="1" applyFont="1" applyFill="1" applyBorder="1" applyAlignment="1">
      <alignment horizontal="right"/>
    </xf>
    <xf numFmtId="165" fontId="0" fillId="5" borderId="0" xfId="0" applyNumberFormat="1" applyFill="1" applyAlignment="1">
      <alignment horizontal="center"/>
    </xf>
    <xf numFmtId="1" fontId="86" fillId="0" borderId="0" xfId="0" applyNumberFormat="1" applyFont="1" applyBorder="1"/>
    <xf numFmtId="2" fontId="86" fillId="0" borderId="4" xfId="0" applyNumberFormat="1" applyFont="1" applyBorder="1"/>
    <xf numFmtId="165" fontId="116" fillId="0" borderId="0" xfId="0" applyNumberFormat="1" applyFont="1" applyFill="1" applyBorder="1" applyAlignment="1">
      <alignment horizontal="right"/>
    </xf>
    <xf numFmtId="0" fontId="0" fillId="0" borderId="38" xfId="0" applyFill="1" applyBorder="1"/>
    <xf numFmtId="0" fontId="55" fillId="0" borderId="10" xfId="0" applyFont="1" applyBorder="1"/>
    <xf numFmtId="0" fontId="49" fillId="0" borderId="10" xfId="0" applyFont="1" applyFill="1" applyBorder="1"/>
    <xf numFmtId="165" fontId="49" fillId="0" borderId="10" xfId="0" applyNumberFormat="1" applyFont="1" applyFill="1" applyBorder="1" applyAlignment="1">
      <alignment horizontal="left"/>
    </xf>
    <xf numFmtId="0" fontId="49" fillId="0" borderId="0" xfId="0" applyFont="1" applyFill="1" applyAlignment="1">
      <alignment vertical="center"/>
    </xf>
    <xf numFmtId="0" fontId="55" fillId="0" borderId="32" xfId="0" applyFont="1" applyBorder="1" applyAlignment="1">
      <alignment horizontal="center"/>
    </xf>
    <xf numFmtId="0" fontId="55" fillId="0" borderId="33" xfId="0" applyFont="1" applyBorder="1" applyAlignment="1">
      <alignment horizontal="center" wrapText="1"/>
    </xf>
    <xf numFmtId="0" fontId="55" fillId="0" borderId="34" xfId="0" applyFont="1" applyBorder="1" applyAlignment="1">
      <alignment horizontal="center" wrapText="1"/>
    </xf>
    <xf numFmtId="0" fontId="49" fillId="0" borderId="10" xfId="0" applyFont="1" applyBorder="1" applyAlignment="1">
      <alignment horizontal="center"/>
    </xf>
    <xf numFmtId="0" fontId="49" fillId="0" borderId="9" xfId="0" applyFont="1" applyBorder="1" applyAlignment="1">
      <alignment horizontal="center"/>
    </xf>
    <xf numFmtId="0" fontId="49" fillId="0" borderId="14" xfId="0" applyFont="1" applyBorder="1" applyAlignment="1">
      <alignment horizontal="center"/>
    </xf>
    <xf numFmtId="0" fontId="49" fillId="0" borderId="8" xfId="0" applyFont="1" applyBorder="1" applyAlignment="1">
      <alignment horizontal="center"/>
    </xf>
    <xf numFmtId="0" fontId="49" fillId="0" borderId="13" xfId="0" applyFont="1" applyBorder="1" applyAlignment="1">
      <alignment horizontal="center"/>
    </xf>
    <xf numFmtId="0" fontId="49" fillId="0" borderId="14" xfId="0" applyFont="1" applyFill="1" applyBorder="1"/>
    <xf numFmtId="0" fontId="42" fillId="0" borderId="0" xfId="0" applyFont="1" applyAlignment="1">
      <alignment horizontal="center"/>
    </xf>
    <xf numFmtId="2" fontId="0" fillId="0" borderId="0" xfId="0" applyNumberFormat="1" applyAlignment="1">
      <alignment horizontal="center"/>
    </xf>
    <xf numFmtId="2" fontId="0" fillId="0" borderId="38" xfId="0" applyNumberFormat="1" applyBorder="1" applyAlignment="1">
      <alignment horizontal="center"/>
    </xf>
    <xf numFmtId="2" fontId="0" fillId="0" borderId="39" xfId="0" applyNumberFormat="1" applyBorder="1" applyAlignment="1">
      <alignment horizontal="center"/>
    </xf>
    <xf numFmtId="0" fontId="124" fillId="0" borderId="0" xfId="0" applyFont="1" applyBorder="1" applyAlignment="1">
      <alignment horizontal="right"/>
    </xf>
    <xf numFmtId="1" fontId="116" fillId="0" borderId="0" xfId="0" applyNumberFormat="1" applyFont="1" applyFill="1" applyBorder="1"/>
    <xf numFmtId="0" fontId="53" fillId="0" borderId="10" xfId="0" applyFont="1" applyBorder="1"/>
    <xf numFmtId="0" fontId="53" fillId="0" borderId="10" xfId="0" applyFont="1" applyFill="1" applyBorder="1"/>
    <xf numFmtId="0" fontId="125" fillId="0" borderId="10" xfId="0" applyFont="1" applyBorder="1"/>
    <xf numFmtId="0" fontId="125" fillId="0" borderId="10" xfId="0" applyFont="1" applyFill="1" applyBorder="1"/>
    <xf numFmtId="0" fontId="49" fillId="0" borderId="15" xfId="0" applyFont="1" applyFill="1" applyBorder="1" applyAlignment="1">
      <alignment horizontal="right"/>
    </xf>
    <xf numFmtId="0" fontId="49" fillId="0" borderId="11" xfId="0" applyFont="1" applyFill="1" applyBorder="1" applyAlignment="1">
      <alignment horizontal="right"/>
    </xf>
    <xf numFmtId="0" fontId="49" fillId="0" borderId="13" xfId="0" applyFont="1" applyFill="1" applyBorder="1"/>
    <xf numFmtId="0" fontId="49" fillId="0" borderId="14" xfId="0" applyFont="1" applyFill="1" applyBorder="1" applyAlignment="1">
      <alignment horizontal="right"/>
    </xf>
    <xf numFmtId="165" fontId="49" fillId="0" borderId="0" xfId="0" applyNumberFormat="1" applyFont="1" applyFill="1" applyBorder="1" applyAlignment="1">
      <alignment horizontal="center"/>
    </xf>
    <xf numFmtId="165" fontId="49" fillId="0" borderId="0" xfId="0" applyNumberFormat="1" applyFont="1" applyFill="1" applyBorder="1" applyAlignment="1">
      <alignment horizontal="center" vertical="center"/>
    </xf>
    <xf numFmtId="0" fontId="49" fillId="0" borderId="10" xfId="0" applyFont="1" applyFill="1" applyBorder="1" applyAlignment="1">
      <alignment horizontal="right"/>
    </xf>
    <xf numFmtId="0" fontId="49" fillId="0" borderId="9" xfId="0" applyFont="1" applyFill="1" applyBorder="1"/>
    <xf numFmtId="1" fontId="86" fillId="0" borderId="0" xfId="0" applyNumberFormat="1" applyFont="1" applyBorder="1" applyAlignment="1">
      <alignment horizontal="right"/>
    </xf>
    <xf numFmtId="2" fontId="54" fillId="0" borderId="0" xfId="0" applyNumberFormat="1" applyFont="1" applyAlignment="1">
      <alignment horizontal="center"/>
    </xf>
    <xf numFmtId="165" fontId="119" fillId="0" borderId="0" xfId="0" applyNumberFormat="1" applyFont="1" applyFill="1" applyBorder="1" applyAlignment="1">
      <alignment horizontal="right"/>
    </xf>
    <xf numFmtId="1" fontId="119" fillId="0" borderId="0" xfId="0" applyNumberFormat="1" applyFont="1" applyFill="1" applyBorder="1" applyAlignment="1">
      <alignment horizontal="right"/>
    </xf>
    <xf numFmtId="0" fontId="119" fillId="0" borderId="0" xfId="0" applyFont="1" applyBorder="1"/>
    <xf numFmtId="165" fontId="49" fillId="0" borderId="8" xfId="0" applyNumberFormat="1" applyFont="1" applyFill="1" applyBorder="1" applyAlignment="1">
      <alignment horizontal="right"/>
    </xf>
    <xf numFmtId="0" fontId="49" fillId="0" borderId="10" xfId="0" applyFont="1" applyBorder="1" applyAlignment="1">
      <alignment horizontal="right"/>
    </xf>
    <xf numFmtId="0" fontId="49" fillId="4" borderId="0" xfId="0" applyFont="1" applyFill="1" applyBorder="1"/>
    <xf numFmtId="165" fontId="49" fillId="0" borderId="8" xfId="0" applyNumberFormat="1" applyFont="1" applyBorder="1"/>
    <xf numFmtId="0" fontId="100" fillId="0" borderId="0" xfId="0" applyFont="1" applyBorder="1" applyAlignment="1">
      <alignment horizontal="right"/>
    </xf>
    <xf numFmtId="165" fontId="86" fillId="0" borderId="0" xfId="0" applyNumberFormat="1" applyFont="1" applyFill="1" applyBorder="1" applyAlignment="1">
      <alignment horizontal="right"/>
    </xf>
    <xf numFmtId="165" fontId="100" fillId="0" borderId="0" xfId="0" applyNumberFormat="1" applyFont="1"/>
    <xf numFmtId="166" fontId="86" fillId="0" borderId="0" xfId="0" applyNumberFormat="1" applyFont="1" applyBorder="1" applyAlignment="1">
      <alignment horizontal="right"/>
    </xf>
    <xf numFmtId="2" fontId="86" fillId="0" borderId="0" xfId="0" applyNumberFormat="1" applyFont="1" applyBorder="1" applyAlignment="1">
      <alignment horizontal="right"/>
    </xf>
    <xf numFmtId="165" fontId="55" fillId="43" borderId="0" xfId="0" applyNumberFormat="1" applyFont="1" applyFill="1" applyBorder="1" applyAlignment="1">
      <alignment horizontal="right"/>
    </xf>
    <xf numFmtId="0" fontId="42" fillId="4" borderId="23" xfId="0" applyFont="1" applyFill="1" applyBorder="1" applyAlignment="1">
      <alignment horizontal="center"/>
    </xf>
    <xf numFmtId="0" fontId="15" fillId="0" borderId="20" xfId="0" applyFont="1" applyFill="1" applyBorder="1" applyAlignment="1">
      <alignment horizontal="left" vertical="center"/>
    </xf>
    <xf numFmtId="0" fontId="54" fillId="0" borderId="10" xfId="0" applyFont="1" applyFill="1" applyBorder="1" applyAlignment="1">
      <alignment horizontal="left"/>
    </xf>
    <xf numFmtId="0" fontId="0" fillId="3" borderId="8" xfId="0" applyFill="1" applyBorder="1"/>
    <xf numFmtId="165" fontId="0" fillId="3" borderId="8" xfId="0" applyNumberFormat="1" applyFill="1" applyBorder="1"/>
    <xf numFmtId="0" fontId="114" fillId="0" borderId="0" xfId="1" applyFont="1" applyFill="1"/>
    <xf numFmtId="0" fontId="55" fillId="0" borderId="0" xfId="0" applyFont="1" applyFill="1" applyBorder="1" applyAlignment="1">
      <alignment horizontal="center"/>
    </xf>
    <xf numFmtId="1" fontId="49" fillId="0" borderId="0" xfId="0" applyNumberFormat="1" applyFont="1"/>
    <xf numFmtId="1" fontId="49" fillId="0" borderId="10" xfId="0" applyNumberFormat="1" applyFont="1" applyBorder="1" applyAlignment="1">
      <alignment horizontal="center"/>
    </xf>
    <xf numFmtId="1" fontId="49" fillId="0" borderId="14" xfId="0" applyNumberFormat="1" applyFont="1" applyBorder="1" applyAlignment="1">
      <alignment horizontal="center"/>
    </xf>
    <xf numFmtId="0" fontId="49" fillId="0" borderId="17" xfId="0" applyFont="1" applyBorder="1" applyAlignment="1">
      <alignment horizontal="center"/>
    </xf>
    <xf numFmtId="165" fontId="49" fillId="0" borderId="13" xfId="0" applyNumberFormat="1" applyFont="1" applyBorder="1" applyAlignment="1">
      <alignment horizontal="center"/>
    </xf>
    <xf numFmtId="0" fontId="49" fillId="0" borderId="15" xfId="0" applyFont="1" applyBorder="1" applyAlignment="1">
      <alignment horizontal="center"/>
    </xf>
    <xf numFmtId="1" fontId="49" fillId="0" borderId="0" xfId="0" applyNumberFormat="1" applyFont="1" applyBorder="1" applyAlignment="1">
      <alignment horizontal="center"/>
    </xf>
    <xf numFmtId="166" fontId="49" fillId="0" borderId="9" xfId="0" applyNumberFormat="1" applyFont="1" applyBorder="1" applyAlignment="1">
      <alignment horizontal="center"/>
    </xf>
    <xf numFmtId="166" fontId="49" fillId="0" borderId="13" xfId="0" applyNumberFormat="1" applyFont="1" applyBorder="1" applyAlignment="1">
      <alignment horizontal="center"/>
    </xf>
    <xf numFmtId="0" fontId="86" fillId="41" borderId="0" xfId="0" applyFont="1" applyFill="1" applyBorder="1" applyAlignment="1">
      <alignment horizontal="right"/>
    </xf>
    <xf numFmtId="1" fontId="116" fillId="0" borderId="0" xfId="0" applyNumberFormat="1" applyFont="1" applyFill="1" applyBorder="1" applyAlignment="1">
      <alignment horizontal="right"/>
    </xf>
    <xf numFmtId="1" fontId="55" fillId="0" borderId="10" xfId="0" applyNumberFormat="1" applyFont="1" applyBorder="1" applyAlignment="1">
      <alignment horizontal="center"/>
    </xf>
    <xf numFmtId="166" fontId="55" fillId="0" borderId="9" xfId="0" applyNumberFormat="1" applyFont="1" applyBorder="1" applyAlignment="1">
      <alignment horizontal="center"/>
    </xf>
    <xf numFmtId="165" fontId="86" fillId="0" borderId="4" xfId="0" applyNumberFormat="1" applyFont="1" applyBorder="1"/>
    <xf numFmtId="0" fontId="42" fillId="0" borderId="36" xfId="0" applyFont="1" applyBorder="1" applyAlignment="1">
      <alignment horizontal="right"/>
    </xf>
    <xf numFmtId="2" fontId="0" fillId="0" borderId="38" xfId="0" applyNumberFormat="1" applyBorder="1"/>
    <xf numFmtId="2" fontId="0" fillId="0" borderId="39" xfId="0" applyNumberFormat="1" applyBorder="1"/>
    <xf numFmtId="0" fontId="0" fillId="0" borderId="24" xfId="0" applyBorder="1" applyAlignment="1">
      <alignment horizontal="center" wrapText="1"/>
    </xf>
    <xf numFmtId="1" fontId="0" fillId="0" borderId="10" xfId="0" applyNumberFormat="1" applyBorder="1" applyAlignment="1">
      <alignment horizontal="center"/>
    </xf>
    <xf numFmtId="1" fontId="0" fillId="0" borderId="14" xfId="0" applyNumberFormat="1" applyBorder="1" applyAlignment="1">
      <alignment horizontal="center"/>
    </xf>
    <xf numFmtId="1" fontId="0" fillId="0" borderId="8" xfId="0" applyNumberFormat="1" applyBorder="1" applyAlignment="1">
      <alignment horizontal="center"/>
    </xf>
    <xf numFmtId="1" fontId="0" fillId="0" borderId="15" xfId="0" applyNumberFormat="1" applyBorder="1" applyAlignment="1">
      <alignment horizontal="center"/>
    </xf>
    <xf numFmtId="1" fontId="0" fillId="0" borderId="11" xfId="0" applyNumberFormat="1" applyBorder="1" applyAlignment="1">
      <alignment horizontal="center"/>
    </xf>
    <xf numFmtId="1" fontId="0" fillId="0" borderId="9" xfId="0" applyNumberFormat="1" applyBorder="1" applyAlignment="1">
      <alignment horizontal="center"/>
    </xf>
    <xf numFmtId="1" fontId="0" fillId="0" borderId="9" xfId="0" applyNumberFormat="1" applyFill="1" applyBorder="1" applyAlignment="1">
      <alignment horizontal="center"/>
    </xf>
    <xf numFmtId="1" fontId="0" fillId="0" borderId="13" xfId="0" applyNumberFormat="1" applyBorder="1" applyAlignment="1">
      <alignment horizontal="center"/>
    </xf>
    <xf numFmtId="0" fontId="42" fillId="3" borderId="0" xfId="0" applyFont="1" applyFill="1"/>
    <xf numFmtId="171" fontId="55" fillId="0" borderId="0" xfId="0" applyNumberFormat="1" applyFont="1"/>
    <xf numFmtId="165" fontId="55" fillId="0" borderId="0" xfId="0" applyNumberFormat="1" applyFont="1"/>
    <xf numFmtId="165" fontId="53" fillId="0" borderId="0" xfId="0" applyNumberFormat="1" applyFont="1"/>
    <xf numFmtId="0" fontId="11" fillId="0" borderId="0" xfId="0" applyFont="1"/>
    <xf numFmtId="2" fontId="0" fillId="0" borderId="0" xfId="0" applyNumberFormat="1" applyAlignment="1">
      <alignment horizontal="right"/>
    </xf>
    <xf numFmtId="2" fontId="42" fillId="0" borderId="0" xfId="0" applyNumberFormat="1" applyFont="1" applyAlignment="1">
      <alignment horizontal="right"/>
    </xf>
    <xf numFmtId="2" fontId="0" fillId="0" borderId="36" xfId="0" applyNumberFormat="1" applyBorder="1"/>
    <xf numFmtId="1" fontId="42" fillId="0" borderId="0" xfId="0" applyNumberFormat="1" applyFont="1" applyFill="1" applyBorder="1"/>
    <xf numFmtId="1" fontId="42" fillId="0" borderId="0" xfId="0" applyNumberFormat="1" applyFont="1"/>
    <xf numFmtId="166" fontId="0" fillId="0" borderId="11" xfId="0" applyNumberFormat="1" applyBorder="1"/>
    <xf numFmtId="0" fontId="86" fillId="0" borderId="0" xfId="0" applyNumberFormat="1" applyFont="1" applyAlignment="1">
      <alignment horizontal="left"/>
    </xf>
    <xf numFmtId="0" fontId="49" fillId="4" borderId="2" xfId="0" applyFont="1" applyFill="1" applyBorder="1"/>
    <xf numFmtId="0" fontId="49" fillId="4" borderId="16" xfId="0" applyFont="1" applyFill="1" applyBorder="1"/>
    <xf numFmtId="0" fontId="42" fillId="4" borderId="40" xfId="0" applyNumberFormat="1" applyFont="1" applyFill="1" applyBorder="1"/>
    <xf numFmtId="0" fontId="42" fillId="4" borderId="29" xfId="0" applyFont="1" applyFill="1" applyBorder="1" applyAlignment="1">
      <alignment horizontal="right"/>
    </xf>
    <xf numFmtId="0" fontId="42" fillId="4" borderId="31" xfId="0" applyFont="1" applyFill="1" applyBorder="1" applyAlignment="1">
      <alignment horizontal="right"/>
    </xf>
    <xf numFmtId="2" fontId="86" fillId="0" borderId="16" xfId="0" applyNumberFormat="1" applyFont="1" applyBorder="1"/>
    <xf numFmtId="0" fontId="49" fillId="0" borderId="21" xfId="0" applyFont="1" applyFill="1" applyBorder="1" applyAlignment="1">
      <alignment horizontal="left"/>
    </xf>
    <xf numFmtId="165" fontId="132" fillId="0" borderId="0" xfId="0" applyNumberFormat="1" applyFont="1"/>
    <xf numFmtId="0" fontId="132" fillId="0" borderId="0" xfId="0" applyFont="1"/>
    <xf numFmtId="166" fontId="0" fillId="0" borderId="10" xfId="0" applyNumberFormat="1" applyBorder="1" applyAlignment="1">
      <alignment horizontal="right"/>
    </xf>
    <xf numFmtId="0" fontId="0" fillId="41" borderId="0" xfId="0" applyFill="1" applyBorder="1"/>
    <xf numFmtId="0" fontId="0" fillId="41" borderId="0" xfId="0" applyFill="1" applyBorder="1" applyAlignment="1">
      <alignment horizontal="right"/>
    </xf>
    <xf numFmtId="165" fontId="0" fillId="41" borderId="0" xfId="0" applyNumberFormat="1" applyFill="1" applyBorder="1"/>
    <xf numFmtId="0" fontId="108" fillId="0" borderId="9" xfId="0" applyFont="1" applyFill="1" applyBorder="1" applyAlignment="1">
      <alignment horizontal="center"/>
    </xf>
    <xf numFmtId="0" fontId="133" fillId="0" borderId="0" xfId="0" applyFont="1"/>
    <xf numFmtId="165" fontId="119" fillId="0" borderId="0" xfId="0" applyNumberFormat="1" applyFont="1" applyFill="1" applyBorder="1"/>
    <xf numFmtId="49" fontId="86" fillId="0" borderId="0" xfId="0" applyNumberFormat="1" applyFont="1"/>
    <xf numFmtId="165" fontId="49" fillId="0" borderId="10" xfId="0" applyNumberFormat="1" applyFont="1" applyBorder="1"/>
    <xf numFmtId="2" fontId="116" fillId="0" borderId="9" xfId="0" applyNumberFormat="1" applyFont="1" applyFill="1" applyBorder="1"/>
    <xf numFmtId="165" fontId="49" fillId="0" borderId="14" xfId="0" applyNumberFormat="1" applyFont="1" applyBorder="1"/>
    <xf numFmtId="2" fontId="55" fillId="0" borderId="9" xfId="0" applyNumberFormat="1" applyFont="1" applyBorder="1"/>
    <xf numFmtId="2" fontId="116" fillId="0" borderId="13" xfId="0" applyNumberFormat="1" applyFont="1" applyFill="1" applyBorder="1"/>
    <xf numFmtId="2" fontId="49" fillId="0" borderId="8" xfId="0" applyNumberFormat="1" applyFont="1" applyBorder="1"/>
    <xf numFmtId="2" fontId="86" fillId="0" borderId="8" xfId="0" applyNumberFormat="1" applyFont="1" applyBorder="1"/>
    <xf numFmtId="2" fontId="55" fillId="0" borderId="13" xfId="0" applyNumberFormat="1" applyFont="1" applyBorder="1"/>
    <xf numFmtId="0" fontId="116" fillId="0" borderId="38" xfId="0" applyFont="1" applyBorder="1" applyAlignment="1">
      <alignment horizontal="center"/>
    </xf>
    <xf numFmtId="0" fontId="116" fillId="0" borderId="39" xfId="0" applyFont="1" applyBorder="1" applyAlignment="1">
      <alignment horizontal="center"/>
    </xf>
    <xf numFmtId="2" fontId="119" fillId="0" borderId="0" xfId="0" applyNumberFormat="1" applyFont="1" applyBorder="1"/>
    <xf numFmtId="0" fontId="49" fillId="0" borderId="30" xfId="0" applyFont="1" applyBorder="1"/>
    <xf numFmtId="0" fontId="49" fillId="0" borderId="50" xfId="0" applyFont="1" applyBorder="1"/>
    <xf numFmtId="0" fontId="49" fillId="0" borderId="49" xfId="0" applyFont="1" applyBorder="1" applyAlignment="1">
      <alignment horizontal="left"/>
    </xf>
    <xf numFmtId="0" fontId="104" fillId="0" borderId="0" xfId="0" applyFont="1" applyAlignment="1">
      <alignment horizontal="left"/>
    </xf>
    <xf numFmtId="0" fontId="55" fillId="0" borderId="0" xfId="0" applyFont="1" applyFill="1" applyAlignment="1">
      <alignment horizontal="right"/>
    </xf>
    <xf numFmtId="0" fontId="49" fillId="51" borderId="3" xfId="0" applyFont="1" applyFill="1" applyBorder="1" applyAlignment="1">
      <alignment horizontal="left"/>
    </xf>
    <xf numFmtId="165" fontId="49" fillId="51" borderId="0" xfId="0" applyNumberFormat="1" applyFont="1" applyFill="1" applyBorder="1" applyAlignment="1">
      <alignment horizontal="right"/>
    </xf>
    <xf numFmtId="0" fontId="49" fillId="51" borderId="35" xfId="0" applyFont="1" applyFill="1" applyBorder="1"/>
    <xf numFmtId="0" fontId="63" fillId="0" borderId="0" xfId="0" applyFont="1" applyAlignment="1">
      <alignment horizontal="center"/>
    </xf>
    <xf numFmtId="0" fontId="49" fillId="0" borderId="49" xfId="0" applyFont="1" applyFill="1" applyBorder="1"/>
    <xf numFmtId="0" fontId="49" fillId="0" borderId="50" xfId="0" applyFont="1" applyFill="1" applyBorder="1"/>
    <xf numFmtId="165" fontId="49" fillId="0" borderId="0" xfId="0" applyNumberFormat="1" applyFont="1" applyFill="1" applyAlignment="1">
      <alignment horizontal="center"/>
    </xf>
    <xf numFmtId="1" fontId="49" fillId="41" borderId="30" xfId="0" applyNumberFormat="1" applyFont="1" applyFill="1" applyBorder="1"/>
    <xf numFmtId="3" fontId="19" fillId="41" borderId="0" xfId="0" applyNumberFormat="1" applyFont="1" applyFill="1" applyBorder="1" applyAlignment="1">
      <alignment horizontal="right"/>
    </xf>
    <xf numFmtId="2" fontId="60" fillId="0" borderId="0" xfId="0" applyNumberFormat="1" applyFont="1" applyFill="1" applyBorder="1"/>
    <xf numFmtId="0" fontId="42" fillId="0" borderId="0" xfId="0" applyFont="1" applyFill="1" applyBorder="1" applyAlignment="1">
      <alignment vertical="center"/>
    </xf>
    <xf numFmtId="165" fontId="55" fillId="0" borderId="0" xfId="0" applyNumberFormat="1" applyFont="1" applyBorder="1"/>
    <xf numFmtId="165" fontId="55" fillId="0" borderId="9" xfId="0" applyNumberFormat="1" applyFont="1" applyBorder="1"/>
    <xf numFmtId="0" fontId="49" fillId="0" borderId="28" xfId="0" applyFont="1" applyBorder="1"/>
    <xf numFmtId="165" fontId="49" fillId="0" borderId="30" xfId="0" applyNumberFormat="1" applyFont="1" applyFill="1" applyBorder="1" applyAlignment="1">
      <alignment horizontal="right"/>
    </xf>
    <xf numFmtId="165" fontId="49" fillId="0" borderId="66" xfId="0" applyNumberFormat="1" applyFont="1" applyFill="1" applyBorder="1"/>
    <xf numFmtId="0" fontId="55" fillId="45" borderId="14" xfId="0" applyFont="1" applyFill="1" applyBorder="1"/>
    <xf numFmtId="0" fontId="42" fillId="45" borderId="13" xfId="0" applyFont="1" applyFill="1" applyBorder="1"/>
    <xf numFmtId="165" fontId="42" fillId="45" borderId="8" xfId="0" applyNumberFormat="1" applyFont="1" applyFill="1" applyBorder="1"/>
    <xf numFmtId="2" fontId="49" fillId="0" borderId="10" xfId="0" applyNumberFormat="1" applyFont="1" applyBorder="1" applyAlignment="1">
      <alignment horizontal="center"/>
    </xf>
    <xf numFmtId="166" fontId="49" fillId="0" borderId="10" xfId="0" applyNumberFormat="1" applyFont="1" applyBorder="1"/>
    <xf numFmtId="0" fontId="19" fillId="0" borderId="9" xfId="0" applyFont="1" applyFill="1" applyBorder="1" applyAlignment="1"/>
    <xf numFmtId="165" fontId="49" fillId="0" borderId="15" xfId="0" applyNumberFormat="1" applyFont="1" applyBorder="1"/>
    <xf numFmtId="0" fontId="55" fillId="0" borderId="10" xfId="0" applyFont="1" applyBorder="1" applyAlignment="1">
      <alignment horizontal="center"/>
    </xf>
    <xf numFmtId="0" fontId="55" fillId="0" borderId="9" xfId="0" applyFont="1" applyBorder="1" applyAlignment="1">
      <alignment horizontal="center"/>
    </xf>
    <xf numFmtId="0" fontId="55" fillId="0" borderId="14" xfId="0" applyFont="1" applyBorder="1" applyAlignment="1">
      <alignment horizontal="center"/>
    </xf>
    <xf numFmtId="0" fontId="55" fillId="0" borderId="13" xfId="0" applyFont="1" applyBorder="1" applyAlignment="1">
      <alignment horizontal="center"/>
    </xf>
    <xf numFmtId="165" fontId="53" fillId="0" borderId="15" xfId="0" applyNumberFormat="1" applyFont="1" applyBorder="1" applyAlignment="1">
      <alignment horizontal="center"/>
    </xf>
    <xf numFmtId="0" fontId="53" fillId="0" borderId="11" xfId="0" applyFont="1" applyBorder="1" applyAlignment="1">
      <alignment horizontal="center"/>
    </xf>
    <xf numFmtId="165" fontId="49" fillId="0" borderId="11" xfId="0" applyNumberFormat="1" applyFont="1" applyBorder="1" applyAlignment="1">
      <alignment horizontal="center"/>
    </xf>
    <xf numFmtId="0" fontId="49" fillId="0" borderId="11" xfId="0" applyFont="1" applyBorder="1" applyAlignment="1">
      <alignment horizontal="center"/>
    </xf>
    <xf numFmtId="165" fontId="53" fillId="0" borderId="10" xfId="0" applyNumberFormat="1" applyFont="1" applyBorder="1" applyAlignment="1">
      <alignment horizontal="center"/>
    </xf>
    <xf numFmtId="0" fontId="53" fillId="0" borderId="0" xfId="0" applyFont="1" applyBorder="1" applyAlignment="1">
      <alignment horizontal="center"/>
    </xf>
    <xf numFmtId="165" fontId="55" fillId="0" borderId="10" xfId="0" applyNumberFormat="1" applyFont="1" applyBorder="1" applyAlignment="1">
      <alignment horizontal="center"/>
    </xf>
    <xf numFmtId="0" fontId="55" fillId="0" borderId="0" xfId="0" applyFont="1" applyBorder="1" applyAlignment="1">
      <alignment horizontal="center"/>
    </xf>
    <xf numFmtId="165" fontId="55" fillId="0" borderId="0" xfId="0" applyNumberFormat="1" applyFont="1" applyBorder="1" applyAlignment="1">
      <alignment horizontal="center"/>
    </xf>
    <xf numFmtId="165" fontId="55" fillId="0" borderId="14" xfId="0" applyNumberFormat="1" applyFont="1" applyBorder="1" applyAlignment="1">
      <alignment horizontal="center"/>
    </xf>
    <xf numFmtId="0" fontId="55" fillId="0" borderId="8" xfId="0" applyFont="1" applyBorder="1" applyAlignment="1">
      <alignment horizontal="center"/>
    </xf>
    <xf numFmtId="165" fontId="55" fillId="0" borderId="8" xfId="0" applyNumberFormat="1" applyFont="1" applyBorder="1" applyAlignment="1">
      <alignment horizontal="center"/>
    </xf>
    <xf numFmtId="171" fontId="49" fillId="0" borderId="9" xfId="0" applyNumberFormat="1" applyFont="1" applyBorder="1" applyAlignment="1">
      <alignment horizontal="center"/>
    </xf>
    <xf numFmtId="171" fontId="55" fillId="0" borderId="9" xfId="0" applyNumberFormat="1" applyFont="1" applyBorder="1" applyAlignment="1">
      <alignment horizontal="center"/>
    </xf>
    <xf numFmtId="171" fontId="55" fillId="0" borderId="13" xfId="0" applyNumberFormat="1" applyFont="1" applyBorder="1" applyAlignment="1">
      <alignment horizontal="center"/>
    </xf>
    <xf numFmtId="165" fontId="49" fillId="0" borderId="15" xfId="0" applyNumberFormat="1" applyFont="1" applyBorder="1" applyAlignment="1">
      <alignment horizontal="center"/>
    </xf>
    <xf numFmtId="0" fontId="55" fillId="0" borderId="11" xfId="0" applyFont="1" applyBorder="1" applyAlignment="1">
      <alignment horizontal="center"/>
    </xf>
    <xf numFmtId="171" fontId="49" fillId="0" borderId="11" xfId="0" applyNumberFormat="1" applyFont="1" applyBorder="1" applyAlignment="1">
      <alignment horizontal="center"/>
    </xf>
    <xf numFmtId="165" fontId="49" fillId="0" borderId="10" xfId="0" applyNumberFormat="1" applyFont="1" applyBorder="1" applyAlignment="1">
      <alignment horizontal="center"/>
    </xf>
    <xf numFmtId="171" fontId="49" fillId="0" borderId="0" xfId="0" applyNumberFormat="1" applyFont="1" applyBorder="1" applyAlignment="1">
      <alignment horizontal="center"/>
    </xf>
    <xf numFmtId="0" fontId="55" fillId="45" borderId="24" xfId="0" applyFont="1" applyFill="1" applyBorder="1" applyAlignment="1">
      <alignment horizontal="center"/>
    </xf>
    <xf numFmtId="165" fontId="55" fillId="52" borderId="14" xfId="0" applyNumberFormat="1" applyFont="1" applyFill="1" applyBorder="1"/>
    <xf numFmtId="0" fontId="55" fillId="52" borderId="8" xfId="0" applyFont="1" applyFill="1" applyBorder="1"/>
    <xf numFmtId="0" fontId="53" fillId="0" borderId="17" xfId="0" applyFont="1" applyBorder="1" applyAlignment="1">
      <alignment horizontal="center"/>
    </xf>
    <xf numFmtId="0" fontId="53" fillId="0" borderId="9" xfId="0" applyFont="1" applyBorder="1" applyAlignment="1">
      <alignment horizontal="center"/>
    </xf>
    <xf numFmtId="49" fontId="100" fillId="0" borderId="0" xfId="0" applyNumberFormat="1" applyFont="1" applyBorder="1" applyAlignment="1">
      <alignment horizontal="center"/>
    </xf>
    <xf numFmtId="0" fontId="0" fillId="0" borderId="0" xfId="0" applyBorder="1" applyAlignment="1">
      <alignment horizontal="center"/>
    </xf>
    <xf numFmtId="165" fontId="90" fillId="0" borderId="0" xfId="0" applyNumberFormat="1" applyFont="1" applyAlignment="1">
      <alignment horizontal="center"/>
    </xf>
    <xf numFmtId="165" fontId="55" fillId="0" borderId="0" xfId="0" applyNumberFormat="1" applyFont="1" applyAlignment="1">
      <alignment horizontal="center"/>
    </xf>
    <xf numFmtId="0" fontId="0" fillId="0" borderId="0" xfId="0" applyBorder="1" applyAlignment="1">
      <alignment horizontal="center"/>
    </xf>
    <xf numFmtId="0" fontId="55" fillId="45" borderId="22" xfId="0" applyFont="1" applyFill="1" applyBorder="1" applyAlignment="1">
      <alignment horizontal="center"/>
    </xf>
    <xf numFmtId="173" fontId="0" fillId="0" borderId="0" xfId="44" applyNumberFormat="1" applyFont="1" applyBorder="1"/>
    <xf numFmtId="173" fontId="0" fillId="0" borderId="0" xfId="0" applyNumberFormat="1" applyFill="1" applyBorder="1"/>
    <xf numFmtId="173" fontId="42" fillId="0" borderId="11" xfId="0" applyNumberFormat="1" applyFont="1" applyBorder="1"/>
    <xf numFmtId="173" fontId="42" fillId="0" borderId="11" xfId="0" applyNumberFormat="1" applyFont="1" applyBorder="1" applyAlignment="1">
      <alignment horizontal="left"/>
    </xf>
    <xf numFmtId="0" fontId="42" fillId="0" borderId="3" xfId="0" applyFont="1" applyBorder="1" applyAlignment="1">
      <alignment horizontal="left"/>
    </xf>
    <xf numFmtId="0" fontId="42" fillId="0" borderId="35" xfId="0" applyFont="1" applyBorder="1" applyAlignment="1">
      <alignment horizontal="center"/>
    </xf>
    <xf numFmtId="173" fontId="0" fillId="0" borderId="0" xfId="44" applyNumberFormat="1" applyFont="1" applyBorder="1" applyAlignment="1">
      <alignment horizontal="center"/>
    </xf>
    <xf numFmtId="0" fontId="0" fillId="0" borderId="16" xfId="0" applyBorder="1" applyAlignment="1">
      <alignment horizontal="center"/>
    </xf>
    <xf numFmtId="0" fontId="0" fillId="45" borderId="0" xfId="0" applyFill="1" applyBorder="1"/>
    <xf numFmtId="173" fontId="0" fillId="0" borderId="0" xfId="0" applyNumberFormat="1" applyBorder="1" applyAlignment="1">
      <alignment horizontal="center"/>
    </xf>
    <xf numFmtId="0" fontId="52" fillId="0" borderId="35" xfId="0" applyFont="1" applyBorder="1"/>
    <xf numFmtId="0" fontId="135" fillId="0" borderId="21" xfId="0" applyFont="1" applyBorder="1"/>
    <xf numFmtId="0" fontId="42" fillId="0" borderId="20" xfId="0" applyFont="1" applyBorder="1"/>
    <xf numFmtId="166" fontId="49" fillId="41" borderId="0" xfId="0" applyNumberFormat="1" applyFont="1" applyFill="1" applyBorder="1" applyAlignment="1">
      <alignment horizontal="right"/>
    </xf>
    <xf numFmtId="0" fontId="100" fillId="0" borderId="52" xfId="0" applyFont="1" applyBorder="1" applyAlignment="1">
      <alignment horizontal="left"/>
    </xf>
    <xf numFmtId="0" fontId="100" fillId="0" borderId="51" xfId="0" applyFont="1" applyFill="1" applyBorder="1" applyAlignment="1">
      <alignment horizontal="left"/>
    </xf>
    <xf numFmtId="166" fontId="49" fillId="0" borderId="30" xfId="0" applyNumberFormat="1" applyFont="1" applyBorder="1"/>
    <xf numFmtId="165" fontId="53" fillId="0" borderId="0" xfId="0" applyNumberFormat="1" applyFont="1" applyBorder="1" applyAlignment="1">
      <alignment horizontal="center"/>
    </xf>
    <xf numFmtId="165" fontId="107" fillId="43" borderId="4" xfId="0" applyNumberFormat="1" applyFont="1" applyFill="1" applyBorder="1"/>
    <xf numFmtId="0" fontId="55" fillId="0" borderId="0" xfId="0" applyFont="1" applyBorder="1"/>
    <xf numFmtId="165" fontId="107" fillId="43" borderId="0" xfId="0" applyNumberFormat="1" applyFont="1" applyFill="1" applyBorder="1" applyAlignment="1">
      <alignment horizontal="right"/>
    </xf>
    <xf numFmtId="0" fontId="53" fillId="0" borderId="3" xfId="0" applyFont="1" applyBorder="1" applyAlignment="1">
      <alignment horizontal="left"/>
    </xf>
    <xf numFmtId="0" fontId="55" fillId="0" borderId="3" xfId="0" applyFont="1" applyBorder="1" applyAlignment="1">
      <alignment horizontal="left"/>
    </xf>
    <xf numFmtId="165" fontId="86" fillId="0" borderId="4" xfId="0" applyNumberFormat="1" applyFont="1" applyBorder="1" applyAlignment="1">
      <alignment horizontal="right"/>
    </xf>
    <xf numFmtId="0" fontId="43" fillId="0" borderId="0" xfId="0" applyFont="1" applyAlignment="1">
      <alignment vertical="center"/>
    </xf>
    <xf numFmtId="49" fontId="132" fillId="0" borderId="0" xfId="0" applyNumberFormat="1" applyFont="1"/>
    <xf numFmtId="0" fontId="53" fillId="0" borderId="3" xfId="0" applyFont="1" applyFill="1" applyBorder="1" applyAlignment="1">
      <alignment horizontal="left"/>
    </xf>
    <xf numFmtId="0" fontId="0" fillId="0" borderId="3" xfId="0" applyBorder="1" applyAlignment="1">
      <alignment horizontal="center" vertical="center" textRotation="90"/>
    </xf>
    <xf numFmtId="0" fontId="55" fillId="0" borderId="35" xfId="0" applyFont="1" applyBorder="1"/>
    <xf numFmtId="165" fontId="55" fillId="43" borderId="0" xfId="0" applyNumberFormat="1" applyFont="1" applyFill="1" applyBorder="1"/>
    <xf numFmtId="165" fontId="55" fillId="43" borderId="0" xfId="0" applyNumberFormat="1" applyFont="1" applyFill="1"/>
    <xf numFmtId="0" fontId="55" fillId="0" borderId="35" xfId="0" applyFont="1" applyFill="1" applyBorder="1" applyAlignment="1">
      <alignment horizontal="left"/>
    </xf>
    <xf numFmtId="0" fontId="53" fillId="0" borderId="35" xfId="0" applyFont="1" applyBorder="1" applyAlignment="1">
      <alignment vertical="center"/>
    </xf>
    <xf numFmtId="0" fontId="53" fillId="0" borderId="35" xfId="0" applyFont="1" applyBorder="1"/>
    <xf numFmtId="1" fontId="49" fillId="41" borderId="0" xfId="0" applyNumberFormat="1" applyFont="1" applyFill="1" applyBorder="1" applyAlignment="1">
      <alignment horizontal="right"/>
    </xf>
    <xf numFmtId="0" fontId="67" fillId="0" borderId="10" xfId="0" applyFont="1" applyFill="1" applyBorder="1" applyAlignment="1">
      <alignment horizontal="left"/>
    </xf>
    <xf numFmtId="0" fontId="10" fillId="0" borderId="10" xfId="0" applyFont="1" applyFill="1" applyBorder="1"/>
    <xf numFmtId="1" fontId="55" fillId="0" borderId="0" xfId="0" applyNumberFormat="1" applyFont="1" applyBorder="1" applyAlignment="1">
      <alignment horizontal="right"/>
    </xf>
    <xf numFmtId="0" fontId="10" fillId="0" borderId="0" xfId="0" applyFont="1"/>
    <xf numFmtId="0" fontId="10" fillId="0" borderId="0" xfId="0" applyFont="1" applyBorder="1"/>
    <xf numFmtId="165" fontId="104" fillId="0" borderId="0" xfId="0" applyNumberFormat="1" applyFont="1" applyAlignment="1">
      <alignment horizontal="center"/>
    </xf>
    <xf numFmtId="165" fontId="86" fillId="51" borderId="0" xfId="0" applyNumberFormat="1" applyFont="1" applyFill="1" applyBorder="1" applyAlignment="1">
      <alignment horizontal="right"/>
    </xf>
    <xf numFmtId="168"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8" borderId="22" xfId="0" applyFill="1" applyBorder="1"/>
    <xf numFmtId="165" fontId="54" fillId="0" borderId="23" xfId="0" applyNumberFormat="1" applyFont="1" applyBorder="1"/>
    <xf numFmtId="0" fontId="22" fillId="8" borderId="22" xfId="0" applyFont="1" applyFill="1" applyBorder="1"/>
    <xf numFmtId="0" fontId="22" fillId="0" borderId="24" xfId="0" applyFont="1" applyBorder="1"/>
    <xf numFmtId="0" fontId="22" fillId="8" borderId="22" xfId="0" applyFont="1" applyFill="1" applyBorder="1" applyAlignment="1">
      <alignment horizontal="left"/>
    </xf>
    <xf numFmtId="0" fontId="42" fillId="4" borderId="15" xfId="0" applyFont="1" applyFill="1" applyBorder="1" applyAlignment="1">
      <alignment horizontal="right"/>
    </xf>
    <xf numFmtId="0" fontId="42" fillId="4" borderId="17" xfId="0" applyFont="1" applyFill="1" applyBorder="1" applyAlignment="1">
      <alignment horizontal="right"/>
    </xf>
    <xf numFmtId="0" fontId="0" fillId="0" borderId="9" xfId="0" applyFill="1" applyBorder="1" applyAlignment="1">
      <alignment horizontal="left"/>
    </xf>
    <xf numFmtId="0" fontId="0" fillId="0" borderId="14" xfId="0" applyBorder="1" applyAlignment="1">
      <alignment horizontal="center"/>
    </xf>
    <xf numFmtId="2" fontId="0" fillId="0" borderId="9" xfId="0" applyNumberFormat="1" applyFill="1" applyBorder="1" applyAlignment="1">
      <alignment horizontal="center"/>
    </xf>
    <xf numFmtId="2" fontId="11" fillId="0" borderId="9" xfId="0" applyNumberFormat="1" applyFont="1" applyBorder="1" applyAlignment="1">
      <alignment horizontal="center"/>
    </xf>
    <xf numFmtId="0" fontId="0" fillId="0" borderId="88" xfId="0" applyFill="1" applyBorder="1" applyAlignment="1">
      <alignment horizontal="center"/>
    </xf>
    <xf numFmtId="2" fontId="11" fillId="0" borderId="87" xfId="0" applyNumberFormat="1" applyFont="1" applyBorder="1" applyAlignment="1">
      <alignment horizontal="center"/>
    </xf>
    <xf numFmtId="2" fontId="0" fillId="0" borderId="16" xfId="0" applyNumberFormat="1" applyBorder="1" applyAlignment="1">
      <alignment horizontal="center"/>
    </xf>
    <xf numFmtId="2" fontId="0" fillId="0" borderId="87" xfId="0" applyNumberFormat="1" applyFill="1" applyBorder="1" applyAlignment="1">
      <alignment horizontal="center"/>
    </xf>
    <xf numFmtId="1" fontId="0" fillId="0" borderId="16" xfId="0" applyNumberFormat="1" applyBorder="1" applyAlignment="1">
      <alignment horizontal="center"/>
    </xf>
    <xf numFmtId="0" fontId="0" fillId="0" borderId="87" xfId="0" applyBorder="1" applyAlignment="1">
      <alignment horizontal="center"/>
    </xf>
    <xf numFmtId="2" fontId="0" fillId="0" borderId="13" xfId="0" applyNumberFormat="1" applyFill="1" applyBorder="1" applyAlignment="1">
      <alignment horizontal="center"/>
    </xf>
    <xf numFmtId="2" fontId="42" fillId="0" borderId="0" xfId="0" applyNumberFormat="1" applyFont="1" applyAlignment="1">
      <alignment horizontal="center"/>
    </xf>
    <xf numFmtId="1" fontId="0" fillId="0" borderId="0" xfId="0" applyNumberFormat="1" applyFill="1" applyBorder="1" applyAlignment="1">
      <alignment horizontal="center"/>
    </xf>
    <xf numFmtId="2" fontId="42" fillId="0" borderId="9" xfId="0" applyNumberFormat="1" applyFont="1" applyFill="1" applyBorder="1" applyAlignment="1">
      <alignment horizontal="center"/>
    </xf>
    <xf numFmtId="2" fontId="9" fillId="0" borderId="9" xfId="0" applyNumberFormat="1" applyFont="1" applyFill="1" applyBorder="1" applyAlignment="1">
      <alignment horizontal="center"/>
    </xf>
    <xf numFmtId="2" fontId="9" fillId="0" borderId="87" xfId="0" applyNumberFormat="1" applyFont="1" applyFill="1" applyBorder="1" applyAlignment="1">
      <alignment horizontal="center"/>
    </xf>
    <xf numFmtId="0" fontId="0" fillId="0" borderId="16" xfId="0" applyFill="1" applyBorder="1" applyAlignment="1">
      <alignment horizontal="center"/>
    </xf>
    <xf numFmtId="2" fontId="0" fillId="0" borderId="16" xfId="0" applyNumberFormat="1" applyFill="1" applyBorder="1" applyAlignment="1">
      <alignment horizontal="center"/>
    </xf>
    <xf numFmtId="1" fontId="0" fillId="0" borderId="16" xfId="0" applyNumberFormat="1" applyFill="1" applyBorder="1" applyAlignment="1">
      <alignment horizontal="center"/>
    </xf>
    <xf numFmtId="0" fontId="0" fillId="0" borderId="87" xfId="0" applyFill="1" applyBorder="1" applyAlignment="1">
      <alignment horizontal="center"/>
    </xf>
    <xf numFmtId="2" fontId="0" fillId="0" borderId="0" xfId="0" applyNumberFormat="1" applyFill="1" applyAlignment="1">
      <alignment horizontal="center"/>
    </xf>
    <xf numFmtId="166" fontId="0" fillId="0" borderId="0" xfId="0" applyNumberFormat="1" applyAlignment="1">
      <alignment horizontal="center"/>
    </xf>
    <xf numFmtId="0" fontId="42" fillId="45" borderId="15" xfId="0" applyFont="1" applyFill="1" applyBorder="1"/>
    <xf numFmtId="0" fontId="0" fillId="45" borderId="11" xfId="0" applyFill="1" applyBorder="1"/>
    <xf numFmtId="0" fontId="0" fillId="45" borderId="17" xfId="0" applyFill="1" applyBorder="1"/>
    <xf numFmtId="0" fontId="0" fillId="0" borderId="0" xfId="0" applyBorder="1" applyAlignment="1">
      <alignment horizontal="center"/>
    </xf>
    <xf numFmtId="165" fontId="0" fillId="0" borderId="15" xfId="0" applyNumberFormat="1" applyBorder="1"/>
    <xf numFmtId="165" fontId="0" fillId="0" borderId="53" xfId="0" applyNumberFormat="1" applyBorder="1"/>
    <xf numFmtId="165" fontId="0" fillId="0" borderId="3" xfId="0" applyNumberFormat="1" applyBorder="1"/>
    <xf numFmtId="0" fontId="42" fillId="0" borderId="16" xfId="0" applyFont="1" applyBorder="1"/>
    <xf numFmtId="0" fontId="0" fillId="0" borderId="87" xfId="0" applyBorder="1"/>
    <xf numFmtId="173" fontId="0" fillId="0" borderId="0" xfId="44" applyNumberFormat="1" applyFont="1"/>
    <xf numFmtId="166" fontId="0" fillId="0" borderId="10" xfId="0" applyNumberFormat="1" applyBorder="1"/>
    <xf numFmtId="43" fontId="0" fillId="0" borderId="0" xfId="0" applyNumberFormat="1" applyBorder="1"/>
    <xf numFmtId="11" fontId="42" fillId="0" borderId="0" xfId="0" applyNumberFormat="1" applyFont="1"/>
    <xf numFmtId="169" fontId="42" fillId="0" borderId="0" xfId="0" applyNumberFormat="1" applyFont="1" applyBorder="1" applyAlignment="1">
      <alignment horizontal="right"/>
    </xf>
    <xf numFmtId="2" fontId="42" fillId="0" borderId="20" xfId="0" applyNumberFormat="1" applyFont="1" applyBorder="1"/>
    <xf numFmtId="2" fontId="42" fillId="0" borderId="88" xfId="0" applyNumberFormat="1" applyFont="1" applyBorder="1"/>
    <xf numFmtId="0" fontId="47" fillId="0" borderId="0" xfId="1" applyAlignment="1">
      <alignment horizontal="left"/>
    </xf>
    <xf numFmtId="173" fontId="60" fillId="0" borderId="11" xfId="0" applyNumberFormat="1" applyFont="1" applyBorder="1"/>
    <xf numFmtId="0" fontId="8" fillId="0" borderId="0" xfId="0" applyFont="1"/>
    <xf numFmtId="0" fontId="0" fillId="45" borderId="65" xfId="0" applyFill="1" applyBorder="1" applyAlignment="1">
      <alignment horizontal="center"/>
    </xf>
    <xf numFmtId="0" fontId="0" fillId="45" borderId="37" xfId="0" applyFill="1" applyBorder="1" applyAlignment="1">
      <alignment horizontal="center"/>
    </xf>
    <xf numFmtId="0" fontId="0" fillId="45" borderId="2" xfId="0" applyFill="1" applyBorder="1" applyAlignment="1">
      <alignment horizontal="center"/>
    </xf>
    <xf numFmtId="0" fontId="0" fillId="45" borderId="19" xfId="0" applyFill="1" applyBorder="1" applyAlignment="1">
      <alignment horizontal="center"/>
    </xf>
    <xf numFmtId="0" fontId="72" fillId="0" borderId="0" xfId="0" applyFont="1" applyFill="1" applyAlignment="1">
      <alignment horizontal="center"/>
    </xf>
    <xf numFmtId="0" fontId="102" fillId="0" borderId="9" xfId="0" applyFont="1" applyBorder="1"/>
    <xf numFmtId="2" fontId="54" fillId="0" borderId="0" xfId="0" applyNumberFormat="1" applyFont="1" applyBorder="1"/>
    <xf numFmtId="173" fontId="0" fillId="0" borderId="0" xfId="44" applyNumberFormat="1" applyFont="1" applyFill="1" applyBorder="1"/>
    <xf numFmtId="174" fontId="0" fillId="0" borderId="0" xfId="2" applyNumberFormat="1" applyFont="1"/>
    <xf numFmtId="0" fontId="49" fillId="0" borderId="10" xfId="0" applyFont="1" applyFill="1" applyBorder="1" applyAlignment="1">
      <alignment horizontal="left"/>
    </xf>
    <xf numFmtId="1" fontId="49" fillId="0" borderId="0" xfId="0" applyNumberFormat="1" applyFont="1" applyBorder="1" applyAlignment="1">
      <alignment horizontal="right"/>
    </xf>
    <xf numFmtId="165" fontId="49" fillId="0" borderId="9" xfId="0" applyNumberFormat="1" applyFont="1" applyFill="1" applyBorder="1" applyAlignment="1"/>
    <xf numFmtId="165" fontId="49" fillId="0" borderId="13" xfId="0" applyNumberFormat="1" applyFont="1" applyBorder="1" applyAlignment="1"/>
    <xf numFmtId="0" fontId="100" fillId="0" borderId="9" xfId="0" applyFont="1" applyBorder="1" applyAlignment="1"/>
    <xf numFmtId="0" fontId="49" fillId="0" borderId="9" xfId="0" applyFont="1" applyBorder="1" applyAlignment="1"/>
    <xf numFmtId="1" fontId="100" fillId="0" borderId="0" xfId="0" applyNumberFormat="1" applyFont="1" applyBorder="1" applyAlignment="1">
      <alignment horizontal="right"/>
    </xf>
    <xf numFmtId="0" fontId="100" fillId="0" borderId="8" xfId="0" applyFont="1" applyFill="1" applyBorder="1"/>
    <xf numFmtId="0" fontId="100" fillId="0" borderId="8" xfId="0" applyFont="1" applyBorder="1"/>
    <xf numFmtId="0" fontId="100" fillId="0" borderId="10" xfId="0" applyFont="1" applyFill="1" applyBorder="1"/>
    <xf numFmtId="1" fontId="108" fillId="0" borderId="11" xfId="0" applyNumberFormat="1" applyFont="1" applyBorder="1" applyAlignment="1"/>
    <xf numFmtId="165" fontId="49" fillId="0" borderId="8" xfId="0" applyNumberFormat="1" applyFont="1" applyFill="1" applyBorder="1" applyAlignment="1">
      <alignment horizontal="left"/>
    </xf>
    <xf numFmtId="165" fontId="49" fillId="0" borderId="9" xfId="0" applyNumberFormat="1" applyFont="1" applyBorder="1" applyAlignment="1">
      <alignment horizontal="right"/>
    </xf>
    <xf numFmtId="0" fontId="100" fillId="0" borderId="0" xfId="0" applyFont="1" applyBorder="1" applyAlignment="1">
      <alignment horizontal="left"/>
    </xf>
    <xf numFmtId="1" fontId="100" fillId="0" borderId="0" xfId="0" applyNumberFormat="1" applyFont="1"/>
    <xf numFmtId="1" fontId="100" fillId="0" borderId="0" xfId="0" applyNumberFormat="1" applyFont="1" applyBorder="1"/>
    <xf numFmtId="1" fontId="86" fillId="4" borderId="0" xfId="0" applyNumberFormat="1" applyFont="1" applyFill="1" applyBorder="1"/>
    <xf numFmtId="1" fontId="86" fillId="4" borderId="0" xfId="0" applyNumberFormat="1" applyFont="1" applyFill="1" applyBorder="1" applyAlignment="1">
      <alignment horizontal="right"/>
    </xf>
    <xf numFmtId="2" fontId="49" fillId="0" borderId="0" xfId="0" applyNumberFormat="1" applyFont="1" applyBorder="1" applyAlignment="1"/>
    <xf numFmtId="0" fontId="136" fillId="0" borderId="10" xfId="0" applyFont="1" applyFill="1" applyBorder="1"/>
    <xf numFmtId="0" fontId="68" fillId="0" borderId="0" xfId="0" applyFont="1" applyFill="1" applyBorder="1" applyAlignment="1"/>
    <xf numFmtId="1" fontId="0" fillId="0" borderId="8" xfId="0" applyNumberFormat="1" applyBorder="1"/>
    <xf numFmtId="0" fontId="136" fillId="0" borderId="36" xfId="0" applyFont="1" applyBorder="1" applyAlignment="1">
      <alignment horizontal="center"/>
    </xf>
    <xf numFmtId="0" fontId="0" fillId="41" borderId="38" xfId="0" applyFill="1" applyBorder="1" applyAlignment="1">
      <alignment horizontal="center"/>
    </xf>
    <xf numFmtId="0" fontId="0" fillId="5" borderId="38" xfId="0" applyFill="1" applyBorder="1" applyAlignment="1">
      <alignment horizontal="center"/>
    </xf>
    <xf numFmtId="0" fontId="0" fillId="0" borderId="10" xfId="0" applyBorder="1" applyAlignment="1"/>
    <xf numFmtId="0" fontId="0" fillId="0" borderId="9" xfId="0" applyBorder="1" applyAlignment="1"/>
    <xf numFmtId="0" fontId="65" fillId="0" borderId="9" xfId="0" applyFont="1" applyBorder="1"/>
    <xf numFmtId="0" fontId="42" fillId="41" borderId="29" xfId="0" applyFont="1" applyFill="1" applyBorder="1" applyAlignment="1">
      <alignment horizontal="right"/>
    </xf>
    <xf numFmtId="2" fontId="0" fillId="41" borderId="0" xfId="0" applyNumberFormat="1" applyFill="1" applyBorder="1" applyAlignment="1">
      <alignment horizontal="right"/>
    </xf>
    <xf numFmtId="0" fontId="0" fillId="43" borderId="38" xfId="0" applyFill="1" applyBorder="1" applyAlignment="1">
      <alignment horizontal="center"/>
    </xf>
    <xf numFmtId="0" fontId="60" fillId="6" borderId="38" xfId="0" applyFont="1" applyFill="1" applyBorder="1" applyAlignment="1">
      <alignment horizontal="center"/>
    </xf>
    <xf numFmtId="0" fontId="42" fillId="0" borderId="15" xfId="0" applyFont="1" applyBorder="1" applyAlignment="1">
      <alignment horizontal="center"/>
    </xf>
    <xf numFmtId="165" fontId="0" fillId="0" borderId="0" xfId="0" applyNumberFormat="1" applyFill="1" applyBorder="1" applyAlignment="1">
      <alignment horizontal="center"/>
    </xf>
    <xf numFmtId="165" fontId="0" fillId="0" borderId="11" xfId="0" applyNumberFormat="1" applyFill="1" applyBorder="1" applyAlignment="1">
      <alignment horizontal="center"/>
    </xf>
    <xf numFmtId="0" fontId="55" fillId="0" borderId="0" xfId="0" applyFont="1" applyBorder="1" applyAlignment="1">
      <alignment wrapText="1"/>
    </xf>
    <xf numFmtId="0" fontId="0" fillId="0" borderId="9" xfId="0" applyFill="1" applyBorder="1" applyAlignment="1"/>
    <xf numFmtId="0" fontId="0" fillId="4" borderId="11" xfId="0" applyFill="1" applyBorder="1"/>
    <xf numFmtId="0" fontId="7" fillId="0" borderId="10" xfId="0" applyFont="1" applyBorder="1"/>
    <xf numFmtId="0" fontId="66" fillId="0" borderId="0" xfId="0" applyFont="1" applyBorder="1" applyAlignment="1">
      <alignment horizontal="center" wrapText="1"/>
    </xf>
    <xf numFmtId="166" fontId="0" fillId="0" borderId="11" xfId="0" applyNumberFormat="1" applyBorder="1" applyAlignment="1">
      <alignment horizontal="center"/>
    </xf>
    <xf numFmtId="2" fontId="0" fillId="0" borderId="11" xfId="0" applyNumberFormat="1" applyFill="1" applyBorder="1" applyAlignment="1">
      <alignment horizontal="center"/>
    </xf>
    <xf numFmtId="0" fontId="7" fillId="4" borderId="15" xfId="0" applyFont="1" applyFill="1" applyBorder="1"/>
    <xf numFmtId="0" fontId="55" fillId="0" borderId="0" xfId="0" applyFont="1" applyFill="1" applyBorder="1" applyAlignment="1">
      <alignment horizontal="center" wrapText="1"/>
    </xf>
    <xf numFmtId="0" fontId="42" fillId="0" borderId="0" xfId="0" applyFont="1" applyFill="1" applyBorder="1" applyAlignment="1">
      <alignment wrapText="1"/>
    </xf>
    <xf numFmtId="0" fontId="42" fillId="0" borderId="10" xfId="0" applyFont="1" applyFill="1" applyBorder="1" applyAlignment="1">
      <alignment horizontal="right"/>
    </xf>
    <xf numFmtId="0" fontId="60" fillId="0" borderId="0" xfId="0" applyFont="1" applyFill="1" applyAlignment="1">
      <alignment horizontal="left"/>
    </xf>
    <xf numFmtId="165" fontId="47" fillId="0" borderId="0" xfId="1" applyNumberFormat="1" applyFill="1" applyAlignment="1"/>
    <xf numFmtId="0" fontId="47" fillId="0" borderId="0" xfId="1" applyFill="1" applyAlignment="1">
      <alignment horizontal="left"/>
    </xf>
    <xf numFmtId="0" fontId="47" fillId="0" borderId="0" xfId="1" applyAlignment="1"/>
    <xf numFmtId="166" fontId="0" fillId="0" borderId="8" xfId="0" applyNumberFormat="1" applyBorder="1" applyAlignment="1">
      <alignment horizontal="center"/>
    </xf>
    <xf numFmtId="0" fontId="49" fillId="0" borderId="3" xfId="0" applyFont="1" applyBorder="1" applyAlignment="1">
      <alignment vertical="center"/>
    </xf>
    <xf numFmtId="0" fontId="53" fillId="0" borderId="52" xfId="0" applyFont="1" applyFill="1" applyBorder="1" applyAlignment="1">
      <alignment horizontal="left"/>
    </xf>
    <xf numFmtId="0" fontId="49" fillId="0" borderId="51" xfId="0" applyFont="1" applyFill="1" applyBorder="1"/>
    <xf numFmtId="0" fontId="137" fillId="0" borderId="0" xfId="0" applyFont="1" applyFill="1"/>
    <xf numFmtId="0" fontId="6" fillId="0" borderId="10" xfId="0" applyFont="1" applyFill="1" applyBorder="1"/>
    <xf numFmtId="16" fontId="0" fillId="0" borderId="0" xfId="0" applyNumberFormat="1"/>
    <xf numFmtId="0" fontId="90" fillId="0" borderId="0" xfId="0" applyFont="1"/>
    <xf numFmtId="0" fontId="90" fillId="0" borderId="0" xfId="0" applyFont="1" applyAlignment="1">
      <alignment horizontal="right"/>
    </xf>
    <xf numFmtId="0" fontId="138" fillId="0" borderId="0" xfId="0" applyFont="1"/>
    <xf numFmtId="1" fontId="52" fillId="0" borderId="0" xfId="0" applyNumberFormat="1" applyFont="1"/>
    <xf numFmtId="1" fontId="0" fillId="0" borderId="0" xfId="0" applyNumberFormat="1" applyAlignment="1">
      <alignment horizontal="right"/>
    </xf>
    <xf numFmtId="2" fontId="42" fillId="40" borderId="9" xfId="0" applyNumberFormat="1" applyFont="1" applyFill="1" applyBorder="1" applyAlignment="1">
      <alignment horizontal="center"/>
    </xf>
    <xf numFmtId="2" fontId="5" fillId="0" borderId="9" xfId="0" applyNumberFormat="1" applyFont="1" applyFill="1" applyBorder="1" applyAlignment="1">
      <alignment horizontal="center"/>
    </xf>
    <xf numFmtId="0" fontId="5" fillId="0" borderId="0" xfId="0" applyFont="1"/>
    <xf numFmtId="2" fontId="42" fillId="0" borderId="13" xfId="0" applyNumberFormat="1" applyFont="1" applyBorder="1" applyAlignment="1">
      <alignment horizontal="center"/>
    </xf>
    <xf numFmtId="1" fontId="42" fillId="0" borderId="13" xfId="0" applyNumberFormat="1" applyFont="1" applyBorder="1" applyAlignment="1">
      <alignment horizontal="center"/>
    </xf>
    <xf numFmtId="0" fontId="0" fillId="4" borderId="15" xfId="0" applyFill="1" applyBorder="1" applyAlignment="1">
      <alignment horizontal="center" vertical="center"/>
    </xf>
    <xf numFmtId="0" fontId="0" fillId="4" borderId="17" xfId="0" applyFill="1" applyBorder="1" applyAlignment="1">
      <alignment horizontal="center" vertical="center" wrapText="1"/>
    </xf>
    <xf numFmtId="0" fontId="0" fillId="4" borderId="11" xfId="0" applyFill="1" applyBorder="1" applyAlignment="1">
      <alignment horizontal="center" vertical="center" wrapText="1"/>
    </xf>
    <xf numFmtId="0" fontId="49" fillId="0" borderId="14" xfId="0" applyFont="1" applyBorder="1" applyAlignment="1">
      <alignment horizontal="center" vertical="center" wrapText="1"/>
    </xf>
    <xf numFmtId="0" fontId="49" fillId="0" borderId="8" xfId="0" applyFont="1" applyBorder="1" applyAlignment="1">
      <alignment horizontal="center" vertical="center" wrapText="1"/>
    </xf>
    <xf numFmtId="0" fontId="86" fillId="0" borderId="13" xfId="0" applyFont="1" applyBorder="1" applyAlignment="1">
      <alignment horizontal="center" vertical="center" wrapText="1"/>
    </xf>
    <xf numFmtId="0" fontId="49" fillId="0" borderId="13" xfId="0" applyFont="1" applyBorder="1" applyAlignment="1">
      <alignment horizontal="center" vertical="center" wrapText="1"/>
    </xf>
    <xf numFmtId="43" fontId="0" fillId="0" borderId="0" xfId="0" applyNumberFormat="1" applyFill="1" applyBorder="1"/>
    <xf numFmtId="0" fontId="47" fillId="2" borderId="1" xfId="1" applyFill="1" applyBorder="1" applyAlignment="1">
      <alignment wrapText="1"/>
    </xf>
    <xf numFmtId="173" fontId="0" fillId="0" borderId="11" xfId="0" applyNumberFormat="1" applyFill="1" applyBorder="1"/>
    <xf numFmtId="166" fontId="54" fillId="0" borderId="0" xfId="0" applyNumberFormat="1" applyFont="1" applyBorder="1"/>
    <xf numFmtId="0" fontId="42" fillId="0" borderId="3" xfId="0" applyFont="1" applyFill="1" applyBorder="1" applyAlignment="1">
      <alignment horizontal="center"/>
    </xf>
    <xf numFmtId="0" fontId="42" fillId="0" borderId="35" xfId="0" applyFont="1" applyFill="1" applyBorder="1" applyAlignment="1">
      <alignment horizontal="center"/>
    </xf>
    <xf numFmtId="0" fontId="0" fillId="0" borderId="10" xfId="0" applyFill="1" applyBorder="1" applyAlignment="1">
      <alignment horizontal="left"/>
    </xf>
    <xf numFmtId="0" fontId="4" fillId="0" borderId="10" xfId="0" applyFont="1" applyBorder="1"/>
    <xf numFmtId="166" fontId="0" fillId="5" borderId="0" xfId="0" applyNumberFormat="1" applyFill="1" applyBorder="1"/>
    <xf numFmtId="0" fontId="3" fillId="0" borderId="10" xfId="0" applyFont="1" applyBorder="1"/>
    <xf numFmtId="0" fontId="2" fillId="4" borderId="15" xfId="0" applyFont="1" applyFill="1" applyBorder="1"/>
    <xf numFmtId="173" fontId="0" fillId="0" borderId="0" xfId="0" applyNumberFormat="1" applyFill="1" applyBorder="1" applyAlignment="1">
      <alignment horizontal="right"/>
    </xf>
    <xf numFmtId="43" fontId="0" fillId="0" borderId="0" xfId="0" applyNumberFormat="1" applyBorder="1" applyAlignment="1">
      <alignment horizontal="center"/>
    </xf>
    <xf numFmtId="165" fontId="42" fillId="0" borderId="11" xfId="0" applyNumberFormat="1" applyFont="1" applyBorder="1"/>
    <xf numFmtId="0" fontId="42" fillId="45" borderId="15" xfId="0" applyFont="1" applyFill="1" applyBorder="1" applyAlignment="1">
      <alignment horizontal="left"/>
    </xf>
    <xf numFmtId="0" fontId="42" fillId="45" borderId="11" xfId="0" applyFont="1" applyFill="1" applyBorder="1" applyAlignment="1">
      <alignment horizontal="left"/>
    </xf>
    <xf numFmtId="0" fontId="42" fillId="45" borderId="17" xfId="0" applyFont="1" applyFill="1" applyBorder="1" applyAlignment="1">
      <alignment horizontal="left"/>
    </xf>
    <xf numFmtId="0" fontId="42" fillId="52" borderId="18" xfId="0" applyFont="1" applyFill="1" applyBorder="1" applyAlignment="1">
      <alignment horizontal="center"/>
    </xf>
    <xf numFmtId="0" fontId="42" fillId="52" borderId="2" xfId="0" applyFont="1" applyFill="1" applyBorder="1" applyAlignment="1">
      <alignment horizontal="center"/>
    </xf>
    <xf numFmtId="0" fontId="42" fillId="52" borderId="19" xfId="0" applyFont="1" applyFill="1" applyBorder="1" applyAlignment="1">
      <alignment horizontal="center"/>
    </xf>
    <xf numFmtId="0" fontId="72" fillId="7" borderId="0" xfId="0" applyFont="1" applyFill="1" applyAlignment="1">
      <alignment horizontal="center"/>
    </xf>
    <xf numFmtId="0" fontId="100" fillId="17" borderId="18" xfId="9" applyFont="1" applyBorder="1" applyAlignment="1">
      <alignment horizontal="center"/>
    </xf>
    <xf numFmtId="0" fontId="100" fillId="17" borderId="2" xfId="9" applyFont="1" applyBorder="1" applyAlignment="1">
      <alignment horizontal="center"/>
    </xf>
    <xf numFmtId="0" fontId="100" fillId="17" borderId="19" xfId="9" applyFont="1" applyBorder="1" applyAlignment="1">
      <alignment horizontal="center"/>
    </xf>
    <xf numFmtId="0" fontId="112" fillId="7" borderId="0" xfId="0" applyFont="1" applyFill="1" applyAlignment="1">
      <alignment horizontal="center"/>
    </xf>
    <xf numFmtId="0" fontId="49" fillId="17" borderId="18" xfId="9" applyFont="1" applyBorder="1" applyAlignment="1">
      <alignment horizontal="center"/>
    </xf>
    <xf numFmtId="0" fontId="49" fillId="17" borderId="2" xfId="9" applyFont="1" applyBorder="1" applyAlignment="1">
      <alignment horizontal="center"/>
    </xf>
    <xf numFmtId="0" fontId="49" fillId="17" borderId="19" xfId="9" applyFont="1" applyBorder="1" applyAlignment="1">
      <alignment horizontal="center"/>
    </xf>
    <xf numFmtId="0" fontId="49" fillId="4" borderId="53" xfId="0" applyFont="1" applyFill="1" applyBorder="1" applyAlignment="1">
      <alignment horizontal="center"/>
    </xf>
    <xf numFmtId="0" fontId="49" fillId="4" borderId="11" xfId="0" applyFont="1" applyFill="1" applyBorder="1" applyAlignment="1">
      <alignment horizontal="center"/>
    </xf>
    <xf numFmtId="0" fontId="49" fillId="4" borderId="54" xfId="0" applyFont="1" applyFill="1" applyBorder="1" applyAlignment="1">
      <alignment horizontal="center"/>
    </xf>
    <xf numFmtId="0" fontId="100" fillId="5" borderId="18" xfId="0" applyFont="1" applyFill="1" applyBorder="1" applyAlignment="1">
      <alignment horizontal="center"/>
    </xf>
    <xf numFmtId="0" fontId="100" fillId="5" borderId="2" xfId="0" applyFont="1" applyFill="1" applyBorder="1" applyAlignment="1">
      <alignment horizontal="center"/>
    </xf>
    <xf numFmtId="0" fontId="100" fillId="5" borderId="19" xfId="0" applyFont="1" applyFill="1" applyBorder="1" applyAlignment="1">
      <alignment horizontal="center"/>
    </xf>
    <xf numFmtId="0" fontId="100" fillId="5" borderId="18" xfId="0" applyFont="1" applyFill="1" applyBorder="1" applyAlignment="1">
      <alignment horizontal="center" vertical="center"/>
    </xf>
    <xf numFmtId="0" fontId="100" fillId="5" borderId="2" xfId="0" applyFont="1" applyFill="1" applyBorder="1" applyAlignment="1">
      <alignment horizontal="center" vertical="center"/>
    </xf>
    <xf numFmtId="0" fontId="100" fillId="5" borderId="19" xfId="0" applyFont="1" applyFill="1" applyBorder="1" applyAlignment="1">
      <alignment horizontal="center" vertical="center"/>
    </xf>
    <xf numFmtId="0" fontId="55" fillId="45" borderId="15" xfId="0" applyFont="1" applyFill="1" applyBorder="1" applyAlignment="1">
      <alignment horizontal="center"/>
    </xf>
    <xf numFmtId="0" fontId="55" fillId="45" borderId="11" xfId="0" applyFont="1" applyFill="1" applyBorder="1" applyAlignment="1">
      <alignment horizontal="center"/>
    </xf>
    <xf numFmtId="0" fontId="55" fillId="45" borderId="17" xfId="0" applyFont="1" applyFill="1" applyBorder="1" applyAlignment="1">
      <alignment horizontal="center"/>
    </xf>
    <xf numFmtId="0" fontId="86" fillId="0" borderId="36" xfId="0" applyFont="1" applyBorder="1" applyAlignment="1">
      <alignment horizontal="center" vertical="center"/>
    </xf>
    <xf numFmtId="0" fontId="86" fillId="0" borderId="39" xfId="0" applyFont="1" applyBorder="1" applyAlignment="1">
      <alignment horizontal="center" vertical="center"/>
    </xf>
    <xf numFmtId="0" fontId="55" fillId="45" borderId="22" xfId="0" applyFont="1" applyFill="1" applyBorder="1" applyAlignment="1">
      <alignment horizontal="center"/>
    </xf>
    <xf numFmtId="0" fontId="55" fillId="45" borderId="23" xfId="0" applyFont="1" applyFill="1" applyBorder="1" applyAlignment="1">
      <alignment horizontal="center"/>
    </xf>
    <xf numFmtId="0" fontId="55" fillId="45" borderId="24" xfId="0" applyFont="1" applyFill="1" applyBorder="1" applyAlignment="1">
      <alignment horizontal="center"/>
    </xf>
    <xf numFmtId="0" fontId="100" fillId="0" borderId="11" xfId="0" applyFont="1" applyBorder="1" applyAlignment="1">
      <alignment horizontal="center" wrapText="1"/>
    </xf>
    <xf numFmtId="0" fontId="100" fillId="0" borderId="0" xfId="0" applyFont="1" applyBorder="1" applyAlignment="1">
      <alignment horizontal="center" wrapText="1"/>
    </xf>
    <xf numFmtId="0" fontId="42" fillId="0" borderId="14" xfId="0" applyFont="1" applyBorder="1" applyAlignment="1">
      <alignment horizontal="left"/>
    </xf>
    <xf numFmtId="0" fontId="42" fillId="0" borderId="13" xfId="0" applyFont="1" applyBorder="1" applyAlignment="1">
      <alignment horizontal="left"/>
    </xf>
    <xf numFmtId="0" fontId="49" fillId="0" borderId="10" xfId="0" applyFont="1" applyFill="1" applyBorder="1" applyAlignment="1">
      <alignment horizontal="left"/>
    </xf>
    <xf numFmtId="0" fontId="49" fillId="0" borderId="9" xfId="0" applyFont="1" applyFill="1" applyBorder="1" applyAlignment="1">
      <alignment horizontal="left"/>
    </xf>
    <xf numFmtId="0" fontId="49" fillId="0" borderId="88" xfId="0" applyFont="1" applyFill="1" applyBorder="1" applyAlignment="1">
      <alignment horizontal="left"/>
    </xf>
    <xf numFmtId="0" fontId="49" fillId="0" borderId="87" xfId="0" applyFont="1" applyFill="1" applyBorder="1" applyAlignment="1">
      <alignment horizontal="left"/>
    </xf>
    <xf numFmtId="0" fontId="42" fillId="4" borderId="15" xfId="0" applyFont="1" applyFill="1" applyBorder="1" applyAlignment="1">
      <alignment horizontal="center" vertical="center" wrapText="1"/>
    </xf>
    <xf numFmtId="0" fontId="42" fillId="4" borderId="17" xfId="0" applyFont="1" applyFill="1" applyBorder="1" applyAlignment="1">
      <alignment horizontal="center" vertical="center" wrapText="1"/>
    </xf>
    <xf numFmtId="0" fontId="0" fillId="0" borderId="10" xfId="0" applyFill="1" applyBorder="1" applyAlignment="1">
      <alignment horizontal="left"/>
    </xf>
    <xf numFmtId="0" fontId="0" fillId="0" borderId="9" xfId="0" applyFill="1" applyBorder="1" applyAlignment="1">
      <alignment horizontal="left"/>
    </xf>
    <xf numFmtId="0" fontId="0" fillId="0" borderId="60" xfId="0" applyBorder="1" applyAlignment="1">
      <alignment horizontal="center" vertical="center" textRotation="90"/>
    </xf>
    <xf numFmtId="0" fontId="49" fillId="0" borderId="60" xfId="0" applyFont="1" applyBorder="1" applyAlignment="1">
      <alignment horizontal="center" vertical="center" textRotation="90" wrapText="1"/>
    </xf>
    <xf numFmtId="165" fontId="0" fillId="0" borderId="0" xfId="0" applyNumberFormat="1" applyBorder="1" applyAlignment="1">
      <alignment horizontal="left"/>
    </xf>
    <xf numFmtId="0" fontId="42" fillId="4" borderId="22" xfId="0" applyFont="1" applyFill="1" applyBorder="1" applyAlignment="1">
      <alignment horizontal="center"/>
    </xf>
    <xf numFmtId="0" fontId="42" fillId="4" borderId="23" xfId="0" applyFont="1" applyFill="1" applyBorder="1" applyAlignment="1">
      <alignment horizontal="center"/>
    </xf>
    <xf numFmtId="0" fontId="42" fillId="4" borderId="24" xfId="0" applyFont="1" applyFill="1" applyBorder="1" applyAlignment="1">
      <alignment horizontal="center"/>
    </xf>
    <xf numFmtId="165" fontId="0" fillId="0" borderId="9" xfId="0" applyNumberFormat="1" applyBorder="1" applyAlignment="1">
      <alignment horizontal="left"/>
    </xf>
    <xf numFmtId="0" fontId="42" fillId="4" borderId="11" xfId="0" applyFont="1" applyFill="1" applyBorder="1" applyAlignment="1">
      <alignment horizontal="center"/>
    </xf>
    <xf numFmtId="0" fontId="42" fillId="4" borderId="17" xfId="0" applyFont="1" applyFill="1" applyBorder="1" applyAlignment="1">
      <alignment horizontal="center"/>
    </xf>
    <xf numFmtId="0" fontId="42" fillId="4" borderId="15" xfId="0" applyFont="1" applyFill="1" applyBorder="1" applyAlignment="1">
      <alignment horizontal="center"/>
    </xf>
    <xf numFmtId="170" fontId="54" fillId="0" borderId="10" xfId="0" applyNumberFormat="1" applyFont="1" applyFill="1" applyBorder="1" applyAlignment="1">
      <alignment horizontal="center"/>
    </xf>
    <xf numFmtId="170" fontId="54" fillId="0" borderId="0" xfId="0" applyNumberFormat="1" applyFont="1" applyFill="1" applyBorder="1" applyAlignment="1">
      <alignment horizontal="center"/>
    </xf>
    <xf numFmtId="170" fontId="42" fillId="0" borderId="14" xfId="0" applyNumberFormat="1" applyFont="1" applyBorder="1" applyAlignment="1">
      <alignment horizontal="center"/>
    </xf>
    <xf numFmtId="170" fontId="42" fillId="0" borderId="8" xfId="0" applyNumberFormat="1" applyFont="1" applyBorder="1" applyAlignment="1">
      <alignment horizontal="center"/>
    </xf>
    <xf numFmtId="170" fontId="54" fillId="0" borderId="5" xfId="0" applyNumberFormat="1" applyFont="1" applyFill="1" applyBorder="1" applyAlignment="1">
      <alignment horizontal="center"/>
    </xf>
    <xf numFmtId="170" fontId="42" fillId="0" borderId="57" xfId="0" applyNumberFormat="1" applyFont="1" applyFill="1" applyBorder="1" applyAlignment="1">
      <alignment horizontal="center"/>
    </xf>
    <xf numFmtId="170" fontId="42" fillId="0" borderId="8" xfId="0" applyNumberFormat="1" applyFont="1" applyFill="1" applyBorder="1" applyAlignment="1">
      <alignment horizontal="center"/>
    </xf>
    <xf numFmtId="0" fontId="42" fillId="44" borderId="56" xfId="0" applyFont="1" applyFill="1" applyBorder="1" applyAlignment="1">
      <alignment horizontal="center"/>
    </xf>
    <xf numFmtId="0" fontId="42" fillId="44" borderId="11" xfId="0" applyFont="1" applyFill="1" applyBorder="1" applyAlignment="1">
      <alignment horizontal="center"/>
    </xf>
    <xf numFmtId="0" fontId="42" fillId="4" borderId="15" xfId="0" applyFont="1" applyFill="1" applyBorder="1" applyAlignment="1">
      <alignment horizontal="left" wrapText="1"/>
    </xf>
    <xf numFmtId="0" fontId="42" fillId="4" borderId="10" xfId="0" applyFont="1" applyFill="1" applyBorder="1" applyAlignment="1">
      <alignment horizontal="left" wrapText="1"/>
    </xf>
    <xf numFmtId="0" fontId="42" fillId="4" borderId="36" xfId="0" applyFont="1" applyFill="1" applyBorder="1" applyAlignment="1">
      <alignment horizontal="left" wrapText="1"/>
    </xf>
    <xf numFmtId="0" fontId="42" fillId="4" borderId="38" xfId="0" applyFont="1" applyFill="1" applyBorder="1" applyAlignment="1">
      <alignment horizontal="left" wrapText="1"/>
    </xf>
    <xf numFmtId="0" fontId="18" fillId="0" borderId="38" xfId="0" applyFont="1" applyBorder="1" applyAlignment="1">
      <alignment horizontal="left" wrapText="1"/>
    </xf>
    <xf numFmtId="0" fontId="31" fillId="0" borderId="38" xfId="0" applyFont="1" applyBorder="1" applyAlignment="1">
      <alignment horizontal="left" wrapText="1"/>
    </xf>
    <xf numFmtId="0" fontId="42" fillId="39" borderId="10" xfId="0" applyFont="1" applyFill="1" applyBorder="1" applyAlignment="1">
      <alignment horizontal="center"/>
    </xf>
    <xf numFmtId="0" fontId="42" fillId="39" borderId="9" xfId="0" applyFont="1" applyFill="1" applyBorder="1" applyAlignment="1">
      <alignment horizontal="center"/>
    </xf>
    <xf numFmtId="0" fontId="42" fillId="39" borderId="14" xfId="0" applyFont="1" applyFill="1" applyBorder="1" applyAlignment="1">
      <alignment horizontal="center"/>
    </xf>
    <xf numFmtId="0" fontId="42" fillId="39" borderId="13" xfId="0" applyFont="1" applyFill="1" applyBorder="1" applyAlignment="1">
      <alignment horizontal="center"/>
    </xf>
    <xf numFmtId="0" fontId="42" fillId="0" borderId="32" xfId="0" applyFont="1" applyBorder="1" applyAlignment="1">
      <alignment horizontal="center"/>
    </xf>
    <xf numFmtId="0" fontId="42" fillId="0" borderId="34" xfId="0" applyFont="1" applyBorder="1" applyAlignment="1">
      <alignment horizontal="center"/>
    </xf>
    <xf numFmtId="0" fontId="42" fillId="4" borderId="36" xfId="0" applyFont="1" applyFill="1" applyBorder="1" applyAlignment="1">
      <alignment horizontal="center" vertical="center"/>
    </xf>
    <xf numFmtId="0" fontId="42" fillId="4" borderId="39" xfId="0" applyFont="1" applyFill="1" applyBorder="1" applyAlignment="1">
      <alignment horizontal="center" vertical="center"/>
    </xf>
    <xf numFmtId="0" fontId="42" fillId="45" borderId="65" xfId="9" applyFont="1" applyFill="1" applyBorder="1" applyAlignment="1">
      <alignment horizontal="center"/>
    </xf>
    <xf numFmtId="0" fontId="42" fillId="45" borderId="37" xfId="9" applyFont="1" applyFill="1" applyBorder="1" applyAlignment="1">
      <alignment horizontal="center"/>
    </xf>
    <xf numFmtId="0" fontId="42" fillId="45" borderId="58" xfId="9" applyFont="1" applyFill="1" applyBorder="1" applyAlignment="1">
      <alignment horizontal="center"/>
    </xf>
    <xf numFmtId="0" fontId="95" fillId="44" borderId="18" xfId="0" applyFont="1" applyFill="1" applyBorder="1" applyAlignment="1">
      <alignment horizontal="center"/>
    </xf>
    <xf numFmtId="0" fontId="95" fillId="44" borderId="2" xfId="0" applyFont="1" applyFill="1" applyBorder="1" applyAlignment="1">
      <alignment horizontal="center"/>
    </xf>
    <xf numFmtId="0" fontId="95" fillId="44" borderId="19" xfId="0" applyFont="1" applyFill="1" applyBorder="1" applyAlignment="1">
      <alignment horizontal="center"/>
    </xf>
    <xf numFmtId="0" fontId="64" fillId="0" borderId="36" xfId="0" applyFont="1" applyBorder="1" applyAlignment="1">
      <alignment horizontal="center" vertical="center" textRotation="90"/>
    </xf>
    <xf numFmtId="0" fontId="64" fillId="0" borderId="38" xfId="0" applyFont="1" applyBorder="1" applyAlignment="1">
      <alignment horizontal="center" vertical="center" textRotation="90"/>
    </xf>
    <xf numFmtId="0" fontId="64" fillId="0" borderId="39" xfId="0" applyFont="1" applyBorder="1" applyAlignment="1">
      <alignment horizontal="center" vertical="center" textRotation="90"/>
    </xf>
    <xf numFmtId="0" fontId="42" fillId="39" borderId="15" xfId="0" applyFont="1" applyFill="1" applyBorder="1" applyAlignment="1">
      <alignment horizontal="center"/>
    </xf>
    <xf numFmtId="0" fontId="42" fillId="39" borderId="11" xfId="0" applyFont="1" applyFill="1" applyBorder="1" applyAlignment="1">
      <alignment horizontal="center"/>
    </xf>
    <xf numFmtId="0" fontId="42" fillId="39" borderId="17" xfId="0" applyFont="1" applyFill="1" applyBorder="1" applyAlignment="1">
      <alignment horizontal="center"/>
    </xf>
    <xf numFmtId="165" fontId="42" fillId="39" borderId="15" xfId="0" applyNumberFormat="1" applyFont="1" applyFill="1" applyBorder="1" applyAlignment="1">
      <alignment horizontal="center"/>
    </xf>
    <xf numFmtId="165" fontId="42" fillId="39" borderId="11" xfId="0" applyNumberFormat="1" applyFont="1" applyFill="1" applyBorder="1" applyAlignment="1">
      <alignment horizontal="center"/>
    </xf>
    <xf numFmtId="165" fontId="42" fillId="39" borderId="17" xfId="0" applyNumberFormat="1" applyFont="1" applyFill="1" applyBorder="1" applyAlignment="1">
      <alignment horizontal="center"/>
    </xf>
    <xf numFmtId="0" fontId="42" fillId="39" borderId="27" xfId="0" applyFont="1" applyFill="1" applyBorder="1" applyAlignment="1">
      <alignment horizontal="center"/>
    </xf>
    <xf numFmtId="0" fontId="42" fillId="39" borderId="62" xfId="0" applyFont="1" applyFill="1" applyBorder="1" applyAlignment="1">
      <alignment horizontal="center"/>
    </xf>
    <xf numFmtId="0" fontId="43" fillId="45" borderId="0" xfId="0" applyFont="1" applyFill="1"/>
    <xf numFmtId="0" fontId="55" fillId="0" borderId="15" xfId="0" applyFont="1" applyBorder="1"/>
    <xf numFmtId="0" fontId="53" fillId="0" borderId="17" xfId="0" applyFont="1" applyBorder="1"/>
    <xf numFmtId="0" fontId="53" fillId="0" borderId="9" xfId="0" applyFont="1" applyBorder="1"/>
    <xf numFmtId="0" fontId="141" fillId="52" borderId="65" xfId="0" applyFont="1" applyFill="1" applyBorder="1" applyAlignment="1">
      <alignment vertical="center" wrapText="1"/>
    </xf>
    <xf numFmtId="0" fontId="141" fillId="52" borderId="58" xfId="0" applyFont="1" applyFill="1" applyBorder="1" applyAlignment="1">
      <alignment horizontal="left" vertical="center" wrapText="1"/>
    </xf>
    <xf numFmtId="0" fontId="142" fillId="0" borderId="3" xfId="0" applyFont="1" applyBorder="1" applyAlignment="1">
      <alignment vertical="center"/>
    </xf>
    <xf numFmtId="0" fontId="143" fillId="0" borderId="35" xfId="0" applyFont="1" applyBorder="1" applyAlignment="1">
      <alignment vertical="center" wrapText="1"/>
    </xf>
    <xf numFmtId="0" fontId="142" fillId="0" borderId="3" xfId="0" applyFont="1" applyFill="1" applyBorder="1" applyAlignment="1">
      <alignment vertical="center"/>
    </xf>
    <xf numFmtId="0" fontId="143" fillId="0" borderId="35" xfId="0" applyFont="1" applyFill="1" applyBorder="1" applyAlignment="1">
      <alignment vertical="center" wrapText="1"/>
    </xf>
    <xf numFmtId="0" fontId="142" fillId="0" borderId="73" xfId="0" applyFont="1" applyFill="1" applyBorder="1" applyAlignment="1">
      <alignment vertical="center"/>
    </xf>
    <xf numFmtId="0" fontId="143" fillId="0" borderId="75" xfId="0" applyFont="1" applyBorder="1" applyAlignment="1">
      <alignment vertical="center" wrapText="1"/>
    </xf>
  </cellXfs>
  <cellStyles count="46">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xplanatory Text" xfId="30"/>
    <cellStyle name="Good" xfId="31"/>
    <cellStyle name="Heading 1" xfId="32"/>
    <cellStyle name="Heading 2" xfId="33"/>
    <cellStyle name="Heading 3" xfId="34"/>
    <cellStyle name="Heading 4" xfId="35"/>
    <cellStyle name="Input" xfId="43"/>
    <cellStyle name="Linked Cell" xfId="36"/>
    <cellStyle name="Neutral" xfId="37"/>
    <cellStyle name="Note" xfId="38"/>
    <cellStyle name="Output" xfId="39"/>
    <cellStyle name="Title" xfId="40"/>
    <cellStyle name="Total" xfId="41"/>
    <cellStyle name="Warning Text" xfId="42"/>
    <cellStyle name="Κανονικό" xfId="0" builtinId="0"/>
    <cellStyle name="Κόμμα" xfId="44" builtinId="3"/>
    <cellStyle name="Νόμισμα" xfId="2" builtinId="4"/>
    <cellStyle name="Ποσοστό" xfId="45" builtinId="5"/>
    <cellStyle name="Υπερ-σύνδεση" xfId="1" builtinId="8"/>
  </cellStyles>
  <dxfs count="222">
    <dxf>
      <fill>
        <patternFill>
          <bgColor rgb="FF92D050"/>
        </patternFill>
      </fill>
    </dxf>
    <dxf>
      <fill>
        <patternFill>
          <bgColor rgb="FF92D050"/>
        </patternFill>
      </fill>
    </dxf>
    <dxf>
      <fill>
        <patternFill>
          <bgColor rgb="FF92D050"/>
        </patternFill>
      </fill>
    </dxf>
    <dxf>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auto="1"/>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b val="0"/>
        <i val="0"/>
      </font>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s>
  <tableStyles count="0" defaultTableStyle="TableStyleMedium2" defaultPivotStyle="PivotStyleMedium9"/>
  <colors>
    <mruColors>
      <color rgb="FFFFFF99"/>
      <color rgb="FFD9D9D9"/>
      <color rgb="FFB8CCE4"/>
      <color rgb="FFBCE292"/>
      <color rgb="FFFFFFCC"/>
      <color rgb="FFA2FF9D"/>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 and</a:t>
            </a:r>
            <a:r>
              <a:rPr lang="en-US" baseline="0"/>
              <a:t> O2 preheating</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0307119506907081"/>
          <c:y val="0.13178766943731243"/>
          <c:w val="0.79455126431594281"/>
          <c:h val="0.7104391206340227"/>
        </c:manualLayout>
      </c:layout>
      <c:lineChart>
        <c:grouping val="standard"/>
        <c:varyColors val="0"/>
        <c:ser>
          <c:idx val="0"/>
          <c:order val="0"/>
          <c:tx>
            <c:v>NG Temp (TO2=550)</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Heat_Balance!$G$114:$G$126</c:f>
              <c:numCache>
                <c:formatCode>General</c:formatCode>
                <c:ptCount val="13"/>
                <c:pt idx="0">
                  <c:v>0</c:v>
                </c:pt>
                <c:pt idx="1">
                  <c:v>1.7</c:v>
                </c:pt>
                <c:pt idx="2">
                  <c:v>3.4</c:v>
                </c:pt>
                <c:pt idx="3">
                  <c:v>4.8</c:v>
                </c:pt>
                <c:pt idx="4">
                  <c:v>6</c:v>
                </c:pt>
                <c:pt idx="5">
                  <c:v>7.1</c:v>
                </c:pt>
                <c:pt idx="6">
                  <c:v>8.1</c:v>
                </c:pt>
                <c:pt idx="7">
                  <c:v>9</c:v>
                </c:pt>
                <c:pt idx="8">
                  <c:v>9.8000000000000007</c:v>
                </c:pt>
                <c:pt idx="9">
                  <c:v>10.5</c:v>
                </c:pt>
                <c:pt idx="10">
                  <c:v>11.1</c:v>
                </c:pt>
                <c:pt idx="11">
                  <c:v>11.6</c:v>
                </c:pt>
                <c:pt idx="12">
                  <c:v>12</c:v>
                </c:pt>
              </c:numCache>
            </c:numRef>
          </c:val>
          <c:smooth val="0"/>
          <c:extLst xmlns:c16r2="http://schemas.microsoft.com/office/drawing/2015/06/chart">
            <c:ext xmlns:c16="http://schemas.microsoft.com/office/drawing/2014/chart" uri="{C3380CC4-5D6E-409C-BE32-E72D297353CC}">
              <c16:uniqueId val="{00000000-94A1-4BDD-B49B-5A58965348B5}"/>
            </c:ext>
          </c:extLst>
        </c:ser>
        <c:ser>
          <c:idx val="1"/>
          <c:order val="1"/>
          <c:tx>
            <c:v>NG Temp (TO2=650)</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Heat_Balance!$I$114:$I$126</c:f>
              <c:numCache>
                <c:formatCode>General</c:formatCode>
                <c:ptCount val="13"/>
                <c:pt idx="0">
                  <c:v>0</c:v>
                </c:pt>
                <c:pt idx="1">
                  <c:v>2.1</c:v>
                </c:pt>
                <c:pt idx="2">
                  <c:v>4</c:v>
                </c:pt>
                <c:pt idx="3">
                  <c:v>5.5</c:v>
                </c:pt>
                <c:pt idx="4">
                  <c:v>6.8</c:v>
                </c:pt>
                <c:pt idx="5">
                  <c:v>8</c:v>
                </c:pt>
                <c:pt idx="6">
                  <c:v>9.1</c:v>
                </c:pt>
                <c:pt idx="7">
                  <c:v>10</c:v>
                </c:pt>
                <c:pt idx="8">
                  <c:v>10.9</c:v>
                </c:pt>
                <c:pt idx="9">
                  <c:v>11.6</c:v>
                </c:pt>
                <c:pt idx="10">
                  <c:v>12.2</c:v>
                </c:pt>
                <c:pt idx="11">
                  <c:v>12.7</c:v>
                </c:pt>
                <c:pt idx="12">
                  <c:v>13.2</c:v>
                </c:pt>
              </c:numCache>
            </c:numRef>
          </c:val>
          <c:smooth val="0"/>
          <c:extLst xmlns:c16r2="http://schemas.microsoft.com/office/drawing/2015/06/chart">
            <c:ext xmlns:c16="http://schemas.microsoft.com/office/drawing/2014/chart" uri="{C3380CC4-5D6E-409C-BE32-E72D297353CC}">
              <c16:uniqueId val="{00000001-94A1-4BDD-B49B-5A58965348B5}"/>
            </c:ext>
          </c:extLst>
        </c:ser>
        <c:dLbls>
          <c:showLegendKey val="0"/>
          <c:showVal val="0"/>
          <c:showCatName val="0"/>
          <c:showSerName val="0"/>
          <c:showPercent val="0"/>
          <c:showBubbleSize val="0"/>
        </c:dLbls>
        <c:marker val="1"/>
        <c:smooth val="0"/>
        <c:axId val="106017984"/>
        <c:axId val="181734384"/>
      </c:lineChart>
      <c:catAx>
        <c:axId val="10601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 gas temperature (oC)</a:t>
                </a:r>
                <a:endParaRPr lang="el-G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1734384"/>
        <c:crosses val="autoZero"/>
        <c:auto val="1"/>
        <c:lblAlgn val="ctr"/>
        <c:lblOffset val="100"/>
        <c:noMultiLvlLbl val="0"/>
      </c:catAx>
      <c:valAx>
        <c:axId val="18173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 consumption gain Vs. cold reactants (%)</a:t>
                </a:r>
                <a:endParaRPr lang="el-G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6017984"/>
        <c:crosses val="autoZero"/>
        <c:crossBetween val="between"/>
      </c:valAx>
      <c:spPr>
        <a:noFill/>
        <a:ln>
          <a:noFill/>
        </a:ln>
        <a:effectLst/>
      </c:spPr>
    </c:plotArea>
    <c:legend>
      <c:legendPos val="r"/>
      <c:layout>
        <c:manualLayout>
          <c:xMode val="edge"/>
          <c:yMode val="edge"/>
          <c:x val="0.60529187704275322"/>
          <c:y val="0.4709973850251985"/>
          <c:w val="0.28572553335500112"/>
          <c:h val="0.14331305705299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00809619925441"/>
          <c:y val="5.8666691303597397E-2"/>
          <c:w val="0.80758610940270026"/>
          <c:h val="0.75014246725142986"/>
        </c:manualLayout>
      </c:layout>
      <c:lineChart>
        <c:grouping val="stacked"/>
        <c:varyColors val="0"/>
        <c:ser>
          <c:idx val="0"/>
          <c:order val="0"/>
          <c:tx>
            <c:v>O2 concentration, v/v %</c:v>
          </c:tx>
          <c:spPr>
            <a:ln w="28575" cap="rnd">
              <a:solidFill>
                <a:schemeClr val="accent2"/>
              </a:solidFill>
              <a:round/>
            </a:ln>
            <a:effectLst/>
          </c:spPr>
          <c:marker>
            <c:symbol val="none"/>
          </c:marker>
          <c:cat>
            <c:numRef>
              <c:extLst>
                <c:ext xmlns:c15="http://schemas.microsoft.com/office/drawing/2012/chart" uri="{02D57815-91ED-43cb-92C2-25804820EDAC}">
                  <c15:fullRef>
                    <c15:sqref>Fuel!$B$218:$B$256</c15:sqref>
                  </c15:fullRef>
                </c:ext>
              </c:extLst>
              <c:f>Fuel!$B$219:$B$256</c:f>
              <c:numCache>
                <c:formatCode>0</c:formatCode>
                <c:ptCount val="38"/>
                <c:pt idx="0">
                  <c:v>21.2</c:v>
                </c:pt>
                <c:pt idx="1">
                  <c:v>21.5</c:v>
                </c:pt>
                <c:pt idx="2">
                  <c:v>22</c:v>
                </c:pt>
                <c:pt idx="3">
                  <c:v>22.5</c:v>
                </c:pt>
                <c:pt idx="4">
                  <c:v>23.75</c:v>
                </c:pt>
                <c:pt idx="5">
                  <c:v>25</c:v>
                </c:pt>
                <c:pt idx="6">
                  <c:v>26.25</c:v>
                </c:pt>
                <c:pt idx="7">
                  <c:v>27.5</c:v>
                </c:pt>
                <c:pt idx="8">
                  <c:v>28.75</c:v>
                </c:pt>
                <c:pt idx="9">
                  <c:v>30</c:v>
                </c:pt>
                <c:pt idx="10">
                  <c:v>32.5</c:v>
                </c:pt>
                <c:pt idx="11">
                  <c:v>35</c:v>
                </c:pt>
                <c:pt idx="12">
                  <c:v>37.5</c:v>
                </c:pt>
                <c:pt idx="13">
                  <c:v>40</c:v>
                </c:pt>
                <c:pt idx="14">
                  <c:v>42.5</c:v>
                </c:pt>
                <c:pt idx="15">
                  <c:v>45</c:v>
                </c:pt>
                <c:pt idx="16">
                  <c:v>47.5</c:v>
                </c:pt>
                <c:pt idx="17">
                  <c:v>50</c:v>
                </c:pt>
                <c:pt idx="18">
                  <c:v>52.5</c:v>
                </c:pt>
                <c:pt idx="19">
                  <c:v>55</c:v>
                </c:pt>
                <c:pt idx="20">
                  <c:v>57.5</c:v>
                </c:pt>
                <c:pt idx="21">
                  <c:v>60</c:v>
                </c:pt>
                <c:pt idx="22">
                  <c:v>62.5</c:v>
                </c:pt>
                <c:pt idx="23">
                  <c:v>65</c:v>
                </c:pt>
                <c:pt idx="24">
                  <c:v>67.5</c:v>
                </c:pt>
                <c:pt idx="25">
                  <c:v>70</c:v>
                </c:pt>
                <c:pt idx="26">
                  <c:v>72.5</c:v>
                </c:pt>
                <c:pt idx="27">
                  <c:v>75</c:v>
                </c:pt>
                <c:pt idx="28">
                  <c:v>77.5</c:v>
                </c:pt>
                <c:pt idx="29">
                  <c:v>80</c:v>
                </c:pt>
                <c:pt idx="30">
                  <c:v>82.5</c:v>
                </c:pt>
                <c:pt idx="31">
                  <c:v>85</c:v>
                </c:pt>
                <c:pt idx="32">
                  <c:v>87.5</c:v>
                </c:pt>
                <c:pt idx="33">
                  <c:v>90</c:v>
                </c:pt>
                <c:pt idx="34">
                  <c:v>92.5</c:v>
                </c:pt>
                <c:pt idx="35">
                  <c:v>95</c:v>
                </c:pt>
                <c:pt idx="36">
                  <c:v>97.5</c:v>
                </c:pt>
                <c:pt idx="37">
                  <c:v>100</c:v>
                </c:pt>
              </c:numCache>
            </c:numRef>
          </c:cat>
          <c:val>
            <c:numRef>
              <c:extLst>
                <c:ext xmlns:c15="http://schemas.microsoft.com/office/drawing/2012/chart" uri="{02D57815-91ED-43cb-92C2-25804820EDAC}">
                  <c15:fullRef>
                    <c15:sqref>Fuel!$C$218:$C$256</c15:sqref>
                  </c15:fullRef>
                </c:ext>
              </c:extLst>
              <c:f>Fuel!$C$219:$C$256</c:f>
              <c:numCache>
                <c:formatCode>0</c:formatCode>
                <c:ptCount val="38"/>
                <c:pt idx="0">
                  <c:v>2111.2251849999998</c:v>
                </c:pt>
                <c:pt idx="1">
                  <c:v>2153.1001179999998</c:v>
                </c:pt>
                <c:pt idx="2">
                  <c:v>2193.5167200000001</c:v>
                </c:pt>
                <c:pt idx="3">
                  <c:v>2231.0166599999998</c:v>
                </c:pt>
                <c:pt idx="4">
                  <c:v>2268.5165999999999</c:v>
                </c:pt>
                <c:pt idx="5">
                  <c:v>2306.0165400000001</c:v>
                </c:pt>
                <c:pt idx="6">
                  <c:v>2339.3498199999999</c:v>
                </c:pt>
                <c:pt idx="7">
                  <c:v>2372.6830999999997</c:v>
                </c:pt>
                <c:pt idx="8">
                  <c:v>2403.93345</c:v>
                </c:pt>
                <c:pt idx="9">
                  <c:v>2435.1833999999999</c:v>
                </c:pt>
                <c:pt idx="10">
                  <c:v>2464.3500199999999</c:v>
                </c:pt>
                <c:pt idx="11">
                  <c:v>2491.4333099999999</c:v>
                </c:pt>
                <c:pt idx="12">
                  <c:v>2516.43327</c:v>
                </c:pt>
                <c:pt idx="13">
                  <c:v>2541.4332300000001</c:v>
                </c:pt>
                <c:pt idx="14">
                  <c:v>2562.2665299999999</c:v>
                </c:pt>
                <c:pt idx="15">
                  <c:v>2583.0998300000001</c:v>
                </c:pt>
                <c:pt idx="16">
                  <c:v>2601.4331339999999</c:v>
                </c:pt>
                <c:pt idx="17">
                  <c:v>2616.4331099999999</c:v>
                </c:pt>
                <c:pt idx="18">
                  <c:v>2633.0997499999999</c:v>
                </c:pt>
                <c:pt idx="19">
                  <c:v>2647.6830599999998</c:v>
                </c:pt>
                <c:pt idx="20">
                  <c:v>2663.1001019999999</c:v>
                </c:pt>
                <c:pt idx="21">
                  <c:v>2674.7667499999998</c:v>
                </c:pt>
                <c:pt idx="22">
                  <c:v>2688.100062</c:v>
                </c:pt>
                <c:pt idx="23">
                  <c:v>2700.8083750000001</c:v>
                </c:pt>
                <c:pt idx="24">
                  <c:v>2711.2250249999997</c:v>
                </c:pt>
                <c:pt idx="25">
                  <c:v>2722.68334</c:v>
                </c:pt>
                <c:pt idx="26">
                  <c:v>2731.0166599999998</c:v>
                </c:pt>
                <c:pt idx="27">
                  <c:v>2740.3916449999997</c:v>
                </c:pt>
                <c:pt idx="28">
                  <c:v>2749.7666300000001</c:v>
                </c:pt>
                <c:pt idx="29">
                  <c:v>2758.0999499999998</c:v>
                </c:pt>
                <c:pt idx="30">
                  <c:v>2766.8499360000001</c:v>
                </c:pt>
                <c:pt idx="31">
                  <c:v>2772.6832599999998</c:v>
                </c:pt>
                <c:pt idx="32">
                  <c:v>2781.01658</c:v>
                </c:pt>
                <c:pt idx="33">
                  <c:v>2787.2665699999998</c:v>
                </c:pt>
                <c:pt idx="34">
                  <c:v>2791.4332300000001</c:v>
                </c:pt>
                <c:pt idx="35">
                  <c:v>2794.5165584000001</c:v>
                </c:pt>
                <c:pt idx="36">
                  <c:v>2799.9540496999998</c:v>
                </c:pt>
                <c:pt idx="37">
                  <c:v>2800</c:v>
                </c:pt>
              </c:numCache>
            </c:numRef>
          </c:val>
          <c:smooth val="0"/>
          <c:extLst xmlns:c16r2="http://schemas.microsoft.com/office/drawing/2015/06/chart">
            <c:ext xmlns:c16="http://schemas.microsoft.com/office/drawing/2014/chart" uri="{C3380CC4-5D6E-409C-BE32-E72D297353CC}">
              <c16:uniqueId val="{00000000-8B5F-4303-80F5-E32B7D039DB4}"/>
            </c:ext>
          </c:extLst>
        </c:ser>
        <c:dLbls>
          <c:showLegendKey val="0"/>
          <c:showVal val="0"/>
          <c:showCatName val="0"/>
          <c:showSerName val="0"/>
          <c:showPercent val="0"/>
          <c:showBubbleSize val="0"/>
        </c:dLbls>
        <c:smooth val="0"/>
        <c:axId val="184034208"/>
        <c:axId val="184034768"/>
      </c:lineChart>
      <c:catAx>
        <c:axId val="184034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O2 concentration, v/v %</a:t>
                </a:r>
                <a:endParaRPr lang="el-GR" sz="700">
                  <a:effectLst/>
                </a:endParaRPr>
              </a:p>
            </c:rich>
          </c:tx>
          <c:layout>
            <c:manualLayout>
              <c:xMode val="edge"/>
              <c:yMode val="edge"/>
              <c:x val="0.39129182084524861"/>
              <c:y val="0.88453328484337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4034768"/>
        <c:crosses val="autoZero"/>
        <c:auto val="1"/>
        <c:lblAlgn val="ctr"/>
        <c:lblOffset val="100"/>
        <c:noMultiLvlLbl val="0"/>
      </c:catAx>
      <c:valAx>
        <c:axId val="184034768"/>
        <c:scaling>
          <c:orientation val="minMax"/>
          <c:max val="29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Adiabatic Flame Temperature, </a:t>
                </a:r>
                <a:r>
                  <a:rPr lang="en-US" baseline="30000"/>
                  <a:t>o</a:t>
                </a:r>
                <a:r>
                  <a:rPr lang="en-US"/>
                  <a:t>C</a:t>
                </a:r>
                <a:endParaRPr lang="el-GR"/>
              </a:p>
            </c:rich>
          </c:tx>
          <c:layout>
            <c:manualLayout>
              <c:xMode val="edge"/>
              <c:yMode val="edge"/>
              <c:x val="1.827350152659489E-2"/>
              <c:y val="0.130537765664851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4034208"/>
        <c:crosses val="autoZero"/>
        <c:crossBetween val="midCat"/>
        <c:majorUnit val="200"/>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Composition of Flue gasses</a:t>
            </a:r>
            <a:endParaRPr lang="el-GR" sz="1200">
              <a:effectLst/>
            </a:endParaRPr>
          </a:p>
        </c:rich>
      </c:tx>
      <c:layout>
        <c:manualLayout>
          <c:xMode val="edge"/>
          <c:yMode val="edge"/>
          <c:x val="0.2875540607976047"/>
          <c:y val="2.3979026848013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col"/>
        <c:grouping val="stacked"/>
        <c:varyColors val="0"/>
        <c:ser>
          <c:idx val="0"/>
          <c:order val="0"/>
          <c:tx>
            <c:v>N2</c:v>
          </c:tx>
          <c:spPr>
            <a:solidFill>
              <a:schemeClr val="accent1"/>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Fuel!$H$156:$L$156</c:f>
              <c:numCache>
                <c:formatCode>0</c:formatCode>
                <c:ptCount val="5"/>
                <c:pt idx="0">
                  <c:v>2203.9198260617368</c:v>
                </c:pt>
                <c:pt idx="1">
                  <c:v>2203.9198260617368</c:v>
                </c:pt>
                <c:pt idx="2">
                  <c:v>1017.6086523901533</c:v>
                </c:pt>
                <c:pt idx="3">
                  <c:v>46.990419386130618</c:v>
                </c:pt>
                <c:pt idx="4">
                  <c:v>52.237372880785294</c:v>
                </c:pt>
              </c:numCache>
            </c:numRef>
          </c:val>
          <c:extLst xmlns:c16r2="http://schemas.microsoft.com/office/drawing/2015/06/chart">
            <c:ext xmlns:c16="http://schemas.microsoft.com/office/drawing/2014/chart" uri="{C3380CC4-5D6E-409C-BE32-E72D297353CC}">
              <c16:uniqueId val="{00000000-694D-45E1-83A4-5E1FB0B80AA6}"/>
            </c:ext>
          </c:extLst>
        </c:ser>
        <c:ser>
          <c:idx val="1"/>
          <c:order val="1"/>
          <c:tx>
            <c:v>CO2</c:v>
          </c:tx>
          <c:spPr>
            <a:solidFill>
              <a:schemeClr val="accent2"/>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Fuel!$H$157:$L$157</c:f>
              <c:numCache>
                <c:formatCode>0</c:formatCode>
                <c:ptCount val="5"/>
                <c:pt idx="0">
                  <c:v>502.38593365490431</c:v>
                </c:pt>
                <c:pt idx="1">
                  <c:v>502.38593365490431</c:v>
                </c:pt>
                <c:pt idx="2">
                  <c:v>501.612630849428</c:v>
                </c:pt>
                <c:pt idx="3">
                  <c:v>500.97992855403845</c:v>
                </c:pt>
                <c:pt idx="4">
                  <c:v>406.81452640719613</c:v>
                </c:pt>
              </c:numCache>
            </c:numRef>
          </c:val>
          <c:extLst xmlns:c16r2="http://schemas.microsoft.com/office/drawing/2015/06/chart">
            <c:ext xmlns:c16="http://schemas.microsoft.com/office/drawing/2014/chart" uri="{C3380CC4-5D6E-409C-BE32-E72D297353CC}">
              <c16:uniqueId val="{00000001-694D-45E1-83A4-5E1FB0B80AA6}"/>
            </c:ext>
          </c:extLst>
        </c:ser>
        <c:ser>
          <c:idx val="2"/>
          <c:order val="2"/>
          <c:tx>
            <c:v>H2O</c:v>
          </c:tx>
          <c:spPr>
            <a:solidFill>
              <a:schemeClr val="accent3"/>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Fuel!$H$158:$L$158</c:f>
              <c:numCache>
                <c:formatCode>0</c:formatCode>
                <c:ptCount val="5"/>
                <c:pt idx="0">
                  <c:v>367.36510245498249</c:v>
                </c:pt>
                <c:pt idx="1">
                  <c:v>367.36510245498249</c:v>
                </c:pt>
                <c:pt idx="2">
                  <c:v>367.36510245498249</c:v>
                </c:pt>
                <c:pt idx="3">
                  <c:v>367.36510245498249</c:v>
                </c:pt>
                <c:pt idx="4">
                  <c:v>447.93207708530451</c:v>
                </c:pt>
              </c:numCache>
            </c:numRef>
          </c:val>
          <c:extLst xmlns:c16r2="http://schemas.microsoft.com/office/drawing/2015/06/chart">
            <c:ext xmlns:c16="http://schemas.microsoft.com/office/drawing/2014/chart" uri="{C3380CC4-5D6E-409C-BE32-E72D297353CC}">
              <c16:uniqueId val="{00000002-694D-45E1-83A4-5E1FB0B80AA6}"/>
            </c:ext>
          </c:extLst>
        </c:ser>
        <c:ser>
          <c:idx val="3"/>
          <c:order val="3"/>
          <c:tx>
            <c:v>O2</c:v>
          </c:tx>
          <c:spPr>
            <a:solidFill>
              <a:schemeClr val="accent4"/>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Fuel!$H$159:$L$159</c:f>
              <c:numCache>
                <c:formatCode>0</c:formatCode>
                <c:ptCount val="5"/>
                <c:pt idx="0">
                  <c:v>0.20093029020611</c:v>
                </c:pt>
                <c:pt idx="1">
                  <c:v>171.98664773761763</c:v>
                </c:pt>
                <c:pt idx="2">
                  <c:v>82.790217524538448</c:v>
                </c:pt>
                <c:pt idx="3">
                  <c:v>0.20093029020611</c:v>
                </c:pt>
                <c:pt idx="4">
                  <c:v>1.7226041329340398</c:v>
                </c:pt>
              </c:numCache>
            </c:numRef>
          </c:val>
          <c:extLst xmlns:c16r2="http://schemas.microsoft.com/office/drawing/2015/06/chart">
            <c:ext xmlns:c16="http://schemas.microsoft.com/office/drawing/2014/chart" uri="{C3380CC4-5D6E-409C-BE32-E72D297353CC}">
              <c16:uniqueId val="{00000003-694D-45E1-83A4-5E1FB0B80AA6}"/>
            </c:ext>
          </c:extLst>
        </c:ser>
        <c:ser>
          <c:idx val="4"/>
          <c:order val="4"/>
          <c:tx>
            <c:v>Ar</c:v>
          </c:tx>
          <c:spPr>
            <a:solidFill>
              <a:schemeClr val="accent5"/>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Fuel!$H$160:$L$160</c:f>
              <c:numCache>
                <c:formatCode>0</c:formatCode>
                <c:ptCount val="5"/>
                <c:pt idx="0">
                  <c:v>36.619427743390624</c:v>
                </c:pt>
                <c:pt idx="1">
                  <c:v>36.619427743390624</c:v>
                </c:pt>
                <c:pt idx="2">
                  <c:v>16.478742484525775</c:v>
                </c:pt>
                <c:pt idx="3">
                  <c:v>0</c:v>
                </c:pt>
                <c:pt idx="4">
                  <c:v>0</c:v>
                </c:pt>
              </c:numCache>
            </c:numRef>
          </c:val>
          <c:extLst xmlns:c16r2="http://schemas.microsoft.com/office/drawing/2015/06/chart">
            <c:ext xmlns:c16="http://schemas.microsoft.com/office/drawing/2014/chart" uri="{C3380CC4-5D6E-409C-BE32-E72D297353CC}">
              <c16:uniqueId val="{00000004-694D-45E1-83A4-5E1FB0B80AA6}"/>
            </c:ext>
          </c:extLst>
        </c:ser>
        <c:ser>
          <c:idx val="5"/>
          <c:order val="5"/>
          <c:tx>
            <c:v>SO2</c:v>
          </c:tx>
          <c:spPr>
            <a:solidFill>
              <a:schemeClr val="accent6"/>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Fuel!$H$161:$L$161</c:f>
              <c:numCache>
                <c:formatCode>0</c:formatCode>
                <c:ptCount val="5"/>
                <c:pt idx="0">
                  <c:v>0.59454402288250263</c:v>
                </c:pt>
                <c:pt idx="1">
                  <c:v>0.59454402288250263</c:v>
                </c:pt>
                <c:pt idx="2">
                  <c:v>0.59454402288250263</c:v>
                </c:pt>
                <c:pt idx="3">
                  <c:v>0.59454402288250263</c:v>
                </c:pt>
                <c:pt idx="4">
                  <c:v>0.82282289262741171</c:v>
                </c:pt>
              </c:numCache>
            </c:numRef>
          </c:val>
          <c:extLst xmlns:c16r2="http://schemas.microsoft.com/office/drawing/2015/06/chart">
            <c:ext xmlns:c16="http://schemas.microsoft.com/office/drawing/2014/chart" uri="{C3380CC4-5D6E-409C-BE32-E72D297353CC}">
              <c16:uniqueId val="{00000005-694D-45E1-83A4-5E1FB0B80AA6}"/>
            </c:ext>
          </c:extLst>
        </c:ser>
        <c:ser>
          <c:idx val="6"/>
          <c:order val="6"/>
          <c:tx>
            <c:v>CO</c:v>
          </c:tx>
          <c:spPr>
            <a:solidFill>
              <a:schemeClr val="accent1">
                <a:lumMod val="60000"/>
              </a:schemeClr>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Fuel!$H$162:$L$162</c:f>
              <c:numCache>
                <c:formatCode>0</c:formatCode>
                <c:ptCount val="5"/>
                <c:pt idx="0">
                  <c:v>0</c:v>
                </c:pt>
                <c:pt idx="1">
                  <c:v>0</c:v>
                </c:pt>
                <c:pt idx="2">
                  <c:v>0</c:v>
                </c:pt>
                <c:pt idx="3">
                  <c:v>0</c:v>
                </c:pt>
                <c:pt idx="4">
                  <c:v>2.55526582072293</c:v>
                </c:pt>
              </c:numCache>
            </c:numRef>
          </c:val>
          <c:extLst xmlns:c16r2="http://schemas.microsoft.com/office/drawing/2015/06/chart">
            <c:ext xmlns:c16="http://schemas.microsoft.com/office/drawing/2014/chart" uri="{C3380CC4-5D6E-409C-BE32-E72D297353CC}">
              <c16:uniqueId val="{00000000-16AE-4272-81F2-877DEFBB9E7C}"/>
            </c:ext>
          </c:extLst>
        </c:ser>
        <c:dLbls>
          <c:showLegendKey val="0"/>
          <c:showVal val="0"/>
          <c:showCatName val="0"/>
          <c:showSerName val="0"/>
          <c:showPercent val="0"/>
          <c:showBubbleSize val="0"/>
        </c:dLbls>
        <c:gapWidth val="150"/>
        <c:overlap val="100"/>
        <c:axId val="184040368"/>
        <c:axId val="183750448"/>
      </c:barChart>
      <c:catAx>
        <c:axId val="18404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Oxygen-enhanced</a:t>
                </a:r>
                <a:r>
                  <a:rPr lang="en-US" sz="1100" baseline="0"/>
                  <a:t> combustion of Natural gas</a:t>
                </a:r>
                <a:endParaRPr lang="el-GR" sz="1100"/>
              </a:p>
            </c:rich>
          </c:tx>
          <c:layout>
            <c:manualLayout>
              <c:xMode val="edge"/>
              <c:yMode val="edge"/>
              <c:x val="0.26677278776033297"/>
              <c:y val="0.81584044443647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3750448"/>
        <c:crosses val="autoZero"/>
        <c:auto val="1"/>
        <c:lblAlgn val="ctr"/>
        <c:lblOffset val="100"/>
        <c:noMultiLvlLbl val="0"/>
      </c:catAx>
      <c:valAx>
        <c:axId val="18375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Coumpounds   kg/tn molten glass</a:t>
                </a:r>
                <a:endParaRPr lang="el-GR"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4040368"/>
        <c:crosses val="autoZero"/>
        <c:crossBetween val="between"/>
      </c:valAx>
      <c:spPr>
        <a:noFill/>
        <a:ln>
          <a:noFill/>
        </a:ln>
        <a:effectLst/>
      </c:spPr>
    </c:plotArea>
    <c:legend>
      <c:legendPos val="b"/>
      <c:layout>
        <c:manualLayout>
          <c:xMode val="edge"/>
          <c:yMode val="edge"/>
          <c:x val="0.29356147241954206"/>
          <c:y val="0.90857948811386069"/>
          <c:w val="0.50090653149220776"/>
          <c:h val="6.04523901533636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kern="1200" spc="0" baseline="0">
                <a:solidFill>
                  <a:srgbClr val="595959"/>
                </a:solidFill>
                <a:effectLst/>
              </a:rPr>
              <a:t>Batch/cullet preheating</a:t>
            </a:r>
            <a:endParaRPr lang="nl-NL">
              <a:effectLst/>
            </a:endParaRPr>
          </a:p>
        </c:rich>
      </c:tx>
      <c:layout>
        <c:manualLayout>
          <c:xMode val="edge"/>
          <c:yMode val="edge"/>
          <c:x val="0.34186172392695902"/>
          <c:y val="2.5000008202102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168576774229543"/>
          <c:y val="0.12536922576136789"/>
          <c:w val="0.73618118435967117"/>
          <c:h val="0.66097001030041924"/>
        </c:manualLayout>
      </c:layout>
      <c:lineChart>
        <c:grouping val="standard"/>
        <c:varyColors val="0"/>
        <c:ser>
          <c:idx val="0"/>
          <c:order val="0"/>
          <c:tx>
            <c:v>Cullet 0%</c:v>
          </c:tx>
          <c:spPr>
            <a:ln w="19050" cap="rnd">
              <a:solidFill>
                <a:schemeClr val="accent1"/>
              </a:solidFill>
              <a:round/>
            </a:ln>
            <a:effectLst/>
          </c:spPr>
          <c:marker>
            <c:symbol val="none"/>
          </c:marker>
          <c:cat>
            <c:numRef>
              <c:f>Heat_Balance!$I$138:$I$158</c:f>
              <c:numCache>
                <c:formatCode>0.0</c:formatCode>
                <c:ptCount val="21"/>
                <c:pt idx="0">
                  <c:v>4.5</c:v>
                </c:pt>
                <c:pt idx="1">
                  <c:v>6.25</c:v>
                </c:pt>
                <c:pt idx="2">
                  <c:v>8</c:v>
                </c:pt>
                <c:pt idx="3">
                  <c:v>9.75</c:v>
                </c:pt>
                <c:pt idx="4">
                  <c:v>11.5</c:v>
                </c:pt>
                <c:pt idx="5">
                  <c:v>13.25</c:v>
                </c:pt>
                <c:pt idx="6">
                  <c:v>15</c:v>
                </c:pt>
                <c:pt idx="7">
                  <c:v>16.75</c:v>
                </c:pt>
                <c:pt idx="8">
                  <c:v>18.5</c:v>
                </c:pt>
                <c:pt idx="9">
                  <c:v>20.25</c:v>
                </c:pt>
                <c:pt idx="10">
                  <c:v>22</c:v>
                </c:pt>
                <c:pt idx="11">
                  <c:v>23.75</c:v>
                </c:pt>
                <c:pt idx="12">
                  <c:v>25.5</c:v>
                </c:pt>
                <c:pt idx="13">
                  <c:v>27.25</c:v>
                </c:pt>
                <c:pt idx="14">
                  <c:v>29</c:v>
                </c:pt>
                <c:pt idx="16" formatCode="General">
                  <c:v>0.14000000000000001</c:v>
                </c:pt>
                <c:pt idx="17" formatCode="General">
                  <c:v>-30.759000000000007</c:v>
                </c:pt>
              </c:numCache>
            </c:numRef>
          </c:cat>
          <c:val>
            <c:numRef>
              <c:f>Heat_Balance!$G$138:$G$148</c:f>
              <c:numCache>
                <c:formatCode>0.0</c:formatCode>
                <c:ptCount val="11"/>
                <c:pt idx="0">
                  <c:v>5.4</c:v>
                </c:pt>
                <c:pt idx="1">
                  <c:v>5.7</c:v>
                </c:pt>
                <c:pt idx="2">
                  <c:v>6.0000000000000009</c:v>
                </c:pt>
                <c:pt idx="3">
                  <c:v>6.3000000000000007</c:v>
                </c:pt>
                <c:pt idx="4">
                  <c:v>6.6000000000000005</c:v>
                </c:pt>
                <c:pt idx="5">
                  <c:v>6.9</c:v>
                </c:pt>
                <c:pt idx="6">
                  <c:v>7.2</c:v>
                </c:pt>
                <c:pt idx="7">
                  <c:v>7.5</c:v>
                </c:pt>
                <c:pt idx="8">
                  <c:v>7.8000000000000007</c:v>
                </c:pt>
                <c:pt idx="9">
                  <c:v>8.1</c:v>
                </c:pt>
                <c:pt idx="10">
                  <c:v>8.4</c:v>
                </c:pt>
              </c:numCache>
            </c:numRef>
          </c:val>
          <c:smooth val="0"/>
          <c:extLst xmlns:c16r2="http://schemas.microsoft.com/office/drawing/2015/06/chart">
            <c:ext xmlns:c16="http://schemas.microsoft.com/office/drawing/2014/chart" uri="{C3380CC4-5D6E-409C-BE32-E72D297353CC}">
              <c16:uniqueId val="{00000000-283D-47D6-9A6A-71E211B98CC7}"/>
            </c:ext>
          </c:extLst>
        </c:ser>
        <c:ser>
          <c:idx val="1"/>
          <c:order val="1"/>
          <c:tx>
            <c:v>Cullet 76%</c:v>
          </c:tx>
          <c:spPr>
            <a:ln w="19050" cap="rnd">
              <a:solidFill>
                <a:schemeClr val="accent2"/>
              </a:solidFill>
              <a:round/>
            </a:ln>
            <a:effectLst/>
          </c:spPr>
          <c:marker>
            <c:symbol val="none"/>
          </c:marker>
          <c:cat>
            <c:numRef>
              <c:f>Heat_Balance!$I$138:$I$158</c:f>
              <c:numCache>
                <c:formatCode>0.0</c:formatCode>
                <c:ptCount val="21"/>
                <c:pt idx="0">
                  <c:v>4.5</c:v>
                </c:pt>
                <c:pt idx="1">
                  <c:v>6.25</c:v>
                </c:pt>
                <c:pt idx="2">
                  <c:v>8</c:v>
                </c:pt>
                <c:pt idx="3">
                  <c:v>9.75</c:v>
                </c:pt>
                <c:pt idx="4">
                  <c:v>11.5</c:v>
                </c:pt>
                <c:pt idx="5">
                  <c:v>13.25</c:v>
                </c:pt>
                <c:pt idx="6">
                  <c:v>15</c:v>
                </c:pt>
                <c:pt idx="7">
                  <c:v>16.75</c:v>
                </c:pt>
                <c:pt idx="8">
                  <c:v>18.5</c:v>
                </c:pt>
                <c:pt idx="9">
                  <c:v>20.25</c:v>
                </c:pt>
                <c:pt idx="10">
                  <c:v>22</c:v>
                </c:pt>
                <c:pt idx="11">
                  <c:v>23.75</c:v>
                </c:pt>
                <c:pt idx="12">
                  <c:v>25.5</c:v>
                </c:pt>
                <c:pt idx="13">
                  <c:v>27.25</c:v>
                </c:pt>
                <c:pt idx="14">
                  <c:v>29</c:v>
                </c:pt>
                <c:pt idx="16" formatCode="General">
                  <c:v>0.14000000000000001</c:v>
                </c:pt>
                <c:pt idx="17" formatCode="General">
                  <c:v>-30.759000000000007</c:v>
                </c:pt>
              </c:numCache>
            </c:numRef>
          </c:cat>
          <c:val>
            <c:numRef>
              <c:f>Heat_Balance!$I$138:$I$148</c:f>
              <c:numCache>
                <c:formatCode>0.0</c:formatCode>
                <c:ptCount val="11"/>
                <c:pt idx="0">
                  <c:v>4.5</c:v>
                </c:pt>
                <c:pt idx="1">
                  <c:v>6.25</c:v>
                </c:pt>
                <c:pt idx="2">
                  <c:v>8</c:v>
                </c:pt>
                <c:pt idx="3">
                  <c:v>9.75</c:v>
                </c:pt>
                <c:pt idx="4">
                  <c:v>11.5</c:v>
                </c:pt>
                <c:pt idx="5">
                  <c:v>13.25</c:v>
                </c:pt>
                <c:pt idx="6">
                  <c:v>15</c:v>
                </c:pt>
                <c:pt idx="7">
                  <c:v>16.75</c:v>
                </c:pt>
                <c:pt idx="8">
                  <c:v>18.5</c:v>
                </c:pt>
                <c:pt idx="9">
                  <c:v>20.25</c:v>
                </c:pt>
                <c:pt idx="10">
                  <c:v>22</c:v>
                </c:pt>
              </c:numCache>
            </c:numRef>
          </c:val>
          <c:smooth val="0"/>
          <c:extLst xmlns:c16r2="http://schemas.microsoft.com/office/drawing/2015/06/chart">
            <c:ext xmlns:c16="http://schemas.microsoft.com/office/drawing/2014/chart" uri="{C3380CC4-5D6E-409C-BE32-E72D297353CC}">
              <c16:uniqueId val="{0000000F-283D-47D6-9A6A-71E211B98CC7}"/>
            </c:ext>
          </c:extLst>
        </c:ser>
        <c:dLbls>
          <c:showLegendKey val="0"/>
          <c:showVal val="0"/>
          <c:showCatName val="0"/>
          <c:showSerName val="0"/>
          <c:showPercent val="0"/>
          <c:showBubbleSize val="0"/>
        </c:dLbls>
        <c:smooth val="0"/>
        <c:axId val="181737184"/>
        <c:axId val="181737744"/>
      </c:lineChart>
      <c:catAx>
        <c:axId val="18173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Batch</a:t>
                </a:r>
                <a:r>
                  <a:rPr lang="nl-NL" baseline="0"/>
                  <a:t> mix temperature (oC)</a:t>
                </a:r>
                <a:endParaRPr lang="nl-NL"/>
              </a:p>
            </c:rich>
          </c:tx>
          <c:layout>
            <c:manualLayout>
              <c:xMode val="edge"/>
              <c:yMode val="edge"/>
              <c:x val="0.35780376350270976"/>
              <c:y val="0.88422124816621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1737744"/>
        <c:crosses val="autoZero"/>
        <c:auto val="1"/>
        <c:lblAlgn val="ctr"/>
        <c:lblOffset val="100"/>
        <c:tickMarkSkip val="20"/>
        <c:noMultiLvlLbl val="0"/>
      </c:catAx>
      <c:valAx>
        <c:axId val="18173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kern="1200" baseline="0">
                    <a:solidFill>
                      <a:srgbClr val="595959"/>
                    </a:solidFill>
                    <a:effectLst/>
                  </a:rPr>
                  <a:t>Fuel consumption gain Vs. cold reactants (%)</a:t>
                </a:r>
                <a:endParaRPr lang="nl-NL">
                  <a:effectLst/>
                </a:endParaRPr>
              </a:p>
            </c:rich>
          </c:tx>
          <c:layout>
            <c:manualLayout>
              <c:xMode val="edge"/>
              <c:yMode val="edge"/>
              <c:x val="3.9555484879958157E-2"/>
              <c:y val="9.597990621968240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1737184"/>
        <c:crosses val="autoZero"/>
        <c:crossBetween val="between"/>
      </c:valAx>
      <c:spPr>
        <a:noFill/>
        <a:ln>
          <a:noFill/>
        </a:ln>
        <a:effectLst/>
      </c:spPr>
    </c:plotArea>
    <c:legend>
      <c:legendPos val="r"/>
      <c:layout>
        <c:manualLayout>
          <c:xMode val="edge"/>
          <c:yMode val="edge"/>
          <c:x val="0.71004976453420254"/>
          <c:y val="0.33416707063590589"/>
          <c:w val="0.17776532584153903"/>
          <c:h val="0.13651973227827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CO</a:t>
            </a:r>
            <a:r>
              <a:rPr lang="en-US" sz="1400" b="0" i="0" baseline="-25000">
                <a:effectLst/>
              </a:rPr>
              <a:t>2</a:t>
            </a:r>
            <a:r>
              <a:rPr lang="en-US" sz="1400" b="0" i="0" baseline="0">
                <a:effectLst/>
              </a:rPr>
              <a:t> emissions per industrial activity</a:t>
            </a:r>
            <a:endParaRPr lang="el-GR"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3815048118985127"/>
          <c:y val="0.15805395959489535"/>
          <c:w val="0.8118722659667541"/>
          <c:h val="0.65346400046076836"/>
        </c:manualLayout>
      </c:layout>
      <c:barChart>
        <c:barDir val="col"/>
        <c:grouping val="clustered"/>
        <c:varyColors val="0"/>
        <c:ser>
          <c:idx val="0"/>
          <c:order val="0"/>
          <c:tx>
            <c:v>Direct emisisons</c:v>
          </c:tx>
          <c:spPr>
            <a:solidFill>
              <a:schemeClr val="accent1"/>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'1.Batch_Preparation'!$J$60:$J$66</c:f>
              <c:numCache>
                <c:formatCode>0</c:formatCode>
                <c:ptCount val="7"/>
                <c:pt idx="0" formatCode="General">
                  <c:v>0</c:v>
                </c:pt>
                <c:pt idx="1">
                  <c:v>266.80469062471633</c:v>
                </c:pt>
                <c:pt idx="2">
                  <c:v>24.940438471440867</c:v>
                </c:pt>
                <c:pt idx="4">
                  <c:v>11.690830533487905</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0-ADA6-4410-B0B3-2736BFAEF7FD}"/>
            </c:ext>
          </c:extLst>
        </c:ser>
        <c:ser>
          <c:idx val="1"/>
          <c:order val="1"/>
          <c:tx>
            <c:v>Indirect emissions</c:v>
          </c:tx>
          <c:spPr>
            <a:solidFill>
              <a:schemeClr val="accent2"/>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'1.Batch_Preparation'!$I$60:$I$66</c:f>
              <c:numCache>
                <c:formatCode>0</c:formatCode>
                <c:ptCount val="7"/>
                <c:pt idx="0">
                  <c:v>7.4497557958931608</c:v>
                </c:pt>
                <c:pt idx="1">
                  <c:v>52.976041215240237</c:v>
                </c:pt>
                <c:pt idx="2">
                  <c:v>14.23731107659582</c:v>
                </c:pt>
                <c:pt idx="3">
                  <c:v>44.698534775358972</c:v>
                </c:pt>
                <c:pt idx="4">
                  <c:v>8.8983194228723868</c:v>
                </c:pt>
                <c:pt idx="5">
                  <c:v>2.4832519319643866</c:v>
                </c:pt>
                <c:pt idx="6">
                  <c:v>4.1387532199406456</c:v>
                </c:pt>
              </c:numCache>
            </c:numRef>
          </c:val>
          <c:extLst xmlns:c16r2="http://schemas.microsoft.com/office/drawing/2015/06/chart">
            <c:ext xmlns:c16="http://schemas.microsoft.com/office/drawing/2014/chart" uri="{C3380CC4-5D6E-409C-BE32-E72D297353CC}">
              <c16:uniqueId val="{00000001-ADA6-4410-B0B3-2736BFAEF7FD}"/>
            </c:ext>
          </c:extLst>
        </c:ser>
        <c:dLbls>
          <c:showLegendKey val="0"/>
          <c:showVal val="0"/>
          <c:showCatName val="0"/>
          <c:showSerName val="0"/>
          <c:showPercent val="0"/>
          <c:showBubbleSize val="0"/>
        </c:dLbls>
        <c:gapWidth val="219"/>
        <c:overlap val="-27"/>
        <c:axId val="181740544"/>
        <c:axId val="181741104"/>
      </c:barChart>
      <c:catAx>
        <c:axId val="18174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1741104"/>
        <c:crosses val="autoZero"/>
        <c:auto val="1"/>
        <c:lblAlgn val="ctr"/>
        <c:lblOffset val="100"/>
        <c:noMultiLvlLbl val="0"/>
      </c:catAx>
      <c:valAx>
        <c:axId val="18174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a:t>
                </a:r>
                <a:r>
                  <a:rPr lang="en-US" baseline="-25000"/>
                  <a:t>2</a:t>
                </a:r>
                <a:r>
                  <a:rPr lang="en-US" baseline="0"/>
                  <a:t> </a:t>
                </a:r>
                <a:r>
                  <a:rPr lang="en-US"/>
                  <a:t>emissions  kg/tn glass</a:t>
                </a:r>
                <a:endParaRPr lang="el-GR"/>
              </a:p>
            </c:rich>
          </c:tx>
          <c:layout>
            <c:manualLayout>
              <c:xMode val="edge"/>
              <c:yMode val="edge"/>
              <c:x val="3.0793419408579759E-2"/>
              <c:y val="0.18657390516688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1740544"/>
        <c:crosses val="autoZero"/>
        <c:crossBetween val="between"/>
      </c:valAx>
      <c:spPr>
        <a:noFill/>
        <a:ln>
          <a:noFill/>
        </a:ln>
        <a:effectLst/>
      </c:spPr>
    </c:plotArea>
    <c:legend>
      <c:legendPos val="r"/>
      <c:layout>
        <c:manualLayout>
          <c:xMode val="edge"/>
          <c:yMode val="edge"/>
          <c:x val="0.6426663890045814"/>
          <c:y val="0.37490263457276929"/>
          <c:w val="0.3179164544177544"/>
          <c:h val="0.10521826893068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Natural gas</a:t>
            </a:r>
          </a:p>
          <a:p>
            <a:pPr>
              <a:defRPr/>
            </a:pPr>
            <a:r>
              <a:rPr lang="en-US" sz="1300"/>
              <a:t>4.99</a:t>
            </a:r>
            <a:r>
              <a:rPr lang="en-US" sz="1300" baseline="0"/>
              <a:t> GJ/tn glass</a:t>
            </a:r>
            <a:endParaRPr lang="el-GR" sz="1300"/>
          </a:p>
        </c:rich>
      </c:tx>
      <c:layout>
        <c:manualLayout>
          <c:xMode val="edge"/>
          <c:yMode val="edge"/>
          <c:x val="0.26650891414532762"/>
          <c:y val="0.48159745784294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838508050394632"/>
          <c:y val="0.21512346364167795"/>
          <c:w val="0.40476845491072672"/>
          <c:h val="0.67001388705088061"/>
        </c:manualLayout>
      </c:layout>
      <c:doughnutChart>
        <c:varyColors val="1"/>
        <c:ser>
          <c:idx val="0"/>
          <c:order val="0"/>
          <c:tx>
            <c:v>Natural gas</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A39-4B5E-A211-153892C13BC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A39-4B5E-A211-153892C13BC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A39-4B5E-A211-153892C13BCF}"/>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A39-4B5E-A211-153892C13BCF}"/>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A39-4B5E-A211-153892C13BCF}"/>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4A39-4B5E-A211-153892C13BCF}"/>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A39-4B5E-A211-153892C13BCF}"/>
              </c:ext>
            </c:extLst>
          </c:dPt>
          <c:dLbls>
            <c:dLbl>
              <c:idx val="0"/>
              <c:delete val="1"/>
              <c:extLst xmlns:c16r2="http://schemas.microsoft.com/office/drawing/2015/06/chart">
                <c:ext xmlns:c16="http://schemas.microsoft.com/office/drawing/2014/chart" uri="{C3380CC4-5D6E-409C-BE32-E72D297353CC}">
                  <c16:uniqueId val="{00000001-4A39-4B5E-A211-153892C13BCF}"/>
                </c:ext>
                <c:ext xmlns:c15="http://schemas.microsoft.com/office/drawing/2012/chart" uri="{CE6537A1-D6FC-4f65-9D91-7224C49458BB}"/>
              </c:extLst>
            </c:dLbl>
            <c:dLbl>
              <c:idx val="1"/>
              <c:layout>
                <c:manualLayout>
                  <c:x val="0.15809561874089484"/>
                  <c:y val="3.3613914826565805E-3"/>
                </c:manualLayout>
              </c:layout>
              <c:tx>
                <c:rich>
                  <a:bodyPr/>
                  <a:lstStyle/>
                  <a:p>
                    <a:fld id="{58DF52BD-CFB9-4B87-8650-61B829D73C1A}" type="VALUE">
                      <a:rPr lang="en-US"/>
                      <a:pPr/>
                      <a:t>[ΤΙΜΗ]</a:t>
                    </a:fld>
                    <a:r>
                      <a:rPr lang="en-US"/>
                      <a:t> GJ</a:t>
                    </a:r>
                  </a:p>
                  <a:p>
                    <a:r>
                      <a:rPr lang="en-US" baseline="0"/>
                      <a:t>(</a:t>
                    </a:r>
                    <a:fld id="{43A1E886-12FD-41EE-8537-2900132E5477}"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3-4A39-4B5E-A211-153892C13BCF}"/>
                </c:ext>
                <c:ext xmlns:c15="http://schemas.microsoft.com/office/drawing/2012/chart" uri="{CE6537A1-D6FC-4f65-9D91-7224C49458BB}">
                  <c15:dlblFieldTable/>
                  <c15:showDataLabelsRange val="0"/>
                </c:ext>
              </c:extLst>
            </c:dLbl>
            <c:dLbl>
              <c:idx val="2"/>
              <c:layout>
                <c:manualLayout>
                  <c:x val="-0.13360440894493436"/>
                  <c:y val="-5.2157268035562594E-2"/>
                </c:manualLayout>
              </c:layout>
              <c:tx>
                <c:rich>
                  <a:bodyPr/>
                  <a:lstStyle/>
                  <a:p>
                    <a:fld id="{435D2578-64D2-4215-BA44-BCB4BC8F58AD}" type="VALUE">
                      <a:rPr lang="en-US"/>
                      <a:pPr/>
                      <a:t>[ΤΙΜΗ]</a:t>
                    </a:fld>
                    <a:r>
                      <a:rPr lang="en-US"/>
                      <a:t> GJ</a:t>
                    </a:r>
                  </a:p>
                  <a:p>
                    <a:r>
                      <a:rPr lang="en-US" baseline="0"/>
                      <a:t>(</a:t>
                    </a:r>
                    <a:fld id="{5F141734-0EE2-4826-86C6-56EE6ECB215F}" type="PERCENTAGE">
                      <a:rPr lang="en-US" baseline="0"/>
                      <a:pPr/>
                      <a:t>[ΠΟΣΟΣΤΟ]</a:t>
                    </a:fld>
                    <a:r>
                      <a:rPr lang="en-US" baseline="0"/>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4A39-4B5E-A211-153892C13BCF}"/>
                </c:ext>
                <c:ext xmlns:c15="http://schemas.microsoft.com/office/drawing/2012/chart" uri="{CE6537A1-D6FC-4f65-9D91-7224C49458BB}">
                  <c15:dlblFieldTable/>
                  <c15:showDataLabelsRange val="0"/>
                </c:ext>
              </c:extLst>
            </c:dLbl>
            <c:dLbl>
              <c:idx val="3"/>
              <c:delete val="1"/>
              <c:extLst xmlns:c16r2="http://schemas.microsoft.com/office/drawing/2015/06/chart">
                <c:ext xmlns:c16="http://schemas.microsoft.com/office/drawing/2014/chart" uri="{C3380CC4-5D6E-409C-BE32-E72D297353CC}">
                  <c16:uniqueId val="{00000007-4A39-4B5E-A211-153892C13BCF}"/>
                </c:ext>
                <c:ext xmlns:c15="http://schemas.microsoft.com/office/drawing/2012/chart" uri="{CE6537A1-D6FC-4f65-9D91-7224C49458BB}"/>
              </c:extLst>
            </c:dLbl>
            <c:dLbl>
              <c:idx val="4"/>
              <c:layout>
                <c:manualLayout>
                  <c:x val="-9.9382688871745714E-2"/>
                  <c:y val="-0.10756305367909845"/>
                </c:manualLayout>
              </c:layout>
              <c:tx>
                <c:rich>
                  <a:bodyPr/>
                  <a:lstStyle/>
                  <a:p>
                    <a:fld id="{7F2E1C54-6936-47B4-81E8-CBE0D72CF347}" type="VALUE">
                      <a:rPr lang="en-US"/>
                      <a:pPr/>
                      <a:t>[ΤΙΜΗ]</a:t>
                    </a:fld>
                    <a:r>
                      <a:rPr lang="en-US"/>
                      <a:t> GJ</a:t>
                    </a:r>
                  </a:p>
                  <a:p>
                    <a:r>
                      <a:rPr lang="en-US" baseline="0"/>
                      <a:t>(</a:t>
                    </a:r>
                    <a:fld id="{45345E33-1800-4585-9B46-B5E17862ABDD}"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9-4A39-4B5E-A211-153892C13BCF}"/>
                </c:ext>
                <c:ext xmlns:c15="http://schemas.microsoft.com/office/drawing/2012/chart" uri="{CE6537A1-D6FC-4f65-9D91-7224C49458BB}">
                  <c15:dlblFieldTable/>
                  <c15:showDataLabelsRange val="0"/>
                </c:ext>
              </c:extLst>
            </c:dLbl>
            <c:dLbl>
              <c:idx val="5"/>
              <c:delete val="1"/>
              <c:extLst xmlns:c16r2="http://schemas.microsoft.com/office/drawing/2015/06/chart">
                <c:ext xmlns:c16="http://schemas.microsoft.com/office/drawing/2014/chart" uri="{C3380CC4-5D6E-409C-BE32-E72D297353CC}">
                  <c16:uniqueId val="{0000000B-4A39-4B5E-A211-153892C13BCF}"/>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D-4A39-4B5E-A211-153892C13BCF}"/>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'1.Batch_Preparation'!$F$60:$F$66</c:f>
              <c:numCache>
                <c:formatCode>0.00</c:formatCode>
                <c:ptCount val="7"/>
                <c:pt idx="0" formatCode="General">
                  <c:v>0</c:v>
                </c:pt>
                <c:pt idx="1">
                  <c:v>4.386416212621894</c:v>
                </c:pt>
                <c:pt idx="2">
                  <c:v>0.41003455900595959</c:v>
                </c:pt>
                <c:pt idx="3" formatCode="General">
                  <c:v>0</c:v>
                </c:pt>
                <c:pt idx="4">
                  <c:v>0.19220369953404354</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E-4A39-4B5E-A211-153892C13B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30825843422331"/>
          <c:y val="0.25922443835778497"/>
          <c:w val="0.25056273644417865"/>
          <c:h val="0.5460560582435258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Electricity </a:t>
            </a:r>
          </a:p>
          <a:p>
            <a:pPr>
              <a:defRPr/>
            </a:pPr>
            <a:r>
              <a:rPr lang="en-US" sz="1200"/>
              <a:t>0.97 GJ/tn glass</a:t>
            </a:r>
          </a:p>
        </c:rich>
      </c:tx>
      <c:layout>
        <c:manualLayout>
          <c:xMode val="edge"/>
          <c:yMode val="edge"/>
          <c:x val="0.31373446904700042"/>
          <c:y val="0.447140023872562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2189863704215396"/>
          <c:y val="0.30453833217059545"/>
          <c:w val="0.40955125245539387"/>
          <c:h val="0.44604347437448849"/>
        </c:manualLayout>
      </c:layout>
      <c:doughnutChart>
        <c:varyColors val="1"/>
        <c:ser>
          <c:idx val="0"/>
          <c:order val="0"/>
          <c:tx>
            <c:v>Electricity</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04E-43FA-89D9-29BC8286486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04E-43FA-89D9-29BC8286486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04E-43FA-89D9-29BC82864869}"/>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904E-43FA-89D9-29BC82864869}"/>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904E-43FA-89D9-29BC82864869}"/>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904E-43FA-89D9-29BC82864869}"/>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904E-43FA-89D9-29BC82864869}"/>
              </c:ext>
            </c:extLst>
          </c:dPt>
          <c:dLbls>
            <c:dLbl>
              <c:idx val="0"/>
              <c:layout>
                <c:manualLayout>
                  <c:x val="0.13771319006022947"/>
                  <c:y val="-5.4874292771095075E-2"/>
                </c:manualLayout>
              </c:layout>
              <c:tx>
                <c:rich>
                  <a:bodyPr/>
                  <a:lstStyle/>
                  <a:p>
                    <a:fld id="{1C61422E-8810-4366-823E-E5BAE7F89278}" type="VALUE">
                      <a:rPr lang="en-US"/>
                      <a:pPr/>
                      <a:t>[ΤΙΜΗ]</a:t>
                    </a:fld>
                    <a:r>
                      <a:rPr lang="en-US"/>
                      <a:t> GJ</a:t>
                    </a:r>
                    <a:endParaRPr lang="en-US" baseline="0"/>
                  </a:p>
                  <a:p>
                    <a:r>
                      <a:rPr lang="en-US"/>
                      <a:t>(</a:t>
                    </a:r>
                    <a:fld id="{8F08BC04-AF85-472E-8991-A0365A61628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1-904E-43FA-89D9-29BC82864869}"/>
                </c:ext>
                <c:ext xmlns:c15="http://schemas.microsoft.com/office/drawing/2012/chart" uri="{CE6537A1-D6FC-4f65-9D91-7224C49458BB}">
                  <c15:dlblFieldTable/>
                  <c15:showDataLabelsRange val="0"/>
                </c:ext>
              </c:extLst>
            </c:dLbl>
            <c:dLbl>
              <c:idx val="1"/>
              <c:layout>
                <c:manualLayout>
                  <c:x val="9.9065962861337994E-2"/>
                  <c:y val="3.4296432981933793E-3"/>
                </c:manualLayout>
              </c:layout>
              <c:tx>
                <c:rich>
                  <a:bodyPr/>
                  <a:lstStyle/>
                  <a:p>
                    <a:fld id="{A912C7A0-983D-4F30-9606-F25165CDE805}" type="VALUE">
                      <a:rPr lang="en-US"/>
                      <a:pPr/>
                      <a:t>[ΤΙΜΗ]</a:t>
                    </a:fld>
                    <a:r>
                      <a:rPr lang="en-US"/>
                      <a:t> GJ</a:t>
                    </a:r>
                    <a:endParaRPr lang="en-US" baseline="0"/>
                  </a:p>
                  <a:p>
                    <a:r>
                      <a:rPr lang="en-US"/>
                      <a:t>(</a:t>
                    </a:r>
                    <a:fld id="{B38B0C45-3327-47C1-9A2F-6BEB04018FFF}"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3-904E-43FA-89D9-29BC82864869}"/>
                </c:ext>
                <c:ext xmlns:c15="http://schemas.microsoft.com/office/drawing/2012/chart" uri="{CE6537A1-D6FC-4f65-9D91-7224C49458BB}">
                  <c15:dlblFieldTable/>
                  <c15:showDataLabelsRange val="0"/>
                </c:ext>
              </c:extLst>
            </c:dLbl>
            <c:dLbl>
              <c:idx val="2"/>
              <c:layout>
                <c:manualLayout>
                  <c:x val="0.18534079785056387"/>
                  <c:y val="2.6722847896271169E-2"/>
                </c:manualLayout>
              </c:layout>
              <c:tx>
                <c:rich>
                  <a:bodyPr/>
                  <a:lstStyle/>
                  <a:p>
                    <a:fld id="{8F675A46-119D-49D7-A8E7-D4BDB5CF0678}" type="VALUE">
                      <a:rPr lang="en-US"/>
                      <a:pPr/>
                      <a:t>[ΤΙΜΗ]</a:t>
                    </a:fld>
                    <a:r>
                      <a:rPr lang="en-US" baseline="0"/>
                      <a:t> GJ</a:t>
                    </a:r>
                  </a:p>
                  <a:p>
                    <a:r>
                      <a:rPr lang="en-US" baseline="0"/>
                      <a:t>(</a:t>
                    </a:r>
                    <a:fld id="{8F666A04-8FCA-4757-AE8D-85C93701A8E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904E-43FA-89D9-29BC82864869}"/>
                </c:ext>
                <c:ext xmlns:c15="http://schemas.microsoft.com/office/drawing/2012/chart" uri="{CE6537A1-D6FC-4f65-9D91-7224C49458BB}">
                  <c15:dlblFieldTable/>
                  <c15:showDataLabelsRange val="0"/>
                </c:ext>
              </c:extLst>
            </c:dLbl>
            <c:dLbl>
              <c:idx val="3"/>
              <c:layout>
                <c:manualLayout>
                  <c:x val="-0.16185772876889587"/>
                  <c:y val="3.3555700145467236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5ABC90F0-00E4-4DA6-9FC2-3D7BEB4459D1}" type="VALUE">
                      <a:rPr lang="en-US" sz="1100"/>
                      <a:pPr>
                        <a:defRPr sz="1100"/>
                      </a:pPr>
                      <a:t>[ΤΙΜΗ]</a:t>
                    </a:fld>
                    <a:r>
                      <a:rPr lang="en-US" sz="1100"/>
                      <a:t> GJ</a:t>
                    </a:r>
                    <a:endParaRPr lang="en-US" sz="1100" baseline="0"/>
                  </a:p>
                  <a:p>
                    <a:pPr>
                      <a:defRPr sz="1100"/>
                    </a:pPr>
                    <a:r>
                      <a:rPr lang="en-US" sz="1100"/>
                      <a:t>(</a:t>
                    </a:r>
                    <a:fld id="{6B4C25A5-CF5D-480F-B980-4B80F387DE6A}" type="PERCENTAGE">
                      <a:rPr lang="en-US" sz="1100"/>
                      <a:pPr>
                        <a:defRPr sz="1100"/>
                      </a:pPr>
                      <a:t>[ΠΟΣΟΣΤΟ]</a:t>
                    </a:fld>
                    <a:r>
                      <a:rPr lang="en-US" sz="1100"/>
                      <a:t>)</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7-904E-43FA-89D9-29BC82864869}"/>
                </c:ext>
                <c:ext xmlns:c15="http://schemas.microsoft.com/office/drawing/2012/chart" uri="{CE6537A1-D6FC-4f65-9D91-7224C49458BB}">
                  <c15:layout>
                    <c:manualLayout>
                      <c:w val="0.13393218634265669"/>
                      <c:h val="0.14045631425979027"/>
                    </c:manualLayout>
                  </c15:layout>
                  <c15:dlblFieldTable/>
                  <c15:showDataLabelsRange val="0"/>
                </c:ext>
              </c:extLst>
            </c:dLbl>
            <c:dLbl>
              <c:idx val="4"/>
              <c:layout>
                <c:manualLayout>
                  <c:x val="-0.15436001211797556"/>
                  <c:y val="-6.1876143295418726E-2"/>
                </c:manualLayout>
              </c:layout>
              <c:tx>
                <c:rich>
                  <a:bodyPr/>
                  <a:lstStyle/>
                  <a:p>
                    <a:fld id="{CE8A89C3-B473-48FF-9E59-5E27C5744AA7}" type="VALUE">
                      <a:rPr lang="en-US"/>
                      <a:pPr/>
                      <a:t>[ΤΙΜΗ]</a:t>
                    </a:fld>
                    <a:r>
                      <a:rPr lang="en-US"/>
                      <a:t> GJ</a:t>
                    </a:r>
                    <a:endParaRPr lang="en-US" baseline="0"/>
                  </a:p>
                  <a:p>
                    <a:r>
                      <a:rPr lang="en-US"/>
                      <a:t>(</a:t>
                    </a:r>
                    <a:fld id="{D1F6A1A3-6DC1-48B7-AAF5-6DC3EBFFA632}"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9-904E-43FA-89D9-29BC82864869}"/>
                </c:ext>
                <c:ext xmlns:c15="http://schemas.microsoft.com/office/drawing/2012/chart" uri="{CE6537A1-D6FC-4f65-9D91-7224C49458BB}">
                  <c15:dlblFieldTable/>
                  <c15:showDataLabelsRange val="0"/>
                </c:ext>
              </c:extLst>
            </c:dLbl>
            <c:dLbl>
              <c:idx val="5"/>
              <c:layout>
                <c:manualLayout>
                  <c:x val="-6.9152393210110644E-2"/>
                  <c:y val="-0.14188040097623936"/>
                </c:manualLayout>
              </c:layout>
              <c:tx>
                <c:rich>
                  <a:bodyPr/>
                  <a:lstStyle/>
                  <a:p>
                    <a:fld id="{CC04E3BD-9B7F-4EE0-A306-88BC6E9E7DA3}" type="VALUE">
                      <a:rPr lang="en-US"/>
                      <a:pPr/>
                      <a:t>[ΤΙΜΗ]</a:t>
                    </a:fld>
                    <a:r>
                      <a:rPr lang="en-US"/>
                      <a:t> GJ</a:t>
                    </a:r>
                    <a:endParaRPr lang="en-US" baseline="0"/>
                  </a:p>
                  <a:p>
                    <a:r>
                      <a:rPr lang="en-US"/>
                      <a:t>(</a:t>
                    </a:r>
                    <a:fld id="{4516BF33-09E6-4CF3-86B2-C5CF0C6F7445}"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B-904E-43FA-89D9-29BC82864869}"/>
                </c:ext>
                <c:ext xmlns:c15="http://schemas.microsoft.com/office/drawing/2012/chart" uri="{CE6537A1-D6FC-4f65-9D91-7224C49458BB}">
                  <c15:dlblFieldTable/>
                  <c15:showDataLabelsRange val="0"/>
                </c:ext>
              </c:extLst>
            </c:dLbl>
            <c:dLbl>
              <c:idx val="6"/>
              <c:layout>
                <c:manualLayout>
                  <c:x val="5.8390299305753783E-2"/>
                  <c:y val="-0.13459954535970925"/>
                </c:manualLayout>
              </c:layout>
              <c:tx>
                <c:rich>
                  <a:bodyPr/>
                  <a:lstStyle/>
                  <a:p>
                    <a:fld id="{03729EF9-6005-4815-A369-85A2943D634C}" type="VALUE">
                      <a:rPr lang="en-US"/>
                      <a:pPr/>
                      <a:t>[ΤΙΜΗ]</a:t>
                    </a:fld>
                    <a:r>
                      <a:rPr lang="en-US"/>
                      <a:t> GJ</a:t>
                    </a:r>
                    <a:endParaRPr lang="en-US" baseline="0"/>
                  </a:p>
                  <a:p>
                    <a:r>
                      <a:rPr lang="en-US"/>
                      <a:t>(</a:t>
                    </a:r>
                    <a:fld id="{2088CDBB-BB43-482D-A898-65546AADDF20}"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D-904E-43FA-89D9-29BC82864869}"/>
                </c:ex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'1.Batch_Preparation'!$B$60:$C$66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'1.Batch_Preparation'!$G$60:$G$66</c:f>
              <c:numCache>
                <c:formatCode>0.00</c:formatCode>
                <c:ptCount val="7"/>
                <c:pt idx="0">
                  <c:v>5.3638241730430761E-2</c:v>
                </c:pt>
                <c:pt idx="1">
                  <c:v>0.3814274967497297</c:v>
                </c:pt>
                <c:pt idx="2">
                  <c:v>0.1025086397514899</c:v>
                </c:pt>
                <c:pt idx="3">
                  <c:v>0.32182945038258459</c:v>
                </c:pt>
                <c:pt idx="4">
                  <c:v>6.4067899844681184E-2</c:v>
                </c:pt>
                <c:pt idx="5">
                  <c:v>1.7879413910143586E-2</c:v>
                </c:pt>
                <c:pt idx="6">
                  <c:v>2.9799023183572651E-2</c:v>
                </c:pt>
              </c:numCache>
            </c:numRef>
          </c:val>
          <c:extLst xmlns:c16r2="http://schemas.microsoft.com/office/drawing/2015/06/chart">
            <c:ext xmlns:c16="http://schemas.microsoft.com/office/drawing/2014/chart" uri="{C3380CC4-5D6E-409C-BE32-E72D297353CC}">
              <c16:uniqueId val="{0000000E-904E-43FA-89D9-29BC82864869}"/>
            </c:ext>
          </c:extLst>
        </c:ser>
        <c:dLbls>
          <c:showLegendKey val="0"/>
          <c:showVal val="0"/>
          <c:showCatName val="0"/>
          <c:showSerName val="0"/>
          <c:showPercent val="0"/>
          <c:showBubbleSize val="0"/>
          <c:showLeaderLines val="1"/>
        </c:dLbls>
        <c:firstSliceAng val="0"/>
        <c:holeSize val="76"/>
      </c:doughnutChart>
      <c:spPr>
        <a:noFill/>
        <a:ln>
          <a:noFill/>
        </a:ln>
        <a:effectLst/>
      </c:spPr>
    </c:plotArea>
    <c:legend>
      <c:legendPos val="r"/>
      <c:layout>
        <c:manualLayout>
          <c:xMode val="edge"/>
          <c:yMode val="edge"/>
          <c:x val="0.74433429622880787"/>
          <c:y val="0.2765800889249711"/>
          <c:w val="0.23570113694727177"/>
          <c:h val="0.48952393880322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Average melting energy consumption </a:t>
            </a:r>
            <a:br>
              <a:rPr lang="en-GB" sz="1400" b="1" i="0" u="none" strike="noStrike" baseline="0">
                <a:effectLst/>
              </a:rPr>
            </a:br>
            <a:r>
              <a:rPr lang="en-GB" sz="1400" b="1" i="0" u="none" strike="noStrike" baseline="0">
                <a:effectLst/>
              </a:rPr>
              <a:t>in the Dutch container glass industry</a:t>
            </a:r>
            <a:endParaRPr lang="en-GB"/>
          </a:p>
        </c:rich>
      </c:tx>
      <c:layout>
        <c:manualLayout>
          <c:xMode val="edge"/>
          <c:yMode val="edge"/>
          <c:x val="0.22832748194195196"/>
          <c:y val="2.66216032563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0445583532716158"/>
          <c:y val="0.19702893693723716"/>
          <c:w val="0.66428918818221494"/>
          <c:h val="0.65265160210267625"/>
        </c:manualLayout>
      </c:layout>
      <c:lineChart>
        <c:grouping val="stacked"/>
        <c:varyColors val="0"/>
        <c:ser>
          <c:idx val="0"/>
          <c:order val="0"/>
          <c:tx>
            <c:v>energy</c:v>
          </c:tx>
          <c:spPr>
            <a:ln w="22225" cap="rnd">
              <a:solidFill>
                <a:schemeClr val="accent3">
                  <a:lumMod val="75000"/>
                </a:schemeClr>
              </a:solidFill>
              <a:round/>
            </a:ln>
            <a:effectLst/>
          </c:spPr>
          <c:marker>
            <c:symbol val="circle"/>
            <c:size val="5"/>
            <c:spPr>
              <a:solidFill>
                <a:schemeClr val="accent1"/>
              </a:solidFill>
              <a:ln w="31750">
                <a:solidFill>
                  <a:schemeClr val="accent3">
                    <a:lumMod val="50000"/>
                  </a:schemeClr>
                </a:solidFill>
              </a:ln>
              <a:effectLst/>
            </c:spPr>
          </c:marker>
          <c:cat>
            <c:numRef>
              <c:f>'1.Batch_Preparation'!$C$92:$C$106</c:f>
              <c:numCache>
                <c:formatCode>General</c:formatCode>
                <c:ptCount val="15"/>
                <c:pt idx="0">
                  <c:v>1940</c:v>
                </c:pt>
                <c:pt idx="1">
                  <c:v>1950</c:v>
                </c:pt>
                <c:pt idx="2">
                  <c:v>1955</c:v>
                </c:pt>
                <c:pt idx="3">
                  <c:v>1960</c:v>
                </c:pt>
                <c:pt idx="4">
                  <c:v>1965</c:v>
                </c:pt>
                <c:pt idx="5">
                  <c:v>1970</c:v>
                </c:pt>
                <c:pt idx="6">
                  <c:v>1975</c:v>
                </c:pt>
                <c:pt idx="7">
                  <c:v>1980</c:v>
                </c:pt>
                <c:pt idx="8">
                  <c:v>1985</c:v>
                </c:pt>
                <c:pt idx="9">
                  <c:v>1990</c:v>
                </c:pt>
                <c:pt idx="10">
                  <c:v>1995</c:v>
                </c:pt>
                <c:pt idx="11">
                  <c:v>2005</c:v>
                </c:pt>
                <c:pt idx="12">
                  <c:v>2010</c:v>
                </c:pt>
                <c:pt idx="13">
                  <c:v>2015</c:v>
                </c:pt>
                <c:pt idx="14">
                  <c:v>2020</c:v>
                </c:pt>
              </c:numCache>
            </c:numRef>
          </c:cat>
          <c:val>
            <c:numRef>
              <c:f>'1.Batch_Preparation'!$D$92:$D$106</c:f>
              <c:numCache>
                <c:formatCode>General</c:formatCode>
                <c:ptCount val="15"/>
                <c:pt idx="0">
                  <c:v>12.9</c:v>
                </c:pt>
                <c:pt idx="1">
                  <c:v>12.9</c:v>
                </c:pt>
                <c:pt idx="2">
                  <c:v>11.8</c:v>
                </c:pt>
                <c:pt idx="3">
                  <c:v>10.4</c:v>
                </c:pt>
                <c:pt idx="4">
                  <c:v>9.8000000000000007</c:v>
                </c:pt>
                <c:pt idx="5">
                  <c:v>8.8000000000000007</c:v>
                </c:pt>
                <c:pt idx="6">
                  <c:v>8.5</c:v>
                </c:pt>
                <c:pt idx="7">
                  <c:v>7.3</c:v>
                </c:pt>
                <c:pt idx="8">
                  <c:v>6.9</c:v>
                </c:pt>
                <c:pt idx="9">
                  <c:v>6</c:v>
                </c:pt>
                <c:pt idx="10">
                  <c:v>5.3</c:v>
                </c:pt>
                <c:pt idx="11">
                  <c:v>4.8</c:v>
                </c:pt>
                <c:pt idx="12">
                  <c:v>4.5</c:v>
                </c:pt>
                <c:pt idx="13">
                  <c:v>4.7</c:v>
                </c:pt>
                <c:pt idx="14">
                  <c:v>4.7</c:v>
                </c:pt>
              </c:numCache>
            </c:numRef>
          </c:val>
          <c:smooth val="0"/>
          <c:extLst xmlns:c16r2="http://schemas.microsoft.com/office/drawing/2015/06/chart">
            <c:ext xmlns:c16="http://schemas.microsoft.com/office/drawing/2014/chart" uri="{C3380CC4-5D6E-409C-BE32-E72D297353CC}">
              <c16:uniqueId val="{00000000-A442-4703-9F72-9951A1881B15}"/>
            </c:ext>
          </c:extLst>
        </c:ser>
        <c:dLbls>
          <c:showLegendKey val="0"/>
          <c:showVal val="0"/>
          <c:showCatName val="0"/>
          <c:showSerName val="0"/>
          <c:showPercent val="0"/>
          <c:showBubbleSize val="0"/>
        </c:dLbls>
        <c:marker val="1"/>
        <c:smooth val="0"/>
        <c:axId val="182097408"/>
        <c:axId val="182097968"/>
      </c:lineChart>
      <c:dateAx>
        <c:axId val="18209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crossAx val="182097968"/>
        <c:crosses val="autoZero"/>
        <c:auto val="0"/>
        <c:lblOffset val="100"/>
        <c:baseTimeUnit val="days"/>
        <c:majorUnit val="10"/>
        <c:majorTimeUnit val="days"/>
      </c:dateAx>
      <c:valAx>
        <c:axId val="18209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Energy consumption melting</a:t>
                </a:r>
              </a:p>
              <a:p>
                <a:pPr>
                  <a:defRPr sz="1200"/>
                </a:pPr>
                <a:r>
                  <a:rPr lang="en-US" sz="1200"/>
                  <a:t>GJ/net tonne glass</a:t>
                </a:r>
                <a:endParaRPr lang="el-GR" sz="1200"/>
              </a:p>
            </c:rich>
          </c:tx>
          <c:layout>
            <c:manualLayout>
              <c:xMode val="edge"/>
              <c:yMode val="edge"/>
              <c:x val="4.0582647855342123E-2"/>
              <c:y val="0.1770671877868490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l-GR"/>
          </a:p>
        </c:txPr>
        <c:crossAx val="182097408"/>
        <c:crosses val="autoZero"/>
        <c:crossBetween val="between"/>
      </c:valAx>
      <c:spPr>
        <a:solidFill>
          <a:schemeClr val="accent3">
            <a:lumMod val="60000"/>
            <a:lumOff val="40000"/>
          </a:schemeClr>
        </a:solid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Qflue/Qng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ratio w/o preheat</c:v>
          </c:tx>
          <c:spPr>
            <a:ln w="28575" cap="rnd">
              <a:solidFill>
                <a:schemeClr val="accent2"/>
              </a:solidFill>
              <a:round/>
            </a:ln>
            <a:effectLst/>
          </c:spPr>
          <c:marker>
            <c:symbol val="none"/>
          </c:marker>
          <c:val>
            <c:numRef>
              <c:f>Fuel!$C$178:$M$178</c:f>
              <c:numCache>
                <c:formatCode>0.000</c:formatCode>
                <c:ptCount val="11"/>
                <c:pt idx="0">
                  <c:v>0.61430854588195583</c:v>
                </c:pt>
                <c:pt idx="1">
                  <c:v>0.60548176126043052</c:v>
                </c:pt>
                <c:pt idx="2">
                  <c:v>0.59665497663890277</c:v>
                </c:pt>
                <c:pt idx="3">
                  <c:v>0.58782819201737968</c:v>
                </c:pt>
                <c:pt idx="4">
                  <c:v>0.57900140739585348</c:v>
                </c:pt>
                <c:pt idx="5">
                  <c:v>0.57017462277432462</c:v>
                </c:pt>
                <c:pt idx="6">
                  <c:v>0.56134783815279843</c:v>
                </c:pt>
                <c:pt idx="7">
                  <c:v>0.55252105353127434</c:v>
                </c:pt>
                <c:pt idx="8">
                  <c:v>0.54369426890974826</c:v>
                </c:pt>
                <c:pt idx="9">
                  <c:v>0.53486748428822273</c:v>
                </c:pt>
                <c:pt idx="10">
                  <c:v>0.52604069966669686</c:v>
                </c:pt>
              </c:numCache>
            </c:numRef>
          </c:val>
          <c:smooth val="0"/>
          <c:extLst xmlns:c16r2="http://schemas.microsoft.com/office/drawing/2015/06/chart">
            <c:ext xmlns:c16="http://schemas.microsoft.com/office/drawing/2014/chart" uri="{C3380CC4-5D6E-409C-BE32-E72D297353CC}">
              <c16:uniqueId val="{00000000-034B-4C91-A9F9-6D6E02B75503}"/>
            </c:ext>
          </c:extLst>
        </c:ser>
        <c:ser>
          <c:idx val="0"/>
          <c:order val="1"/>
          <c:tx>
            <c:v>ratio with preheat</c:v>
          </c:tx>
          <c:spPr>
            <a:ln w="28575" cap="rnd">
              <a:solidFill>
                <a:schemeClr val="accent1"/>
              </a:solidFill>
              <a:round/>
            </a:ln>
            <a:effectLst>
              <a:outerShdw blurRad="152400" dist="50800" dir="5400000" algn="ctr" rotWithShape="0">
                <a:srgbClr val="FF0000"/>
              </a:outerShdw>
            </a:effectLst>
          </c:spPr>
          <c:marker>
            <c:symbol val="none"/>
          </c:marker>
          <c:val>
            <c:numRef>
              <c:f>Fuel!$C$182:$M$182</c:f>
              <c:numCache>
                <c:formatCode>0.000</c:formatCode>
                <c:ptCount val="11"/>
                <c:pt idx="0">
                  <c:v>0.61430854588195694</c:v>
                </c:pt>
                <c:pt idx="1">
                  <c:v>0.60548176126042996</c:v>
                </c:pt>
                <c:pt idx="2">
                  <c:v>0.59665497663890577</c:v>
                </c:pt>
                <c:pt idx="3">
                  <c:v>0.58782819201737835</c:v>
                </c:pt>
                <c:pt idx="4">
                  <c:v>0.57900140739585237</c:v>
                </c:pt>
                <c:pt idx="5">
                  <c:v>0.57017462277432651</c:v>
                </c:pt>
                <c:pt idx="6">
                  <c:v>0.56134783815280065</c:v>
                </c:pt>
                <c:pt idx="7">
                  <c:v>0.55252105353127468</c:v>
                </c:pt>
                <c:pt idx="8">
                  <c:v>0.5436942689097487</c:v>
                </c:pt>
                <c:pt idx="9">
                  <c:v>0.53486748428822251</c:v>
                </c:pt>
                <c:pt idx="10">
                  <c:v>0.52604069966669653</c:v>
                </c:pt>
              </c:numCache>
            </c:numRef>
          </c:val>
          <c:smooth val="0"/>
          <c:extLst xmlns:c16r2="http://schemas.microsoft.com/office/drawing/2015/06/chart">
            <c:ext xmlns:c16="http://schemas.microsoft.com/office/drawing/2014/chart" uri="{C3380CC4-5D6E-409C-BE32-E72D297353CC}">
              <c16:uniqueId val="{00000001-034B-4C91-A9F9-6D6E02B75503}"/>
            </c:ext>
          </c:extLst>
        </c:ser>
        <c:dLbls>
          <c:showLegendKey val="0"/>
          <c:showVal val="0"/>
          <c:showCatName val="0"/>
          <c:showSerName val="0"/>
          <c:showPercent val="0"/>
          <c:showBubbleSize val="0"/>
        </c:dLbls>
        <c:smooth val="0"/>
        <c:axId val="182680640"/>
        <c:axId val="182681200"/>
      </c:lineChart>
      <c:catAx>
        <c:axId val="18268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681200"/>
        <c:crosses val="autoZero"/>
        <c:auto val="1"/>
        <c:lblAlgn val="ctr"/>
        <c:lblOffset val="100"/>
        <c:noMultiLvlLbl val="0"/>
      </c:catAx>
      <c:valAx>
        <c:axId val="182681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680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ratios</a:t>
            </a:r>
            <a:r>
              <a:rPr lang="en-US" baseline="0"/>
              <a:t> Air/fuel and Flue/fuel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Air/Qng</c:v>
          </c:tx>
          <c:spPr>
            <a:ln w="28575" cap="rnd">
              <a:solidFill>
                <a:schemeClr val="accent2"/>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Fuel!$D$187:$M$187</c:f>
              <c:numCache>
                <c:formatCode>0.000</c:formatCode>
                <c:ptCount val="10"/>
                <c:pt idx="0">
                  <c:v>288.63863568651317</c:v>
                </c:pt>
                <c:pt idx="1">
                  <c:v>288.63863568651317</c:v>
                </c:pt>
                <c:pt idx="2">
                  <c:v>288.63863568651328</c:v>
                </c:pt>
                <c:pt idx="3">
                  <c:v>288.63863568651317</c:v>
                </c:pt>
                <c:pt idx="4">
                  <c:v>288.63863568651334</c:v>
                </c:pt>
                <c:pt idx="5">
                  <c:v>288.63863568651328</c:v>
                </c:pt>
                <c:pt idx="6">
                  <c:v>288.63863568651328</c:v>
                </c:pt>
                <c:pt idx="7">
                  <c:v>288.63863568651317</c:v>
                </c:pt>
                <c:pt idx="8">
                  <c:v>288.63863568651317</c:v>
                </c:pt>
                <c:pt idx="9">
                  <c:v>288.63863568651334</c:v>
                </c:pt>
              </c:numCache>
            </c:numRef>
          </c:val>
          <c:smooth val="0"/>
          <c:extLst xmlns:c16r2="http://schemas.microsoft.com/office/drawing/2015/06/chart">
            <c:ext xmlns:c16="http://schemas.microsoft.com/office/drawing/2014/chart" uri="{C3380CC4-5D6E-409C-BE32-E72D297353CC}">
              <c16:uniqueId val="{00000000-D977-42D9-A771-33909B1E5F56}"/>
            </c:ext>
          </c:extLst>
        </c:ser>
        <c:ser>
          <c:idx val="0"/>
          <c:order val="1"/>
          <c:tx>
            <c:v>Flue/Qng</c:v>
          </c:tx>
          <c:spPr>
            <a:ln w="28575" cap="rnd">
              <a:solidFill>
                <a:schemeClr val="accent1"/>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Fuel!$D$192:$M$192</c:f>
              <c:numCache>
                <c:formatCode>0.000</c:formatCode>
                <c:ptCount val="10"/>
                <c:pt idx="0">
                  <c:v>303.6507130573828</c:v>
                </c:pt>
                <c:pt idx="1">
                  <c:v>303.6507130573828</c:v>
                </c:pt>
                <c:pt idx="2">
                  <c:v>303.6507130573828</c:v>
                </c:pt>
                <c:pt idx="3">
                  <c:v>303.6507130573828</c:v>
                </c:pt>
                <c:pt idx="4">
                  <c:v>303.65071305738286</c:v>
                </c:pt>
                <c:pt idx="5">
                  <c:v>303.6507130573828</c:v>
                </c:pt>
                <c:pt idx="6">
                  <c:v>303.65071305738286</c:v>
                </c:pt>
                <c:pt idx="7">
                  <c:v>303.6507130573828</c:v>
                </c:pt>
                <c:pt idx="8">
                  <c:v>303.6507130573828</c:v>
                </c:pt>
                <c:pt idx="9">
                  <c:v>303.65071305738286</c:v>
                </c:pt>
              </c:numCache>
            </c:numRef>
          </c:val>
          <c:smooth val="0"/>
          <c:extLst xmlns:c16r2="http://schemas.microsoft.com/office/drawing/2015/06/chart">
            <c:ext xmlns:c16="http://schemas.microsoft.com/office/drawing/2014/chart" uri="{C3380CC4-5D6E-409C-BE32-E72D297353CC}">
              <c16:uniqueId val="{00000001-D977-42D9-A771-33909B1E5F56}"/>
            </c:ext>
          </c:extLst>
        </c:ser>
        <c:dLbls>
          <c:showLegendKey val="0"/>
          <c:showVal val="0"/>
          <c:showCatName val="0"/>
          <c:showSerName val="0"/>
          <c:showPercent val="0"/>
          <c:showBubbleSize val="0"/>
        </c:dLbls>
        <c:smooth val="0"/>
        <c:axId val="182684000"/>
        <c:axId val="182684560"/>
      </c:lineChart>
      <c:catAx>
        <c:axId val="1826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684560"/>
        <c:crosses val="autoZero"/>
        <c:auto val="1"/>
        <c:lblAlgn val="ctr"/>
        <c:lblOffset val="100"/>
        <c:noMultiLvlLbl val="0"/>
      </c:catAx>
      <c:valAx>
        <c:axId val="1826845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684000"/>
        <c:crosses val="autoZero"/>
        <c:crossBetween val="between"/>
      </c:valAx>
      <c:spPr>
        <a:noFill/>
        <a:ln>
          <a:noFill/>
        </a:ln>
        <a:effectLst/>
      </c:spPr>
    </c:plotArea>
    <c:legend>
      <c:legendPos val="r"/>
      <c:layout>
        <c:manualLayout>
          <c:xMode val="edge"/>
          <c:yMode val="edge"/>
          <c:x val="0.72309870396732479"/>
          <c:y val="0.26740243118190743"/>
          <c:w val="0.25816921161734796"/>
          <c:h val="0.17910567505600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67912837884865"/>
          <c:y val="4.6510791702235051E-2"/>
          <c:w val="0.80630491843712848"/>
          <c:h val="0.72131945489485294"/>
        </c:manualLayout>
      </c:layout>
      <c:lineChart>
        <c:grouping val="stacked"/>
        <c:varyColors val="0"/>
        <c:ser>
          <c:idx val="0"/>
          <c:order val="0"/>
          <c:spPr>
            <a:ln w="28575" cap="rnd">
              <a:solidFill>
                <a:schemeClr val="accent1"/>
              </a:solidFill>
              <a:round/>
            </a:ln>
            <a:effectLst/>
          </c:spPr>
          <c:marker>
            <c:symbol val="none"/>
          </c:marker>
          <c:cat>
            <c:numRef>
              <c:f>Fuel!$B$218:$B$256</c:f>
              <c:numCache>
                <c:formatCode>0</c:formatCode>
                <c:ptCount val="39"/>
                <c:pt idx="0" formatCode="0.0">
                  <c:v>20.9</c:v>
                </c:pt>
                <c:pt idx="1">
                  <c:v>21.2</c:v>
                </c:pt>
                <c:pt idx="2">
                  <c:v>21.5</c:v>
                </c:pt>
                <c:pt idx="3">
                  <c:v>22</c:v>
                </c:pt>
                <c:pt idx="4">
                  <c:v>22.5</c:v>
                </c:pt>
                <c:pt idx="5">
                  <c:v>23.75</c:v>
                </c:pt>
                <c:pt idx="6">
                  <c:v>25</c:v>
                </c:pt>
                <c:pt idx="7">
                  <c:v>26.25</c:v>
                </c:pt>
                <c:pt idx="8">
                  <c:v>27.5</c:v>
                </c:pt>
                <c:pt idx="9">
                  <c:v>28.75</c:v>
                </c:pt>
                <c:pt idx="10">
                  <c:v>30</c:v>
                </c:pt>
                <c:pt idx="11">
                  <c:v>32.5</c:v>
                </c:pt>
                <c:pt idx="12">
                  <c:v>35</c:v>
                </c:pt>
                <c:pt idx="13">
                  <c:v>37.5</c:v>
                </c:pt>
                <c:pt idx="14">
                  <c:v>40</c:v>
                </c:pt>
                <c:pt idx="15">
                  <c:v>42.5</c:v>
                </c:pt>
                <c:pt idx="16">
                  <c:v>45</c:v>
                </c:pt>
                <c:pt idx="17">
                  <c:v>47.5</c:v>
                </c:pt>
                <c:pt idx="18">
                  <c:v>50</c:v>
                </c:pt>
                <c:pt idx="19">
                  <c:v>52.5</c:v>
                </c:pt>
                <c:pt idx="20">
                  <c:v>55</c:v>
                </c:pt>
                <c:pt idx="21">
                  <c:v>57.5</c:v>
                </c:pt>
                <c:pt idx="22">
                  <c:v>60</c:v>
                </c:pt>
                <c:pt idx="23">
                  <c:v>62.5</c:v>
                </c:pt>
                <c:pt idx="24">
                  <c:v>65</c:v>
                </c:pt>
                <c:pt idx="25">
                  <c:v>67.5</c:v>
                </c:pt>
                <c:pt idx="26">
                  <c:v>70</c:v>
                </c:pt>
                <c:pt idx="27">
                  <c:v>72.5</c:v>
                </c:pt>
                <c:pt idx="28">
                  <c:v>75</c:v>
                </c:pt>
                <c:pt idx="29">
                  <c:v>77.5</c:v>
                </c:pt>
                <c:pt idx="30">
                  <c:v>80</c:v>
                </c:pt>
                <c:pt idx="31">
                  <c:v>82.5</c:v>
                </c:pt>
                <c:pt idx="32">
                  <c:v>85</c:v>
                </c:pt>
                <c:pt idx="33">
                  <c:v>87.5</c:v>
                </c:pt>
                <c:pt idx="34">
                  <c:v>90</c:v>
                </c:pt>
                <c:pt idx="35">
                  <c:v>92.5</c:v>
                </c:pt>
                <c:pt idx="36">
                  <c:v>95</c:v>
                </c:pt>
                <c:pt idx="37">
                  <c:v>97.5</c:v>
                </c:pt>
                <c:pt idx="38">
                  <c:v>100</c:v>
                </c:pt>
              </c:numCache>
            </c:numRef>
          </c:cat>
          <c:val>
            <c:numRef>
              <c:f>Fuel!$F$218:$F$256</c:f>
              <c:numCache>
                <c:formatCode>0</c:formatCode>
                <c:ptCount val="39"/>
                <c:pt idx="0">
                  <c:v>100</c:v>
                </c:pt>
                <c:pt idx="1">
                  <c:v>100.2</c:v>
                </c:pt>
                <c:pt idx="2">
                  <c:v>100.4436</c:v>
                </c:pt>
                <c:pt idx="3">
                  <c:v>100.8</c:v>
                </c:pt>
                <c:pt idx="4">
                  <c:v>101.16</c:v>
                </c:pt>
                <c:pt idx="5">
                  <c:v>101.5</c:v>
                </c:pt>
                <c:pt idx="6">
                  <c:v>101.92</c:v>
                </c:pt>
                <c:pt idx="7">
                  <c:v>102.2</c:v>
                </c:pt>
                <c:pt idx="8">
                  <c:v>102.68</c:v>
                </c:pt>
                <c:pt idx="9">
                  <c:v>103.08</c:v>
                </c:pt>
                <c:pt idx="10">
                  <c:v>103.52</c:v>
                </c:pt>
                <c:pt idx="11">
                  <c:v>103.92</c:v>
                </c:pt>
                <c:pt idx="12">
                  <c:v>104.36</c:v>
                </c:pt>
                <c:pt idx="13">
                  <c:v>105</c:v>
                </c:pt>
                <c:pt idx="14">
                  <c:v>105.32</c:v>
                </c:pt>
                <c:pt idx="15">
                  <c:v>105.76</c:v>
                </c:pt>
                <c:pt idx="16">
                  <c:v>106.24</c:v>
                </c:pt>
                <c:pt idx="17">
                  <c:v>106.72</c:v>
                </c:pt>
                <c:pt idx="18">
                  <c:v>107.2</c:v>
                </c:pt>
                <c:pt idx="19">
                  <c:v>107.64</c:v>
                </c:pt>
                <c:pt idx="20">
                  <c:v>108.2</c:v>
                </c:pt>
                <c:pt idx="21">
                  <c:v>108.64</c:v>
                </c:pt>
                <c:pt idx="22">
                  <c:v>109.16</c:v>
                </c:pt>
                <c:pt idx="23">
                  <c:v>109.64</c:v>
                </c:pt>
                <c:pt idx="24">
                  <c:v>110.16</c:v>
                </c:pt>
                <c:pt idx="25">
                  <c:v>110.8</c:v>
                </c:pt>
                <c:pt idx="26">
                  <c:v>111.36</c:v>
                </c:pt>
                <c:pt idx="27">
                  <c:v>111.96000000000001</c:v>
                </c:pt>
                <c:pt idx="28">
                  <c:v>112.47999999999999</c:v>
                </c:pt>
                <c:pt idx="29">
                  <c:v>113.2</c:v>
                </c:pt>
                <c:pt idx="30">
                  <c:v>113.72</c:v>
                </c:pt>
                <c:pt idx="31">
                  <c:v>114.4</c:v>
                </c:pt>
                <c:pt idx="32">
                  <c:v>115.03999999999999</c:v>
                </c:pt>
                <c:pt idx="33">
                  <c:v>115.6</c:v>
                </c:pt>
                <c:pt idx="34">
                  <c:v>116.32000000000001</c:v>
                </c:pt>
                <c:pt idx="35">
                  <c:v>117.03999999999999</c:v>
                </c:pt>
                <c:pt idx="36">
                  <c:v>117.96000000000001</c:v>
                </c:pt>
                <c:pt idx="37">
                  <c:v>118.92</c:v>
                </c:pt>
                <c:pt idx="38">
                  <c:v>120</c:v>
                </c:pt>
              </c:numCache>
            </c:numRef>
          </c:val>
          <c:smooth val="0"/>
          <c:extLst xmlns:c16r2="http://schemas.microsoft.com/office/drawing/2015/06/chart">
            <c:ext xmlns:c16="http://schemas.microsoft.com/office/drawing/2014/chart" uri="{C3380CC4-5D6E-409C-BE32-E72D297353CC}">
              <c16:uniqueId val="{00000000-2A94-48EB-82C8-23606C5B9BBF}"/>
            </c:ext>
          </c:extLst>
        </c:ser>
        <c:dLbls>
          <c:showLegendKey val="0"/>
          <c:showVal val="0"/>
          <c:showCatName val="0"/>
          <c:showSerName val="0"/>
          <c:showPercent val="0"/>
          <c:showBubbleSize val="0"/>
        </c:dLbls>
        <c:smooth val="0"/>
        <c:axId val="182686800"/>
        <c:axId val="182687360"/>
      </c:lineChart>
      <c:catAx>
        <c:axId val="18268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O2 concentration,</a:t>
                </a:r>
                <a:r>
                  <a:rPr lang="en-US" sz="1200" baseline="0"/>
                  <a:t> v/v %</a:t>
                </a:r>
                <a:endParaRPr lang="el-GR" sz="1200"/>
              </a:p>
            </c:rich>
          </c:tx>
          <c:layout>
            <c:manualLayout>
              <c:xMode val="edge"/>
              <c:yMode val="edge"/>
              <c:x val="0.37316782493246481"/>
              <c:y val="0.86273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687360"/>
        <c:crosses val="autoZero"/>
        <c:auto val="1"/>
        <c:lblAlgn val="ctr"/>
        <c:lblOffset val="100"/>
        <c:noMultiLvlLbl val="0"/>
      </c:catAx>
      <c:valAx>
        <c:axId val="182687360"/>
        <c:scaling>
          <c:orientation val="minMax"/>
          <c:max val="130"/>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Pull arte</a:t>
                </a:r>
                <a:endParaRPr lang="el-GR" sz="1400"/>
              </a:p>
            </c:rich>
          </c:tx>
          <c:layout>
            <c:manualLayout>
              <c:xMode val="edge"/>
              <c:yMode val="edge"/>
              <c:x val="1.5507100501884662E-2"/>
              <c:y val="0.357974619823385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68680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chart" Target="../charts/chart1.xml"/><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8.png"/><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4759</xdr:colOff>
      <xdr:row>55</xdr:row>
      <xdr:rowOff>142873</xdr:rowOff>
    </xdr:from>
    <xdr:to>
      <xdr:col>5</xdr:col>
      <xdr:colOff>992323</xdr:colOff>
      <xdr:row>92</xdr:row>
      <xdr:rowOff>122945</xdr:rowOff>
    </xdr:to>
    <xdr:pic>
      <xdr:nvPicPr>
        <xdr:cNvPr id="2" name="Εικόνα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978" y="10572748"/>
          <a:ext cx="5238095" cy="7028571"/>
        </a:xfrm>
        <a:prstGeom prst="rect">
          <a:avLst/>
        </a:prstGeom>
      </xdr:spPr>
    </xdr:pic>
    <xdr:clientData/>
  </xdr:twoCellAnchor>
  <xdr:twoCellAnchor editAs="oneCell">
    <xdr:from>
      <xdr:col>8</xdr:col>
      <xdr:colOff>845344</xdr:colOff>
      <xdr:row>55</xdr:row>
      <xdr:rowOff>142876</xdr:rowOff>
    </xdr:from>
    <xdr:to>
      <xdr:col>13</xdr:col>
      <xdr:colOff>642224</xdr:colOff>
      <xdr:row>71</xdr:row>
      <xdr:rowOff>47257</xdr:rowOff>
    </xdr:to>
    <xdr:pic>
      <xdr:nvPicPr>
        <xdr:cNvPr id="3" name="Εικόνα 2"/>
        <xdr:cNvPicPr>
          <a:picLocks noChangeAspect="1"/>
        </xdr:cNvPicPr>
      </xdr:nvPicPr>
      <xdr:blipFill>
        <a:blip xmlns:r="http://schemas.openxmlformats.org/officeDocument/2006/relationships" r:embed="rId2"/>
        <a:stretch>
          <a:fillRect/>
        </a:stretch>
      </xdr:blipFill>
      <xdr:spPr>
        <a:xfrm>
          <a:off x="9489282" y="10572751"/>
          <a:ext cx="5714286" cy="2952381"/>
        </a:xfrm>
        <a:prstGeom prst="rect">
          <a:avLst/>
        </a:prstGeom>
      </xdr:spPr>
    </xdr:pic>
    <xdr:clientData/>
  </xdr:twoCellAnchor>
  <xdr:twoCellAnchor editAs="oneCell">
    <xdr:from>
      <xdr:col>8</xdr:col>
      <xdr:colOff>857248</xdr:colOff>
      <xdr:row>72</xdr:row>
      <xdr:rowOff>23811</xdr:rowOff>
    </xdr:from>
    <xdr:to>
      <xdr:col>12</xdr:col>
      <xdr:colOff>261937</xdr:colOff>
      <xdr:row>84</xdr:row>
      <xdr:rowOff>2076</xdr:rowOff>
    </xdr:to>
    <xdr:pic>
      <xdr:nvPicPr>
        <xdr:cNvPr id="4" name="Εικόνα 3"/>
        <xdr:cNvPicPr>
          <a:picLocks noChangeAspect="1"/>
        </xdr:cNvPicPr>
      </xdr:nvPicPr>
      <xdr:blipFill>
        <a:blip xmlns:r="http://schemas.openxmlformats.org/officeDocument/2006/relationships" r:embed="rId3"/>
        <a:stretch>
          <a:fillRect/>
        </a:stretch>
      </xdr:blipFill>
      <xdr:spPr>
        <a:xfrm>
          <a:off x="9501186" y="13692186"/>
          <a:ext cx="4583908" cy="2256328"/>
        </a:xfrm>
        <a:prstGeom prst="rect">
          <a:avLst/>
        </a:prstGeom>
      </xdr:spPr>
    </xdr:pic>
    <xdr:clientData/>
  </xdr:twoCellAnchor>
  <xdr:twoCellAnchor editAs="oneCell">
    <xdr:from>
      <xdr:col>6</xdr:col>
      <xdr:colOff>457200</xdr:colOff>
      <xdr:row>55</xdr:row>
      <xdr:rowOff>154781</xdr:rowOff>
    </xdr:from>
    <xdr:to>
      <xdr:col>8</xdr:col>
      <xdr:colOff>4453</xdr:colOff>
      <xdr:row>80</xdr:row>
      <xdr:rowOff>30377</xdr:rowOff>
    </xdr:to>
    <xdr:pic>
      <xdr:nvPicPr>
        <xdr:cNvPr id="6" name="Εικόνα 5"/>
        <xdr:cNvPicPr>
          <a:picLocks noChangeAspect="1"/>
        </xdr:cNvPicPr>
      </xdr:nvPicPr>
      <xdr:blipFill>
        <a:blip xmlns:r="http://schemas.openxmlformats.org/officeDocument/2006/relationships" r:embed="rId4"/>
        <a:stretch>
          <a:fillRect/>
        </a:stretch>
      </xdr:blipFill>
      <xdr:spPr>
        <a:xfrm>
          <a:off x="6386513" y="10584656"/>
          <a:ext cx="2476190" cy="46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53660</xdr:colOff>
      <xdr:row>214</xdr:row>
      <xdr:rowOff>153378</xdr:rowOff>
    </xdr:from>
    <xdr:to>
      <xdr:col>6</xdr:col>
      <xdr:colOff>928685</xdr:colOff>
      <xdr:row>252</xdr:row>
      <xdr:rowOff>74724</xdr:rowOff>
    </xdr:to>
    <xdr:pic>
      <xdr:nvPicPr>
        <xdr:cNvPr id="3" name="Εικόνα 2">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1"/>
        <a:stretch>
          <a:fillRect/>
        </a:stretch>
      </xdr:blipFill>
      <xdr:spPr>
        <a:xfrm>
          <a:off x="660879" y="41527597"/>
          <a:ext cx="7256775" cy="6255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875110</xdr:colOff>
      <xdr:row>110</xdr:row>
      <xdr:rowOff>164305</xdr:rowOff>
    </xdr:from>
    <xdr:to>
      <xdr:col>4</xdr:col>
      <xdr:colOff>1107280</xdr:colOff>
      <xdr:row>128</xdr:row>
      <xdr:rowOff>154781</xdr:rowOff>
    </xdr:to>
    <xdr:graphicFrame macro="">
      <xdr:nvGraphicFramePr>
        <xdr:cNvPr id="9" name="Γράφημα 8">
          <a:extLst>
            <a:ext uri="{FF2B5EF4-FFF2-40B4-BE49-F238E27FC236}">
              <a16:creationId xmlns:a16="http://schemas.microsoft.com/office/drawing/2014/main" xmlns=""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110</xdr:row>
      <xdr:rowOff>35719</xdr:rowOff>
    </xdr:from>
    <xdr:to>
      <xdr:col>13</xdr:col>
      <xdr:colOff>728086</xdr:colOff>
      <xdr:row>128</xdr:row>
      <xdr:rowOff>82963</xdr:rowOff>
    </xdr:to>
    <xdr:pic>
      <xdr:nvPicPr>
        <xdr:cNvPr id="13" name="Εικόνα 12">
          <a:extLst>
            <a:ext uri="{FF2B5EF4-FFF2-40B4-BE49-F238E27FC236}">
              <a16:creationId xmlns:a16="http://schemas.microsoft.com/office/drawing/2014/main" xmlns="" id="{00000000-0008-0000-0D00-00000D000000}"/>
            </a:ext>
          </a:extLst>
        </xdr:cNvPr>
        <xdr:cNvPicPr>
          <a:picLocks noChangeAspect="1"/>
        </xdr:cNvPicPr>
      </xdr:nvPicPr>
      <xdr:blipFill>
        <a:blip xmlns:r="http://schemas.openxmlformats.org/officeDocument/2006/relationships" r:embed="rId2"/>
        <a:stretch>
          <a:fillRect/>
        </a:stretch>
      </xdr:blipFill>
      <xdr:spPr>
        <a:xfrm>
          <a:off x="12334875" y="21919407"/>
          <a:ext cx="4609524" cy="3047619"/>
        </a:xfrm>
        <a:prstGeom prst="rect">
          <a:avLst/>
        </a:prstGeom>
      </xdr:spPr>
    </xdr:pic>
    <xdr:clientData/>
  </xdr:twoCellAnchor>
  <xdr:twoCellAnchor editAs="oneCell">
    <xdr:from>
      <xdr:col>9</xdr:col>
      <xdr:colOff>1276803</xdr:colOff>
      <xdr:row>134</xdr:row>
      <xdr:rowOff>156369</xdr:rowOff>
    </xdr:from>
    <xdr:to>
      <xdr:col>14</xdr:col>
      <xdr:colOff>571501</xdr:colOff>
      <xdr:row>156</xdr:row>
      <xdr:rowOff>166267</xdr:rowOff>
    </xdr:to>
    <xdr:pic>
      <xdr:nvPicPr>
        <xdr:cNvPr id="11" name="Picture 10">
          <a:extLst>
            <a:ext uri="{FF2B5EF4-FFF2-40B4-BE49-F238E27FC236}">
              <a16:creationId xmlns:a16="http://schemas.microsoft.com/office/drawing/2014/main" xmlns="" id="{0E4E81BC-540F-4F59-98A3-83B6AC7171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40116" y="22766338"/>
          <a:ext cx="5724073" cy="3677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744138</xdr:colOff>
      <xdr:row>136</xdr:row>
      <xdr:rowOff>142875</xdr:rowOff>
    </xdr:from>
    <xdr:to>
      <xdr:col>4</xdr:col>
      <xdr:colOff>1107281</xdr:colOff>
      <xdr:row>155</xdr:row>
      <xdr:rowOff>23812</xdr:rowOff>
    </xdr:to>
    <xdr:graphicFrame macro="">
      <xdr:nvGraphicFramePr>
        <xdr:cNvPr id="5" name="Chart 4">
          <a:extLst>
            <a:ext uri="{FF2B5EF4-FFF2-40B4-BE49-F238E27FC236}">
              <a16:creationId xmlns:a16="http://schemas.microsoft.com/office/drawing/2014/main" xmlns="" id="{ECFECD32-0B26-4145-960F-C6FC58B3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574675</xdr:colOff>
      <xdr:row>21</xdr:row>
      <xdr:rowOff>189441</xdr:rowOff>
    </xdr:from>
    <xdr:to>
      <xdr:col>5</xdr:col>
      <xdr:colOff>332884</xdr:colOff>
      <xdr:row>34</xdr:row>
      <xdr:rowOff>122766</xdr:rowOff>
    </xdr:to>
    <xdr:pic>
      <xdr:nvPicPr>
        <xdr:cNvPr id="2" name="Εικόνα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1527175" y="3830108"/>
          <a:ext cx="2954376" cy="2409825"/>
        </a:xfrm>
        <a:prstGeom prst="rect">
          <a:avLst/>
        </a:prstGeom>
      </xdr:spPr>
    </xdr:pic>
    <xdr:clientData/>
  </xdr:twoCellAnchor>
  <xdr:twoCellAnchor>
    <xdr:from>
      <xdr:col>13</xdr:col>
      <xdr:colOff>256833</xdr:colOff>
      <xdr:row>70</xdr:row>
      <xdr:rowOff>11955</xdr:rowOff>
    </xdr:from>
    <xdr:to>
      <xdr:col>21</xdr:col>
      <xdr:colOff>148167</xdr:colOff>
      <xdr:row>84</xdr:row>
      <xdr:rowOff>127000</xdr:rowOff>
    </xdr:to>
    <xdr:graphicFrame macro="">
      <xdr:nvGraphicFramePr>
        <xdr:cNvPr id="3" name="Γράφημα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42332</xdr:colOff>
      <xdr:row>69</xdr:row>
      <xdr:rowOff>189532</xdr:rowOff>
    </xdr:from>
    <xdr:to>
      <xdr:col>7</xdr:col>
      <xdr:colOff>650306</xdr:colOff>
      <xdr:row>85</xdr:row>
      <xdr:rowOff>184617</xdr:rowOff>
    </xdr:to>
    <xdr:graphicFrame macro="">
      <xdr:nvGraphicFramePr>
        <xdr:cNvPr id="4" name="Γράφημα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362527</xdr:colOff>
      <xdr:row>70</xdr:row>
      <xdr:rowOff>0</xdr:rowOff>
    </xdr:from>
    <xdr:to>
      <xdr:col>12</xdr:col>
      <xdr:colOff>709083</xdr:colOff>
      <xdr:row>86</xdr:row>
      <xdr:rowOff>16606</xdr:rowOff>
    </xdr:to>
    <xdr:graphicFrame macro="">
      <xdr:nvGraphicFramePr>
        <xdr:cNvPr id="5" name="Γράφημα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6046</xdr:colOff>
      <xdr:row>91</xdr:row>
      <xdr:rowOff>16329</xdr:rowOff>
    </xdr:from>
    <xdr:to>
      <xdr:col>10</xdr:col>
      <xdr:colOff>0</xdr:colOff>
      <xdr:row>106</xdr:row>
      <xdr:rowOff>21166</xdr:rowOff>
    </xdr:to>
    <xdr:graphicFrame macro="">
      <xdr:nvGraphicFramePr>
        <xdr:cNvPr id="6" name="Γράφημα 5">
          <a:extLst>
            <a:ext uri="{FF2B5EF4-FFF2-40B4-BE49-F238E27FC236}">
              <a16:creationId xmlns:a16="http://schemas.microsoft.com/office/drawing/2014/main" xmlns=""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4724</xdr:colOff>
      <xdr:row>194</xdr:row>
      <xdr:rowOff>138907</xdr:rowOff>
    </xdr:from>
    <xdr:to>
      <xdr:col>5</xdr:col>
      <xdr:colOff>0</xdr:colOff>
      <xdr:row>207</xdr:row>
      <xdr:rowOff>138906</xdr:rowOff>
    </xdr:to>
    <xdr:graphicFrame macro="">
      <xdr:nvGraphicFramePr>
        <xdr:cNvPr id="12" name="Γράφημα 11">
          <a:extLst>
            <a:ext uri="{FF2B5EF4-FFF2-40B4-BE49-F238E27FC236}">
              <a16:creationId xmlns:a16="http://schemas.microsoft.com/office/drawing/2014/main" xmlns=""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130969</xdr:colOff>
      <xdr:row>194</xdr:row>
      <xdr:rowOff>170655</xdr:rowOff>
    </xdr:from>
    <xdr:to>
      <xdr:col>10</xdr:col>
      <xdr:colOff>869156</xdr:colOff>
      <xdr:row>207</xdr:row>
      <xdr:rowOff>158748</xdr:rowOff>
    </xdr:to>
    <xdr:graphicFrame macro="">
      <xdr:nvGraphicFramePr>
        <xdr:cNvPr id="5" name="Γράφημα 4">
          <a:extLst>
            <a:ext uri="{FF2B5EF4-FFF2-40B4-BE49-F238E27FC236}">
              <a16:creationId xmlns:a16="http://schemas.microsoft.com/office/drawing/2014/main" xmlns=""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270444</xdr:colOff>
      <xdr:row>239</xdr:row>
      <xdr:rowOff>13608</xdr:rowOff>
    </xdr:from>
    <xdr:to>
      <xdr:col>12</xdr:col>
      <xdr:colOff>693964</xdr:colOff>
      <xdr:row>254</xdr:row>
      <xdr:rowOff>159712</xdr:rowOff>
    </xdr:to>
    <xdr:graphicFrame macro="">
      <xdr:nvGraphicFramePr>
        <xdr:cNvPr id="7" name="Γράφημα 6">
          <a:extLst>
            <a:ext uri="{FF2B5EF4-FFF2-40B4-BE49-F238E27FC236}">
              <a16:creationId xmlns:a16="http://schemas.microsoft.com/office/drawing/2014/main" xmlns=""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163284</xdr:colOff>
      <xdr:row>215</xdr:row>
      <xdr:rowOff>122464</xdr:rowOff>
    </xdr:from>
    <xdr:to>
      <xdr:col>12</xdr:col>
      <xdr:colOff>306564</xdr:colOff>
      <xdr:row>223</xdr:row>
      <xdr:rowOff>153645</xdr:rowOff>
    </xdr:to>
    <xdr:pic>
      <xdr:nvPicPr>
        <xdr:cNvPr id="20" name="Εικόνα 19">
          <a:extLst>
            <a:ext uri="{FF2B5EF4-FFF2-40B4-BE49-F238E27FC236}">
              <a16:creationId xmlns:a16="http://schemas.microsoft.com/office/drawing/2014/main" xmlns="" id="{00000000-0008-0000-0B00-000014000000}"/>
            </a:ext>
          </a:extLst>
        </xdr:cNvPr>
        <xdr:cNvPicPr>
          <a:picLocks noChangeAspect="1"/>
        </xdr:cNvPicPr>
      </xdr:nvPicPr>
      <xdr:blipFill>
        <a:blip xmlns:r="http://schemas.openxmlformats.org/officeDocument/2006/relationships" r:embed="rId4"/>
        <a:stretch>
          <a:fillRect/>
        </a:stretch>
      </xdr:blipFill>
      <xdr:spPr>
        <a:xfrm>
          <a:off x="9661070" y="41787535"/>
          <a:ext cx="4660851" cy="1555181"/>
        </a:xfrm>
        <a:prstGeom prst="rect">
          <a:avLst/>
        </a:prstGeom>
      </xdr:spPr>
    </xdr:pic>
    <xdr:clientData/>
  </xdr:twoCellAnchor>
  <xdr:twoCellAnchor>
    <xdr:from>
      <xdr:col>8</xdr:col>
      <xdr:colOff>229621</xdr:colOff>
      <xdr:row>224</xdr:row>
      <xdr:rowOff>89579</xdr:rowOff>
    </xdr:from>
    <xdr:to>
      <xdr:col>12</xdr:col>
      <xdr:colOff>648040</xdr:colOff>
      <xdr:row>237</xdr:row>
      <xdr:rowOff>65768</xdr:rowOff>
    </xdr:to>
    <xdr:graphicFrame macro="">
      <xdr:nvGraphicFramePr>
        <xdr:cNvPr id="21" name="Γράφημα 20">
          <a:extLst>
            <a:ext uri="{FF2B5EF4-FFF2-40B4-BE49-F238E27FC236}">
              <a16:creationId xmlns:a16="http://schemas.microsoft.com/office/drawing/2014/main" xmlns="" id="{00000000-0008-0000-0B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153</xdr:row>
      <xdr:rowOff>40821</xdr:rowOff>
    </xdr:from>
    <xdr:to>
      <xdr:col>4</xdr:col>
      <xdr:colOff>1024010</xdr:colOff>
      <xdr:row>171</xdr:row>
      <xdr:rowOff>156991</xdr:rowOff>
    </xdr:to>
    <xdr:graphicFrame macro="">
      <xdr:nvGraphicFramePr>
        <xdr:cNvPr id="9" name="Γράφημα 8">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engineeringtoolbox.com/water-vapor-d_979.html" TargetMode="External"/><Relationship Id="rId7" Type="http://schemas.openxmlformats.org/officeDocument/2006/relationships/customProperty" Target="../customProperty8.bin"/><Relationship Id="rId2" Type="http://schemas.openxmlformats.org/officeDocument/2006/relationships/hyperlink" Target="https://www.google.com/search?client=firefox-b-d&amp;q=physical+properties+of+natural+gases+1980+gasunie" TargetMode="External"/><Relationship Id="rId1" Type="http://schemas.openxmlformats.org/officeDocument/2006/relationships/hyperlink" Target="https://pdfs.semanticscholar.org/010d/6eb0f790d7fa872038c9ed1d5d7fdcda2bca.pdf" TargetMode="External"/><Relationship Id="rId6" Type="http://schemas.openxmlformats.org/officeDocument/2006/relationships/printerSettings" Target="../printerSettings/printerSettings9.bin"/><Relationship Id="rId5" Type="http://schemas.openxmlformats.org/officeDocument/2006/relationships/hyperlink" Target="https://books.google.nl/books?id=JEzNBQAAQBAJ&amp;pg=PA447&amp;lpg=PA447&amp;dq=regenerator+air+preheat+1300+furnace+temperature+1600&amp;source=bl&amp;ots=QxNflDQ706&amp;sig=ACfU3U1E2Jlj1-wAz_4Peq2pjK84p1V8hA&amp;hl=en&amp;sa=X&amp;ved=2ahUKEwiy38rB6ebhAhUlMewKHaAVD8IQ6AEwDnoECAYQAQ" TargetMode="External"/><Relationship Id="rId10" Type="http://schemas.openxmlformats.org/officeDocument/2006/relationships/comments" Target="../comments8.xml"/><Relationship Id="rId4" Type="http://schemas.openxmlformats.org/officeDocument/2006/relationships/hyperlink" Target="https://webbook.nist.gov/cgi/cbook.cgi?ID=C74840&amp;Units=SI&amp;Mask=1" TargetMode="External"/><Relationship Id="rId9"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9.bin"/><Relationship Id="rId2" Type="http://schemas.openxmlformats.org/officeDocument/2006/relationships/printerSettings" Target="../printerSettings/printerSettings10.bin"/><Relationship Id="rId1" Type="http://schemas.openxmlformats.org/officeDocument/2006/relationships/hyperlink" Target="mailto:SO@"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8" Type="http://schemas.openxmlformats.org/officeDocument/2006/relationships/customProperty" Target="../customProperty10.bin"/><Relationship Id="rId3" Type="http://schemas.openxmlformats.org/officeDocument/2006/relationships/hyperlink" Target="https://libguides.asu.edu/c.php?g=264174&amp;p=1766501" TargetMode="External"/><Relationship Id="rId7" Type="http://schemas.openxmlformats.org/officeDocument/2006/relationships/hyperlink" Target="https://ec.europa.eu/eurostat/statistics-explained/index.php?title=File:Gas_prices_for_non-household_consumers,_first_half_2018_(EUR_per_kWh).png" TargetMode="External"/><Relationship Id="rId2" Type="http://schemas.openxmlformats.org/officeDocument/2006/relationships/hyperlink" Target="https://www.lehigh.edu/imi/teched/GlassProcess/Lectures/Lecture01_Hubert_Comm_glasses_and%20Raw_Matls.pdf" TargetMode="External"/><Relationship Id="rId1" Type="http://schemas.openxmlformats.org/officeDocument/2006/relationships/hyperlink" Target="https://converter.eu/heat_capacity/" TargetMode="External"/><Relationship Id="rId6" Type="http://schemas.openxmlformats.org/officeDocument/2006/relationships/hyperlink" Target="https://www.statista.com/statistics/596254/electricity-industry-price-netherlands/" TargetMode="External"/><Relationship Id="rId5" Type="http://schemas.openxmlformats.org/officeDocument/2006/relationships/hyperlink" Target="https://www.made-in-china.com/productdirectory.do?word=silica+sand+Price&amp;subaction=hunt&amp;style=b&amp;mode=and&amp;code=0&amp;comProvince=nolimit&amp;order=0&amp;isOpenCorrection=1" TargetMode="External"/><Relationship Id="rId4" Type="http://schemas.openxmlformats.org/officeDocument/2006/relationships/hyperlink" Target="https://markets.businessinsider.com/commodities/co2-emissionsrecht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bloomeng.com/uploads/Regenerative%20Firing%20vs_%20Oxy%20Fuel%20Firing%20-%20AIST2013.pdf" TargetMode="External"/><Relationship Id="rId7" Type="http://schemas.openxmlformats.org/officeDocument/2006/relationships/printerSettings" Target="../printerSettings/printerSettings2.bin"/><Relationship Id="rId2" Type="http://schemas.openxmlformats.org/officeDocument/2006/relationships/hyperlink" Target="https://americancombustion.com/brochures/industrialHeatingTechnicalPaper.pdf" TargetMode="External"/><Relationship Id="rId1" Type="http://schemas.openxmlformats.org/officeDocument/2006/relationships/hyperlink" Target="https://repository.upenn.edu/cgi/viewcontent.cgi?article=1080&amp;context=cbe_sdr" TargetMode="External"/><Relationship Id="rId6" Type="http://schemas.openxmlformats.org/officeDocument/2006/relationships/hyperlink" Target="http://delftxdownloads.tudelft.nl/TBP01x-BiobasedProducts/Week6/TBP01x-6.2-slides.pdf" TargetMode="External"/><Relationship Id="rId5" Type="http://schemas.openxmlformats.org/officeDocument/2006/relationships/hyperlink" Target="https://www.scribd.com/doc/61025351/Bottle-Production-Cost" TargetMode="External"/><Relationship Id="rId10" Type="http://schemas.openxmlformats.org/officeDocument/2006/relationships/comments" Target="../comments2.xml"/><Relationship Id="rId4" Type="http://schemas.openxmlformats.org/officeDocument/2006/relationships/hyperlink" Target="https://www.packagingdigest.com/beverage-packaging/material-or" TargetMode="External"/><Relationship Id="rId9"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www.ecoheatox.com/sites/ecoheatox/files/2017/01/31/2016-10-21_nexelia_heat_oxy-combustion.pdf" TargetMode="External"/><Relationship Id="rId7" Type="http://schemas.openxmlformats.org/officeDocument/2006/relationships/vmlDrawing" Target="../drawings/vmlDrawing4.vml"/><Relationship Id="rId2" Type="http://schemas.openxmlformats.org/officeDocument/2006/relationships/hyperlink" Target="http://www.agc-glass.eu/en/sustainability/production-process-and-technologies/hot-oxycombustion-furnace-design" TargetMode="External"/><Relationship Id="rId1" Type="http://schemas.openxmlformats.org/officeDocument/2006/relationships/hyperlink" Target="https://www.trutechtools.com/Understanding-Combustion-Efficiency_c_261.html" TargetMode="External"/><Relationship Id="rId6" Type="http://schemas.openxmlformats.org/officeDocument/2006/relationships/drawing" Target="../drawings/drawing3.xml"/><Relationship Id="rId5" Type="http://schemas.openxmlformats.org/officeDocument/2006/relationships/customProperty" Target="../customProperty3.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bullseyeglass.com/images/stories/bullseye/PDF/news/GSLtd_redox-and-refining.pdf" TargetMode="External"/><Relationship Id="rId7" Type="http://schemas.openxmlformats.org/officeDocument/2006/relationships/customProperty" Target="../customProperty4.bin"/><Relationship Id="rId2" Type="http://schemas.openxmlformats.org/officeDocument/2006/relationships/hyperlink" Target="https://www.bullseyeglass.com/images/stories/bullseye/PDF/news/GSLtd_redox-and-refining.pdf" TargetMode="External"/><Relationship Id="rId1" Type="http://schemas.openxmlformats.org/officeDocument/2006/relationships/hyperlink" Target="http://www.freepatentsonline.com/2443142.pdf" TargetMode="External"/><Relationship Id="rId6" Type="http://schemas.openxmlformats.org/officeDocument/2006/relationships/printerSettings" Target="../printerSettings/printerSettings5.bin"/><Relationship Id="rId5" Type="http://schemas.openxmlformats.org/officeDocument/2006/relationships/hyperlink" Target="https://link.springer.com/article/10.1007/s10717-012-9449-6" TargetMode="External"/><Relationship Id="rId10" Type="http://schemas.openxmlformats.org/officeDocument/2006/relationships/comments" Target="../comments5.xml"/><Relationship Id="rId4" Type="http://schemas.openxmlformats.org/officeDocument/2006/relationships/hyperlink" Target="https://www.lehigh.edu/imi/teched/GlassProcess/Lectures/Lecture01_Hubert_Comm_glasses_and%20Raw_Matls.pdf" TargetMode="External"/><Relationship Id="rId9"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iiceram.org/pdf/Present_Practice__Future_Challenges_in_Glass_Industry__Compatibility_Mode_.pdf" TargetMode="External"/><Relationship Id="rId1" Type="http://schemas.openxmlformats.org/officeDocument/2006/relationships/hyperlink" Target="https://www.researchgate.net/publication/224302393_Reduction_of_fuel_consumption_in_an_industrial_glass_melting_furnace" TargetMode="External"/><Relationship Id="rId4" Type="http://schemas.openxmlformats.org/officeDocument/2006/relationships/customProperty" Target="../customProperty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customProperty" Target="../customProperty6.bin"/><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eng-tips.com/viewthread.cfm?qid=61961" TargetMode="External"/><Relationship Id="rId13" Type="http://schemas.openxmlformats.org/officeDocument/2006/relationships/comments" Target="../comments7.xml"/><Relationship Id="rId3" Type="http://schemas.openxmlformats.org/officeDocument/2006/relationships/hyperlink" Target="https://webbook.nist.gov/cgi/cbook.cgi?ID=C7757826&amp;Units=SI&amp;Mask=2" TargetMode="External"/><Relationship Id="rId7" Type="http://schemas.openxmlformats.org/officeDocument/2006/relationships/hyperlink" Target="https://link.springer.com/content/pdf/10.1007%2FBF00309451.pdf" TargetMode="External"/><Relationship Id="rId12" Type="http://schemas.openxmlformats.org/officeDocument/2006/relationships/vmlDrawing" Target="../drawings/vmlDrawing7.vml"/><Relationship Id="rId2" Type="http://schemas.openxmlformats.org/officeDocument/2006/relationships/hyperlink" Target="https://www.solvay.us/en/binaries/HeatEffects_of_the_TronaSystem-237230.pdf" TargetMode="External"/><Relationship Id="rId1" Type="http://schemas.openxmlformats.org/officeDocument/2006/relationships/hyperlink" Target="https://webbook.nist.gov/cgi/cbook.cgi?ID=C14808607&amp;Type=JANAFS&amp;Table=on" TargetMode="External"/><Relationship Id="rId6" Type="http://schemas.openxmlformats.org/officeDocument/2006/relationships/hyperlink" Target="https://link.springer.com/article/10.1007/s10717-012-9449-6" TargetMode="External"/><Relationship Id="rId11" Type="http://schemas.openxmlformats.org/officeDocument/2006/relationships/customProperty" Target="../customProperty7.bin"/><Relationship Id="rId5" Type="http://schemas.openxmlformats.org/officeDocument/2006/relationships/hyperlink" Target="https://sci-hub.tw/10.1111/j.1151-2916.1951.tb09128.x" TargetMode="External"/><Relationship Id="rId10" Type="http://schemas.openxmlformats.org/officeDocument/2006/relationships/printerSettings" Target="../printerSettings/printerSettings8.bin"/><Relationship Id="rId4" Type="http://schemas.openxmlformats.org/officeDocument/2006/relationships/hyperlink" Target="https://sci-hub.tw/https:/doi.org/10.1111/j.1151-2916.1958.tb12895.x" TargetMode="External"/><Relationship Id="rId9" Type="http://schemas.openxmlformats.org/officeDocument/2006/relationships/hyperlink" Target="http://rruff.info/doclib/am/vol70/AM70_26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2"/>
  <sheetViews>
    <sheetView showGridLines="0" tabSelected="1" zoomScale="70" zoomScaleNormal="70" workbookViewId="0">
      <selection activeCell="B3" sqref="B3"/>
    </sheetView>
  </sheetViews>
  <sheetFormatPr defaultRowHeight="15" x14ac:dyDescent="0.25"/>
  <cols>
    <col min="2" max="2" width="25.5703125" customWidth="1"/>
    <col min="3" max="3" width="60.28515625" customWidth="1"/>
    <col min="4" max="24" width="15.7109375" customWidth="1"/>
  </cols>
  <sheetData>
    <row r="2" spans="2:3" ht="21" x14ac:dyDescent="0.35">
      <c r="B2" s="1471" t="s">
        <v>1161</v>
      </c>
      <c r="C2" s="992"/>
    </row>
    <row r="5" spans="2:3" x14ac:dyDescent="0.25">
      <c r="B5" s="1472" t="s">
        <v>1119</v>
      </c>
      <c r="C5" s="1473" t="s">
        <v>1120</v>
      </c>
    </row>
    <row r="6" spans="2:3" x14ac:dyDescent="0.25">
      <c r="B6" s="1005"/>
      <c r="C6" s="1474" t="s">
        <v>1121</v>
      </c>
    </row>
    <row r="7" spans="2:3" x14ac:dyDescent="0.25">
      <c r="B7" s="1005" t="s">
        <v>1122</v>
      </c>
      <c r="C7" s="850" t="s">
        <v>1123</v>
      </c>
    </row>
    <row r="8" spans="2:3" x14ac:dyDescent="0.25">
      <c r="B8" s="1005" t="s">
        <v>1124</v>
      </c>
      <c r="C8" s="850" t="s">
        <v>1125</v>
      </c>
    </row>
    <row r="9" spans="2:3" x14ac:dyDescent="0.25">
      <c r="B9" s="1005"/>
      <c r="C9" s="850"/>
    </row>
    <row r="10" spans="2:3" x14ac:dyDescent="0.25">
      <c r="B10" s="1005" t="s">
        <v>1126</v>
      </c>
      <c r="C10" s="850" t="s">
        <v>1127</v>
      </c>
    </row>
    <row r="11" spans="2:3" x14ac:dyDescent="0.25">
      <c r="B11" s="1005" t="s">
        <v>1128</v>
      </c>
      <c r="C11" s="850" t="s">
        <v>1129</v>
      </c>
    </row>
    <row r="12" spans="2:3" x14ac:dyDescent="0.25">
      <c r="B12" s="1005" t="s">
        <v>1130</v>
      </c>
      <c r="C12" s="850" t="s">
        <v>1131</v>
      </c>
    </row>
    <row r="13" spans="2:3" x14ac:dyDescent="0.25">
      <c r="B13" s="1005" t="s">
        <v>1132</v>
      </c>
      <c r="C13" s="850" t="s">
        <v>1133</v>
      </c>
    </row>
    <row r="14" spans="2:3" x14ac:dyDescent="0.25">
      <c r="B14" s="1005"/>
      <c r="C14" s="850"/>
    </row>
    <row r="15" spans="2:3" x14ac:dyDescent="0.25">
      <c r="B15" s="920" t="s">
        <v>1134</v>
      </c>
      <c r="C15" s="921"/>
    </row>
    <row r="17" spans="2:3" ht="15.75" thickBot="1" x14ac:dyDescent="0.3"/>
    <row r="18" spans="2:3" x14ac:dyDescent="0.25">
      <c r="B18" s="1475" t="s">
        <v>1135</v>
      </c>
      <c r="C18" s="1476" t="s">
        <v>1136</v>
      </c>
    </row>
    <row r="19" spans="2:3" ht="27.75" customHeight="1" x14ac:dyDescent="0.25">
      <c r="B19" s="1477" t="s">
        <v>1160</v>
      </c>
      <c r="C19" s="1478" t="s">
        <v>1162</v>
      </c>
    </row>
    <row r="20" spans="2:3" ht="24.75" customHeight="1" x14ac:dyDescent="0.25">
      <c r="B20" s="1477" t="s">
        <v>1137</v>
      </c>
      <c r="C20" s="1478" t="s">
        <v>1138</v>
      </c>
    </row>
    <row r="21" spans="2:3" ht="19.5" customHeight="1" x14ac:dyDescent="0.25">
      <c r="B21" s="1477" t="s">
        <v>1139</v>
      </c>
      <c r="C21" s="1478" t="s">
        <v>1140</v>
      </c>
    </row>
    <row r="22" spans="2:3" ht="18" customHeight="1" x14ac:dyDescent="0.25">
      <c r="B22" s="1477" t="s">
        <v>1141</v>
      </c>
      <c r="C22" s="1478" t="s">
        <v>1142</v>
      </c>
    </row>
    <row r="23" spans="2:3" ht="18.75" customHeight="1" x14ac:dyDescent="0.25">
      <c r="B23" s="1477" t="s">
        <v>1143</v>
      </c>
      <c r="C23" s="1478" t="s">
        <v>1144</v>
      </c>
    </row>
    <row r="24" spans="2:3" ht="26.25" customHeight="1" x14ac:dyDescent="0.25">
      <c r="B24" s="1477" t="s">
        <v>1145</v>
      </c>
      <c r="C24" s="1478" t="s">
        <v>1146</v>
      </c>
    </row>
    <row r="25" spans="2:3" ht="27.75" customHeight="1" x14ac:dyDescent="0.25">
      <c r="B25" s="1477" t="s">
        <v>1060</v>
      </c>
      <c r="C25" s="1478" t="s">
        <v>1147</v>
      </c>
    </row>
    <row r="26" spans="2:3" ht="19.5" customHeight="1" x14ac:dyDescent="0.25">
      <c r="B26" s="1477" t="s">
        <v>764</v>
      </c>
      <c r="C26" s="1478" t="s">
        <v>1148</v>
      </c>
    </row>
    <row r="27" spans="2:3" ht="18" customHeight="1" x14ac:dyDescent="0.25">
      <c r="B27" s="1477" t="s">
        <v>565</v>
      </c>
      <c r="C27" s="1478" t="s">
        <v>1149</v>
      </c>
    </row>
    <row r="28" spans="2:3" ht="24.75" customHeight="1" x14ac:dyDescent="0.25">
      <c r="B28" s="1477" t="s">
        <v>1150</v>
      </c>
      <c r="C28" s="1478" t="s">
        <v>1151</v>
      </c>
    </row>
    <row r="29" spans="2:3" ht="24.75" customHeight="1" x14ac:dyDescent="0.25">
      <c r="B29" s="1477" t="s">
        <v>1152</v>
      </c>
      <c r="C29" s="1478" t="s">
        <v>1153</v>
      </c>
    </row>
    <row r="30" spans="2:3" ht="34.5" customHeight="1" x14ac:dyDescent="0.25">
      <c r="B30" s="1477" t="s">
        <v>1154</v>
      </c>
      <c r="C30" s="1478" t="s">
        <v>1155</v>
      </c>
    </row>
    <row r="31" spans="2:3" ht="24.75" customHeight="1" x14ac:dyDescent="0.25">
      <c r="B31" s="1479" t="s">
        <v>1156</v>
      </c>
      <c r="C31" s="1480" t="s">
        <v>1157</v>
      </c>
    </row>
    <row r="32" spans="2:3" ht="24.75" customHeight="1" thickBot="1" x14ac:dyDescent="0.3">
      <c r="B32" s="1481" t="s">
        <v>1158</v>
      </c>
      <c r="C32" s="1482" t="s">
        <v>1159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3">
    <tabColor theme="3" tint="0.79998168889431442"/>
  </sheetPr>
  <dimension ref="A2:DX259"/>
  <sheetViews>
    <sheetView showGridLines="0" topLeftCell="A94" zoomScale="70" zoomScaleNormal="70" workbookViewId="0">
      <selection activeCell="N114" sqref="N114"/>
    </sheetView>
  </sheetViews>
  <sheetFormatPr defaultRowHeight="15" x14ac:dyDescent="0.25"/>
  <cols>
    <col min="1" max="1" width="16.140625" customWidth="1"/>
    <col min="2" max="2" width="17.140625" customWidth="1"/>
    <col min="3" max="3" width="18.5703125" customWidth="1"/>
    <col min="4" max="4" width="19.7109375" customWidth="1"/>
    <col min="5" max="5" width="17.42578125" customWidth="1"/>
    <col min="6" max="7" width="17.28515625" customWidth="1"/>
    <col min="8" max="8" width="18.85546875" customWidth="1"/>
    <col min="9" max="9" width="18.42578125" customWidth="1"/>
    <col min="10" max="10" width="17.5703125" customWidth="1"/>
    <col min="11" max="11" width="17" customWidth="1"/>
    <col min="12" max="14" width="14.85546875" customWidth="1"/>
    <col min="15" max="15" width="18.42578125" customWidth="1"/>
    <col min="16" max="16" width="14.85546875" customWidth="1"/>
    <col min="17" max="17" width="17.28515625" customWidth="1"/>
    <col min="18" max="20" width="17.5703125" customWidth="1"/>
    <col min="21" max="29" width="14.42578125" customWidth="1"/>
    <col min="30" max="30" width="14.7109375" customWidth="1"/>
    <col min="31" max="31" width="15" customWidth="1"/>
    <col min="32" max="34" width="17.85546875" customWidth="1"/>
    <col min="35" max="42" width="15" customWidth="1"/>
    <col min="43" max="43" width="14" customWidth="1"/>
    <col min="44" max="46" width="17.28515625" customWidth="1"/>
    <col min="47" max="47" width="17.5703125" customWidth="1"/>
    <col min="48" max="50" width="15.42578125" customWidth="1"/>
    <col min="51" max="60" width="15.28515625" customWidth="1"/>
  </cols>
  <sheetData>
    <row r="2" spans="1:15" ht="18.75" x14ac:dyDescent="0.3">
      <c r="B2" s="892" t="s">
        <v>726</v>
      </c>
      <c r="C2" s="892"/>
      <c r="D2" s="892"/>
      <c r="E2" s="892"/>
      <c r="F2" s="892"/>
      <c r="G2" s="892"/>
      <c r="H2" s="892"/>
    </row>
    <row r="4" spans="1:15" ht="18.75" x14ac:dyDescent="0.3">
      <c r="A4" s="108"/>
      <c r="B4" s="1336" t="s">
        <v>466</v>
      </c>
      <c r="C4" s="1337" t="s">
        <v>467</v>
      </c>
      <c r="D4" s="1338" t="s">
        <v>468</v>
      </c>
      <c r="E4" s="1339" t="s">
        <v>469</v>
      </c>
    </row>
    <row r="5" spans="1:15" ht="14.25" customHeight="1" x14ac:dyDescent="0.3">
      <c r="A5" s="108"/>
    </row>
    <row r="6" spans="1:15" ht="14.25" customHeight="1" x14ac:dyDescent="0.25">
      <c r="A6" s="1460" t="s">
        <v>338</v>
      </c>
      <c r="B6" s="38" t="s">
        <v>158</v>
      </c>
      <c r="C6" s="62" t="s">
        <v>341</v>
      </c>
      <c r="D6" s="62" t="s">
        <v>376</v>
      </c>
      <c r="E6" s="62" t="s">
        <v>342</v>
      </c>
      <c r="F6" s="62" t="s">
        <v>60</v>
      </c>
      <c r="G6" s="62" t="s">
        <v>374</v>
      </c>
      <c r="H6" s="421" t="s">
        <v>328</v>
      </c>
    </row>
    <row r="7" spans="1:15" ht="14.25" customHeight="1" x14ac:dyDescent="0.25">
      <c r="A7" s="1461"/>
      <c r="B7" s="28" t="s">
        <v>137</v>
      </c>
      <c r="C7" s="10">
        <v>0.66800000000000004</v>
      </c>
      <c r="D7" s="96">
        <f>IF(Biomethane="n", 81.297, 97.9)</f>
        <v>81.296999999999997</v>
      </c>
      <c r="E7" s="115">
        <f>(Mass_Balance!$J$4 + 4*Mass_Balance!$J$12)/1000</f>
        <v>1.6042459999999998E-2</v>
      </c>
      <c r="F7" s="293">
        <f t="shared" ref="F7:F14" si="0">$C7*$D7/100</f>
        <v>0.54306396000000001</v>
      </c>
      <c r="G7" s="96">
        <f t="shared" ref="G7:G14" si="1">$F7*100/SUM($F$7:$F$14)</f>
        <v>69.902531563776165</v>
      </c>
      <c r="H7" s="40">
        <v>39.819000000000003</v>
      </c>
    </row>
    <row r="8" spans="1:15" ht="14.25" customHeight="1" x14ac:dyDescent="0.25">
      <c r="A8" s="1461"/>
      <c r="B8" s="28" t="s">
        <v>322</v>
      </c>
      <c r="C8" s="270">
        <v>1.264</v>
      </c>
      <c r="D8" s="96">
        <f>IF(Biomethane="n", 2.88, 0)</f>
        <v>2.88</v>
      </c>
      <c r="E8" s="115">
        <f>(2*Mass_Balance!$J$4 + 6*Mass_Balance!$J$12)/1000</f>
        <v>3.0069040000000002E-2</v>
      </c>
      <c r="F8" s="293">
        <f t="shared" si="0"/>
        <v>3.6403199999999997E-2</v>
      </c>
      <c r="G8" s="96">
        <f t="shared" si="1"/>
        <v>4.6857755705653092</v>
      </c>
      <c r="H8" s="40">
        <v>70.305000000000007</v>
      </c>
      <c r="J8" s="88"/>
    </row>
    <row r="9" spans="1:15" ht="14.25" customHeight="1" x14ac:dyDescent="0.25">
      <c r="A9" s="1461"/>
      <c r="B9" s="28" t="s">
        <v>323</v>
      </c>
      <c r="C9" s="10">
        <v>1.8819999999999999</v>
      </c>
      <c r="D9" s="96">
        <f>IF(Biomethane="n", 0.385, 0)</f>
        <v>0.38500000000000001</v>
      </c>
      <c r="E9" s="115">
        <f>(3*Mass_Balance!$J$4 + 8*Mass_Balance!$J$12)/1000</f>
        <v>4.4095619999999995E-2</v>
      </c>
      <c r="F9" s="293">
        <f t="shared" si="0"/>
        <v>7.245699999999999E-3</v>
      </c>
      <c r="G9" s="96">
        <f t="shared" si="1"/>
        <v>0.93265767986454651</v>
      </c>
      <c r="H9" s="40">
        <v>101.23399999999999</v>
      </c>
      <c r="K9" s="940" t="s">
        <v>697</v>
      </c>
      <c r="L9" s="1051" t="s">
        <v>3</v>
      </c>
      <c r="M9" s="1051" t="s">
        <v>684</v>
      </c>
      <c r="N9" s="941" t="s">
        <v>54</v>
      </c>
    </row>
    <row r="10" spans="1:15" ht="14.25" customHeight="1" x14ac:dyDescent="0.25">
      <c r="A10" s="1461"/>
      <c r="B10" s="28" t="s">
        <v>324</v>
      </c>
      <c r="C10" s="10">
        <v>2.4889999999999999</v>
      </c>
      <c r="D10" s="96">
        <f>IF(Biomethane="n", 0.155, 0)</f>
        <v>0.155</v>
      </c>
      <c r="E10" s="115">
        <f>(4*Mass_Balance!$J$4 + 10*Mass_Balance!$J$12)/1000</f>
        <v>5.8122199999999999E-2</v>
      </c>
      <c r="F10" s="293">
        <f t="shared" si="0"/>
        <v>3.8579500000000002E-3</v>
      </c>
      <c r="G10" s="96">
        <f t="shared" si="1"/>
        <v>0.49659062561704564</v>
      </c>
      <c r="H10" s="64">
        <v>133.691</v>
      </c>
      <c r="K10" s="67" t="s">
        <v>691</v>
      </c>
      <c r="L10" s="120">
        <v>35.095999999999997</v>
      </c>
      <c r="M10" s="282">
        <v>36</v>
      </c>
      <c r="N10" s="271" t="s">
        <v>366</v>
      </c>
    </row>
    <row r="11" spans="1:15" ht="14.25" customHeight="1" x14ac:dyDescent="0.25">
      <c r="A11" s="1461"/>
      <c r="B11" s="28" t="s">
        <v>325</v>
      </c>
      <c r="C11" s="61">
        <v>3.39</v>
      </c>
      <c r="D11" s="96">
        <f>IF(Biomethane="n", 0.044, 0)</f>
        <v>4.3999999999999997E-2</v>
      </c>
      <c r="E11" s="115">
        <f>(5*Mass_Balance!$J$4 + 12*Mass_Balance!$J$12)/1000</f>
        <v>7.2148779999999996E-2</v>
      </c>
      <c r="F11" s="293">
        <f t="shared" si="0"/>
        <v>1.4915999999999998E-3</v>
      </c>
      <c r="G11" s="96">
        <f t="shared" si="1"/>
        <v>0.19199693546323443</v>
      </c>
      <c r="H11" s="64">
        <v>169.26900000000001</v>
      </c>
      <c r="K11" s="67" t="s">
        <v>692</v>
      </c>
      <c r="L11" s="120">
        <v>31.669</v>
      </c>
      <c r="M11" s="282">
        <v>33</v>
      </c>
      <c r="N11" s="271" t="s">
        <v>366</v>
      </c>
    </row>
    <row r="12" spans="1:15" ht="14.25" customHeight="1" x14ac:dyDescent="0.25">
      <c r="A12" s="1461"/>
      <c r="B12" s="28" t="s">
        <v>320</v>
      </c>
      <c r="C12" s="10">
        <v>1.165</v>
      </c>
      <c r="D12" s="96">
        <f>IF(Biomethane="n", 14.33, 1.75)</f>
        <v>14.33</v>
      </c>
      <c r="E12" s="115">
        <f>Mass_Balance!M14</f>
        <v>2.8013400000000001E-2</v>
      </c>
      <c r="F12" s="293">
        <f t="shared" si="0"/>
        <v>0.1669445</v>
      </c>
      <c r="G12" s="96">
        <f t="shared" si="1"/>
        <v>21.488892727569013</v>
      </c>
      <c r="H12" s="42" t="s">
        <v>21</v>
      </c>
      <c r="K12" s="943" t="s">
        <v>694</v>
      </c>
      <c r="L12" s="1054">
        <v>0.83299999999999996</v>
      </c>
      <c r="M12" s="1055">
        <v>0.66</v>
      </c>
      <c r="N12" s="945" t="s">
        <v>113</v>
      </c>
    </row>
    <row r="13" spans="1:15" ht="14.25" customHeight="1" x14ac:dyDescent="0.25">
      <c r="A13" s="1461"/>
      <c r="B13" s="28" t="s">
        <v>138</v>
      </c>
      <c r="C13" s="10">
        <v>1.331</v>
      </c>
      <c r="D13" s="96">
        <f>IF(Biomethane="n", 0.014, 0)</f>
        <v>1.4E-2</v>
      </c>
      <c r="E13" s="115">
        <f>Mass_Balance!M13</f>
        <v>3.1997999999999999E-2</v>
      </c>
      <c r="F13" s="293">
        <f t="shared" si="0"/>
        <v>1.8634000000000001E-4</v>
      </c>
      <c r="G13" s="96">
        <f t="shared" si="1"/>
        <v>2.3985457866867194E-2</v>
      </c>
      <c r="H13" s="42" t="s">
        <v>21</v>
      </c>
    </row>
    <row r="14" spans="1:15" ht="14.25" customHeight="1" x14ac:dyDescent="0.25">
      <c r="A14" s="1462"/>
      <c r="B14" s="28" t="s">
        <v>98</v>
      </c>
      <c r="C14" s="10">
        <v>1.9770000000000001</v>
      </c>
      <c r="D14" s="96">
        <f>IF(Biomethane="n", 0.895, 0.35)</f>
        <v>0.89500000000000002</v>
      </c>
      <c r="E14" s="115">
        <f>Mass_Balance!M10</f>
        <v>4.4008700000000005E-2</v>
      </c>
      <c r="F14" s="293">
        <f t="shared" si="0"/>
        <v>1.7694150000000002E-2</v>
      </c>
      <c r="G14" s="96">
        <f t="shared" si="1"/>
        <v>2.2775694392778156</v>
      </c>
      <c r="H14" s="42" t="s">
        <v>21</v>
      </c>
    </row>
    <row r="15" spans="1:15" ht="14.25" customHeight="1" x14ac:dyDescent="0.3">
      <c r="A15" s="108"/>
      <c r="B15" s="287" t="s">
        <v>351</v>
      </c>
      <c r="C15" s="32">
        <v>0.55400000000000005</v>
      </c>
      <c r="D15" s="288" t="s">
        <v>21</v>
      </c>
      <c r="E15" s="960">
        <f>(2*Mass_Balance!J12+Mass_Balance!J3)/1000</f>
        <v>1.801488E-2</v>
      </c>
      <c r="F15" s="288" t="s">
        <v>21</v>
      </c>
      <c r="G15" s="288" t="s">
        <v>21</v>
      </c>
      <c r="H15" s="463" t="s">
        <v>21</v>
      </c>
      <c r="K15" s="582" t="s">
        <v>554</v>
      </c>
      <c r="L15" s="574" t="s">
        <v>406</v>
      </c>
      <c r="M15" s="574"/>
      <c r="N15" s="32"/>
      <c r="O15" s="41"/>
    </row>
    <row r="16" spans="1:15" ht="14.25" customHeight="1" x14ac:dyDescent="0.25">
      <c r="A16" s="10"/>
      <c r="B16" s="297" t="s">
        <v>321</v>
      </c>
      <c r="C16" s="295">
        <v>1.661</v>
      </c>
      <c r="D16" s="296" t="s">
        <v>21</v>
      </c>
      <c r="E16" s="255">
        <f>Mass_Balance!J14/1000</f>
        <v>3.9947999999999997E-2</v>
      </c>
      <c r="F16" s="11" t="s">
        <v>21</v>
      </c>
      <c r="G16" s="11" t="s">
        <v>21</v>
      </c>
      <c r="H16" s="464" t="s">
        <v>21</v>
      </c>
      <c r="K16" s="28"/>
      <c r="L16" s="575" t="s">
        <v>424</v>
      </c>
      <c r="M16" s="576">
        <v>700</v>
      </c>
      <c r="N16" s="10" t="s">
        <v>426</v>
      </c>
      <c r="O16" s="40"/>
    </row>
    <row r="17" spans="1:23" x14ac:dyDescent="0.25">
      <c r="B17" s="297" t="s">
        <v>177</v>
      </c>
      <c r="C17" s="61">
        <v>2.63</v>
      </c>
      <c r="D17" s="312" t="s">
        <v>21</v>
      </c>
      <c r="E17" s="961">
        <f>(Mass_Balance!J11+2*Mass_Balance!J3)/1000</f>
        <v>6.4063000000000009E-2</v>
      </c>
      <c r="F17" s="11" t="s">
        <v>21</v>
      </c>
      <c r="G17" s="11" t="s">
        <v>21</v>
      </c>
      <c r="H17" s="42" t="s">
        <v>21</v>
      </c>
      <c r="K17" s="577" t="s">
        <v>425</v>
      </c>
      <c r="L17" s="575" t="s">
        <v>423</v>
      </c>
      <c r="M17" s="422">
        <f>(85.81217+ 11.26467*($M$16/1000) -2.114146*(($M$16/1000)^2) + 0.13819*(($M$16/1000)^3) - 26.42221/(($M$16/1000)^2))/(1000*E7)</f>
        <v>2.4177108173546698</v>
      </c>
      <c r="N17" s="10" t="s">
        <v>334</v>
      </c>
      <c r="O17" s="40"/>
      <c r="U17" s="278"/>
      <c r="V17" s="276"/>
      <c r="W17" s="277"/>
    </row>
    <row r="18" spans="1:23" x14ac:dyDescent="0.25">
      <c r="B18" s="297" t="s">
        <v>345</v>
      </c>
      <c r="C18" s="61">
        <v>1.2929999999999999</v>
      </c>
      <c r="D18" s="312" t="s">
        <v>21</v>
      </c>
      <c r="E18" s="961">
        <f>(E12*O94*C12 + E13*O95*C13 + E16*O96*C16 + E14*O97*C14)/100</f>
        <v>3.5049809868569995E-2</v>
      </c>
      <c r="F18" s="312" t="s">
        <v>21</v>
      </c>
      <c r="G18" s="312" t="s">
        <v>21</v>
      </c>
      <c r="H18" s="42" t="s">
        <v>21</v>
      </c>
      <c r="K18" s="578" t="s">
        <v>433</v>
      </c>
      <c r="L18" s="53" t="s">
        <v>423</v>
      </c>
      <c r="M18" s="144">
        <f>(20.786+ (0.0000002825911)*($M$16/1000) -(0.0000001464191)*(($M$16/1000)^2) + (0.00000001092131)*(($M$16/1000)^3) - (0.00000003661371)/(($M$16/1000)^2))/(1000*E7)</f>
        <v>1.2956865751943634</v>
      </c>
      <c r="N18" s="10"/>
      <c r="O18" s="155"/>
      <c r="U18" s="278"/>
      <c r="V18" s="277"/>
      <c r="W18" s="277"/>
    </row>
    <row r="19" spans="1:23" x14ac:dyDescent="0.25">
      <c r="B19" s="297" t="s">
        <v>749</v>
      </c>
      <c r="C19" s="969">
        <v>1.165</v>
      </c>
      <c r="D19" s="329" t="s">
        <v>21</v>
      </c>
      <c r="E19" s="961">
        <f>(Mass_Balance!J4+Mass_Balance!J3)/1000</f>
        <v>2.8009700000000002E-2</v>
      </c>
      <c r="F19" s="11" t="s">
        <v>21</v>
      </c>
      <c r="G19" s="323" t="s">
        <v>21</v>
      </c>
      <c r="H19" s="464" t="s">
        <v>21</v>
      </c>
      <c r="K19" s="579" t="s">
        <v>434</v>
      </c>
      <c r="L19" s="580" t="s">
        <v>423</v>
      </c>
      <c r="M19" s="581">
        <f>(57.48188+ 1.009328*($M$16/1000) -0.07629*(($M$16/1000)^2) + 0.005174*(($M$16/1000)^3) - 4.045401/(($M$16/1000)^2))/(1000*E7)</f>
        <v>3.1103011491901325</v>
      </c>
      <c r="N19" s="34"/>
      <c r="O19" s="264"/>
      <c r="U19" s="278"/>
      <c r="V19" s="277"/>
      <c r="W19" s="277"/>
    </row>
    <row r="20" spans="1:23" x14ac:dyDescent="0.25">
      <c r="B20" s="289" t="s">
        <v>750</v>
      </c>
      <c r="C20" s="337">
        <v>8.9300000000000004E-2</v>
      </c>
      <c r="D20" s="334" t="s">
        <v>21</v>
      </c>
      <c r="E20" s="962">
        <f>(2*Mass_Balance!J12)/1000</f>
        <v>2.0158800000000003E-3</v>
      </c>
      <c r="F20" s="970" t="s">
        <v>21</v>
      </c>
      <c r="G20" s="967" t="s">
        <v>21</v>
      </c>
      <c r="H20" s="968" t="s">
        <v>21</v>
      </c>
      <c r="Q20" s="10"/>
      <c r="U20" s="278"/>
      <c r="V20" s="277"/>
      <c r="W20" s="277"/>
    </row>
    <row r="21" spans="1:23" x14ac:dyDescent="0.25">
      <c r="P21" s="10"/>
      <c r="Q21" s="10"/>
      <c r="U21" s="278"/>
      <c r="V21" s="277"/>
      <c r="W21" s="277"/>
    </row>
    <row r="22" spans="1:23" x14ac:dyDescent="0.25">
      <c r="C22" s="465" t="s">
        <v>435</v>
      </c>
      <c r="D22" s="466" t="s">
        <v>471</v>
      </c>
      <c r="E22" s="466" t="s">
        <v>436</v>
      </c>
      <c r="F22" s="466" t="s">
        <v>437</v>
      </c>
      <c r="G22" s="466" t="s">
        <v>438</v>
      </c>
      <c r="H22" s="466" t="s">
        <v>463</v>
      </c>
      <c r="I22" s="466" t="s">
        <v>465</v>
      </c>
      <c r="J22" s="469" t="s">
        <v>470</v>
      </c>
      <c r="K22" s="467" t="s">
        <v>439</v>
      </c>
      <c r="L22" s="467" t="s">
        <v>440</v>
      </c>
      <c r="M22" s="467" t="s">
        <v>441</v>
      </c>
      <c r="N22" s="467" t="s">
        <v>462</v>
      </c>
      <c r="O22" s="468" t="s">
        <v>464</v>
      </c>
      <c r="V22" s="277"/>
      <c r="W22" s="277"/>
    </row>
    <row r="23" spans="1:23" x14ac:dyDescent="0.25">
      <c r="A23" s="1460" t="s">
        <v>338</v>
      </c>
      <c r="B23" s="38" t="s">
        <v>158</v>
      </c>
      <c r="C23" s="976" t="s">
        <v>340</v>
      </c>
      <c r="D23" s="976" t="s">
        <v>340</v>
      </c>
      <c r="E23" s="133" t="s">
        <v>340</v>
      </c>
      <c r="F23" s="133" t="s">
        <v>340</v>
      </c>
      <c r="G23" s="133" t="s">
        <v>340</v>
      </c>
      <c r="H23" s="133" t="s">
        <v>340</v>
      </c>
      <c r="I23" s="133" t="s">
        <v>340</v>
      </c>
      <c r="J23" s="998" t="s">
        <v>340</v>
      </c>
      <c r="K23" s="133" t="s">
        <v>340</v>
      </c>
      <c r="L23" s="133" t="s">
        <v>340</v>
      </c>
      <c r="M23" s="133" t="s">
        <v>340</v>
      </c>
      <c r="N23" s="133" t="s">
        <v>340</v>
      </c>
      <c r="O23" s="421" t="s">
        <v>340</v>
      </c>
      <c r="V23" s="277"/>
      <c r="W23" s="277"/>
    </row>
    <row r="24" spans="1:23" x14ac:dyDescent="0.25">
      <c r="A24" s="1461"/>
      <c r="B24" s="28" t="s">
        <v>137</v>
      </c>
      <c r="C24" s="163">
        <f>35.942/E7/1000</f>
        <v>2.2404294603196768</v>
      </c>
      <c r="D24" s="61">
        <v>2.4177108173546698</v>
      </c>
      <c r="E24" s="61">
        <f>95.58/E7/1000</f>
        <v>5.9579391190627877</v>
      </c>
      <c r="F24" s="61">
        <v>6.0466220879970614</v>
      </c>
      <c r="G24" s="61">
        <v>6.1519304177788197</v>
      </c>
      <c r="H24" s="61">
        <v>6.2278604786182079</v>
      </c>
      <c r="I24" s="61">
        <v>6.3191178216363886</v>
      </c>
      <c r="J24" s="104">
        <f>AVERAGE($C24, $D24)</f>
        <v>2.3290701388371735</v>
      </c>
      <c r="K24" s="61">
        <f t="shared" ref="K24:K36" si="2">AVERAGE($C24,$E24)</f>
        <v>4.0991842896912321</v>
      </c>
      <c r="L24" s="61">
        <f t="shared" ref="L24:L36" si="3">AVERAGE($C24,$F24)</f>
        <v>4.1435257741583689</v>
      </c>
      <c r="M24" s="61">
        <f>AVERAGE($C24,$G24)</f>
        <v>4.196179939049248</v>
      </c>
      <c r="N24" s="61">
        <f t="shared" ref="N24:N36" si="4">AVERAGE($C24, $H24)</f>
        <v>4.2341449694689421</v>
      </c>
      <c r="O24" s="155">
        <f t="shared" ref="O24:O36" si="5">AVERAGE($C24, $I24)</f>
        <v>4.2797736409780329</v>
      </c>
      <c r="V24" s="277"/>
      <c r="W24" s="277"/>
    </row>
    <row r="25" spans="1:23" x14ac:dyDescent="0.25">
      <c r="A25" s="1461"/>
      <c r="B25" s="28" t="s">
        <v>322</v>
      </c>
      <c r="C25" s="163">
        <f>52.706/E8/1000</f>
        <v>1.7528328140838552</v>
      </c>
      <c r="D25" s="61">
        <f>99.14/E8/1000</f>
        <v>3.2970789888869079</v>
      </c>
      <c r="E25" s="61">
        <f>151.67/E8/1000</f>
        <v>5.0440586064603323</v>
      </c>
      <c r="F25" s="61">
        <f>162.43/E8/1000</f>
        <v>5.4019017567571161</v>
      </c>
      <c r="G25" s="61">
        <f>164.67/E8/1000</f>
        <v>5.4763969850716876</v>
      </c>
      <c r="H25" s="61">
        <f>166.49/E8/1000</f>
        <v>5.536924358077278</v>
      </c>
      <c r="I25" s="61">
        <f>168.65/E8/1000</f>
        <v>5.6087590425234719</v>
      </c>
      <c r="J25" s="104">
        <f t="shared" ref="J25:J36" si="6">AVERAGE($C25, $D25)</f>
        <v>2.5249559014853817</v>
      </c>
      <c r="K25" s="61">
        <f t="shared" si="2"/>
        <v>3.3984457102720937</v>
      </c>
      <c r="L25" s="61">
        <f t="shared" si="3"/>
        <v>3.5773672854204857</v>
      </c>
      <c r="M25" s="61">
        <f t="shared" ref="M25:M36" si="7">AVERAGE($C25,$G25)</f>
        <v>3.6146148995777714</v>
      </c>
      <c r="N25" s="61">
        <f t="shared" si="4"/>
        <v>3.6448785860805666</v>
      </c>
      <c r="O25" s="155">
        <f t="shared" si="5"/>
        <v>3.6807959283036635</v>
      </c>
      <c r="V25" s="277"/>
      <c r="W25" s="277"/>
    </row>
    <row r="26" spans="1:23" x14ac:dyDescent="0.25">
      <c r="A26" s="1461"/>
      <c r="B26" s="28" t="s">
        <v>323</v>
      </c>
      <c r="C26" s="106">
        <f>73.88/E9/1000</f>
        <v>1.6754498519354077</v>
      </c>
      <c r="D26" s="61">
        <f>142.67/E9/1000</f>
        <v>3.2354687381649248</v>
      </c>
      <c r="E26" s="474">
        <f>205.89/$E$9/1000</f>
        <v>4.6691712238086227</v>
      </c>
      <c r="F26" s="178">
        <f>205.89/$E$9/1000</f>
        <v>4.6691712238086227</v>
      </c>
      <c r="G26" s="178">
        <f>205.89/$E$9/1000</f>
        <v>4.6691712238086227</v>
      </c>
      <c r="H26" s="178">
        <f>205.89/$E$9/1000</f>
        <v>4.6691712238086227</v>
      </c>
      <c r="I26" s="178">
        <f>205.89/$E$9/1000</f>
        <v>4.6691712238086227</v>
      </c>
      <c r="J26" s="104">
        <f t="shared" si="6"/>
        <v>2.4554592950501664</v>
      </c>
      <c r="K26" s="61">
        <f t="shared" si="2"/>
        <v>3.1723105378720153</v>
      </c>
      <c r="L26" s="61">
        <f t="shared" si="3"/>
        <v>3.1723105378720153</v>
      </c>
      <c r="M26" s="61">
        <f t="shared" si="7"/>
        <v>3.1723105378720153</v>
      </c>
      <c r="N26" s="61">
        <f t="shared" si="4"/>
        <v>3.1723105378720153</v>
      </c>
      <c r="O26" s="155">
        <f t="shared" si="5"/>
        <v>3.1723105378720153</v>
      </c>
      <c r="V26" s="277"/>
      <c r="W26" s="277"/>
    </row>
    <row r="27" spans="1:23" x14ac:dyDescent="0.25">
      <c r="A27" s="1461"/>
      <c r="B27" s="28" t="s">
        <v>324</v>
      </c>
      <c r="C27" s="106">
        <f>99.553/E10/1000</f>
        <v>1.7128222950955057</v>
      </c>
      <c r="D27" s="61">
        <f>187.02/E10/1000</f>
        <v>3.2177033904428947</v>
      </c>
      <c r="E27" s="474">
        <f>266.4/$E$10/1000</f>
        <v>4.5834466004383865</v>
      </c>
      <c r="F27" s="178">
        <f>266.4/$E$10/1000</f>
        <v>4.5834466004383865</v>
      </c>
      <c r="G27" s="178">
        <f>266.4/$E$10/1000</f>
        <v>4.5834466004383865</v>
      </c>
      <c r="H27" s="178">
        <f>266.4/$E$10/1000</f>
        <v>4.5834466004383865</v>
      </c>
      <c r="I27" s="178">
        <f>266.4/$E$10/1000</f>
        <v>4.5834466004383865</v>
      </c>
      <c r="J27" s="104">
        <f t="shared" si="6"/>
        <v>2.4652628427692003</v>
      </c>
      <c r="K27" s="61">
        <f t="shared" si="2"/>
        <v>3.148134447766946</v>
      </c>
      <c r="L27" s="61">
        <f t="shared" si="3"/>
        <v>3.148134447766946</v>
      </c>
      <c r="M27" s="61">
        <f t="shared" si="7"/>
        <v>3.148134447766946</v>
      </c>
      <c r="N27" s="61">
        <f t="shared" si="4"/>
        <v>3.148134447766946</v>
      </c>
      <c r="O27" s="155">
        <f t="shared" si="5"/>
        <v>3.148134447766946</v>
      </c>
      <c r="U27" s="278"/>
      <c r="V27" s="277"/>
      <c r="W27" s="277"/>
    </row>
    <row r="28" spans="1:23" x14ac:dyDescent="0.25">
      <c r="A28" s="1461"/>
      <c r="B28" s="28" t="s">
        <v>325</v>
      </c>
      <c r="C28" s="106">
        <f>120.823/E11/1000</f>
        <v>1.6746367714048664</v>
      </c>
      <c r="D28" s="61">
        <f>231.38/E11/1000</f>
        <v>3.2069842345220532</v>
      </c>
      <c r="E28" s="474">
        <f>330.54/$E$11/1000</f>
        <v>4.5813664486080015</v>
      </c>
      <c r="F28" s="178">
        <f>330.54/$E$11/1000</f>
        <v>4.5813664486080015</v>
      </c>
      <c r="G28" s="178">
        <f>330.54/$E$11/1000</f>
        <v>4.5813664486080015</v>
      </c>
      <c r="H28" s="178">
        <f>330.54/$E$11/1000</f>
        <v>4.5813664486080015</v>
      </c>
      <c r="I28" s="178">
        <f>330.54/$E$11/1000</f>
        <v>4.5813664486080015</v>
      </c>
      <c r="J28" s="104">
        <f t="shared" si="6"/>
        <v>2.4408105029634597</v>
      </c>
      <c r="K28" s="61">
        <f t="shared" si="2"/>
        <v>3.1280016100064341</v>
      </c>
      <c r="L28" s="61">
        <f t="shared" si="3"/>
        <v>3.1280016100064341</v>
      </c>
      <c r="M28" s="61">
        <f t="shared" si="7"/>
        <v>3.1280016100064341</v>
      </c>
      <c r="N28" s="61">
        <f t="shared" si="4"/>
        <v>3.1280016100064341</v>
      </c>
      <c r="O28" s="155">
        <f t="shared" si="5"/>
        <v>3.1280016100064341</v>
      </c>
      <c r="U28" s="278"/>
      <c r="V28" s="277"/>
      <c r="W28" s="277"/>
    </row>
    <row r="29" spans="1:23" x14ac:dyDescent="0.25">
      <c r="A29" s="1461"/>
      <c r="B29" s="28" t="s">
        <v>320</v>
      </c>
      <c r="C29" s="163">
        <f>29.077/E12/1000</f>
        <v>1.0379675441038934</v>
      </c>
      <c r="D29" s="10">
        <v>1.0980000000000001</v>
      </c>
      <c r="E29" s="10">
        <v>1.2629999999999999</v>
      </c>
      <c r="F29" s="61">
        <v>1.3</v>
      </c>
      <c r="G29" s="10">
        <v>1.3069999999999999</v>
      </c>
      <c r="H29" s="10">
        <v>1.3140000000000001</v>
      </c>
      <c r="I29" s="10">
        <v>1.323</v>
      </c>
      <c r="J29" s="104">
        <f t="shared" si="6"/>
        <v>1.0679837720519467</v>
      </c>
      <c r="K29" s="61">
        <f t="shared" si="2"/>
        <v>1.1504837720519467</v>
      </c>
      <c r="L29" s="61">
        <f t="shared" si="3"/>
        <v>1.1689837720519467</v>
      </c>
      <c r="M29" s="61">
        <f t="shared" si="7"/>
        <v>1.1724837720519465</v>
      </c>
      <c r="N29" s="61">
        <f t="shared" si="4"/>
        <v>1.1759837720519468</v>
      </c>
      <c r="O29" s="155">
        <f t="shared" si="5"/>
        <v>1.1804837720519465</v>
      </c>
      <c r="U29" s="278"/>
      <c r="V29" s="277"/>
      <c r="W29" s="277"/>
    </row>
    <row r="30" spans="1:23" x14ac:dyDescent="0.25">
      <c r="A30" s="1461"/>
      <c r="B30" s="28" t="s">
        <v>138</v>
      </c>
      <c r="C30" s="163">
        <f>29.307/E13/1000</f>
        <v>0.91590099381211321</v>
      </c>
      <c r="D30" s="10">
        <v>1.0309999999999999</v>
      </c>
      <c r="E30" s="10">
        <v>1.1579999999999999</v>
      </c>
      <c r="F30" s="61">
        <v>1.202</v>
      </c>
      <c r="G30" s="10">
        <v>1.216</v>
      </c>
      <c r="H30" s="61">
        <v>1.23</v>
      </c>
      <c r="I30" s="10">
        <v>1.2490000000000001</v>
      </c>
      <c r="J30" s="104">
        <f t="shared" si="6"/>
        <v>0.97345049690605656</v>
      </c>
      <c r="K30" s="61">
        <f t="shared" si="2"/>
        <v>1.0369504969060566</v>
      </c>
      <c r="L30" s="61">
        <f t="shared" si="3"/>
        <v>1.0589504969060566</v>
      </c>
      <c r="M30" s="61">
        <f t="shared" si="7"/>
        <v>1.0659504969060567</v>
      </c>
      <c r="N30" s="61">
        <f t="shared" si="4"/>
        <v>1.0729504969060566</v>
      </c>
      <c r="O30" s="155">
        <f t="shared" si="5"/>
        <v>1.0824504969060567</v>
      </c>
      <c r="P30" s="10"/>
      <c r="Q30" s="10"/>
      <c r="U30" s="278"/>
      <c r="V30" s="277"/>
      <c r="W30" s="277"/>
    </row>
    <row r="31" spans="1:23" x14ac:dyDescent="0.25">
      <c r="A31" s="1462"/>
      <c r="B31" s="28" t="s">
        <v>98</v>
      </c>
      <c r="C31" s="113">
        <f>37.254/E14/1000</f>
        <v>0.84651443919043268</v>
      </c>
      <c r="D31" s="10">
        <v>1.1259999999999999</v>
      </c>
      <c r="E31" s="10">
        <v>1.3480000000000001</v>
      </c>
      <c r="F31" s="61">
        <v>1.3879999999999999</v>
      </c>
      <c r="G31" s="10">
        <v>1.397</v>
      </c>
      <c r="H31" s="10">
        <v>1.4039999999999999</v>
      </c>
      <c r="I31" s="10">
        <v>1.4139999999999999</v>
      </c>
      <c r="J31" s="104">
        <f t="shared" si="6"/>
        <v>0.98625721959521628</v>
      </c>
      <c r="K31" s="61">
        <f t="shared" si="2"/>
        <v>1.0972572195952164</v>
      </c>
      <c r="L31" s="61">
        <f t="shared" si="3"/>
        <v>1.1172572195952162</v>
      </c>
      <c r="M31" s="61">
        <f t="shared" si="7"/>
        <v>1.1217572195952163</v>
      </c>
      <c r="N31" s="61">
        <f t="shared" si="4"/>
        <v>1.1252572195952162</v>
      </c>
      <c r="O31" s="155">
        <f t="shared" si="5"/>
        <v>1.1302572195952163</v>
      </c>
      <c r="P31" s="10"/>
      <c r="Q31" s="10"/>
      <c r="U31" s="278"/>
      <c r="V31" s="277"/>
      <c r="W31" s="277"/>
    </row>
    <row r="32" spans="1:23" x14ac:dyDescent="0.25">
      <c r="B32" s="994" t="s">
        <v>351</v>
      </c>
      <c r="C32" s="63">
        <f>33.586/E15/1000</f>
        <v>1.8643476947945252</v>
      </c>
      <c r="D32" s="63">
        <v>2.08</v>
      </c>
      <c r="E32" s="32">
        <v>2.7109999999999999</v>
      </c>
      <c r="F32" s="413">
        <v>2.9340000000000002</v>
      </c>
      <c r="G32" s="32">
        <v>2.9870000000000001</v>
      </c>
      <c r="H32" s="32">
        <v>3.0329999999999999</v>
      </c>
      <c r="I32" s="63">
        <v>3.09</v>
      </c>
      <c r="J32" s="420">
        <f t="shared" si="6"/>
        <v>1.9721738473972628</v>
      </c>
      <c r="K32" s="63">
        <f t="shared" si="2"/>
        <v>2.2876738473972624</v>
      </c>
      <c r="L32" s="63">
        <f t="shared" si="3"/>
        <v>2.3991738473972628</v>
      </c>
      <c r="M32" s="63">
        <f t="shared" si="7"/>
        <v>2.4256738473972628</v>
      </c>
      <c r="N32" s="63">
        <f t="shared" si="4"/>
        <v>2.4486738473972625</v>
      </c>
      <c r="O32" s="188">
        <f t="shared" si="5"/>
        <v>2.4771738473972627</v>
      </c>
      <c r="P32" s="10"/>
      <c r="Q32" s="10"/>
      <c r="U32" s="278"/>
      <c r="V32" s="277"/>
      <c r="W32" s="277"/>
    </row>
    <row r="33" spans="2:23" x14ac:dyDescent="0.25">
      <c r="B33" s="995" t="s">
        <v>321</v>
      </c>
      <c r="C33" s="81">
        <f>20.704/E16/1000</f>
        <v>0.51827375588264746</v>
      </c>
      <c r="D33" s="61">
        <v>1.2956865751943634</v>
      </c>
      <c r="E33" s="61">
        <v>1.2956865777291342</v>
      </c>
      <c r="F33" s="414">
        <v>1.2956865721977153</v>
      </c>
      <c r="G33" s="61">
        <v>1.2956865690265489</v>
      </c>
      <c r="H33" s="61">
        <v>1.2956865658722181</v>
      </c>
      <c r="I33" s="293">
        <v>1.2956865605903698</v>
      </c>
      <c r="J33" s="104">
        <f t="shared" si="6"/>
        <v>0.90698016553850547</v>
      </c>
      <c r="K33" s="61">
        <f t="shared" si="2"/>
        <v>0.90698016680589078</v>
      </c>
      <c r="L33" s="61">
        <f t="shared" si="3"/>
        <v>0.90698016404018134</v>
      </c>
      <c r="M33" s="61">
        <f t="shared" si="7"/>
        <v>0.90698016245459812</v>
      </c>
      <c r="N33" s="61">
        <f t="shared" si="4"/>
        <v>0.90698016087743283</v>
      </c>
      <c r="O33" s="155">
        <f t="shared" si="5"/>
        <v>0.90698015823650868</v>
      </c>
      <c r="P33" s="10"/>
      <c r="Q33" s="10"/>
      <c r="U33" s="278"/>
      <c r="V33" s="277"/>
      <c r="W33" s="277"/>
    </row>
    <row r="34" spans="2:23" x14ac:dyDescent="0.25">
      <c r="B34" s="995" t="s">
        <v>177</v>
      </c>
      <c r="C34" s="293">
        <f>40.008/E17/1000</f>
        <v>0.62451024772489572</v>
      </c>
      <c r="D34" s="61">
        <v>3.1103011491901325</v>
      </c>
      <c r="E34" s="61">
        <v>3.5941035484108066</v>
      </c>
      <c r="F34" s="414">
        <v>3.65652</v>
      </c>
      <c r="G34" s="61">
        <v>3.6753689999999999</v>
      </c>
      <c r="H34" s="61">
        <v>3.6900716380556333</v>
      </c>
      <c r="I34" s="61">
        <v>3.7097466972022994</v>
      </c>
      <c r="J34" s="104">
        <f t="shared" si="6"/>
        <v>1.867405698457514</v>
      </c>
      <c r="K34" s="61">
        <f t="shared" si="2"/>
        <v>2.1093068980678513</v>
      </c>
      <c r="L34" s="61">
        <f t="shared" si="3"/>
        <v>2.140515123862448</v>
      </c>
      <c r="M34" s="61">
        <f t="shared" si="7"/>
        <v>2.1499396238624477</v>
      </c>
      <c r="N34" s="61">
        <f t="shared" si="4"/>
        <v>2.1572909428902647</v>
      </c>
      <c r="O34" s="155">
        <f t="shared" si="5"/>
        <v>2.1671284724635975</v>
      </c>
      <c r="P34" s="10"/>
      <c r="Q34" s="10"/>
      <c r="U34" s="278"/>
      <c r="V34" s="277"/>
      <c r="W34" s="277"/>
    </row>
    <row r="35" spans="2:23" x14ac:dyDescent="0.25">
      <c r="B35" s="995" t="s">
        <v>345</v>
      </c>
      <c r="C35" s="81">
        <f>29.047/E18/1000</f>
        <v>0.82873488070036994</v>
      </c>
      <c r="D35" s="61">
        <f>(D29*C12*O94 + D30*C13*O95 +D33*C16*O96 + D31*C14*O97)/100</f>
        <v>1.3070659132329998</v>
      </c>
      <c r="E35" s="81">
        <f>(E29*C12*O94 + E30*C13*O95 +E33*C16*O96 + E31*C14*O97)/100</f>
        <v>1.4927216542721551</v>
      </c>
      <c r="F35" s="81">
        <f>(F29*C12*O94 + F30*C13*O95 + F33*C16*O96 + F31*C14*O97)/100</f>
        <v>1.5386736847867097</v>
      </c>
      <c r="G35" s="81">
        <f>(G29*C12*O94 + G30*C13*O95 + G33*C16*O96 + G31*C14*O97)/100</f>
        <v>1.5489500372377234</v>
      </c>
      <c r="H35" s="61">
        <f>(H29*C12*O94 + H30*C13*O95 + H33*C16*O96 +H31*C14*O97)/100</f>
        <v>1.5592252034889975</v>
      </c>
      <c r="I35" s="293">
        <f>(I29*C12*O94 + I30*C13*O95 + I33*C16*O96 +I31*C14*O97)/100</f>
        <v>1.5727154360074076</v>
      </c>
      <c r="J35" s="993">
        <f t="shared" si="6"/>
        <v>1.0679003969666849</v>
      </c>
      <c r="K35" s="81">
        <f t="shared" si="2"/>
        <v>1.1607282674862625</v>
      </c>
      <c r="L35" s="81">
        <f t="shared" si="3"/>
        <v>1.1837042827435398</v>
      </c>
      <c r="M35" s="81">
        <f t="shared" si="7"/>
        <v>1.1888424589690467</v>
      </c>
      <c r="N35" s="61">
        <f t="shared" si="4"/>
        <v>1.1939800420946838</v>
      </c>
      <c r="O35" s="155">
        <f t="shared" si="5"/>
        <v>1.2007251583538887</v>
      </c>
      <c r="P35" s="10"/>
      <c r="Q35" s="10"/>
      <c r="U35" s="278"/>
      <c r="V35" s="277"/>
      <c r="W35" s="277"/>
    </row>
    <row r="36" spans="2:23" x14ac:dyDescent="0.25">
      <c r="B36" s="996" t="s">
        <v>749</v>
      </c>
      <c r="C36" s="997">
        <f>29.07/E19/1000</f>
        <v>1.0378547431782561</v>
      </c>
      <c r="D36" s="34">
        <v>1.139</v>
      </c>
      <c r="E36" s="34">
        <v>1.282</v>
      </c>
      <c r="F36" s="34">
        <v>1.3080000000000001</v>
      </c>
      <c r="G36" s="34">
        <v>1.3180000000000001</v>
      </c>
      <c r="H36" s="34">
        <v>1.3240000000000001</v>
      </c>
      <c r="I36" s="34">
        <v>1.329</v>
      </c>
      <c r="J36" s="423">
        <f t="shared" si="6"/>
        <v>1.0884273715891282</v>
      </c>
      <c r="K36" s="138">
        <f t="shared" si="2"/>
        <v>1.1599273715891281</v>
      </c>
      <c r="L36" s="138">
        <f t="shared" si="3"/>
        <v>1.172927371589128</v>
      </c>
      <c r="M36" s="138">
        <f t="shared" si="7"/>
        <v>1.1779273715891281</v>
      </c>
      <c r="N36" s="97">
        <f t="shared" si="4"/>
        <v>1.180927371589128</v>
      </c>
      <c r="O36" s="264">
        <f t="shared" si="5"/>
        <v>1.1834273715891279</v>
      </c>
      <c r="P36" s="10"/>
      <c r="Q36" s="10"/>
      <c r="U36" s="278"/>
      <c r="V36" s="277"/>
      <c r="W36" s="277"/>
    </row>
    <row r="37" spans="2:23" x14ac:dyDescent="0.25">
      <c r="B37" s="263"/>
      <c r="C37" s="572"/>
      <c r="D37" s="263"/>
      <c r="G37" s="105"/>
      <c r="H37" s="322"/>
      <c r="I37" s="10"/>
      <c r="K37" s="20"/>
      <c r="L37" s="20"/>
      <c r="M37" s="20"/>
      <c r="N37" s="20"/>
      <c r="O37" s="18"/>
      <c r="P37" s="10"/>
      <c r="Q37" s="10"/>
      <c r="U37" s="278"/>
      <c r="V37" s="277"/>
      <c r="W37" s="277"/>
    </row>
    <row r="38" spans="2:23" x14ac:dyDescent="0.25">
      <c r="B38" s="263"/>
      <c r="C38" s="572"/>
      <c r="D38" s="263"/>
      <c r="G38" s="105"/>
      <c r="H38" s="322"/>
      <c r="I38" s="10"/>
      <c r="K38" s="20"/>
      <c r="L38" s="20"/>
      <c r="M38" s="20"/>
      <c r="N38" s="20"/>
      <c r="O38" s="18"/>
      <c r="P38" s="10"/>
      <c r="Q38" s="10"/>
      <c r="U38" s="278"/>
      <c r="V38" s="277"/>
      <c r="W38" s="277"/>
    </row>
    <row r="39" spans="2:23" x14ac:dyDescent="0.25">
      <c r="B39" s="940" t="s">
        <v>697</v>
      </c>
      <c r="C39" s="1051" t="s">
        <v>809</v>
      </c>
      <c r="D39" s="941" t="s">
        <v>54</v>
      </c>
      <c r="L39" s="91"/>
      <c r="M39" s="91"/>
      <c r="N39" s="91"/>
      <c r="O39" s="18"/>
      <c r="P39" s="10"/>
      <c r="Q39" s="10"/>
      <c r="U39" s="278"/>
      <c r="V39" s="277"/>
      <c r="W39" s="277"/>
    </row>
    <row r="40" spans="2:23" x14ac:dyDescent="0.25">
      <c r="B40" s="1053" t="s">
        <v>810</v>
      </c>
      <c r="C40" s="94">
        <f>IF(O2_substitute&lt;90, Heat_Balance!D20, D1_Furnace!C141)</f>
        <v>7.6182905127485556</v>
      </c>
      <c r="D40" s="271" t="s">
        <v>135</v>
      </c>
      <c r="L40" s="10"/>
      <c r="M40" s="10"/>
      <c r="N40" s="10"/>
      <c r="O40" s="96"/>
      <c r="U40" s="278"/>
      <c r="V40" s="45"/>
      <c r="W40" s="45"/>
    </row>
    <row r="41" spans="2:23" ht="15.75" x14ac:dyDescent="0.25">
      <c r="B41" s="28" t="s">
        <v>811</v>
      </c>
      <c r="C41" s="445" t="str">
        <f>IF(Bio_switch = 0, "n", "y")</f>
        <v>n</v>
      </c>
      <c r="D41" s="40" t="s">
        <v>812</v>
      </c>
      <c r="L41" s="10"/>
      <c r="M41" s="10"/>
      <c r="N41" s="10"/>
      <c r="O41" s="96"/>
      <c r="U41" s="279"/>
      <c r="V41" s="276"/>
      <c r="W41" s="277"/>
    </row>
    <row r="42" spans="2:23" ht="15.75" x14ac:dyDescent="0.25">
      <c r="B42" s="67" t="s">
        <v>691</v>
      </c>
      <c r="C42" s="295">
        <f>IF(Biomethane="n", L10, M10)</f>
        <v>35.095999999999997</v>
      </c>
      <c r="D42" s="271" t="s">
        <v>366</v>
      </c>
      <c r="L42" s="10"/>
      <c r="M42" s="10"/>
      <c r="N42" s="10"/>
      <c r="O42" s="10"/>
      <c r="U42" s="279"/>
      <c r="V42" s="276"/>
      <c r="W42" s="277"/>
    </row>
    <row r="43" spans="2:23" ht="15.75" x14ac:dyDescent="0.25">
      <c r="B43" s="67" t="s">
        <v>692</v>
      </c>
      <c r="C43" s="295">
        <f>IF(Biomethane="n", L11, M11)</f>
        <v>31.669</v>
      </c>
      <c r="D43" s="271" t="s">
        <v>366</v>
      </c>
      <c r="E43" s="270"/>
      <c r="L43" s="10"/>
      <c r="M43" s="10"/>
      <c r="N43" s="10"/>
      <c r="O43" s="10"/>
      <c r="U43" s="279"/>
      <c r="V43" s="276"/>
      <c r="W43" s="277"/>
    </row>
    <row r="44" spans="2:23" x14ac:dyDescent="0.25">
      <c r="B44" s="67" t="s">
        <v>693</v>
      </c>
      <c r="C44" s="389">
        <f>C40*1000/C43</f>
        <v>240.55986967534673</v>
      </c>
      <c r="D44" s="271" t="s">
        <v>114</v>
      </c>
      <c r="E44" s="10"/>
      <c r="L44" s="10"/>
      <c r="M44" s="10"/>
      <c r="N44" s="10"/>
      <c r="O44" s="10"/>
      <c r="U44" s="278"/>
      <c r="V44" s="276"/>
      <c r="W44" s="277"/>
    </row>
    <row r="45" spans="2:23" x14ac:dyDescent="0.25">
      <c r="B45" s="107" t="s">
        <v>694</v>
      </c>
      <c r="C45" s="81">
        <f>IF(Biomethane="n", L12, M12)</f>
        <v>0.83299999999999996</v>
      </c>
      <c r="D45" s="271" t="s">
        <v>113</v>
      </c>
      <c r="E45" s="270"/>
      <c r="L45" s="10"/>
      <c r="M45" s="10"/>
      <c r="N45" s="10"/>
      <c r="O45" s="10"/>
      <c r="U45" s="278"/>
      <c r="V45" s="280"/>
      <c r="W45" s="277"/>
    </row>
    <row r="46" spans="2:23" x14ac:dyDescent="0.25">
      <c r="B46" s="107" t="s">
        <v>695</v>
      </c>
      <c r="C46" s="389">
        <f>C44*C45</f>
        <v>200.38637143956382</v>
      </c>
      <c r="D46" s="271" t="s">
        <v>337</v>
      </c>
      <c r="E46" s="270"/>
      <c r="L46" s="10"/>
      <c r="M46" s="10"/>
      <c r="N46" s="10"/>
      <c r="O46" s="10"/>
      <c r="U46" s="278"/>
      <c r="V46" s="280"/>
      <c r="W46" s="277"/>
    </row>
    <row r="47" spans="2:23" x14ac:dyDescent="0.25">
      <c r="B47" s="107" t="s">
        <v>423</v>
      </c>
      <c r="C47" s="61">
        <f>(G7*L24 + G8*L25+ G9*L26 + G10*L27 + G11*L28 + G12*L29 + G13*L30 + G14*L31)/100</f>
        <v>3.3921845920022076</v>
      </c>
      <c r="D47" s="271" t="s">
        <v>334</v>
      </c>
      <c r="E47" s="46"/>
    </row>
    <row r="48" spans="2:23" x14ac:dyDescent="0.25">
      <c r="B48" s="943" t="s">
        <v>696</v>
      </c>
      <c r="C48" s="138">
        <f>(E7*G7 + E8*G8 + E9*G9 + E10*G10 + E11*G11 + E12*G12 + E13*G13 +E14*G14)/100</f>
        <v>2.0491240469296578E-2</v>
      </c>
      <c r="D48" s="945" t="s">
        <v>61</v>
      </c>
      <c r="E48" s="281"/>
      <c r="F48" s="37"/>
      <c r="L48" s="77"/>
    </row>
    <row r="49" spans="2:57" x14ac:dyDescent="0.25">
      <c r="H49" s="281"/>
      <c r="I49" s="37"/>
      <c r="J49" s="10"/>
      <c r="K49" s="18"/>
    </row>
    <row r="50" spans="2:57" x14ac:dyDescent="0.25">
      <c r="B50" s="316" t="s">
        <v>379</v>
      </c>
      <c r="C50" s="8"/>
    </row>
    <row r="51" spans="2:57" x14ac:dyDescent="0.25">
      <c r="B51" s="1463" t="s">
        <v>329</v>
      </c>
      <c r="C51" s="1464"/>
      <c r="D51" s="1464"/>
      <c r="E51" s="1464"/>
      <c r="F51" s="1464"/>
      <c r="G51" s="1465"/>
      <c r="H51" s="91"/>
      <c r="I51" s="128" t="s">
        <v>409</v>
      </c>
      <c r="J51" s="62" t="s">
        <v>408</v>
      </c>
      <c r="K51" s="133" t="s">
        <v>410</v>
      </c>
      <c r="L51" s="146" t="s">
        <v>411</v>
      </c>
    </row>
    <row r="52" spans="2:57" x14ac:dyDescent="0.25">
      <c r="B52" s="177" t="s">
        <v>137</v>
      </c>
      <c r="C52" s="94">
        <f>C46*I52*G7/SUM(G7:G14)</f>
        <v>140.07514654504683</v>
      </c>
      <c r="D52" s="94" t="s">
        <v>60</v>
      </c>
      <c r="E52" s="338" t="s">
        <v>98</v>
      </c>
      <c r="F52" s="94">
        <f>C52*K52*(E14/E7)</f>
        <v>384.26308070938023</v>
      </c>
      <c r="G52" s="180" t="s">
        <v>60</v>
      </c>
      <c r="H52" s="95"/>
      <c r="I52" s="28">
        <v>1</v>
      </c>
      <c r="J52" s="10">
        <f>2</f>
        <v>2</v>
      </c>
      <c r="K52" s="10">
        <v>1</v>
      </c>
      <c r="L52" s="40">
        <v>2</v>
      </c>
    </row>
    <row r="53" spans="2:57" x14ac:dyDescent="0.25">
      <c r="B53" s="339" t="s">
        <v>138</v>
      </c>
      <c r="C53" s="173">
        <f>C52*(J52*E13/E7)</f>
        <v>558.78269780923983</v>
      </c>
      <c r="D53" s="340" t="s">
        <v>60</v>
      </c>
      <c r="E53" s="173" t="s">
        <v>139</v>
      </c>
      <c r="F53" s="341">
        <f>C52*L52*(E15/E7)</f>
        <v>314.59476364490655</v>
      </c>
      <c r="G53" s="342" t="s">
        <v>60</v>
      </c>
      <c r="H53" s="95"/>
      <c r="I53" s="28">
        <v>1</v>
      </c>
      <c r="J53" s="10">
        <f>7/2</f>
        <v>3.5</v>
      </c>
      <c r="K53" s="10">
        <v>2</v>
      </c>
      <c r="L53" s="40">
        <v>3</v>
      </c>
    </row>
    <row r="54" spans="2:57" x14ac:dyDescent="0.25">
      <c r="B54" s="1466" t="s">
        <v>330</v>
      </c>
      <c r="C54" s="1467"/>
      <c r="D54" s="1467"/>
      <c r="E54" s="1467"/>
      <c r="F54" s="1467"/>
      <c r="G54" s="1468"/>
      <c r="H54" s="226"/>
      <c r="I54" s="28">
        <v>1</v>
      </c>
      <c r="J54" s="10">
        <v>5</v>
      </c>
      <c r="K54" s="10">
        <v>3</v>
      </c>
      <c r="L54" s="40">
        <v>4</v>
      </c>
      <c r="P54" s="77"/>
      <c r="V54" s="10"/>
      <c r="W54" s="10"/>
    </row>
    <row r="55" spans="2:57" x14ac:dyDescent="0.25">
      <c r="B55" s="177" t="s">
        <v>322</v>
      </c>
      <c r="C55" s="94">
        <f>C46*I53*G8/SUM(G7:G14)</f>
        <v>9.3896556396573416</v>
      </c>
      <c r="D55" s="94" t="s">
        <v>60</v>
      </c>
      <c r="E55" s="338" t="s">
        <v>98</v>
      </c>
      <c r="F55" s="94">
        <f>C55*K53*(E14/E8)</f>
        <v>27.485183308079545</v>
      </c>
      <c r="G55" s="180" t="s">
        <v>60</v>
      </c>
      <c r="H55" s="95"/>
      <c r="I55" s="28">
        <v>1</v>
      </c>
      <c r="J55" s="10">
        <f>13/2</f>
        <v>6.5</v>
      </c>
      <c r="K55" s="10">
        <v>4</v>
      </c>
      <c r="L55" s="40">
        <v>5</v>
      </c>
      <c r="O55" s="74"/>
      <c r="P55" s="18"/>
      <c r="V55" s="10"/>
      <c r="W55" s="10"/>
    </row>
    <row r="56" spans="2:57" x14ac:dyDescent="0.25">
      <c r="B56" s="339" t="s">
        <v>138</v>
      </c>
      <c r="C56" s="173">
        <f>C55*(J53*E13/E8)</f>
        <v>34.972041144384541</v>
      </c>
      <c r="D56" s="340" t="s">
        <v>60</v>
      </c>
      <c r="E56" s="173" t="s">
        <v>139</v>
      </c>
      <c r="F56" s="341">
        <f>C55*L53*(E15/E8)</f>
        <v>16.876513475962341</v>
      </c>
      <c r="G56" s="342" t="s">
        <v>60</v>
      </c>
      <c r="H56" s="95"/>
      <c r="I56" s="57">
        <v>1</v>
      </c>
      <c r="J56" s="294">
        <v>8</v>
      </c>
      <c r="K56" s="34">
        <v>5</v>
      </c>
      <c r="L56" s="58">
        <v>6</v>
      </c>
      <c r="M56" s="10"/>
      <c r="V56" s="10"/>
      <c r="W56" s="10"/>
    </row>
    <row r="57" spans="2:57" x14ac:dyDescent="0.25">
      <c r="B57" s="1466" t="s">
        <v>331</v>
      </c>
      <c r="C57" s="1467"/>
      <c r="D57" s="1467"/>
      <c r="E57" s="1467"/>
      <c r="F57" s="1467"/>
      <c r="G57" s="1468"/>
      <c r="H57" s="226"/>
      <c r="L57" s="88"/>
      <c r="BB57" s="39" t="s">
        <v>1042</v>
      </c>
      <c r="BC57" s="39" t="s">
        <v>1043</v>
      </c>
    </row>
    <row r="58" spans="2:57" x14ac:dyDescent="0.25">
      <c r="B58" s="177" t="s">
        <v>323</v>
      </c>
      <c r="C58" s="94">
        <f>C46*I54*G9/SUM(G7:G14)</f>
        <v>1.8689188826329883</v>
      </c>
      <c r="D58" s="94" t="s">
        <v>60</v>
      </c>
      <c r="E58" s="338" t="s">
        <v>98</v>
      </c>
      <c r="F58" s="94">
        <f>C58*K54*(E14/E9)</f>
        <v>5.595704772727796</v>
      </c>
      <c r="G58" s="180" t="s">
        <v>60</v>
      </c>
      <c r="H58" s="95"/>
      <c r="Q58" s="1424" t="s">
        <v>829</v>
      </c>
      <c r="R58" s="1425"/>
      <c r="S58" s="1426"/>
      <c r="AS58" s="1424" t="s">
        <v>830</v>
      </c>
      <c r="AT58" s="1425"/>
      <c r="AU58" s="1426"/>
      <c r="AW58" s="1018" t="s">
        <v>777</v>
      </c>
      <c r="AX58" s="1018" t="s">
        <v>778</v>
      </c>
      <c r="AZ58" s="290" t="s">
        <v>779</v>
      </c>
      <c r="BB58" s="1018" t="s">
        <v>780</v>
      </c>
      <c r="BC58" s="1018" t="s">
        <v>780</v>
      </c>
    </row>
    <row r="59" spans="2:57" x14ac:dyDescent="0.25">
      <c r="B59" s="339" t="s">
        <v>138</v>
      </c>
      <c r="C59" s="173">
        <f>C58*(J54*E13/E9)</f>
        <v>6.7809077643641666</v>
      </c>
      <c r="D59" s="340" t="s">
        <v>60</v>
      </c>
      <c r="E59" s="173" t="s">
        <v>139</v>
      </c>
      <c r="F59" s="341">
        <f>C58*L54*(E15/E9)</f>
        <v>3.0541218742693603</v>
      </c>
      <c r="G59" s="342" t="s">
        <v>60</v>
      </c>
      <c r="H59" s="95"/>
      <c r="I59" s="1452" t="s">
        <v>380</v>
      </c>
      <c r="J59" s="1424" t="s">
        <v>405</v>
      </c>
      <c r="K59" s="1425"/>
      <c r="L59" s="1426"/>
      <c r="Q59" s="942" t="s">
        <v>831</v>
      </c>
      <c r="R59" s="474">
        <f>D1_Furnace!C18</f>
        <v>7.6182905127485547</v>
      </c>
      <c r="S59" s="475" t="s">
        <v>135</v>
      </c>
      <c r="U59" s="474"/>
      <c r="AS59" s="942" t="s">
        <v>831</v>
      </c>
      <c r="AT59" s="474">
        <f>D1_Furnace!C141</f>
        <v>6.9202162865049006</v>
      </c>
      <c r="AU59" s="475" t="s">
        <v>135</v>
      </c>
      <c r="AW59" s="1019">
        <v>165.48021065825569</v>
      </c>
      <c r="AX59" s="1019">
        <v>147.09352058511615</v>
      </c>
      <c r="AZ59" s="1020">
        <f>AW59-AX59</f>
        <v>18.386690073139533</v>
      </c>
      <c r="BA59" s="1019"/>
      <c r="BB59" s="1037">
        <f>$AZ59*D1_Furnace!$C$80</f>
        <v>65.479971096291877</v>
      </c>
      <c r="BC59" s="1037">
        <f>AZ59*D1_Furnace!$G$85</f>
        <v>59.462299489362358</v>
      </c>
    </row>
    <row r="60" spans="2:57" x14ac:dyDescent="0.25">
      <c r="B60" s="1466" t="s">
        <v>332</v>
      </c>
      <c r="C60" s="1467"/>
      <c r="D60" s="1467"/>
      <c r="E60" s="1467"/>
      <c r="F60" s="1467"/>
      <c r="G60" s="1468"/>
      <c r="H60" s="226"/>
      <c r="I60" s="1453"/>
      <c r="J60" s="385" t="s">
        <v>376</v>
      </c>
      <c r="K60" s="394" t="s">
        <v>373</v>
      </c>
      <c r="L60" s="146" t="s">
        <v>398</v>
      </c>
      <c r="Q60" s="67" t="s">
        <v>691</v>
      </c>
      <c r="R60" s="282">
        <f>C42</f>
        <v>35.095999999999997</v>
      </c>
      <c r="S60" s="271" t="s">
        <v>366</v>
      </c>
      <c r="AS60" s="67" t="s">
        <v>691</v>
      </c>
      <c r="AT60" s="282">
        <f>C42</f>
        <v>35.095999999999997</v>
      </c>
      <c r="AU60" s="271" t="s">
        <v>366</v>
      </c>
      <c r="AW60" s="1019">
        <v>11.092633001524558</v>
      </c>
      <c r="AX60" s="1019">
        <v>9.8601182235773859</v>
      </c>
      <c r="AZ60" s="1020">
        <f t="shared" ref="AZ60:AZ66" si="8">AW60-AX60</f>
        <v>1.2325147779471717</v>
      </c>
      <c r="BA60" s="1019"/>
      <c r="BB60" s="1037">
        <f>$AZ60*D1_Furnace!$C$80</f>
        <v>4.3893181271180799</v>
      </c>
      <c r="BC60" s="1037">
        <f>AZ60*D1_Furnace!$G$85</f>
        <v>3.9859356175489009</v>
      </c>
    </row>
    <row r="61" spans="2:57" x14ac:dyDescent="0.25">
      <c r="B61" s="177" t="s">
        <v>324</v>
      </c>
      <c r="C61" s="94">
        <f>C46*I55*G10/SUM(G7:G14)</f>
        <v>0.99509993558302678</v>
      </c>
      <c r="D61" s="94" t="s">
        <v>60</v>
      </c>
      <c r="E61" s="338" t="s">
        <v>98</v>
      </c>
      <c r="F61" s="94">
        <f>C61*K55*(E14/E10)</f>
        <v>3.0138607647399969</v>
      </c>
      <c r="G61" s="180" t="s">
        <v>60</v>
      </c>
      <c r="H61" s="95"/>
      <c r="I61" s="290" t="s">
        <v>320</v>
      </c>
      <c r="J61" s="383">
        <v>78.099999999999994</v>
      </c>
      <c r="K61" s="354">
        <f>($J61/$J$65)*$C12/E12</f>
        <v>32.479634746228584</v>
      </c>
      <c r="L61" s="156">
        <f>$K61*100/$K$65</f>
        <v>78.094681795842689</v>
      </c>
      <c r="Q61" s="67" t="s">
        <v>692</v>
      </c>
      <c r="R61" s="282">
        <f>C43</f>
        <v>31.669</v>
      </c>
      <c r="S61" s="271" t="s">
        <v>366</v>
      </c>
      <c r="AS61" s="67" t="s">
        <v>692</v>
      </c>
      <c r="AT61" s="282">
        <f>C43</f>
        <v>31.669</v>
      </c>
      <c r="AU61" s="271" t="s">
        <v>366</v>
      </c>
      <c r="AW61" s="1019">
        <v>2.2078798275741276</v>
      </c>
      <c r="AX61" s="1019">
        <v>1.962559846732558</v>
      </c>
      <c r="AZ61" s="1020">
        <f t="shared" si="8"/>
        <v>0.24531998084156958</v>
      </c>
      <c r="BA61" s="1019"/>
      <c r="BB61" s="1037">
        <f>$AZ61*D1_Furnace!$C$80</f>
        <v>0.8736507327284273</v>
      </c>
      <c r="BC61" s="1037">
        <f>AZ61*D1_Furnace!$G$85</f>
        <v>0.79336139965920804</v>
      </c>
    </row>
    <row r="62" spans="2:57" x14ac:dyDescent="0.25">
      <c r="B62" s="339" t="s">
        <v>138</v>
      </c>
      <c r="C62" s="173">
        <f>C61*(J55*E13/E10)</f>
        <v>3.5609087457478719</v>
      </c>
      <c r="D62" s="340" t="s">
        <v>60</v>
      </c>
      <c r="E62" s="173" t="s">
        <v>139</v>
      </c>
      <c r="F62" s="341">
        <f>C61*L55*(E15/E10)</f>
        <v>1.5421479165909033</v>
      </c>
      <c r="G62" s="342" t="s">
        <v>60</v>
      </c>
      <c r="H62" s="95"/>
      <c r="I62" s="199" t="s">
        <v>138</v>
      </c>
      <c r="J62" s="383">
        <v>20.94</v>
      </c>
      <c r="K62" s="354">
        <f>($J62/$J$65)*C13/E13</f>
        <v>8.7102756422276393</v>
      </c>
      <c r="L62" s="156">
        <f>$K62*100/$K$65</f>
        <v>20.943160535782567</v>
      </c>
      <c r="Q62" s="67" t="s">
        <v>693</v>
      </c>
      <c r="R62" s="332">
        <f>R59*1000/R61</f>
        <v>240.5598696753467</v>
      </c>
      <c r="S62" s="271" t="s">
        <v>114</v>
      </c>
      <c r="AS62" s="67" t="s">
        <v>693</v>
      </c>
      <c r="AT62" s="332">
        <f>AT59*1000/AT61</f>
        <v>218.51704463370805</v>
      </c>
      <c r="AU62" s="271" t="s">
        <v>114</v>
      </c>
      <c r="AW62" s="1019">
        <v>1.1755786163917366</v>
      </c>
      <c r="AX62" s="1019">
        <v>1.0449587701259881</v>
      </c>
      <c r="AZ62" s="1020">
        <f t="shared" si="8"/>
        <v>0.13061984626574841</v>
      </c>
      <c r="BA62" s="1019"/>
      <c r="BB62" s="1037">
        <f>$AZ62*D1_Furnace!$C$80</f>
        <v>0.4651725636349332</v>
      </c>
      <c r="BC62" s="1037">
        <f>AZ62*D1_Furnace!$G$85</f>
        <v>0.422422762716541</v>
      </c>
    </row>
    <row r="63" spans="2:57" x14ac:dyDescent="0.25">
      <c r="B63" s="1466" t="s">
        <v>333</v>
      </c>
      <c r="C63" s="1467"/>
      <c r="D63" s="1467"/>
      <c r="E63" s="1467"/>
      <c r="F63" s="1467"/>
      <c r="G63" s="1468"/>
      <c r="H63" s="226"/>
      <c r="I63" s="199" t="s">
        <v>321</v>
      </c>
      <c r="J63" s="383">
        <v>0.93</v>
      </c>
      <c r="K63" s="354">
        <f>($J63/$J$65)*C16/E16</f>
        <v>0.38668519074797247</v>
      </c>
      <c r="L63" s="156">
        <f>$K63*100/$K$65</f>
        <v>0.92975358751945714</v>
      </c>
      <c r="Q63" s="107" t="s">
        <v>694</v>
      </c>
      <c r="R63" s="314">
        <f>C45</f>
        <v>0.83299999999999996</v>
      </c>
      <c r="S63" s="64" t="s">
        <v>113</v>
      </c>
      <c r="AS63" s="107" t="s">
        <v>694</v>
      </c>
      <c r="AT63" s="314">
        <f>C45</f>
        <v>0.83299999999999996</v>
      </c>
      <c r="AU63" s="64" t="s">
        <v>113</v>
      </c>
      <c r="AW63" s="1019">
        <v>0.45451420163815348</v>
      </c>
      <c r="AX63" s="1019">
        <v>0.40401262367835872</v>
      </c>
      <c r="AZ63" s="1020">
        <f>AW63-AX63</f>
        <v>5.0501577959794763E-2</v>
      </c>
      <c r="BA63" s="1019"/>
      <c r="BB63" s="1037">
        <f>$AZ63*D1_Furnace!$C$80</f>
        <v>0.17984976371333633</v>
      </c>
      <c r="BC63" s="1037">
        <f>AZ63*D1_Furnace!$G$85</f>
        <v>0.16332139941367624</v>
      </c>
    </row>
    <row r="64" spans="2:57" x14ac:dyDescent="0.25">
      <c r="B64" s="177" t="s">
        <v>325</v>
      </c>
      <c r="C64" s="94">
        <f>C46*I56*G11/SUM(G7:G14)</f>
        <v>0.38473569224993659</v>
      </c>
      <c r="D64" s="94" t="s">
        <v>60</v>
      </c>
      <c r="E64" s="338" t="s">
        <v>98</v>
      </c>
      <c r="F64" s="94">
        <f>C64*K56*(E14/E11)</f>
        <v>1.1733890482638643</v>
      </c>
      <c r="G64" s="180" t="s">
        <v>60</v>
      </c>
      <c r="H64" s="95"/>
      <c r="I64" s="200" t="s">
        <v>98</v>
      </c>
      <c r="J64" s="383">
        <v>0.03</v>
      </c>
      <c r="K64" s="354">
        <f>($J64/$J$65)*C14/E14</f>
        <v>1.3476880707678251E-2</v>
      </c>
      <c r="L64" s="156">
        <f>$K64*100/$K$65</f>
        <v>3.2404080855277274E-2</v>
      </c>
      <c r="Q64" s="107" t="s">
        <v>695</v>
      </c>
      <c r="R64" s="332">
        <f>R62*R63</f>
        <v>200.38637143956379</v>
      </c>
      <c r="S64" s="64" t="s">
        <v>337</v>
      </c>
      <c r="AS64" s="107" t="s">
        <v>695</v>
      </c>
      <c r="AT64" s="332">
        <f>AT62*AT63</f>
        <v>182.02469817987881</v>
      </c>
      <c r="AU64" s="64" t="s">
        <v>337</v>
      </c>
      <c r="AW64" s="1019">
        <v>50.870639672419358</v>
      </c>
      <c r="AX64" s="1019">
        <v>45.218346375483883</v>
      </c>
      <c r="AZ64" s="1020">
        <f t="shared" si="8"/>
        <v>5.6522932969354756</v>
      </c>
      <c r="BA64" s="1019"/>
      <c r="BB64" s="1037">
        <f>$AZ64*D1_Furnace!$C$80</f>
        <v>20.129343576187363</v>
      </c>
      <c r="BC64" s="1037">
        <f>AZ64*D1_Furnace!$G$85</f>
        <v>18.279437761072987</v>
      </c>
      <c r="BE64" s="319"/>
    </row>
    <row r="65" spans="1:128" x14ac:dyDescent="0.25">
      <c r="B65" s="343" t="s">
        <v>138</v>
      </c>
      <c r="C65" s="97">
        <f>C64*(J56*E13/E11)</f>
        <v>1.3650429216531141</v>
      </c>
      <c r="D65" s="340" t="s">
        <v>60</v>
      </c>
      <c r="E65" s="97" t="s">
        <v>139</v>
      </c>
      <c r="F65" s="138">
        <f>C64*L56*(E15/E11)</f>
        <v>0.57638956563918653</v>
      </c>
      <c r="G65" s="264" t="s">
        <v>60</v>
      </c>
      <c r="H65" s="18"/>
      <c r="J65" s="152">
        <f>SUM(J61:J64)</f>
        <v>100</v>
      </c>
      <c r="K65" s="393">
        <f>SUM(K61:K64)</f>
        <v>41.59007245991188</v>
      </c>
      <c r="L65" s="159">
        <f>SUM(L61:L64)</f>
        <v>99.999999999999986</v>
      </c>
      <c r="Q65" s="107" t="s">
        <v>423</v>
      </c>
      <c r="R65" s="178">
        <f>(G7*L24 + G8*L25+ G9*L26 + G10*L27 + G11*L28 + G12*L29 + G13*L30 + G14*L31)/100</f>
        <v>3.3921845920022076</v>
      </c>
      <c r="S65" s="64" t="s">
        <v>334</v>
      </c>
      <c r="AS65" s="107" t="s">
        <v>423</v>
      </c>
      <c r="AT65" s="178">
        <f>(G7*L24 + G8*L25+ G9*L26 + G10*L27 + G11*L28 + G12*L29 + G13*L30 + G14*L31)/100</f>
        <v>3.3921845920022076</v>
      </c>
      <c r="AU65" s="64" t="s">
        <v>334</v>
      </c>
      <c r="AW65" s="1019">
        <v>5.6780756458335704E-2</v>
      </c>
      <c r="AX65" s="1019">
        <v>5.0471783518520628E-2</v>
      </c>
      <c r="AZ65" s="1020">
        <f t="shared" si="8"/>
        <v>6.308972939815076E-3</v>
      </c>
      <c r="BA65" s="1019"/>
      <c r="BB65" s="1037">
        <f>$AZ65*D1_Furnace!$C$80</f>
        <v>2.2467957207256056E-2</v>
      </c>
      <c r="BC65" s="1037">
        <f>AZ65*D1_Furnace!$G$85</f>
        <v>2.0403130575720345E-2</v>
      </c>
      <c r="BF65" s="319"/>
      <c r="BG65" s="319"/>
      <c r="BH65" s="319"/>
    </row>
    <row r="66" spans="1:128" x14ac:dyDescent="0.25">
      <c r="B66" s="91"/>
      <c r="C66" s="375"/>
      <c r="D66" s="91"/>
      <c r="E66" s="375"/>
      <c r="F66" s="375"/>
      <c r="G66" s="91"/>
      <c r="H66" s="226"/>
      <c r="Q66" s="943" t="s">
        <v>696</v>
      </c>
      <c r="R66" s="527">
        <f>(E7*G7 + E8*G8 + E9*G9 + E10*G10 + E11*G11 + E12*G12 + E13*G13 +E14*G14)/100</f>
        <v>2.0491240469296578E-2</v>
      </c>
      <c r="S66" s="132" t="s">
        <v>61</v>
      </c>
      <c r="AS66" s="943" t="s">
        <v>696</v>
      </c>
      <c r="AT66" s="527">
        <f>(E7*G7 + E8*G8 + E9*G9 + E10*G10 + E11*G11 + E12*G12 + E13*G13 +E14*G14)/100</f>
        <v>2.0491240469296578E-2</v>
      </c>
      <c r="AU66" s="132" t="s">
        <v>61</v>
      </c>
      <c r="AW66" s="1019">
        <v>5.391688429147047</v>
      </c>
      <c r="AX66" s="1019">
        <v>4.7926119370195979</v>
      </c>
      <c r="AZ66" s="1021">
        <f t="shared" si="8"/>
        <v>0.59907649212744918</v>
      </c>
      <c r="BA66" s="1019"/>
      <c r="BB66" s="1037">
        <f>$AZ66*D1_Furnace!$C$80</f>
        <v>2.1334732479272813</v>
      </c>
      <c r="BC66" s="1037">
        <f>AZ66*D1_Furnace!$G$85</f>
        <v>1.9374050277792314</v>
      </c>
      <c r="BF66" s="319"/>
      <c r="BG66" s="319"/>
      <c r="BH66" s="319"/>
    </row>
    <row r="67" spans="1:128" x14ac:dyDescent="0.25">
      <c r="B67" s="91"/>
      <c r="C67" s="375"/>
      <c r="D67" s="91"/>
      <c r="E67" s="375"/>
      <c r="F67" s="375"/>
      <c r="G67" s="91"/>
      <c r="H67" s="226"/>
      <c r="I67" s="10"/>
      <c r="J67" s="10"/>
      <c r="K67" s="10"/>
      <c r="L67" s="10"/>
      <c r="BF67" s="319"/>
      <c r="BG67" s="319"/>
      <c r="BH67" s="319"/>
    </row>
    <row r="68" spans="1:128" x14ac:dyDescent="0.25">
      <c r="C68" s="91"/>
      <c r="D68" s="321"/>
      <c r="J68" s="88"/>
      <c r="BF68" s="319"/>
      <c r="BG68" s="319"/>
      <c r="BH68" s="319"/>
    </row>
    <row r="69" spans="1:128" x14ac:dyDescent="0.25">
      <c r="B69" s="361" t="s">
        <v>584</v>
      </c>
      <c r="D69" s="6"/>
      <c r="F69" s="10"/>
      <c r="M69" s="6"/>
      <c r="BF69" s="319"/>
      <c r="BG69" s="319"/>
      <c r="BH69" s="319"/>
    </row>
    <row r="70" spans="1:128" s="319" customFormat="1" ht="18.75" thickBot="1" x14ac:dyDescent="0.4">
      <c r="A70"/>
      <c r="B70" s="1450" t="s">
        <v>382</v>
      </c>
      <c r="C70" s="1451"/>
      <c r="D70" s="610" t="s">
        <v>409</v>
      </c>
      <c r="E70" s="362" t="s">
        <v>370</v>
      </c>
      <c r="F70" s="405" t="s">
        <v>408</v>
      </c>
      <c r="G70" s="362" t="s">
        <v>371</v>
      </c>
      <c r="H70" s="406" t="s">
        <v>412</v>
      </c>
      <c r="I70" s="363" t="s">
        <v>394</v>
      </c>
      <c r="J70" s="406" t="s">
        <v>413</v>
      </c>
      <c r="K70" s="363" t="s">
        <v>395</v>
      </c>
      <c r="L70" s="406" t="s">
        <v>414</v>
      </c>
      <c r="M70" s="366" t="s">
        <v>381</v>
      </c>
      <c r="Q70" s="888" t="s">
        <v>666</v>
      </c>
      <c r="R70"/>
      <c r="S70" s="6"/>
      <c r="T70"/>
      <c r="U70" s="10"/>
      <c r="V70"/>
      <c r="W70"/>
      <c r="X70"/>
      <c r="Y70"/>
      <c r="Z70"/>
      <c r="AA70"/>
      <c r="AB70" s="6"/>
      <c r="AC70"/>
      <c r="AD70"/>
      <c r="AF70" s="361" t="s">
        <v>665</v>
      </c>
      <c r="AG70"/>
      <c r="AH70" s="6"/>
      <c r="AI70"/>
      <c r="AJ70" s="10"/>
      <c r="AK70"/>
      <c r="AL70"/>
      <c r="AM70"/>
      <c r="AN70"/>
      <c r="AO70"/>
      <c r="AP70"/>
      <c r="AQ70" s="6"/>
      <c r="AS70" s="361" t="s">
        <v>667</v>
      </c>
      <c r="AT70"/>
      <c r="AU70"/>
      <c r="AV70"/>
      <c r="AW70"/>
      <c r="AX70"/>
      <c r="AY70"/>
      <c r="AZ70"/>
      <c r="BA70"/>
      <c r="BB70"/>
      <c r="BC70"/>
      <c r="BD70"/>
      <c r="BF70"/>
      <c r="BG70"/>
      <c r="BH70"/>
      <c r="CH70"/>
      <c r="CI70"/>
      <c r="CZ70"/>
      <c r="DA70"/>
      <c r="DB70"/>
      <c r="DC70"/>
      <c r="DD70"/>
      <c r="DE70"/>
      <c r="DF70"/>
      <c r="DG70"/>
      <c r="DH70"/>
      <c r="DI70"/>
      <c r="DJ70"/>
      <c r="DK70"/>
      <c r="DL70"/>
      <c r="DM70"/>
      <c r="DN70"/>
      <c r="DO70"/>
      <c r="DP70"/>
      <c r="DQ70"/>
      <c r="DR70"/>
      <c r="DS70"/>
      <c r="DT70"/>
      <c r="DU70"/>
      <c r="DV70"/>
      <c r="DW70"/>
      <c r="DX70"/>
    </row>
    <row r="71" spans="1:128" s="319" customFormat="1" ht="18.75" thickBot="1" x14ac:dyDescent="0.4">
      <c r="A71"/>
      <c r="B71" s="1446" t="s">
        <v>384</v>
      </c>
      <c r="C71" s="1447"/>
      <c r="D71" s="436">
        <f>$I52</f>
        <v>1</v>
      </c>
      <c r="E71" s="324">
        <f>$C$46*$D71*$G7/SUM($G$7:$G$14)</f>
        <v>140.07514654504683</v>
      </c>
      <c r="F71" s="389">
        <f>$J52*(1+Excess_air/100)</f>
        <v>2</v>
      </c>
      <c r="G71" s="324">
        <f>$E71*($F71*$E$13/$E7)</f>
        <v>558.78269780923983</v>
      </c>
      <c r="H71" s="358">
        <f>$J52*($L$61/$L$62)* (1+ Excess_air/100)</f>
        <v>7.4577742611878977</v>
      </c>
      <c r="I71" s="359">
        <f>$E71*($H71*$E$12/$E7)</f>
        <v>1824.1694431666733</v>
      </c>
      <c r="J71" s="367">
        <f>($J52*$L$63/$L$62)*(1+Excess_air/100)</f>
        <v>8.8788278725259337E-2</v>
      </c>
      <c r="K71" s="359">
        <f>$E71*($J71*$E$16/$E7)</f>
        <v>30.969970973087836</v>
      </c>
      <c r="L71" s="360">
        <f>($J52*$L$64/$L$62)*(1+Excess_air/100)</f>
        <v>3.0944785816747265E-3</v>
      </c>
      <c r="M71" s="365">
        <f>$E71*($L71*$E$14/$E7)</f>
        <v>1.1890938729835239</v>
      </c>
      <c r="Q71" s="1450" t="s">
        <v>382</v>
      </c>
      <c r="R71" s="1451"/>
      <c r="S71" s="610" t="s">
        <v>409</v>
      </c>
      <c r="T71" s="362" t="s">
        <v>370</v>
      </c>
      <c r="U71" s="437" t="s">
        <v>408</v>
      </c>
      <c r="V71" s="362" t="s">
        <v>371</v>
      </c>
      <c r="W71" s="438" t="s">
        <v>412</v>
      </c>
      <c r="X71" s="363" t="s">
        <v>394</v>
      </c>
      <c r="Y71" s="438" t="s">
        <v>413</v>
      </c>
      <c r="Z71" s="363" t="s">
        <v>395</v>
      </c>
      <c r="AA71" s="438" t="s">
        <v>414</v>
      </c>
      <c r="AB71" s="366" t="s">
        <v>381</v>
      </c>
      <c r="AF71" s="1450" t="s">
        <v>382</v>
      </c>
      <c r="AG71" s="1451"/>
      <c r="AH71" s="610" t="s">
        <v>409</v>
      </c>
      <c r="AI71" s="533" t="s">
        <v>370</v>
      </c>
      <c r="AJ71" s="534" t="s">
        <v>408</v>
      </c>
      <c r="AK71" s="533" t="s">
        <v>371</v>
      </c>
      <c r="AL71" s="531" t="s">
        <v>517</v>
      </c>
      <c r="AM71" s="529" t="s">
        <v>516</v>
      </c>
      <c r="AN71" s="531" t="s">
        <v>520</v>
      </c>
      <c r="AO71" s="532" t="s">
        <v>521</v>
      </c>
      <c r="AS71" s="1450" t="s">
        <v>382</v>
      </c>
      <c r="AT71" s="1451"/>
      <c r="AU71" s="610" t="s">
        <v>409</v>
      </c>
      <c r="AV71" s="533" t="s">
        <v>370</v>
      </c>
      <c r="AW71" s="534" t="s">
        <v>408</v>
      </c>
      <c r="AX71" s="533" t="s">
        <v>371</v>
      </c>
      <c r="AY71" s="531" t="s">
        <v>517</v>
      </c>
      <c r="AZ71" s="529" t="s">
        <v>516</v>
      </c>
      <c r="BA71" s="531" t="s">
        <v>520</v>
      </c>
      <c r="BB71" s="532" t="s">
        <v>521</v>
      </c>
      <c r="BF71"/>
      <c r="BG71"/>
      <c r="BH71"/>
    </row>
    <row r="72" spans="1:128" s="319" customFormat="1" x14ac:dyDescent="0.25">
      <c r="A72"/>
      <c r="B72" s="1446" t="s">
        <v>385</v>
      </c>
      <c r="C72" s="1447"/>
      <c r="D72" s="436">
        <f>$I53</f>
        <v>1</v>
      </c>
      <c r="E72" s="324">
        <f>$C$46*$D72*$G8/SUM($G$7:$G$14)</f>
        <v>9.3896556396573416</v>
      </c>
      <c r="F72" s="389">
        <f>$J53*(1+Excess_air/100)</f>
        <v>3.5</v>
      </c>
      <c r="G72" s="328">
        <f>$E72*($F72*$E$13/$E8)</f>
        <v>34.972041144384541</v>
      </c>
      <c r="H72" s="358">
        <f>$J53*($L$61/$L$62)* (1+ Excess_air/100)</f>
        <v>13.05110495707882</v>
      </c>
      <c r="I72" s="359">
        <f>$E72*($H72*$E$12/$E8)</f>
        <v>114.16768821022548</v>
      </c>
      <c r="J72" s="367">
        <f>($J53*$L$63/$L$62)*(1+Excess_air/100)</f>
        <v>0.15537948776920385</v>
      </c>
      <c r="K72" s="359">
        <f>$E72*($J72*$E$16/$E8)</f>
        <v>1.9382903288837539</v>
      </c>
      <c r="L72" s="360">
        <f>($J53*$L$64/$L$62)*(1+Excess_air/100)</f>
        <v>5.4153375179307722E-3</v>
      </c>
      <c r="M72" s="365">
        <f>$E72*($L72*$E$14/$E8)</f>
        <v>7.4420772177723887E-2</v>
      </c>
      <c r="Q72" s="1469" t="s">
        <v>384</v>
      </c>
      <c r="R72" s="1470"/>
      <c r="S72" s="436">
        <f>$I52</f>
        <v>1</v>
      </c>
      <c r="T72" s="324">
        <f>$R$64*$S72*$G7/SUM($G$7:$G$14)</f>
        <v>140.07514654504683</v>
      </c>
      <c r="U72" s="389">
        <f>$J52</f>
        <v>2</v>
      </c>
      <c r="V72" s="324">
        <f>$T72*($U72*$E$13/$E7)</f>
        <v>558.78269780923983</v>
      </c>
      <c r="W72" s="358">
        <f>$J52*($L$61/$L$62)</f>
        <v>7.4577742611878977</v>
      </c>
      <c r="X72" s="359">
        <f>$T72*($W72*$E$12/$E7)</f>
        <v>1824.1694431666733</v>
      </c>
      <c r="Y72" s="367">
        <f>$J52*$L$63/$L$62</f>
        <v>8.8788278725259337E-2</v>
      </c>
      <c r="Z72" s="359">
        <f>$T72*($Y72*$E$16/$E7)</f>
        <v>30.969970973087836</v>
      </c>
      <c r="AA72" s="360">
        <f>$J52*$L$64/$L$62</f>
        <v>3.0944785816747265E-3</v>
      </c>
      <c r="AB72" s="365">
        <f>$T72*($AA72*$E$14/$E7)</f>
        <v>1.1890938729835239</v>
      </c>
      <c r="AF72" s="1446" t="s">
        <v>384</v>
      </c>
      <c r="AG72" s="1447"/>
      <c r="AH72" s="436">
        <f>$I52</f>
        <v>1</v>
      </c>
      <c r="AI72" s="324">
        <f>$R$64*$AH72*$G7/SUM($G$7:$G$14)</f>
        <v>140.07514654504683</v>
      </c>
      <c r="AJ72" s="389">
        <f>$J52</f>
        <v>2</v>
      </c>
      <c r="AK72" s="324">
        <f>$AI72*($AJ72*$E$13/$E7)</f>
        <v>558.78269780923983</v>
      </c>
      <c r="AL72" s="434" t="s">
        <v>21</v>
      </c>
      <c r="AM72" s="329" t="s">
        <v>21</v>
      </c>
      <c r="AN72" s="329" t="s">
        <v>21</v>
      </c>
      <c r="AO72" s="376" t="s">
        <v>21</v>
      </c>
      <c r="AS72" s="1446" t="s">
        <v>384</v>
      </c>
      <c r="AT72" s="1447"/>
      <c r="AU72" s="436">
        <f>$I52</f>
        <v>1</v>
      </c>
      <c r="AV72" s="324">
        <f>$AT$64*$AU72*$G7/SUM($G$7:$G$14)</f>
        <v>127.23987209905809</v>
      </c>
      <c r="AW72" s="389">
        <f>$J52</f>
        <v>2</v>
      </c>
      <c r="AX72" s="324">
        <f>$AV72*($AW72*$E$13/$E7)</f>
        <v>507.5806861822515</v>
      </c>
      <c r="AY72" s="434" t="s">
        <v>21</v>
      </c>
      <c r="AZ72" s="329" t="s">
        <v>21</v>
      </c>
      <c r="BA72" s="329" t="s">
        <v>21</v>
      </c>
      <c r="BB72" s="376" t="s">
        <v>21</v>
      </c>
    </row>
    <row r="73" spans="1:128" s="319" customFormat="1" x14ac:dyDescent="0.25">
      <c r="A73"/>
      <c r="B73" s="1446" t="s">
        <v>386</v>
      </c>
      <c r="C73" s="1447"/>
      <c r="D73" s="436">
        <f>$I54</f>
        <v>1</v>
      </c>
      <c r="E73" s="324">
        <f>$C$46*$D73*$G9/SUM($G$7:$G$14)</f>
        <v>1.8689188826329883</v>
      </c>
      <c r="F73" s="389">
        <f>$J54*(1+Excess_air/100)</f>
        <v>5</v>
      </c>
      <c r="G73" s="324">
        <f>$E73*($F73*$E$13/$E9)</f>
        <v>6.7809077643641666</v>
      </c>
      <c r="H73" s="358">
        <f>$J54*($L$61/$L$62)* (1+ Excess_air/100)</f>
        <v>18.644435652969744</v>
      </c>
      <c r="I73" s="359">
        <f>$E73*($H73*$E$12/$E9)</f>
        <v>22.136556463148626</v>
      </c>
      <c r="J73" s="367">
        <f>($J54*$L$63/$L$62)*(1+Excess_air/100)</f>
        <v>0.22197069681314832</v>
      </c>
      <c r="K73" s="359">
        <f>$E73*($J73*$E$16/$E9)</f>
        <v>0.37582501651695122</v>
      </c>
      <c r="L73" s="360">
        <f>($J54*$L$64/$L$62)*(1+Excess_air/100)</f>
        <v>7.7361964541868165E-3</v>
      </c>
      <c r="M73" s="365">
        <f>$E73*($L73*$E$14/$E9)</f>
        <v>1.4429823807151004E-2</v>
      </c>
      <c r="Q73" s="1446" t="s">
        <v>385</v>
      </c>
      <c r="R73" s="1447"/>
      <c r="S73" s="436">
        <f>$I53</f>
        <v>1</v>
      </c>
      <c r="T73" s="324">
        <f>$R$64*$S73*$G8/SUM($G$7:$G$14)</f>
        <v>9.3896556396573398</v>
      </c>
      <c r="U73" s="389">
        <f>$J53</f>
        <v>3.5</v>
      </c>
      <c r="V73" s="324">
        <f>$T73*($U73*$E$13/$E8)</f>
        <v>34.972041144384534</v>
      </c>
      <c r="W73" s="358">
        <f>$J53*($L$61/$L$62)</f>
        <v>13.05110495707882</v>
      </c>
      <c r="X73" s="359">
        <f>$T73*($W73*$E$12/$E8)</f>
        <v>114.16768821022545</v>
      </c>
      <c r="Y73" s="367">
        <f>$J53*$L$63/$L$62</f>
        <v>0.15537948776920385</v>
      </c>
      <c r="Z73" s="359">
        <f>$T73*($Y73*$E$16/$E8)</f>
        <v>1.9382903288837536</v>
      </c>
      <c r="AA73" s="360">
        <f>$J53*$L$64/$L$62</f>
        <v>5.4153375179307722E-3</v>
      </c>
      <c r="AB73" s="365">
        <f>$T73*($AA73*$E$14/$E8)</f>
        <v>7.4420772177723873E-2</v>
      </c>
      <c r="AF73" s="1446" t="s">
        <v>385</v>
      </c>
      <c r="AG73" s="1447"/>
      <c r="AH73" s="436">
        <f>$I53</f>
        <v>1</v>
      </c>
      <c r="AI73" s="324">
        <f>$R$64*$AH73*$G8/SUM($G$7:$G$14)</f>
        <v>9.3896556396573398</v>
      </c>
      <c r="AJ73" s="389">
        <f>$J53</f>
        <v>3.5</v>
      </c>
      <c r="AK73" s="324">
        <f>$AI73*($AJ73*$E$13/$E8)</f>
        <v>34.972041144384534</v>
      </c>
      <c r="AL73" s="434" t="s">
        <v>21</v>
      </c>
      <c r="AM73" s="329" t="s">
        <v>21</v>
      </c>
      <c r="AN73" s="329" t="s">
        <v>21</v>
      </c>
      <c r="AO73" s="376" t="s">
        <v>21</v>
      </c>
      <c r="AS73" s="1446" t="s">
        <v>385</v>
      </c>
      <c r="AT73" s="1447"/>
      <c r="AU73" s="436">
        <f>$I53</f>
        <v>1</v>
      </c>
      <c r="AV73" s="324">
        <f>$AT$64*$AU73*$G8/SUM($G$7:$G$14)</f>
        <v>8.5292688397079992</v>
      </c>
      <c r="AW73" s="389">
        <f>$J53</f>
        <v>3.5</v>
      </c>
      <c r="AX73" s="324">
        <f>$AV73*($AW73*$E$13/$E8)</f>
        <v>31.767505885303219</v>
      </c>
      <c r="AY73" s="434" t="s">
        <v>21</v>
      </c>
      <c r="AZ73" s="329" t="s">
        <v>21</v>
      </c>
      <c r="BA73" s="329" t="s">
        <v>21</v>
      </c>
      <c r="BB73" s="376" t="s">
        <v>21</v>
      </c>
    </row>
    <row r="74" spans="1:128" s="319" customFormat="1" x14ac:dyDescent="0.25">
      <c r="A74"/>
      <c r="B74" s="1446" t="s">
        <v>387</v>
      </c>
      <c r="C74" s="1447"/>
      <c r="D74" s="436">
        <f>$I55</f>
        <v>1</v>
      </c>
      <c r="E74" s="324">
        <f>$C$46*$D74*$G10/SUM($G$7:$G$14)</f>
        <v>0.99509993558302678</v>
      </c>
      <c r="F74" s="389">
        <f>$J55*(1+Excess_air/100)</f>
        <v>6.5</v>
      </c>
      <c r="G74" s="324">
        <f>$E74*($F74*$E$13/$E10)</f>
        <v>3.5609087457478719</v>
      </c>
      <c r="H74" s="358">
        <f>$J55*($L$61/$L$62)* (1+ Excess_air/100)</f>
        <v>24.237766348860667</v>
      </c>
      <c r="I74" s="359">
        <f>$E74*($H74*$E$12/$E10)</f>
        <v>11.624735249257432</v>
      </c>
      <c r="J74" s="367">
        <f>($J55*$L$63/$L$62)*(1+Excess_air/100)</f>
        <v>0.28856190585709285</v>
      </c>
      <c r="K74" s="359">
        <f>$E74*($J74*$E$16/$E10)</f>
        <v>0.1973597982292476</v>
      </c>
      <c r="L74" s="360">
        <f>($J55*$L$64/$L$62)*(1+Excess_air/100)</f>
        <v>1.0057055390442861E-2</v>
      </c>
      <c r="M74" s="365">
        <f>$E74*($L74*$E$14/$E10)</f>
        <v>7.5776411625181565E-3</v>
      </c>
      <c r="Q74" s="1446" t="s">
        <v>386</v>
      </c>
      <c r="R74" s="1447"/>
      <c r="S74" s="436">
        <f>$I54</f>
        <v>1</v>
      </c>
      <c r="T74" s="324">
        <f>$R$64*$S74*$G9/SUM($G$7:$G$14)</f>
        <v>1.8689188826329879</v>
      </c>
      <c r="U74" s="389">
        <f>$J54</f>
        <v>5</v>
      </c>
      <c r="V74" s="324">
        <f>$T74*($U74*$E$13/$E9)</f>
        <v>6.7809077643641649</v>
      </c>
      <c r="W74" s="358">
        <f>$J54*($L$61/$L$62)</f>
        <v>18.644435652969744</v>
      </c>
      <c r="X74" s="359">
        <f>$T74*($W74*$E$12/$E9)</f>
        <v>22.136556463148622</v>
      </c>
      <c r="Y74" s="367">
        <f>$J54*$L$63/$L$62</f>
        <v>0.22197069681314832</v>
      </c>
      <c r="Z74" s="359">
        <f>$T74*($Y74*$E$16/$E9)</f>
        <v>0.3758250165169511</v>
      </c>
      <c r="AA74" s="360">
        <f>$J54*$L$64/$L$62</f>
        <v>7.7361964541868165E-3</v>
      </c>
      <c r="AB74" s="365">
        <f>$T74*($AA74*$E$14/$E9)</f>
        <v>1.4429823807151E-2</v>
      </c>
      <c r="AF74" s="1446" t="s">
        <v>386</v>
      </c>
      <c r="AG74" s="1447"/>
      <c r="AH74" s="436">
        <f>$I54</f>
        <v>1</v>
      </c>
      <c r="AI74" s="324">
        <f>$R$64*$AH74*$G9/SUM($G$7:$G$14)</f>
        <v>1.8689188826329879</v>
      </c>
      <c r="AJ74" s="389">
        <f>$J54</f>
        <v>5</v>
      </c>
      <c r="AK74" s="324">
        <f>$AI74*($AJ74*$E$13/$E9)</f>
        <v>6.7809077643641649</v>
      </c>
      <c r="AL74" s="434" t="s">
        <v>21</v>
      </c>
      <c r="AM74" s="329" t="s">
        <v>21</v>
      </c>
      <c r="AN74" s="329" t="s">
        <v>21</v>
      </c>
      <c r="AO74" s="376" t="s">
        <v>21</v>
      </c>
      <c r="AR74"/>
      <c r="AS74" s="1446" t="s">
        <v>386</v>
      </c>
      <c r="AT74" s="1447"/>
      <c r="AU74" s="436">
        <f>$I54</f>
        <v>1</v>
      </c>
      <c r="AV74" s="324">
        <f>$AT$64*$AU74*$G9/SUM($G$7:$G$14)</f>
        <v>1.697667326824901</v>
      </c>
      <c r="AW74" s="389">
        <f>$J54</f>
        <v>5</v>
      </c>
      <c r="AX74" s="324">
        <f>$AV74*($AW74*$E$13/$E9)</f>
        <v>6.1595640478286944</v>
      </c>
      <c r="AY74" s="434" t="s">
        <v>21</v>
      </c>
      <c r="AZ74" s="329" t="s">
        <v>21</v>
      </c>
      <c r="BA74" s="329" t="s">
        <v>21</v>
      </c>
      <c r="BB74" s="376" t="s">
        <v>21</v>
      </c>
      <c r="BE74"/>
    </row>
    <row r="75" spans="1:128" x14ac:dyDescent="0.25">
      <c r="B75" s="1446" t="s">
        <v>388</v>
      </c>
      <c r="C75" s="1447"/>
      <c r="D75" s="436">
        <f>$I56</f>
        <v>1</v>
      </c>
      <c r="E75" s="324">
        <f>$C$46*$D75*$G11/SUM($G$7:$G$14)</f>
        <v>0.38473569224993659</v>
      </c>
      <c r="F75" s="389">
        <f>$J56*(1+Excess_air/100)</f>
        <v>8</v>
      </c>
      <c r="G75" s="324">
        <f>$E75*($F75*$E$13/$E11)</f>
        <v>1.3650429216531141</v>
      </c>
      <c r="H75" s="358">
        <f>$J56*($L$61/$L$62)* (1+ Excess_air/100)</f>
        <v>29.831097044751591</v>
      </c>
      <c r="I75" s="359">
        <f>$E75*($H75*$E$12/$E11)</f>
        <v>4.4562396009273773</v>
      </c>
      <c r="J75" s="367">
        <f>($J56*$L$63/$L$62)*(1+Excess_air/100)</f>
        <v>0.35515311490103735</v>
      </c>
      <c r="K75" s="359">
        <f>$E75*($J75*$E$16/$E11)</f>
        <v>7.5656135786523818E-2</v>
      </c>
      <c r="L75" s="360">
        <f>($J56*$L$64/$L$62)*(1+Excess_air/100)</f>
        <v>1.2377914326698906E-2</v>
      </c>
      <c r="M75" s="365">
        <f>$E75*($L75*$E$14/$E11)</f>
        <v>2.9048218222593762E-3</v>
      </c>
      <c r="N75" s="88"/>
      <c r="Q75" s="1446" t="s">
        <v>387</v>
      </c>
      <c r="R75" s="1447"/>
      <c r="S75" s="436">
        <f>$I55</f>
        <v>1</v>
      </c>
      <c r="T75" s="324">
        <f>$R$64*$S75*$G10/SUM($G$7:$G$14)</f>
        <v>0.99509993558302667</v>
      </c>
      <c r="U75" s="389">
        <f>$J55</f>
        <v>6.5</v>
      </c>
      <c r="V75" s="324">
        <f>$T75*($U75*$E$13/$E10)</f>
        <v>3.5609087457478719</v>
      </c>
      <c r="W75" s="358">
        <f>$J55*($L$61/$L$62)</f>
        <v>24.237766348860667</v>
      </c>
      <c r="X75" s="359">
        <f>$T75*($W75*$E$12/$E10)</f>
        <v>11.62473524925743</v>
      </c>
      <c r="Y75" s="367">
        <f>$J55*$L$63/$L$62</f>
        <v>0.28856190585709285</v>
      </c>
      <c r="Z75" s="359">
        <f>$T75*($Y75*$E$16/$E10)</f>
        <v>0.19735979822924757</v>
      </c>
      <c r="AA75" s="360">
        <f>$J55*$L$64/$L$62</f>
        <v>1.0057055390442861E-2</v>
      </c>
      <c r="AB75" s="365">
        <f>$T75*($AA75*$E$14/$E10)</f>
        <v>7.5776411625181556E-3</v>
      </c>
      <c r="AC75" s="319"/>
      <c r="AD75" s="319"/>
      <c r="AF75" s="1446" t="s">
        <v>387</v>
      </c>
      <c r="AG75" s="1447"/>
      <c r="AH75" s="436">
        <f>$I55</f>
        <v>1</v>
      </c>
      <c r="AI75" s="324">
        <f>$R$64*$AH75*$G10/SUM($G$7:$G$14)</f>
        <v>0.99509993558302667</v>
      </c>
      <c r="AJ75" s="389">
        <f>$J55</f>
        <v>6.5</v>
      </c>
      <c r="AK75" s="324">
        <f>$AI75*($AJ75*$E$13/$E10)</f>
        <v>3.5609087457478719</v>
      </c>
      <c r="AL75" s="434" t="s">
        <v>21</v>
      </c>
      <c r="AM75" s="329" t="s">
        <v>21</v>
      </c>
      <c r="AN75" s="329" t="s">
        <v>21</v>
      </c>
      <c r="AO75" s="376" t="s">
        <v>21</v>
      </c>
      <c r="AP75" s="319"/>
      <c r="AQ75" s="319"/>
      <c r="AS75" s="1446" t="s">
        <v>387</v>
      </c>
      <c r="AT75" s="1447"/>
      <c r="AU75" s="436">
        <f>$I55</f>
        <v>1</v>
      </c>
      <c r="AV75" s="324">
        <f>$AT$64*$AU75*$G10/SUM($G$7:$G$14)</f>
        <v>0.9039175874689992</v>
      </c>
      <c r="AW75" s="389">
        <f>$J55</f>
        <v>6.5</v>
      </c>
      <c r="AX75" s="324">
        <f>$AV75*($AW75*$E$13/$E10)</f>
        <v>3.2346178786232236</v>
      </c>
      <c r="AY75" s="434" t="s">
        <v>21</v>
      </c>
      <c r="AZ75" s="329" t="s">
        <v>21</v>
      </c>
      <c r="BA75" s="329" t="s">
        <v>21</v>
      </c>
      <c r="BB75" s="376" t="s">
        <v>21</v>
      </c>
      <c r="BC75" s="319"/>
      <c r="BD75" s="319"/>
      <c r="CH75" s="319"/>
      <c r="CI75" s="319"/>
      <c r="CZ75" s="319"/>
      <c r="DA75" s="319"/>
      <c r="DB75" s="319"/>
      <c r="DC75" s="319"/>
      <c r="DD75" s="319"/>
      <c r="DU75" s="319"/>
      <c r="DV75" s="319"/>
      <c r="DW75" s="319"/>
      <c r="DX75" s="319"/>
    </row>
    <row r="76" spans="1:128" x14ac:dyDescent="0.25">
      <c r="B76" s="1446" t="s">
        <v>320</v>
      </c>
      <c r="C76" s="1447"/>
      <c r="D76" s="29" t="s">
        <v>21</v>
      </c>
      <c r="E76" s="335" t="s">
        <v>21</v>
      </c>
      <c r="F76" s="335" t="s">
        <v>21</v>
      </c>
      <c r="G76" s="329" t="s">
        <v>21</v>
      </c>
      <c r="H76" s="329" t="s">
        <v>21</v>
      </c>
      <c r="I76" s="329">
        <f>C46*G12/100</f>
        <v>43.060812399315857</v>
      </c>
      <c r="J76" s="296" t="s">
        <v>21</v>
      </c>
      <c r="K76" s="329" t="s">
        <v>21</v>
      </c>
      <c r="L76" s="329" t="s">
        <v>21</v>
      </c>
      <c r="M76" s="376" t="s">
        <v>21</v>
      </c>
      <c r="N76" s="329"/>
      <c r="O76" s="88"/>
      <c r="Q76" s="1446" t="s">
        <v>388</v>
      </c>
      <c r="R76" s="1447"/>
      <c r="S76" s="436">
        <f>$I56</f>
        <v>1</v>
      </c>
      <c r="T76" s="324">
        <f>$R$64*$S76*$G11/SUM($G$7:$G$14)</f>
        <v>0.38473569224993653</v>
      </c>
      <c r="U76" s="389">
        <f>$J56</f>
        <v>8</v>
      </c>
      <c r="V76" s="324">
        <f>$T76*($U76*$E$13/$E11)</f>
        <v>1.3650429216531139</v>
      </c>
      <c r="W76" s="358">
        <f>$J56*($L$61/$L$62)</f>
        <v>29.831097044751591</v>
      </c>
      <c r="X76" s="359">
        <f>$T76*($W76*$E$12/$E11)</f>
        <v>4.4562396009273764</v>
      </c>
      <c r="Y76" s="367">
        <f>$J56*$L$63/$L$62</f>
        <v>0.35515311490103735</v>
      </c>
      <c r="Z76" s="359">
        <f>$T76*($Y76*$E$16/$E11)</f>
        <v>7.5656135786523804E-2</v>
      </c>
      <c r="AA76" s="360">
        <f>$J56*$L$64/$L$62</f>
        <v>1.2377914326698906E-2</v>
      </c>
      <c r="AB76" s="365">
        <f>$T76*($AA76*$E$14/$E11)</f>
        <v>2.9048218222593757E-3</v>
      </c>
      <c r="AC76" s="88"/>
      <c r="AF76" s="1446" t="s">
        <v>388</v>
      </c>
      <c r="AG76" s="1447"/>
      <c r="AH76" s="436">
        <f>$I56</f>
        <v>1</v>
      </c>
      <c r="AI76" s="324">
        <f>$R$64*$AH76*$G11/SUM($G$7:$G$14)</f>
        <v>0.38473569224993653</v>
      </c>
      <c r="AJ76" s="389">
        <f>$J56</f>
        <v>8</v>
      </c>
      <c r="AK76" s="324">
        <f>$AI76*($AJ76*$E$13/$E11)</f>
        <v>1.3650429216531139</v>
      </c>
      <c r="AL76" s="434" t="s">
        <v>21</v>
      </c>
      <c r="AM76" s="329" t="s">
        <v>21</v>
      </c>
      <c r="AN76" s="329" t="s">
        <v>21</v>
      </c>
      <c r="AO76" s="376" t="s">
        <v>21</v>
      </c>
      <c r="AS76" s="1446" t="s">
        <v>388</v>
      </c>
      <c r="AT76" s="1447"/>
      <c r="AU76" s="436">
        <f>$I56</f>
        <v>1</v>
      </c>
      <c r="AV76" s="324">
        <f>$AT$64*$AU76*$G11/SUM($G$7:$G$14)</f>
        <v>0.34948184229156914</v>
      </c>
      <c r="AW76" s="389">
        <f>$J56</f>
        <v>8</v>
      </c>
      <c r="AX76" s="324">
        <f>$AV76*($AW76*$E$13/$E11)</f>
        <v>1.2399621991829251</v>
      </c>
      <c r="AY76" s="434" t="s">
        <v>21</v>
      </c>
      <c r="AZ76" s="329" t="s">
        <v>21</v>
      </c>
      <c r="BA76" s="329" t="s">
        <v>21</v>
      </c>
      <c r="BB76" s="376" t="s">
        <v>21</v>
      </c>
    </row>
    <row r="77" spans="1:128" x14ac:dyDescent="0.25">
      <c r="B77" s="1446" t="s">
        <v>138</v>
      </c>
      <c r="C77" s="1447"/>
      <c r="D77" s="29" t="s">
        <v>21</v>
      </c>
      <c r="E77" s="335" t="s">
        <v>21</v>
      </c>
      <c r="F77" s="335" t="s">
        <v>21</v>
      </c>
      <c r="G77" s="332">
        <f>C46*G13/100</f>
        <v>4.8063588692580581E-2</v>
      </c>
      <c r="H77" s="329" t="s">
        <v>21</v>
      </c>
      <c r="I77" s="329" t="s">
        <v>21</v>
      </c>
      <c r="J77" s="296" t="s">
        <v>21</v>
      </c>
      <c r="K77" s="329" t="s">
        <v>21</v>
      </c>
      <c r="L77" s="329" t="s">
        <v>21</v>
      </c>
      <c r="M77" s="376" t="s">
        <v>21</v>
      </c>
      <c r="O77" s="88"/>
      <c r="Q77" s="1446" t="s">
        <v>320</v>
      </c>
      <c r="R77" s="1447"/>
      <c r="S77" s="29" t="s">
        <v>21</v>
      </c>
      <c r="T77" s="335" t="s">
        <v>21</v>
      </c>
      <c r="U77" s="335" t="s">
        <v>21</v>
      </c>
      <c r="V77" s="329" t="s">
        <v>21</v>
      </c>
      <c r="W77" s="329" t="s">
        <v>21</v>
      </c>
      <c r="X77" s="329">
        <f>R64*G12/100</f>
        <v>43.060812399315857</v>
      </c>
      <c r="Y77" s="296" t="s">
        <v>21</v>
      </c>
      <c r="Z77" s="329" t="s">
        <v>21</v>
      </c>
      <c r="AA77" s="329" t="s">
        <v>21</v>
      </c>
      <c r="AB77" s="376" t="s">
        <v>21</v>
      </c>
      <c r="AC77" s="329"/>
      <c r="AD77" s="88"/>
      <c r="AF77" s="1446" t="s">
        <v>320</v>
      </c>
      <c r="AG77" s="1447"/>
      <c r="AH77" s="29" t="s">
        <v>21</v>
      </c>
      <c r="AI77" s="335" t="s">
        <v>21</v>
      </c>
      <c r="AJ77" s="335" t="s">
        <v>21</v>
      </c>
      <c r="AK77" s="329" t="s">
        <v>21</v>
      </c>
      <c r="AL77" s="329" t="s">
        <v>21</v>
      </c>
      <c r="AM77" s="329">
        <f>R64*$G$12/100</f>
        <v>43.060812399315857</v>
      </c>
      <c r="AN77" s="329" t="s">
        <v>21</v>
      </c>
      <c r="AO77" s="376" t="s">
        <v>21</v>
      </c>
      <c r="AS77" s="1446" t="s">
        <v>320</v>
      </c>
      <c r="AT77" s="1447"/>
      <c r="AU77" s="29" t="s">
        <v>21</v>
      </c>
      <c r="AV77" s="335" t="s">
        <v>21</v>
      </c>
      <c r="AW77" s="335" t="s">
        <v>21</v>
      </c>
      <c r="AX77" s="329" t="s">
        <v>21</v>
      </c>
      <c r="AY77" s="329" t="s">
        <v>21</v>
      </c>
      <c r="AZ77" s="329">
        <f>AT64*$G$12/100</f>
        <v>39.115092129555421</v>
      </c>
      <c r="BA77" s="329" t="s">
        <v>21</v>
      </c>
      <c r="BB77" s="376" t="s">
        <v>21</v>
      </c>
    </row>
    <row r="78" spans="1:128" x14ac:dyDescent="0.25">
      <c r="B78" s="1448" t="s">
        <v>98</v>
      </c>
      <c r="C78" s="1449"/>
      <c r="D78" s="70" t="s">
        <v>21</v>
      </c>
      <c r="E78" s="336" t="s">
        <v>21</v>
      </c>
      <c r="F78" s="336" t="s">
        <v>21</v>
      </c>
      <c r="G78" s="334" t="s">
        <v>21</v>
      </c>
      <c r="H78" s="334" t="s">
        <v>21</v>
      </c>
      <c r="I78" s="334" t="s">
        <v>21</v>
      </c>
      <c r="J78" s="337" t="s">
        <v>21</v>
      </c>
      <c r="K78" s="334" t="s">
        <v>21</v>
      </c>
      <c r="L78" s="334" t="s">
        <v>21</v>
      </c>
      <c r="M78" s="377">
        <f>C46*G14/100</f>
        <v>4.5639387563852347</v>
      </c>
      <c r="Q78" s="1446" t="s">
        <v>138</v>
      </c>
      <c r="R78" s="1447"/>
      <c r="S78" s="29" t="s">
        <v>21</v>
      </c>
      <c r="T78" s="335" t="s">
        <v>21</v>
      </c>
      <c r="U78" s="335" t="s">
        <v>21</v>
      </c>
      <c r="V78" s="332">
        <f>R64*G13/100</f>
        <v>4.8063588692580567E-2</v>
      </c>
      <c r="W78" s="329" t="s">
        <v>21</v>
      </c>
      <c r="X78" s="329" t="s">
        <v>21</v>
      </c>
      <c r="Y78" s="296" t="s">
        <v>21</v>
      </c>
      <c r="Z78" s="329" t="s">
        <v>21</v>
      </c>
      <c r="AA78" s="329" t="s">
        <v>21</v>
      </c>
      <c r="AB78" s="376" t="s">
        <v>21</v>
      </c>
      <c r="AD78" s="88"/>
      <c r="AF78" s="1446" t="s">
        <v>138</v>
      </c>
      <c r="AG78" s="1447"/>
      <c r="AH78" s="29" t="s">
        <v>21</v>
      </c>
      <c r="AI78" s="335" t="s">
        <v>21</v>
      </c>
      <c r="AJ78" s="335" t="s">
        <v>21</v>
      </c>
      <c r="AK78" s="332">
        <f>R64*$G$13/100</f>
        <v>4.8063588692580567E-2</v>
      </c>
      <c r="AL78" s="329" t="s">
        <v>21</v>
      </c>
      <c r="AM78" s="329" t="s">
        <v>21</v>
      </c>
      <c r="AN78" s="329" t="s">
        <v>21</v>
      </c>
      <c r="AO78" s="376" t="s">
        <v>21</v>
      </c>
      <c r="AS78" s="1446" t="s">
        <v>138</v>
      </c>
      <c r="AT78" s="1447"/>
      <c r="AU78" s="29" t="s">
        <v>21</v>
      </c>
      <c r="AV78" s="335" t="s">
        <v>21</v>
      </c>
      <c r="AW78" s="335" t="s">
        <v>21</v>
      </c>
      <c r="AX78" s="332">
        <f>AT64*$G$13/100</f>
        <v>4.3659457289227009E-2</v>
      </c>
      <c r="AY78" s="329" t="s">
        <v>21</v>
      </c>
      <c r="AZ78" s="329" t="s">
        <v>21</v>
      </c>
      <c r="BA78" s="329" t="s">
        <v>21</v>
      </c>
      <c r="BB78" s="376" t="s">
        <v>21</v>
      </c>
    </row>
    <row r="79" spans="1:128" x14ac:dyDescent="0.25">
      <c r="D79" s="96"/>
      <c r="E79" s="96"/>
      <c r="F79" s="96"/>
      <c r="G79" s="96"/>
      <c r="H79" s="96"/>
      <c r="I79" s="96"/>
      <c r="J79" s="96"/>
      <c r="K79" s="96"/>
      <c r="L79" s="96"/>
      <c r="M79" s="374"/>
      <c r="O79" s="10"/>
      <c r="P79" s="10"/>
      <c r="Q79" s="1448" t="s">
        <v>98</v>
      </c>
      <c r="R79" s="1449"/>
      <c r="S79" s="70" t="s">
        <v>21</v>
      </c>
      <c r="T79" s="336" t="s">
        <v>21</v>
      </c>
      <c r="U79" s="336" t="s">
        <v>21</v>
      </c>
      <c r="V79" s="334" t="s">
        <v>21</v>
      </c>
      <c r="W79" s="334" t="s">
        <v>21</v>
      </c>
      <c r="X79" s="334" t="s">
        <v>21</v>
      </c>
      <c r="Y79" s="337" t="s">
        <v>21</v>
      </c>
      <c r="Z79" s="334" t="s">
        <v>21</v>
      </c>
      <c r="AA79" s="334" t="s">
        <v>21</v>
      </c>
      <c r="AB79" s="377">
        <f>R64*G14/100</f>
        <v>4.5639387563852338</v>
      </c>
      <c r="AF79" s="1448" t="s">
        <v>98</v>
      </c>
      <c r="AG79" s="1449"/>
      <c r="AH79" s="70" t="s">
        <v>21</v>
      </c>
      <c r="AI79" s="336" t="s">
        <v>21</v>
      </c>
      <c r="AJ79" s="336" t="s">
        <v>21</v>
      </c>
      <c r="AK79" s="334" t="s">
        <v>21</v>
      </c>
      <c r="AL79" s="334" t="s">
        <v>21</v>
      </c>
      <c r="AM79" s="334" t="s">
        <v>21</v>
      </c>
      <c r="AN79" s="334" t="s">
        <v>21</v>
      </c>
      <c r="AO79" s="377">
        <f>R64*$G$14/100</f>
        <v>4.5639387563852338</v>
      </c>
      <c r="AS79" s="1448" t="s">
        <v>98</v>
      </c>
      <c r="AT79" s="1449"/>
      <c r="AU79" s="70" t="s">
        <v>21</v>
      </c>
      <c r="AV79" s="336" t="s">
        <v>21</v>
      </c>
      <c r="AW79" s="336" t="s">
        <v>21</v>
      </c>
      <c r="AX79" s="334" t="s">
        <v>21</v>
      </c>
      <c r="AY79" s="334" t="s">
        <v>21</v>
      </c>
      <c r="AZ79" s="334" t="s">
        <v>21</v>
      </c>
      <c r="BA79" s="334" t="s">
        <v>21</v>
      </c>
      <c r="BB79" s="377">
        <f>AT64*$G$14/100</f>
        <v>4.1457388976826017</v>
      </c>
    </row>
    <row r="80" spans="1:128" ht="18.75" thickBot="1" x14ac:dyDescent="0.4">
      <c r="B80" s="1450" t="s">
        <v>383</v>
      </c>
      <c r="C80" s="1451"/>
      <c r="D80" s="407" t="s">
        <v>410</v>
      </c>
      <c r="E80" s="363" t="s">
        <v>372</v>
      </c>
      <c r="F80" s="406" t="s">
        <v>411</v>
      </c>
      <c r="G80" s="363" t="s">
        <v>375</v>
      </c>
      <c r="H80" s="406" t="s">
        <v>415</v>
      </c>
      <c r="I80" s="363" t="s">
        <v>393</v>
      </c>
      <c r="J80" s="406" t="s">
        <v>412</v>
      </c>
      <c r="K80" s="363" t="s">
        <v>394</v>
      </c>
      <c r="L80" s="406" t="s">
        <v>413</v>
      </c>
      <c r="M80" s="363" t="s">
        <v>395</v>
      </c>
      <c r="N80" s="406" t="s">
        <v>414</v>
      </c>
      <c r="O80" s="366" t="s">
        <v>381</v>
      </c>
      <c r="P80" s="357"/>
      <c r="S80" s="96"/>
      <c r="T80" s="96"/>
      <c r="U80" s="96"/>
      <c r="V80" s="96"/>
      <c r="W80" s="96"/>
      <c r="X80" s="96"/>
      <c r="Y80" s="96"/>
      <c r="Z80" s="96"/>
      <c r="AA80" s="96"/>
      <c r="AB80" s="374"/>
      <c r="AD80" s="10"/>
      <c r="AH80" s="96"/>
      <c r="AI80" s="96"/>
      <c r="AJ80" s="96"/>
      <c r="AK80" s="96"/>
      <c r="AL80" s="96"/>
      <c r="AM80" s="96"/>
      <c r="AN80" s="96"/>
      <c r="AO80" s="96"/>
      <c r="AP80" s="96"/>
      <c r="AQ80" s="374"/>
      <c r="AU80" s="96"/>
      <c r="AV80" s="96"/>
      <c r="AW80" s="96"/>
      <c r="AX80" s="96"/>
      <c r="AY80" s="96"/>
      <c r="AZ80" s="96"/>
      <c r="BA80" s="96"/>
      <c r="BB80" s="96"/>
    </row>
    <row r="81" spans="2:54" ht="18.75" thickBot="1" x14ac:dyDescent="0.4">
      <c r="B81" s="1446" t="s">
        <v>389</v>
      </c>
      <c r="C81" s="1447"/>
      <c r="D81" s="147">
        <f>$K52</f>
        <v>1</v>
      </c>
      <c r="E81" s="328">
        <f>$E71*$K52*($E$14/$E7)</f>
        <v>384.26308070938023</v>
      </c>
      <c r="F81" s="332">
        <f>$L52</f>
        <v>2</v>
      </c>
      <c r="G81" s="328">
        <f>$E71*$L52*($E$15/$E7)</f>
        <v>314.59476364490655</v>
      </c>
      <c r="H81" s="360">
        <f>$F71-$J52</f>
        <v>0</v>
      </c>
      <c r="I81" s="360">
        <f>$G71-C53</f>
        <v>0</v>
      </c>
      <c r="J81" s="360">
        <f>$H71</f>
        <v>7.4577742611878977</v>
      </c>
      <c r="K81" s="360">
        <f>$I71</f>
        <v>1824.1694431666733</v>
      </c>
      <c r="L81" s="368">
        <f>$J71</f>
        <v>8.8788278725259337E-2</v>
      </c>
      <c r="M81" s="359">
        <f>$K71</f>
        <v>30.969970973087836</v>
      </c>
      <c r="N81" s="368">
        <f>$L71</f>
        <v>3.0944785816747265E-3</v>
      </c>
      <c r="O81" s="373">
        <f>$M71</f>
        <v>1.1890938729835239</v>
      </c>
      <c r="P81" s="357"/>
      <c r="Q81" s="1450" t="s">
        <v>383</v>
      </c>
      <c r="R81" s="1451"/>
      <c r="S81" s="439" t="s">
        <v>410</v>
      </c>
      <c r="T81" s="363" t="s">
        <v>372</v>
      </c>
      <c r="U81" s="438" t="s">
        <v>411</v>
      </c>
      <c r="V81" s="363" t="s">
        <v>375</v>
      </c>
      <c r="W81" s="438" t="s">
        <v>415</v>
      </c>
      <c r="X81" s="363" t="s">
        <v>393</v>
      </c>
      <c r="Y81" s="438" t="s">
        <v>412</v>
      </c>
      <c r="Z81" s="363" t="s">
        <v>394</v>
      </c>
      <c r="AA81" s="438" t="s">
        <v>413</v>
      </c>
      <c r="AB81" s="363" t="s">
        <v>395</v>
      </c>
      <c r="AC81" s="438" t="s">
        <v>414</v>
      </c>
      <c r="AD81" s="366" t="s">
        <v>381</v>
      </c>
      <c r="AF81" s="1450" t="s">
        <v>383</v>
      </c>
      <c r="AG81" s="1451"/>
      <c r="AH81" s="528" t="s">
        <v>410</v>
      </c>
      <c r="AI81" s="529" t="s">
        <v>372</v>
      </c>
      <c r="AJ81" s="530" t="s">
        <v>411</v>
      </c>
      <c r="AK81" s="529" t="s">
        <v>375</v>
      </c>
      <c r="AL81" s="531" t="s">
        <v>517</v>
      </c>
      <c r="AM81" s="529" t="s">
        <v>516</v>
      </c>
      <c r="AN81" s="531" t="s">
        <v>518</v>
      </c>
      <c r="AO81" s="532" t="s">
        <v>519</v>
      </c>
      <c r="AS81" s="1450" t="s">
        <v>383</v>
      </c>
      <c r="AT81" s="1451"/>
      <c r="AU81" s="528" t="s">
        <v>410</v>
      </c>
      <c r="AV81" s="529" t="s">
        <v>372</v>
      </c>
      <c r="AW81" s="530" t="s">
        <v>411</v>
      </c>
      <c r="AX81" s="529" t="s">
        <v>375</v>
      </c>
      <c r="AY81" s="531" t="s">
        <v>517</v>
      </c>
      <c r="AZ81" s="529" t="s">
        <v>516</v>
      </c>
      <c r="BA81" s="531" t="s">
        <v>518</v>
      </c>
      <c r="BB81" s="532" t="s">
        <v>519</v>
      </c>
    </row>
    <row r="82" spans="2:54" x14ac:dyDescent="0.25">
      <c r="B82" s="1446" t="s">
        <v>390</v>
      </c>
      <c r="C82" s="1447"/>
      <c r="D82" s="147">
        <f>$K53</f>
        <v>2</v>
      </c>
      <c r="E82" s="328">
        <f>$E72*$K53*($E$14/$E8)</f>
        <v>27.485183308079545</v>
      </c>
      <c r="F82" s="332">
        <f>$L53</f>
        <v>3</v>
      </c>
      <c r="G82" s="328">
        <f>$E72*$L53*($E$15/$E8)</f>
        <v>16.876513475962341</v>
      </c>
      <c r="H82" s="360">
        <f>$F72-$J53</f>
        <v>0</v>
      </c>
      <c r="I82" s="360">
        <f>$G72-C56</f>
        <v>0</v>
      </c>
      <c r="J82" s="360">
        <f>$H72</f>
        <v>13.05110495707882</v>
      </c>
      <c r="K82" s="360">
        <f>$I72</f>
        <v>114.16768821022548</v>
      </c>
      <c r="L82" s="368">
        <f>$J72</f>
        <v>0.15537948776920385</v>
      </c>
      <c r="M82" s="359">
        <f>$K72</f>
        <v>1.9382903288837539</v>
      </c>
      <c r="N82" s="368">
        <f>$L72</f>
        <v>5.4153375179307722E-3</v>
      </c>
      <c r="O82" s="373">
        <f>$M72</f>
        <v>7.4420772177723887E-2</v>
      </c>
      <c r="P82" s="357"/>
      <c r="Q82" s="1469" t="s">
        <v>389</v>
      </c>
      <c r="R82" s="1470"/>
      <c r="S82" s="147">
        <f>$K52</f>
        <v>1</v>
      </c>
      <c r="T82" s="328">
        <f>$T72*$K52*($E$14/$E7)</f>
        <v>384.26308070938023</v>
      </c>
      <c r="U82" s="332">
        <f>$L52</f>
        <v>2</v>
      </c>
      <c r="V82" s="328">
        <f>$T72*$L52*($E$15/$E7)</f>
        <v>314.59476364490655</v>
      </c>
      <c r="W82" s="360">
        <v>0</v>
      </c>
      <c r="X82" s="360">
        <v>0</v>
      </c>
      <c r="Y82" s="360">
        <f>$W72</f>
        <v>7.4577742611878977</v>
      </c>
      <c r="Z82" s="360">
        <f>$X72</f>
        <v>1824.1694431666733</v>
      </c>
      <c r="AA82" s="368">
        <f>$Y72</f>
        <v>8.8788278725259337E-2</v>
      </c>
      <c r="AB82" s="359">
        <f>$Z72</f>
        <v>30.969970973087836</v>
      </c>
      <c r="AC82" s="368">
        <f>$AA72</f>
        <v>3.0944785816747265E-3</v>
      </c>
      <c r="AD82" s="373">
        <f>$AB72</f>
        <v>1.1890938729835239</v>
      </c>
      <c r="AF82" s="1446" t="s">
        <v>389</v>
      </c>
      <c r="AG82" s="1447"/>
      <c r="AH82" s="147">
        <f>$K52</f>
        <v>1</v>
      </c>
      <c r="AI82" s="328">
        <f>$AI72*$K52*($E$14/$E7)</f>
        <v>384.26308070938023</v>
      </c>
      <c r="AJ82" s="332">
        <f>$L52</f>
        <v>2</v>
      </c>
      <c r="AK82" s="328">
        <f>$AI72*$L52*($E$15/$E7)</f>
        <v>314.59476364490655</v>
      </c>
      <c r="AL82" s="434" t="s">
        <v>21</v>
      </c>
      <c r="AM82" s="329" t="s">
        <v>21</v>
      </c>
      <c r="AN82" s="329" t="s">
        <v>21</v>
      </c>
      <c r="AO82" s="376" t="s">
        <v>21</v>
      </c>
      <c r="AS82" s="1446" t="s">
        <v>389</v>
      </c>
      <c r="AT82" s="1447"/>
      <c r="AU82" s="147">
        <f>$K52</f>
        <v>1</v>
      </c>
      <c r="AV82" s="328">
        <f>$AV72*$K52*($E$14/$E7)</f>
        <v>349.05253678337482</v>
      </c>
      <c r="AW82" s="332">
        <f>$L52</f>
        <v>2</v>
      </c>
      <c r="AX82" s="328">
        <f>$AV72*$L52*($E$15/$E7)</f>
        <v>285.76802149793485</v>
      </c>
      <c r="AY82" s="434" t="s">
        <v>21</v>
      </c>
      <c r="AZ82" s="329" t="s">
        <v>21</v>
      </c>
      <c r="BA82" s="329" t="s">
        <v>21</v>
      </c>
      <c r="BB82" s="376" t="s">
        <v>21</v>
      </c>
    </row>
    <row r="83" spans="2:54" x14ac:dyDescent="0.25">
      <c r="B83" s="1446" t="s">
        <v>391</v>
      </c>
      <c r="C83" s="1447"/>
      <c r="D83" s="147">
        <f>$K54</f>
        <v>3</v>
      </c>
      <c r="E83" s="328">
        <f>$E73*$K54*($E$14/$E9)</f>
        <v>5.595704772727796</v>
      </c>
      <c r="F83" s="332">
        <f>$L54</f>
        <v>4</v>
      </c>
      <c r="G83" s="328">
        <f>$E73*$L54*($E$15/$E9)</f>
        <v>3.0541218742693603</v>
      </c>
      <c r="H83" s="360">
        <f>$F73-$J54</f>
        <v>0</v>
      </c>
      <c r="I83" s="360">
        <f>$G73-C59</f>
        <v>0</v>
      </c>
      <c r="J83" s="360">
        <f>$H73</f>
        <v>18.644435652969744</v>
      </c>
      <c r="K83" s="360">
        <f>$I73</f>
        <v>22.136556463148626</v>
      </c>
      <c r="L83" s="368">
        <f>$J73</f>
        <v>0.22197069681314832</v>
      </c>
      <c r="M83" s="359">
        <f>$K73</f>
        <v>0.37582501651695122</v>
      </c>
      <c r="N83" s="368">
        <f>$L73</f>
        <v>7.7361964541868165E-3</v>
      </c>
      <c r="O83" s="373">
        <f>$M73</f>
        <v>1.4429823807151004E-2</v>
      </c>
      <c r="P83" s="357"/>
      <c r="Q83" s="1446" t="s">
        <v>390</v>
      </c>
      <c r="R83" s="1447"/>
      <c r="S83" s="147">
        <f>$K53</f>
        <v>2</v>
      </c>
      <c r="T83" s="328">
        <f>$T73*$K53*($E$14/$E8)</f>
        <v>27.485183308079538</v>
      </c>
      <c r="U83" s="332">
        <f>$L53</f>
        <v>3</v>
      </c>
      <c r="V83" s="328">
        <f>$T73*$L53*($E$15/$E8)</f>
        <v>16.876513475962337</v>
      </c>
      <c r="W83" s="360">
        <v>0</v>
      </c>
      <c r="X83" s="360">
        <v>0</v>
      </c>
      <c r="Y83" s="360">
        <f>$W73</f>
        <v>13.05110495707882</v>
      </c>
      <c r="Z83" s="360">
        <f>$X73</f>
        <v>114.16768821022545</v>
      </c>
      <c r="AA83" s="368">
        <f>$Y73</f>
        <v>0.15537948776920385</v>
      </c>
      <c r="AB83" s="359">
        <f>$Z73</f>
        <v>1.9382903288837536</v>
      </c>
      <c r="AC83" s="368">
        <f>$AA73</f>
        <v>5.4153375179307722E-3</v>
      </c>
      <c r="AD83" s="373">
        <f>$AB73</f>
        <v>7.4420772177723873E-2</v>
      </c>
      <c r="AF83" s="1446" t="s">
        <v>390</v>
      </c>
      <c r="AG83" s="1447"/>
      <c r="AH83" s="147">
        <f>$K53</f>
        <v>2</v>
      </c>
      <c r="AI83" s="328">
        <f>$AI73*$K53*($E$14/$E8)</f>
        <v>27.485183308079538</v>
      </c>
      <c r="AJ83" s="332">
        <f>$L53</f>
        <v>3</v>
      </c>
      <c r="AK83" s="328">
        <f>$AI73*$L53*($E$15/$E8)</f>
        <v>16.876513475962337</v>
      </c>
      <c r="AL83" s="434" t="s">
        <v>21</v>
      </c>
      <c r="AM83" s="329" t="s">
        <v>21</v>
      </c>
      <c r="AN83" s="329" t="s">
        <v>21</v>
      </c>
      <c r="AO83" s="376" t="s">
        <v>21</v>
      </c>
      <c r="AS83" s="1446" t="s">
        <v>390</v>
      </c>
      <c r="AT83" s="1447"/>
      <c r="AU83" s="147">
        <f>$K53</f>
        <v>2</v>
      </c>
      <c r="AV83" s="328">
        <f>$AV73*$K53*($E$14/$E8)</f>
        <v>24.966678921978051</v>
      </c>
      <c r="AW83" s="332">
        <f>$L53</f>
        <v>3</v>
      </c>
      <c r="AX83" s="328">
        <f>$AV73*$L53*($E$15/$E8)</f>
        <v>15.330095803033169</v>
      </c>
      <c r="AY83" s="434" t="s">
        <v>21</v>
      </c>
      <c r="AZ83" s="329" t="s">
        <v>21</v>
      </c>
      <c r="BA83" s="329" t="s">
        <v>21</v>
      </c>
      <c r="BB83" s="376" t="s">
        <v>21</v>
      </c>
    </row>
    <row r="84" spans="2:54" x14ac:dyDescent="0.25">
      <c r="B84" s="1446" t="s">
        <v>455</v>
      </c>
      <c r="C84" s="1447"/>
      <c r="D84" s="147">
        <f>$K55</f>
        <v>4</v>
      </c>
      <c r="E84" s="328">
        <f>$E74*$K55*($E$14/$E10)</f>
        <v>3.0138607647399969</v>
      </c>
      <c r="F84" s="332">
        <f>$L55</f>
        <v>5</v>
      </c>
      <c r="G84" s="328">
        <f>$E74*$L55*($E$15/$E10)</f>
        <v>1.5421479165909033</v>
      </c>
      <c r="H84" s="360">
        <f>$F74-$J55</f>
        <v>0</v>
      </c>
      <c r="I84" s="360">
        <f>$G74-C62</f>
        <v>0</v>
      </c>
      <c r="J84" s="360">
        <f>$H74</f>
        <v>24.237766348860667</v>
      </c>
      <c r="K84" s="360">
        <f>$I74</f>
        <v>11.624735249257432</v>
      </c>
      <c r="L84" s="368">
        <f>$J74</f>
        <v>0.28856190585709285</v>
      </c>
      <c r="M84" s="359">
        <f>$K74</f>
        <v>0.1973597982292476</v>
      </c>
      <c r="N84" s="368">
        <f>$L74</f>
        <v>1.0057055390442861E-2</v>
      </c>
      <c r="O84" s="373">
        <f>$M74</f>
        <v>7.5776411625181565E-3</v>
      </c>
      <c r="P84" s="357"/>
      <c r="Q84" s="1446" t="s">
        <v>391</v>
      </c>
      <c r="R84" s="1447"/>
      <c r="S84" s="147">
        <f>$K54</f>
        <v>3</v>
      </c>
      <c r="T84" s="328">
        <f>$T74*$K54*($E$14/$E9)</f>
        <v>5.5957047727277942</v>
      </c>
      <c r="U84" s="332">
        <f>$L54</f>
        <v>4</v>
      </c>
      <c r="V84" s="328">
        <f>$T74*$L54*($E$15/$E9)</f>
        <v>3.0541218742693599</v>
      </c>
      <c r="W84" s="360">
        <v>0</v>
      </c>
      <c r="X84" s="360">
        <v>0</v>
      </c>
      <c r="Y84" s="360">
        <f>$W74</f>
        <v>18.644435652969744</v>
      </c>
      <c r="Z84" s="360">
        <f>$X74</f>
        <v>22.136556463148622</v>
      </c>
      <c r="AA84" s="368">
        <f>$Y74</f>
        <v>0.22197069681314832</v>
      </c>
      <c r="AB84" s="359">
        <f>$Z74</f>
        <v>0.3758250165169511</v>
      </c>
      <c r="AC84" s="368">
        <f>$AA74</f>
        <v>7.7361964541868165E-3</v>
      </c>
      <c r="AD84" s="373">
        <f>$AB74</f>
        <v>1.4429823807151E-2</v>
      </c>
      <c r="AF84" s="1446" t="s">
        <v>391</v>
      </c>
      <c r="AG84" s="1447"/>
      <c r="AH84" s="147">
        <f>$K54</f>
        <v>3</v>
      </c>
      <c r="AI84" s="328">
        <f>$AI74*$K54*($E$14/$E9)</f>
        <v>5.5957047727277942</v>
      </c>
      <c r="AJ84" s="332">
        <f>$L54</f>
        <v>4</v>
      </c>
      <c r="AK84" s="328">
        <f>$AI74*$L54*($E$15/$E9)</f>
        <v>3.0541218742693599</v>
      </c>
      <c r="AL84" s="434" t="s">
        <v>21</v>
      </c>
      <c r="AM84" s="329" t="s">
        <v>21</v>
      </c>
      <c r="AN84" s="329" t="s">
        <v>21</v>
      </c>
      <c r="AO84" s="376" t="s">
        <v>21</v>
      </c>
      <c r="AS84" s="1446" t="s">
        <v>391</v>
      </c>
      <c r="AT84" s="1447"/>
      <c r="AU84" s="147">
        <f>$K54</f>
        <v>3</v>
      </c>
      <c r="AV84" s="328">
        <f>$AV74*$K54*($E$14/$E9)</f>
        <v>5.0829628035191963</v>
      </c>
      <c r="AW84" s="332">
        <f>$L54</f>
        <v>4</v>
      </c>
      <c r="AX84" s="328">
        <f>$AV74*$L54*($E$15/$E9)</f>
        <v>2.7742685711344008</v>
      </c>
      <c r="AY84" s="434" t="s">
        <v>21</v>
      </c>
      <c r="AZ84" s="329" t="s">
        <v>21</v>
      </c>
      <c r="BA84" s="329" t="s">
        <v>21</v>
      </c>
      <c r="BB84" s="376" t="s">
        <v>21</v>
      </c>
    </row>
    <row r="85" spans="2:54" x14ac:dyDescent="0.25">
      <c r="B85" s="1446" t="s">
        <v>392</v>
      </c>
      <c r="C85" s="1447"/>
      <c r="D85" s="147">
        <f>$K56</f>
        <v>5</v>
      </c>
      <c r="E85" s="328">
        <f>$E75*$K56*($E$14/$E11)</f>
        <v>1.1733890482638643</v>
      </c>
      <c r="F85" s="332">
        <f>$L56</f>
        <v>6</v>
      </c>
      <c r="G85" s="328">
        <f>$E75*$L56*($E$15/$E11)</f>
        <v>0.57638956563918653</v>
      </c>
      <c r="H85" s="360">
        <f>$F75-$J56</f>
        <v>0</v>
      </c>
      <c r="I85" s="360">
        <f>$G75-C65</f>
        <v>0</v>
      </c>
      <c r="J85" s="360">
        <f>$H75</f>
        <v>29.831097044751591</v>
      </c>
      <c r="K85" s="360">
        <f>$I75</f>
        <v>4.4562396009273773</v>
      </c>
      <c r="L85" s="368">
        <f>$J75</f>
        <v>0.35515311490103735</v>
      </c>
      <c r="M85" s="359">
        <f>$K75</f>
        <v>7.5656135786523818E-2</v>
      </c>
      <c r="N85" s="368">
        <f>$L75</f>
        <v>1.2377914326698906E-2</v>
      </c>
      <c r="O85" s="373">
        <f>$M75</f>
        <v>2.9048218222593762E-3</v>
      </c>
      <c r="P85" s="357"/>
      <c r="Q85" s="1446" t="s">
        <v>455</v>
      </c>
      <c r="R85" s="1447"/>
      <c r="S85" s="147">
        <f>$K55</f>
        <v>4</v>
      </c>
      <c r="T85" s="328">
        <f>$T75*$K55*($E$14/$E10)</f>
        <v>3.0138607647399964</v>
      </c>
      <c r="U85" s="332">
        <f>$L55</f>
        <v>5</v>
      </c>
      <c r="V85" s="328">
        <f>$T75*$L55*($E$15/$E10)</f>
        <v>1.5421479165909031</v>
      </c>
      <c r="W85" s="360">
        <v>0</v>
      </c>
      <c r="X85" s="360">
        <v>0</v>
      </c>
      <c r="Y85" s="360">
        <f>$W75</f>
        <v>24.237766348860667</v>
      </c>
      <c r="Z85" s="360">
        <f>$X75</f>
        <v>11.62473524925743</v>
      </c>
      <c r="AA85" s="368">
        <f>$Y75</f>
        <v>0.28856190585709285</v>
      </c>
      <c r="AB85" s="359">
        <f>$Z75</f>
        <v>0.19735979822924757</v>
      </c>
      <c r="AC85" s="368">
        <f>$AA75</f>
        <v>1.0057055390442861E-2</v>
      </c>
      <c r="AD85" s="373">
        <f>$AB75</f>
        <v>7.5776411625181556E-3</v>
      </c>
      <c r="AF85" s="1446" t="s">
        <v>455</v>
      </c>
      <c r="AG85" s="1447"/>
      <c r="AH85" s="147">
        <f>$K55</f>
        <v>4</v>
      </c>
      <c r="AI85" s="328">
        <f>$AI75*$K55*($E$14/$E10)</f>
        <v>3.0138607647399964</v>
      </c>
      <c r="AJ85" s="332">
        <f>$L55</f>
        <v>5</v>
      </c>
      <c r="AK85" s="328">
        <f>$AI75*$L55*($E$15/$E10)</f>
        <v>1.5421479165909031</v>
      </c>
      <c r="AL85" s="434" t="s">
        <v>21</v>
      </c>
      <c r="AM85" s="329" t="s">
        <v>21</v>
      </c>
      <c r="AN85" s="329" t="s">
        <v>21</v>
      </c>
      <c r="AO85" s="376" t="s">
        <v>21</v>
      </c>
      <c r="AS85" s="1446" t="s">
        <v>455</v>
      </c>
      <c r="AT85" s="1447"/>
      <c r="AU85" s="147">
        <f>$K55</f>
        <v>4</v>
      </c>
      <c r="AV85" s="328">
        <f>$AV75*$K55*($E$14/$E10)</f>
        <v>2.7376966413278887</v>
      </c>
      <c r="AW85" s="332">
        <f>$L55</f>
        <v>5</v>
      </c>
      <c r="AX85" s="328">
        <f>$AV75*$L55*($E$15/$E10)</f>
        <v>1.4008388247643351</v>
      </c>
      <c r="AY85" s="434" t="s">
        <v>21</v>
      </c>
      <c r="AZ85" s="329" t="s">
        <v>21</v>
      </c>
      <c r="BA85" s="329" t="s">
        <v>21</v>
      </c>
      <c r="BB85" s="376" t="s">
        <v>21</v>
      </c>
    </row>
    <row r="86" spans="2:54" x14ac:dyDescent="0.25">
      <c r="B86" s="1446" t="s">
        <v>320</v>
      </c>
      <c r="C86" s="1447"/>
      <c r="D86" s="29" t="s">
        <v>21</v>
      </c>
      <c r="E86" s="329" t="s">
        <v>21</v>
      </c>
      <c r="F86" s="333" t="s">
        <v>21</v>
      </c>
      <c r="G86" s="329" t="s">
        <v>21</v>
      </c>
      <c r="H86" s="312" t="s">
        <v>21</v>
      </c>
      <c r="I86" s="312" t="s">
        <v>21</v>
      </c>
      <c r="J86" s="312" t="s">
        <v>21</v>
      </c>
      <c r="K86" s="329">
        <f>C46*G12/100</f>
        <v>43.060812399315857</v>
      </c>
      <c r="L86" s="312" t="s">
        <v>21</v>
      </c>
      <c r="M86" s="296" t="s">
        <v>21</v>
      </c>
      <c r="N86" s="369" t="s">
        <v>21</v>
      </c>
      <c r="O86" s="370" t="s">
        <v>21</v>
      </c>
      <c r="P86" s="357"/>
      <c r="Q86" s="1446" t="s">
        <v>392</v>
      </c>
      <c r="R86" s="1447"/>
      <c r="S86" s="147">
        <f>$K56</f>
        <v>5</v>
      </c>
      <c r="T86" s="328">
        <f>$T76*$K56*($E$14/$E11)</f>
        <v>1.1733890482638643</v>
      </c>
      <c r="U86" s="332">
        <f>$L56</f>
        <v>6</v>
      </c>
      <c r="V86" s="328">
        <f>$T76*$L56*($E$15/$E11)</f>
        <v>0.57638956563918642</v>
      </c>
      <c r="W86" s="360">
        <v>0</v>
      </c>
      <c r="X86" s="360">
        <v>0</v>
      </c>
      <c r="Y86" s="360">
        <f>$W76</f>
        <v>29.831097044751591</v>
      </c>
      <c r="Z86" s="360">
        <f>$X76</f>
        <v>4.4562396009273764</v>
      </c>
      <c r="AA86" s="368">
        <f>$Y76</f>
        <v>0.35515311490103735</v>
      </c>
      <c r="AB86" s="359">
        <f>$Z76</f>
        <v>7.5656135786523804E-2</v>
      </c>
      <c r="AC86" s="368">
        <f>$AA76</f>
        <v>1.2377914326698906E-2</v>
      </c>
      <c r="AD86" s="373">
        <f>$AB76</f>
        <v>2.9048218222593757E-3</v>
      </c>
      <c r="AF86" s="1446" t="s">
        <v>392</v>
      </c>
      <c r="AG86" s="1447"/>
      <c r="AH86" s="147">
        <f>$K56</f>
        <v>5</v>
      </c>
      <c r="AI86" s="328">
        <f>$AI76*$K56*($E$14/$E11)</f>
        <v>1.1733890482638643</v>
      </c>
      <c r="AJ86" s="332">
        <f>$L56</f>
        <v>6</v>
      </c>
      <c r="AK86" s="328">
        <f>$AI76*$L56*($E$15/$E11)</f>
        <v>0.57638956563918642</v>
      </c>
      <c r="AL86" s="434" t="s">
        <v>21</v>
      </c>
      <c r="AM86" s="329" t="s">
        <v>21</v>
      </c>
      <c r="AN86" s="329" t="s">
        <v>21</v>
      </c>
      <c r="AO86" s="376" t="s">
        <v>21</v>
      </c>
      <c r="AS86" s="1446" t="s">
        <v>392</v>
      </c>
      <c r="AT86" s="1447"/>
      <c r="AU86" s="147">
        <f>$K56</f>
        <v>5</v>
      </c>
      <c r="AV86" s="328">
        <f>$AV76*$K56*($E$14/$E11)</f>
        <v>1.0658698284889212</v>
      </c>
      <c r="AW86" s="332">
        <f>$L56</f>
        <v>6</v>
      </c>
      <c r="AX86" s="328">
        <f>$AV76*$L56*($E$15/$E11)</f>
        <v>0.52357421298557316</v>
      </c>
      <c r="AY86" s="434" t="s">
        <v>21</v>
      </c>
      <c r="AZ86" s="329" t="s">
        <v>21</v>
      </c>
      <c r="BA86" s="329" t="s">
        <v>21</v>
      </c>
      <c r="BB86" s="376" t="s">
        <v>21</v>
      </c>
    </row>
    <row r="87" spans="2:54" x14ac:dyDescent="0.25">
      <c r="B87" s="1446" t="s">
        <v>138</v>
      </c>
      <c r="C87" s="1447"/>
      <c r="D87" s="29" t="s">
        <v>21</v>
      </c>
      <c r="E87" s="329" t="s">
        <v>21</v>
      </c>
      <c r="F87" s="333" t="s">
        <v>21</v>
      </c>
      <c r="G87" s="329" t="s">
        <v>21</v>
      </c>
      <c r="H87" s="312" t="s">
        <v>21</v>
      </c>
      <c r="I87" s="329">
        <f>C46*G13/100</f>
        <v>4.8063588692580581E-2</v>
      </c>
      <c r="J87" s="312" t="s">
        <v>21</v>
      </c>
      <c r="K87" s="296" t="s">
        <v>21</v>
      </c>
      <c r="L87" s="312" t="s">
        <v>21</v>
      </c>
      <c r="M87" s="296" t="s">
        <v>21</v>
      </c>
      <c r="N87" s="369" t="s">
        <v>21</v>
      </c>
      <c r="O87" s="370" t="s">
        <v>21</v>
      </c>
      <c r="P87" s="357"/>
      <c r="Q87" s="1446" t="s">
        <v>320</v>
      </c>
      <c r="R87" s="1447"/>
      <c r="S87" s="29" t="s">
        <v>21</v>
      </c>
      <c r="T87" s="329" t="s">
        <v>21</v>
      </c>
      <c r="U87" s="333" t="s">
        <v>21</v>
      </c>
      <c r="V87" s="329" t="s">
        <v>21</v>
      </c>
      <c r="W87" s="312" t="s">
        <v>21</v>
      </c>
      <c r="X87" s="312" t="s">
        <v>21</v>
      </c>
      <c r="Y87" s="312" t="s">
        <v>21</v>
      </c>
      <c r="Z87" s="329">
        <f>X77</f>
        <v>43.060812399315857</v>
      </c>
      <c r="AA87" s="312" t="s">
        <v>21</v>
      </c>
      <c r="AB87" s="296" t="s">
        <v>21</v>
      </c>
      <c r="AC87" s="369" t="s">
        <v>21</v>
      </c>
      <c r="AD87" s="370" t="s">
        <v>21</v>
      </c>
      <c r="AF87" s="1446" t="s">
        <v>320</v>
      </c>
      <c r="AG87" s="1447"/>
      <c r="AH87" s="29" t="s">
        <v>21</v>
      </c>
      <c r="AI87" s="329" t="s">
        <v>21</v>
      </c>
      <c r="AJ87" s="333" t="s">
        <v>21</v>
      </c>
      <c r="AK87" s="329" t="s">
        <v>21</v>
      </c>
      <c r="AL87" s="312" t="s">
        <v>21</v>
      </c>
      <c r="AM87" s="329">
        <f>R64*G12/100</f>
        <v>43.060812399315857</v>
      </c>
      <c r="AN87" s="312" t="s">
        <v>21</v>
      </c>
      <c r="AO87" s="526" t="s">
        <v>21</v>
      </c>
      <c r="AS87" s="1446" t="s">
        <v>320</v>
      </c>
      <c r="AT87" s="1447"/>
      <c r="AU87" s="29" t="s">
        <v>21</v>
      </c>
      <c r="AV87" s="329" t="s">
        <v>21</v>
      </c>
      <c r="AW87" s="333" t="s">
        <v>21</v>
      </c>
      <c r="AX87" s="329" t="s">
        <v>21</v>
      </c>
      <c r="AY87" s="312" t="s">
        <v>21</v>
      </c>
      <c r="AZ87" s="329">
        <f>AZ77</f>
        <v>39.115092129555421</v>
      </c>
      <c r="BA87" s="312" t="s">
        <v>21</v>
      </c>
      <c r="BB87" s="526" t="s">
        <v>21</v>
      </c>
    </row>
    <row r="88" spans="2:54" x14ac:dyDescent="0.25">
      <c r="B88" s="1448" t="s">
        <v>98</v>
      </c>
      <c r="C88" s="1449"/>
      <c r="D88" s="70" t="s">
        <v>21</v>
      </c>
      <c r="E88" s="334">
        <f>C46*G14/100</f>
        <v>4.5639387563852347</v>
      </c>
      <c r="F88" s="378" t="s">
        <v>21</v>
      </c>
      <c r="G88" s="334" t="s">
        <v>21</v>
      </c>
      <c r="H88" s="298" t="s">
        <v>21</v>
      </c>
      <c r="I88" s="334" t="s">
        <v>21</v>
      </c>
      <c r="J88" s="298" t="s">
        <v>21</v>
      </c>
      <c r="K88" s="337" t="s">
        <v>21</v>
      </c>
      <c r="L88" s="298" t="s">
        <v>21</v>
      </c>
      <c r="M88" s="337" t="s">
        <v>21</v>
      </c>
      <c r="N88" s="371" t="s">
        <v>21</v>
      </c>
      <c r="O88" s="372" t="s">
        <v>21</v>
      </c>
      <c r="P88" s="357"/>
      <c r="Q88" s="1446" t="s">
        <v>138</v>
      </c>
      <c r="R88" s="1447"/>
      <c r="S88" s="29" t="s">
        <v>21</v>
      </c>
      <c r="T88" s="329" t="s">
        <v>21</v>
      </c>
      <c r="U88" s="333" t="s">
        <v>21</v>
      </c>
      <c r="V88" s="329" t="s">
        <v>21</v>
      </c>
      <c r="W88" s="312" t="s">
        <v>21</v>
      </c>
      <c r="X88" s="329">
        <f>V78</f>
        <v>4.8063588692580567E-2</v>
      </c>
      <c r="Y88" s="312" t="s">
        <v>21</v>
      </c>
      <c r="Z88" s="296" t="s">
        <v>21</v>
      </c>
      <c r="AA88" s="312" t="s">
        <v>21</v>
      </c>
      <c r="AB88" s="296" t="s">
        <v>21</v>
      </c>
      <c r="AC88" s="369" t="s">
        <v>21</v>
      </c>
      <c r="AD88" s="370" t="s">
        <v>21</v>
      </c>
      <c r="AF88" s="1446" t="s">
        <v>138</v>
      </c>
      <c r="AG88" s="1447"/>
      <c r="AH88" s="29" t="s">
        <v>21</v>
      </c>
      <c r="AI88" s="329" t="s">
        <v>21</v>
      </c>
      <c r="AJ88" s="333" t="s">
        <v>21</v>
      </c>
      <c r="AK88" s="329" t="s">
        <v>21</v>
      </c>
      <c r="AL88" s="312" t="s">
        <v>21</v>
      </c>
      <c r="AM88" s="296" t="s">
        <v>21</v>
      </c>
      <c r="AN88" s="312" t="s">
        <v>21</v>
      </c>
      <c r="AO88" s="376">
        <f>R64*G13/100</f>
        <v>4.8063588692580567E-2</v>
      </c>
      <c r="AS88" s="1446" t="s">
        <v>138</v>
      </c>
      <c r="AT88" s="1447"/>
      <c r="AU88" s="29" t="s">
        <v>21</v>
      </c>
      <c r="AV88" s="329" t="s">
        <v>21</v>
      </c>
      <c r="AW88" s="333" t="s">
        <v>21</v>
      </c>
      <c r="AX88" s="329" t="s">
        <v>21</v>
      </c>
      <c r="AY88" s="312" t="s">
        <v>21</v>
      </c>
      <c r="AZ88" s="296" t="s">
        <v>21</v>
      </c>
      <c r="BA88" s="312" t="s">
        <v>21</v>
      </c>
      <c r="BB88" s="376">
        <f>AX78</f>
        <v>4.3659457289227009E-2</v>
      </c>
    </row>
    <row r="89" spans="2:54" x14ac:dyDescent="0.25">
      <c r="D89" s="355"/>
      <c r="E89" s="286"/>
      <c r="F89" s="286"/>
      <c r="G89" s="127"/>
      <c r="K89" s="286"/>
      <c r="L89" s="286"/>
      <c r="M89" s="286"/>
      <c r="N89" s="286"/>
      <c r="O89" s="286"/>
      <c r="P89" s="357"/>
      <c r="Q89" s="1448" t="s">
        <v>98</v>
      </c>
      <c r="R89" s="1449"/>
      <c r="S89" s="70" t="s">
        <v>21</v>
      </c>
      <c r="T89" s="334">
        <f>AB79</f>
        <v>4.5639387563852338</v>
      </c>
      <c r="U89" s="378" t="s">
        <v>21</v>
      </c>
      <c r="V89" s="334" t="s">
        <v>21</v>
      </c>
      <c r="W89" s="298" t="s">
        <v>21</v>
      </c>
      <c r="X89" s="334" t="s">
        <v>21</v>
      </c>
      <c r="Y89" s="298" t="s">
        <v>21</v>
      </c>
      <c r="Z89" s="337" t="s">
        <v>21</v>
      </c>
      <c r="AA89" s="298" t="s">
        <v>21</v>
      </c>
      <c r="AB89" s="337" t="s">
        <v>21</v>
      </c>
      <c r="AC89" s="371" t="s">
        <v>21</v>
      </c>
      <c r="AD89" s="372" t="s">
        <v>21</v>
      </c>
      <c r="AF89" s="1448" t="s">
        <v>98</v>
      </c>
      <c r="AG89" s="1449"/>
      <c r="AH89" s="70" t="s">
        <v>21</v>
      </c>
      <c r="AI89" s="334">
        <f>R64*G14/100</f>
        <v>4.5639387563852338</v>
      </c>
      <c r="AJ89" s="378" t="s">
        <v>21</v>
      </c>
      <c r="AK89" s="334" t="s">
        <v>21</v>
      </c>
      <c r="AL89" s="298" t="s">
        <v>21</v>
      </c>
      <c r="AM89" s="337" t="s">
        <v>21</v>
      </c>
      <c r="AN89" s="298" t="s">
        <v>21</v>
      </c>
      <c r="AO89" s="377" t="s">
        <v>21</v>
      </c>
      <c r="AS89" s="1448" t="s">
        <v>98</v>
      </c>
      <c r="AT89" s="1449"/>
      <c r="AU89" s="70" t="s">
        <v>21</v>
      </c>
      <c r="AV89" s="334">
        <f>BB79</f>
        <v>4.1457388976826017</v>
      </c>
      <c r="AW89" s="378" t="s">
        <v>21</v>
      </c>
      <c r="AX89" s="334" t="s">
        <v>21</v>
      </c>
      <c r="AY89" s="298" t="s">
        <v>21</v>
      </c>
      <c r="AZ89" s="337" t="s">
        <v>21</v>
      </c>
      <c r="BA89" s="298" t="s">
        <v>21</v>
      </c>
      <c r="BB89" s="377" t="s">
        <v>21</v>
      </c>
    </row>
    <row r="90" spans="2:54" x14ac:dyDescent="0.25">
      <c r="D90" s="355"/>
      <c r="E90" s="286"/>
      <c r="G90" s="127"/>
      <c r="K90" s="286"/>
      <c r="L90" s="286"/>
      <c r="M90" s="286"/>
      <c r="N90" s="286"/>
      <c r="O90" s="286"/>
      <c r="P90" s="357"/>
      <c r="Q90" s="356"/>
    </row>
    <row r="91" spans="2:54" x14ac:dyDescent="0.25">
      <c r="L91" s="88"/>
      <c r="M91" s="330"/>
      <c r="N91" s="330"/>
      <c r="O91" s="326"/>
      <c r="P91" s="331"/>
      <c r="Q91" s="369"/>
      <c r="Y91" s="77"/>
    </row>
    <row r="92" spans="2:54" x14ac:dyDescent="0.25">
      <c r="B92" s="1452" t="s">
        <v>380</v>
      </c>
      <c r="C92" s="1424" t="s">
        <v>578</v>
      </c>
      <c r="D92" s="1425"/>
      <c r="E92" s="1426"/>
      <c r="G92" s="1452" t="s">
        <v>380</v>
      </c>
      <c r="H92" s="1424" t="s">
        <v>577</v>
      </c>
      <c r="I92" s="1425"/>
      <c r="J92" s="1426"/>
      <c r="L92" s="1452" t="s">
        <v>380</v>
      </c>
      <c r="M92" s="1424" t="s">
        <v>401</v>
      </c>
      <c r="N92" s="1425"/>
      <c r="O92" s="1426"/>
      <c r="Q92" s="277"/>
      <c r="AA92" s="330"/>
      <c r="AB92" s="326"/>
      <c r="AK92" s="18"/>
      <c r="AL92" s="18"/>
      <c r="AM92" s="18"/>
      <c r="AN92" s="18"/>
      <c r="AO92" s="18"/>
    </row>
    <row r="93" spans="2:54" x14ac:dyDescent="0.25">
      <c r="B93" s="1453"/>
      <c r="C93" s="65" t="s">
        <v>60</v>
      </c>
      <c r="D93" s="65" t="s">
        <v>114</v>
      </c>
      <c r="E93" s="382" t="s">
        <v>399</v>
      </c>
      <c r="G93" s="1453"/>
      <c r="H93" s="65" t="s">
        <v>60</v>
      </c>
      <c r="I93" s="65" t="s">
        <v>114</v>
      </c>
      <c r="J93" s="382" t="s">
        <v>399</v>
      </c>
      <c r="L93" s="1453"/>
      <c r="M93" s="62" t="s">
        <v>60</v>
      </c>
      <c r="N93" s="62" t="s">
        <v>114</v>
      </c>
      <c r="O93" s="349" t="s">
        <v>399</v>
      </c>
      <c r="Q93" s="1452" t="s">
        <v>380</v>
      </c>
      <c r="R93" s="1424" t="s">
        <v>579</v>
      </c>
      <c r="S93" s="1425"/>
      <c r="T93" s="1426"/>
      <c r="AC93" s="77"/>
      <c r="AF93" s="1452" t="s">
        <v>380</v>
      </c>
      <c r="AG93" s="1424" t="s">
        <v>585</v>
      </c>
      <c r="AH93" s="1425"/>
      <c r="AI93" s="1426"/>
      <c r="AK93" s="1139"/>
      <c r="AL93" s="91"/>
      <c r="AS93" s="1452" t="s">
        <v>380</v>
      </c>
      <c r="AT93" s="1424" t="s">
        <v>586</v>
      </c>
      <c r="AU93" s="1425"/>
      <c r="AV93" s="1426"/>
    </row>
    <row r="94" spans="2:54" x14ac:dyDescent="0.25">
      <c r="B94" s="290" t="s">
        <v>320</v>
      </c>
      <c r="C94" s="332">
        <f>SUM(I71:I75)</f>
        <v>1976.5546626902321</v>
      </c>
      <c r="D94" s="96">
        <f>C94/C12</f>
        <v>1696.6134443692979</v>
      </c>
      <c r="E94" s="347">
        <f>$D94*100/$D$98</f>
        <v>78.09999999999998</v>
      </c>
      <c r="G94" s="290" t="s">
        <v>320</v>
      </c>
      <c r="H94" s="332">
        <f>I94*C12</f>
        <v>1976.5546626902321</v>
      </c>
      <c r="I94" s="96">
        <f>D94</f>
        <v>1696.6134443692979</v>
      </c>
      <c r="J94" s="347">
        <f>I94*100/I98</f>
        <v>78.09999999999998</v>
      </c>
      <c r="L94" s="290" t="s">
        <v>320</v>
      </c>
      <c r="M94" s="344">
        <f>N94*C12</f>
        <v>1976.5546626902324</v>
      </c>
      <c r="N94" s="96">
        <f>(J94/100) * N95*(100-O2_substitute)/J95</f>
        <v>1696.6134443692981</v>
      </c>
      <c r="O94" s="156">
        <f>$N94*100/$N$98</f>
        <v>78.099999999999994</v>
      </c>
      <c r="Q94" s="1453"/>
      <c r="R94" s="65" t="s">
        <v>60</v>
      </c>
      <c r="S94" s="65" t="s">
        <v>114</v>
      </c>
      <c r="T94" s="382" t="s">
        <v>376</v>
      </c>
      <c r="AF94" s="1453"/>
      <c r="AG94" s="62" t="s">
        <v>60</v>
      </c>
      <c r="AH94" s="62" t="s">
        <v>114</v>
      </c>
      <c r="AI94" s="349" t="s">
        <v>399</v>
      </c>
      <c r="AK94" s="1139"/>
      <c r="AL94" s="73"/>
      <c r="AS94" s="1453"/>
      <c r="AT94" s="62" t="s">
        <v>60</v>
      </c>
      <c r="AU94" s="62" t="s">
        <v>114</v>
      </c>
      <c r="AV94" s="349" t="s">
        <v>399</v>
      </c>
    </row>
    <row r="95" spans="2:54" x14ac:dyDescent="0.25">
      <c r="B95" s="199" t="s">
        <v>138</v>
      </c>
      <c r="C95" s="332">
        <f>SUM(G71:G75)</f>
        <v>605.46159838538949</v>
      </c>
      <c r="D95" s="96">
        <f>C95/C13</f>
        <v>454.89226024446998</v>
      </c>
      <c r="E95" s="347">
        <f>$D95*100/$D$98</f>
        <v>20.939999999999998</v>
      </c>
      <c r="G95" s="199" t="s">
        <v>138</v>
      </c>
      <c r="H95" s="332">
        <f>I95*C13</f>
        <v>605.46159838538949</v>
      </c>
      <c r="I95" s="96">
        <f>D95+(E104-C104)</f>
        <v>454.89226024446998</v>
      </c>
      <c r="J95" s="347">
        <f>IF(O2_enrich&gt;0, O2_enrich, 0) + E95</f>
        <v>20.939999999999998</v>
      </c>
      <c r="L95" s="199" t="s">
        <v>138</v>
      </c>
      <c r="M95" s="344">
        <f>N95*C13</f>
        <v>605.46159838538949</v>
      </c>
      <c r="N95" s="281">
        <f>$I95</f>
        <v>454.89226024446998</v>
      </c>
      <c r="O95" s="390">
        <f>$N95*100/$N$98</f>
        <v>20.939999999999998</v>
      </c>
      <c r="Q95" s="290" t="s">
        <v>320</v>
      </c>
      <c r="R95" s="332">
        <f>SUM(X72:X76)</f>
        <v>1976.5546626902319</v>
      </c>
      <c r="S95" s="96">
        <f>R95/C12</f>
        <v>1696.6134443692977</v>
      </c>
      <c r="T95" s="347">
        <f>$S95*100/$S$99</f>
        <v>78.09999999999998</v>
      </c>
      <c r="AF95" s="290" t="s">
        <v>320</v>
      </c>
      <c r="AG95" s="344">
        <f>AH95*C12</f>
        <v>1976.5546626902321</v>
      </c>
      <c r="AH95" s="96">
        <f>($T95/100) * $AH$96*(100-AirOxyFuel)/$T$96</f>
        <v>1696.6134443692979</v>
      </c>
      <c r="AI95" s="156">
        <f>$AH95*100/$AH$99</f>
        <v>78.09999999999998</v>
      </c>
      <c r="AK95" s="18"/>
      <c r="AL95" s="389"/>
      <c r="AP95" s="10"/>
      <c r="AS95" s="290" t="s">
        <v>320</v>
      </c>
      <c r="AT95" s="344">
        <f>AU95*C12</f>
        <v>0</v>
      </c>
      <c r="AU95" s="96">
        <f>($T95/100) * $AU$96*(100- Oxyfuel)/$T$96</f>
        <v>0</v>
      </c>
      <c r="AV95" s="156">
        <f>$AU95*100/$AU$99</f>
        <v>0</v>
      </c>
    </row>
    <row r="96" spans="2:54" x14ac:dyDescent="0.25">
      <c r="B96" s="199" t="s">
        <v>321</v>
      </c>
      <c r="C96" s="332">
        <f>SUM(K71:K75)</f>
        <v>33.557102252504315</v>
      </c>
      <c r="D96" s="96">
        <f>C96/C16</f>
        <v>20.202951386215723</v>
      </c>
      <c r="E96" s="347">
        <f>$D96*100/$D$98</f>
        <v>0.93000000000000027</v>
      </c>
      <c r="G96" s="199" t="s">
        <v>321</v>
      </c>
      <c r="H96" s="332">
        <f>I96*C16</f>
        <v>33.557102252504315</v>
      </c>
      <c r="I96" s="96">
        <f>D96</f>
        <v>20.202951386215723</v>
      </c>
      <c r="J96" s="347">
        <f>I96*100/I98</f>
        <v>0.93000000000000027</v>
      </c>
      <c r="L96" s="199" t="s">
        <v>321</v>
      </c>
      <c r="M96" s="344">
        <f>N96*C16</f>
        <v>33.557102252504315</v>
      </c>
      <c r="N96" s="96">
        <f>(J96/100) * N95*(100-O2_substitute)/J95</f>
        <v>20.202951386215723</v>
      </c>
      <c r="O96" s="156">
        <f>$N96*100/$N$98</f>
        <v>0.93000000000000027</v>
      </c>
      <c r="Q96" s="199" t="s">
        <v>138</v>
      </c>
      <c r="R96" s="332">
        <f>SUM(V72:V76)</f>
        <v>605.46159838538949</v>
      </c>
      <c r="S96" s="96">
        <f>R96/C13</f>
        <v>454.89226024446998</v>
      </c>
      <c r="T96" s="347">
        <f>$S96*100/$S$99</f>
        <v>20.94</v>
      </c>
      <c r="AF96" s="199" t="s">
        <v>138</v>
      </c>
      <c r="AG96" s="344">
        <f>AH96*C13</f>
        <v>605.46159838538949</v>
      </c>
      <c r="AH96" s="281">
        <f>S96</f>
        <v>454.89226024446998</v>
      </c>
      <c r="AI96" s="390">
        <f>$AH96*100/$AH$99</f>
        <v>20.939999999999998</v>
      </c>
      <c r="AK96" s="18"/>
      <c r="AL96" s="389"/>
      <c r="AP96" s="10"/>
      <c r="AS96" s="199" t="s">
        <v>138</v>
      </c>
      <c r="AT96" s="344">
        <f>SUM(AX72:AX76)</f>
        <v>549.98233619318955</v>
      </c>
      <c r="AU96" s="281">
        <f>AT96/C13</f>
        <v>413.20986941637085</v>
      </c>
      <c r="AV96" s="390">
        <f>$AU96*100/$AU$99</f>
        <v>100</v>
      </c>
      <c r="AW96" t="s">
        <v>522</v>
      </c>
    </row>
    <row r="97" spans="2:56" x14ac:dyDescent="0.25">
      <c r="B97" s="200" t="s">
        <v>98</v>
      </c>
      <c r="C97" s="332">
        <f>SUM(M71:M75)</f>
        <v>1.2884269319531763</v>
      </c>
      <c r="D97" s="96">
        <f>C97/C14</f>
        <v>0.6517081092327649</v>
      </c>
      <c r="E97" s="347">
        <f>$D97*100/$D$98</f>
        <v>2.9999999999999995E-2</v>
      </c>
      <c r="G97" s="200" t="s">
        <v>98</v>
      </c>
      <c r="H97" s="332">
        <f>I97*C14</f>
        <v>1.2884269319531763</v>
      </c>
      <c r="I97" s="96">
        <f>D97</f>
        <v>0.6517081092327649</v>
      </c>
      <c r="J97" s="347">
        <f>I97*100/I98</f>
        <v>2.9999999999999995E-2</v>
      </c>
      <c r="L97" s="200" t="s">
        <v>98</v>
      </c>
      <c r="M97" s="344">
        <f>N97*C14</f>
        <v>1.2884269319531765</v>
      </c>
      <c r="N97" s="96">
        <f>(J97/100) * N95*(100-O2_substitute)/J95</f>
        <v>0.65170810923276501</v>
      </c>
      <c r="O97" s="156">
        <f>$N97*100/$N$98</f>
        <v>3.0000000000000002E-2</v>
      </c>
      <c r="Q97" s="199" t="s">
        <v>321</v>
      </c>
      <c r="R97" s="332">
        <f>SUM(Z72:Z76)</f>
        <v>33.557102252504315</v>
      </c>
      <c r="S97" s="96">
        <f>R97/C16</f>
        <v>20.202951386215723</v>
      </c>
      <c r="T97" s="347">
        <f>$S97*100/$S$99</f>
        <v>0.93000000000000049</v>
      </c>
      <c r="AC97" s="293"/>
      <c r="AF97" s="199" t="s">
        <v>321</v>
      </c>
      <c r="AG97" s="344">
        <f>AH97*C16</f>
        <v>33.557102252504322</v>
      </c>
      <c r="AH97" s="96">
        <f>($T97/100) * AH96*(100-AirOxyFuel)/$T$96</f>
        <v>20.202951386215727</v>
      </c>
      <c r="AI97" s="156">
        <f>$AH97*100/$AH$99</f>
        <v>0.93000000000000049</v>
      </c>
      <c r="AK97" s="18"/>
      <c r="AL97" s="389"/>
      <c r="AP97" s="10"/>
      <c r="AS97" s="199" t="s">
        <v>321</v>
      </c>
      <c r="AT97" s="344">
        <f>AU97*C16</f>
        <v>0</v>
      </c>
      <c r="AU97" s="96">
        <f>($T97/100) * $AU$96*(100- Oxyfuel)/$T$96</f>
        <v>0</v>
      </c>
      <c r="AV97" s="156">
        <f>$AU97*100/$AU$99</f>
        <v>0</v>
      </c>
      <c r="AW97" t="s">
        <v>523</v>
      </c>
    </row>
    <row r="98" spans="2:56" x14ac:dyDescent="0.25">
      <c r="C98" s="384">
        <f>SUM(C94:C97)</f>
        <v>2616.861790260079</v>
      </c>
      <c r="D98" s="327">
        <f>SUM(D94:D97)</f>
        <v>2172.3603641092168</v>
      </c>
      <c r="E98" s="159">
        <f>SUM(E94:E97)</f>
        <v>99.999999999999986</v>
      </c>
      <c r="H98" s="384">
        <f>SUM(H94:H97)</f>
        <v>2616.861790260079</v>
      </c>
      <c r="I98" s="327">
        <f>SUM(I94:I97)</f>
        <v>2172.3603641092168</v>
      </c>
      <c r="J98" s="159">
        <f>SUM(J94:J97)</f>
        <v>99.999999999999986</v>
      </c>
      <c r="M98" s="384">
        <f>SUM(M94:M97)</f>
        <v>2616.8617902600795</v>
      </c>
      <c r="N98" s="392">
        <f>SUM(N94:N97)</f>
        <v>2172.3603641092168</v>
      </c>
      <c r="O98" s="159">
        <f>SUM(O94:O97)</f>
        <v>100</v>
      </c>
      <c r="Q98" s="200" t="s">
        <v>98</v>
      </c>
      <c r="R98" s="332">
        <f>SUM(AB72:AB76)</f>
        <v>1.2884269319531763</v>
      </c>
      <c r="S98" s="96">
        <f>R98/C14</f>
        <v>0.6517081092327649</v>
      </c>
      <c r="T98" s="347">
        <f>$S98*100/$S$99</f>
        <v>0.03</v>
      </c>
      <c r="AC98" s="480"/>
      <c r="AF98" s="200" t="s">
        <v>98</v>
      </c>
      <c r="AG98" s="344">
        <f>AH98*C14</f>
        <v>1.2884269319531763</v>
      </c>
      <c r="AH98" s="96">
        <f>($T98/100) * AH96*(100-AirOxyFuel)/$T$96</f>
        <v>0.6517081092327649</v>
      </c>
      <c r="AI98" s="156">
        <f>$AH98*100/$AH$99</f>
        <v>2.9999999999999995E-2</v>
      </c>
      <c r="AK98" s="18"/>
      <c r="AL98" s="389"/>
      <c r="AM98" s="286"/>
      <c r="AN98" s="389"/>
      <c r="AO98" s="18"/>
      <c r="AS98" s="200" t="s">
        <v>98</v>
      </c>
      <c r="AT98" s="344">
        <f>AU98*C14</f>
        <v>0</v>
      </c>
      <c r="AU98" s="96">
        <f>($T98/100) * $AU$96*(100- Oxyfuel)/$T$96</f>
        <v>0</v>
      </c>
      <c r="AV98" s="156">
        <f>$AU98*100/$AU$99</f>
        <v>0</v>
      </c>
      <c r="AW98" t="s">
        <v>883</v>
      </c>
    </row>
    <row r="99" spans="2:56" x14ac:dyDescent="0.25">
      <c r="I99" s="77"/>
      <c r="M99" s="88"/>
      <c r="O99" s="623"/>
      <c r="R99" s="384">
        <f>SUM(R95:R98)</f>
        <v>2616.861790260079</v>
      </c>
      <c r="S99" s="327">
        <f>SUM(S95:S98)</f>
        <v>2172.3603641092163</v>
      </c>
      <c r="T99" s="159">
        <f>SUM(T95:T98)</f>
        <v>99.999999999999986</v>
      </c>
      <c r="AG99" s="384">
        <f>SUM(AG95:AG98)</f>
        <v>2616.861790260079</v>
      </c>
      <c r="AH99" s="392">
        <f>SUM(AH95:AH98)</f>
        <v>2172.3603641092168</v>
      </c>
      <c r="AI99" s="159">
        <f>SUM(AI95:AI98)</f>
        <v>99.999999999999986</v>
      </c>
      <c r="AK99" s="18"/>
      <c r="AL99" s="389"/>
      <c r="AM99" s="1138"/>
      <c r="AN99" s="286"/>
      <c r="AO99" s="18"/>
      <c r="AT99" s="384">
        <f>SUM(AT95:AT98)</f>
        <v>549.98233619318955</v>
      </c>
      <c r="AU99" s="392">
        <f>SUM(AU95:AU98)</f>
        <v>413.20986941637085</v>
      </c>
      <c r="AV99" s="159">
        <f>SUM(AV95:AV98)</f>
        <v>100</v>
      </c>
    </row>
    <row r="100" spans="2:56" x14ac:dyDescent="0.25">
      <c r="I100" s="77"/>
      <c r="M100" s="88"/>
      <c r="O100" s="88"/>
    </row>
    <row r="101" spans="2:56" x14ac:dyDescent="0.25">
      <c r="B101" s="1452" t="s">
        <v>402</v>
      </c>
      <c r="C101" s="1424" t="s">
        <v>339</v>
      </c>
      <c r="D101" s="1426"/>
      <c r="E101" s="1424" t="s">
        <v>378</v>
      </c>
      <c r="F101" s="1425"/>
      <c r="G101" s="1426"/>
      <c r="H101" s="1424" t="s">
        <v>396</v>
      </c>
      <c r="I101" s="1426"/>
      <c r="J101" s="1424" t="s">
        <v>397</v>
      </c>
      <c r="K101" s="1425"/>
      <c r="L101" s="1425"/>
      <c r="M101" s="1426"/>
    </row>
    <row r="102" spans="2:56" x14ac:dyDescent="0.25">
      <c r="B102" s="1453"/>
      <c r="C102" s="128" t="s">
        <v>60</v>
      </c>
      <c r="D102" s="349" t="s">
        <v>114</v>
      </c>
      <c r="E102" s="65" t="s">
        <v>60</v>
      </c>
      <c r="F102" s="65" t="s">
        <v>114</v>
      </c>
      <c r="G102" s="315" t="s">
        <v>327</v>
      </c>
      <c r="H102" s="247" t="s">
        <v>60</v>
      </c>
      <c r="I102" s="353" t="s">
        <v>114</v>
      </c>
      <c r="J102" s="128" t="s">
        <v>377</v>
      </c>
      <c r="K102" s="396" t="s">
        <v>374</v>
      </c>
      <c r="L102" s="364" t="s">
        <v>343</v>
      </c>
      <c r="M102" s="146" t="s">
        <v>376</v>
      </c>
      <c r="Q102" s="1452" t="s">
        <v>402</v>
      </c>
      <c r="R102" s="1424" t="s">
        <v>339</v>
      </c>
      <c r="S102" s="1425"/>
      <c r="T102" s="1424" t="s">
        <v>378</v>
      </c>
      <c r="U102" s="1425"/>
      <c r="V102" s="1426"/>
      <c r="W102" s="1424" t="s">
        <v>396</v>
      </c>
      <c r="X102" s="1426"/>
      <c r="Y102" s="1424" t="s">
        <v>397</v>
      </c>
      <c r="Z102" s="1425"/>
      <c r="AA102" s="1425"/>
      <c r="AB102" s="1426"/>
      <c r="AF102" s="1452" t="s">
        <v>402</v>
      </c>
      <c r="AG102" s="1424" t="s">
        <v>339</v>
      </c>
      <c r="AH102" s="1426"/>
      <c r="AI102" s="1424" t="s">
        <v>378</v>
      </c>
      <c r="AJ102" s="1425"/>
      <c r="AK102" s="1426"/>
      <c r="AL102" s="1424" t="s">
        <v>396</v>
      </c>
      <c r="AM102" s="1425"/>
      <c r="AN102" s="1424" t="s">
        <v>397</v>
      </c>
      <c r="AO102" s="1425"/>
      <c r="AP102" s="1425"/>
      <c r="AQ102" s="1426"/>
      <c r="AS102" s="1452" t="s">
        <v>402</v>
      </c>
      <c r="AT102" s="1424" t="s">
        <v>339</v>
      </c>
      <c r="AU102" s="1426"/>
      <c r="AV102" s="1424" t="s">
        <v>378</v>
      </c>
      <c r="AW102" s="1425"/>
      <c r="AX102" s="1426"/>
      <c r="AY102" s="1424" t="s">
        <v>396</v>
      </c>
      <c r="AZ102" s="1425"/>
      <c r="BA102" s="1424" t="s">
        <v>397</v>
      </c>
      <c r="BB102" s="1425"/>
      <c r="BC102" s="1425"/>
      <c r="BD102" s="1426"/>
    </row>
    <row r="103" spans="2:56" x14ac:dyDescent="0.25">
      <c r="B103" s="290" t="s">
        <v>320</v>
      </c>
      <c r="C103" s="147">
        <f>K86</f>
        <v>43.060812399315857</v>
      </c>
      <c r="D103" s="347">
        <f>C103/C12</f>
        <v>36.962070729026486</v>
      </c>
      <c r="E103" s="96">
        <f>IF(O2_substitute&gt;0, M94, C94) + C103</f>
        <v>2019.615475089548</v>
      </c>
      <c r="F103" s="96">
        <f>E103/C12</f>
        <v>1733.5755150983243</v>
      </c>
      <c r="G103" s="332">
        <f>$F103*100/$F$109</f>
        <v>67.254031045231656</v>
      </c>
      <c r="H103" s="29" t="s">
        <v>21</v>
      </c>
      <c r="I103" s="350" t="s">
        <v>21</v>
      </c>
      <c r="J103" s="147">
        <f>E103</f>
        <v>2019.615475089548</v>
      </c>
      <c r="K103" s="96">
        <f t="shared" ref="K103:K108" si="9">$J103*100/$J$109</f>
        <v>70.764587550235447</v>
      </c>
      <c r="L103" s="354">
        <f>J103/C12</f>
        <v>1733.5755150983243</v>
      </c>
      <c r="M103" s="386">
        <f>L103*100/L109</f>
        <v>66.773567064563849</v>
      </c>
      <c r="N103" s="88"/>
      <c r="O103" s="207"/>
      <c r="P103" s="207"/>
      <c r="Q103" s="1453"/>
      <c r="R103" s="128" t="s">
        <v>60</v>
      </c>
      <c r="S103" s="349" t="s">
        <v>114</v>
      </c>
      <c r="T103" s="65" t="s">
        <v>60</v>
      </c>
      <c r="U103" s="65" t="s">
        <v>114</v>
      </c>
      <c r="V103" s="315" t="s">
        <v>327</v>
      </c>
      <c r="W103" s="247" t="s">
        <v>60</v>
      </c>
      <c r="X103" s="353" t="s">
        <v>114</v>
      </c>
      <c r="Y103" s="128" t="s">
        <v>377</v>
      </c>
      <c r="Z103" s="396" t="s">
        <v>374</v>
      </c>
      <c r="AA103" s="364" t="s">
        <v>343</v>
      </c>
      <c r="AB103" s="146" t="s">
        <v>376</v>
      </c>
      <c r="AF103" s="1453"/>
      <c r="AG103" s="128" t="s">
        <v>60</v>
      </c>
      <c r="AH103" s="349" t="s">
        <v>114</v>
      </c>
      <c r="AI103" s="65" t="s">
        <v>60</v>
      </c>
      <c r="AJ103" s="65" t="s">
        <v>114</v>
      </c>
      <c r="AK103" s="315" t="s">
        <v>327</v>
      </c>
      <c r="AL103" s="247" t="s">
        <v>60</v>
      </c>
      <c r="AM103" s="353" t="s">
        <v>114</v>
      </c>
      <c r="AN103" s="128" t="s">
        <v>377</v>
      </c>
      <c r="AO103" s="396" t="s">
        <v>374</v>
      </c>
      <c r="AP103" s="364" t="s">
        <v>343</v>
      </c>
      <c r="AQ103" s="146" t="s">
        <v>376</v>
      </c>
      <c r="AS103" s="1453"/>
      <c r="AT103" s="128" t="s">
        <v>60</v>
      </c>
      <c r="AU103" s="349" t="s">
        <v>114</v>
      </c>
      <c r="AV103" s="65" t="s">
        <v>60</v>
      </c>
      <c r="AW103" s="65" t="s">
        <v>114</v>
      </c>
      <c r="AX103" s="315" t="s">
        <v>327</v>
      </c>
      <c r="AY103" s="247" t="s">
        <v>60</v>
      </c>
      <c r="AZ103" s="353" t="s">
        <v>114</v>
      </c>
      <c r="BA103" s="128" t="s">
        <v>377</v>
      </c>
      <c r="BB103" s="396" t="s">
        <v>374</v>
      </c>
      <c r="BC103" s="364" t="s">
        <v>343</v>
      </c>
      <c r="BD103" s="146" t="s">
        <v>376</v>
      </c>
    </row>
    <row r="104" spans="2:56" x14ac:dyDescent="0.25">
      <c r="B104" s="199" t="s">
        <v>138</v>
      </c>
      <c r="C104" s="388">
        <f>I87</f>
        <v>4.8063588692580581E-2</v>
      </c>
      <c r="D104" s="348">
        <f>C104/C13</f>
        <v>3.6110885569181503E-2</v>
      </c>
      <c r="E104" s="354">
        <f>C104 + SUM(I81:I86)+ IF(O2_enrich&gt;0, (D98-(D95*100/J95)) / ((100/J95)-1), 0)</f>
        <v>4.8063588692580581E-2</v>
      </c>
      <c r="F104" s="323">
        <f>E104/C13</f>
        <v>3.6110885569181503E-2</v>
      </c>
      <c r="G104" s="344">
        <f>F104*100/F109</f>
        <v>1.4009211586048479E-3</v>
      </c>
      <c r="H104" s="351">
        <f>Mass_Balance!$E$56*1000</f>
        <v>0.14848055542352309</v>
      </c>
      <c r="I104" s="348">
        <f>H104/Fuel!$C$13</f>
        <v>0.11155563893577994</v>
      </c>
      <c r="J104" s="147">
        <f>E104+H104</f>
        <v>0.19654414411610366</v>
      </c>
      <c r="K104" s="96">
        <f t="shared" si="9"/>
        <v>6.8866402864007688E-3</v>
      </c>
      <c r="L104" s="354">
        <f>J104/C13</f>
        <v>0.14766652450496143</v>
      </c>
      <c r="M104" s="387">
        <f>L104*100/L109</f>
        <v>5.6877940945444499E-3</v>
      </c>
      <c r="O104" s="207"/>
      <c r="P104" s="207"/>
      <c r="Q104" s="290" t="s">
        <v>320</v>
      </c>
      <c r="R104" s="147">
        <f>Z87</f>
        <v>43.060812399315857</v>
      </c>
      <c r="S104" s="347">
        <f>R104/C12</f>
        <v>36.962070729026486</v>
      </c>
      <c r="T104" s="96">
        <f>R95 + R104</f>
        <v>2019.6154750895478</v>
      </c>
      <c r="U104" s="96">
        <f>T104/C12</f>
        <v>1733.5755150983241</v>
      </c>
      <c r="V104" s="332">
        <f>$U104*100/$U$110</f>
        <v>67.254031045231656</v>
      </c>
      <c r="W104" s="29" t="s">
        <v>21</v>
      </c>
      <c r="X104" s="350" t="s">
        <v>21</v>
      </c>
      <c r="Y104" s="147">
        <f>T104</f>
        <v>2019.6154750895478</v>
      </c>
      <c r="Z104" s="96">
        <f t="shared" ref="Z104:Z109" si="10">$Y104*100/$Y$110</f>
        <v>70.764587550235447</v>
      </c>
      <c r="AA104" s="354">
        <f>Y104/C12</f>
        <v>1733.5755150983241</v>
      </c>
      <c r="AB104" s="386">
        <f t="shared" ref="AB104:AB109" si="11">$AA104*100/$AA$110</f>
        <v>66.773567064563835</v>
      </c>
      <c r="AF104" s="290" t="s">
        <v>320</v>
      </c>
      <c r="AG104" s="147">
        <f>AM87</f>
        <v>43.060812399315857</v>
      </c>
      <c r="AH104" s="347">
        <f>AG104/C12</f>
        <v>36.962070729026486</v>
      </c>
      <c r="AI104" s="96">
        <f>AG104+AG95</f>
        <v>2019.615475089548</v>
      </c>
      <c r="AJ104" s="96">
        <f>AI104/C12</f>
        <v>1733.5755150983243</v>
      </c>
      <c r="AK104" s="332">
        <f>$AJ104*100/$AJ$110</f>
        <v>67.254031045231656</v>
      </c>
      <c r="AL104" s="29" t="s">
        <v>21</v>
      </c>
      <c r="AM104" s="350" t="s">
        <v>21</v>
      </c>
      <c r="AN104" s="147">
        <f>AI104</f>
        <v>2019.615475089548</v>
      </c>
      <c r="AO104" s="96">
        <f t="shared" ref="AO104:AO109" si="12">$AN104*100/$AN$110</f>
        <v>70.764587550235447</v>
      </c>
      <c r="AP104" s="354">
        <f>AN104/C12</f>
        <v>1733.5755150983243</v>
      </c>
      <c r="AQ104" s="386">
        <f t="shared" ref="AQ104:AQ109" si="13">$AP104*100/$AP$110</f>
        <v>66.773567064563849</v>
      </c>
      <c r="AS104" s="290" t="s">
        <v>320</v>
      </c>
      <c r="AT104" s="147">
        <f>AZ87</f>
        <v>39.115092129555421</v>
      </c>
      <c r="AU104" s="347">
        <f>AT104/C12</f>
        <v>33.575186377300788</v>
      </c>
      <c r="AV104" s="96">
        <f>AT104+AT95</f>
        <v>39.115092129555421</v>
      </c>
      <c r="AW104" s="96">
        <f>AV104/C12</f>
        <v>33.575186377300788</v>
      </c>
      <c r="AX104" s="332">
        <f>$AW104*100/$AW$110</f>
        <v>4.2969916179751682</v>
      </c>
      <c r="AY104" s="29" t="s">
        <v>21</v>
      </c>
      <c r="AZ104" s="350" t="s">
        <v>21</v>
      </c>
      <c r="BA104" s="147">
        <f>AV104</f>
        <v>39.115092129555421</v>
      </c>
      <c r="BB104" s="96">
        <f t="shared" ref="BB104:BB109" si="14">$BA104*100/$BA$110</f>
        <v>5.088138089455148</v>
      </c>
      <c r="BC104" s="354">
        <f>BA104/C12</f>
        <v>33.575186377300788</v>
      </c>
      <c r="BD104" s="386">
        <f t="shared" ref="BD104:BD109" si="15">$BC104*100/$BC$110</f>
        <v>4.1973586973008148</v>
      </c>
    </row>
    <row r="105" spans="2:56" x14ac:dyDescent="0.25">
      <c r="B105" s="199" t="s">
        <v>321</v>
      </c>
      <c r="C105" s="29" t="s">
        <v>21</v>
      </c>
      <c r="D105" s="348" t="s">
        <v>21</v>
      </c>
      <c r="E105" s="96">
        <f>IF(O2_substitute&gt;0, M96, C96)</f>
        <v>33.557102252504315</v>
      </c>
      <c r="F105" s="96">
        <f>E105/C16</f>
        <v>20.202951386215723</v>
      </c>
      <c r="G105" s="332">
        <f>$F105*100/$F$109</f>
        <v>0.78377313702241236</v>
      </c>
      <c r="H105" s="29" t="s">
        <v>21</v>
      </c>
      <c r="I105" s="350" t="s">
        <v>21</v>
      </c>
      <c r="J105" s="147">
        <f>E105</f>
        <v>33.557102252504315</v>
      </c>
      <c r="K105" s="96">
        <f t="shared" si="9"/>
        <v>1.1757953578634837</v>
      </c>
      <c r="L105" s="354">
        <f>J105/C16</f>
        <v>20.202951386215723</v>
      </c>
      <c r="M105" s="387">
        <f>L105*100/L109</f>
        <v>0.77817384794632682</v>
      </c>
      <c r="N105" s="88"/>
      <c r="O105" s="207"/>
      <c r="P105" s="207"/>
      <c r="Q105" s="199" t="s">
        <v>138</v>
      </c>
      <c r="R105" s="388">
        <f>X88</f>
        <v>4.8063588692580567E-2</v>
      </c>
      <c r="S105" s="348">
        <f>R105/C13</f>
        <v>3.6110885569181496E-2</v>
      </c>
      <c r="T105" s="323">
        <f>R105</f>
        <v>4.8063588692580567E-2</v>
      </c>
      <c r="U105" s="323">
        <f>T105/C13</f>
        <v>3.6110885569181496E-2</v>
      </c>
      <c r="V105" s="332">
        <f>$U105*100/$U$110</f>
        <v>1.4009211586048479E-3</v>
      </c>
      <c r="W105" s="351">
        <f>Mass_Balance!$E$56*1000</f>
        <v>0.14848055542352309</v>
      </c>
      <c r="X105" s="348">
        <f>W105/Fuel!$C$13</f>
        <v>0.11155563893577994</v>
      </c>
      <c r="Y105" s="147">
        <f>T105+W105</f>
        <v>0.19654414411610366</v>
      </c>
      <c r="Z105" s="96">
        <f t="shared" si="10"/>
        <v>6.8866402864007688E-3</v>
      </c>
      <c r="AA105" s="354">
        <f>Y105/C13</f>
        <v>0.14766652450496143</v>
      </c>
      <c r="AB105" s="386">
        <f t="shared" si="11"/>
        <v>5.6877940945444499E-3</v>
      </c>
      <c r="AF105" s="199" t="s">
        <v>138</v>
      </c>
      <c r="AG105" s="388">
        <f>AO88</f>
        <v>4.8063588692580567E-2</v>
      </c>
      <c r="AH105" s="348">
        <f>AG105/C13</f>
        <v>3.6110885569181496E-2</v>
      </c>
      <c r="AI105" s="323">
        <f>AG105</f>
        <v>4.8063588692580567E-2</v>
      </c>
      <c r="AJ105" s="323">
        <f>AI105/C13</f>
        <v>3.6110885569181496E-2</v>
      </c>
      <c r="AK105" s="332">
        <f>$AJ105*100/$AJ$110</f>
        <v>1.4009211586048476E-3</v>
      </c>
      <c r="AL105" s="351">
        <f>Mass_Balance!$E$56*1000</f>
        <v>0.14848055542352309</v>
      </c>
      <c r="AM105" s="348">
        <f>AL105/Fuel!$C$13</f>
        <v>0.11155563893577994</v>
      </c>
      <c r="AN105" s="147">
        <f>AI105+AL105</f>
        <v>0.19654414411610366</v>
      </c>
      <c r="AO105" s="96">
        <f t="shared" si="12"/>
        <v>6.8866402864007688E-3</v>
      </c>
      <c r="AP105" s="354">
        <f>AN105/C13</f>
        <v>0.14766652450496143</v>
      </c>
      <c r="AQ105" s="386">
        <f t="shared" si="13"/>
        <v>5.6877940945444499E-3</v>
      </c>
      <c r="AS105" s="199" t="s">
        <v>138</v>
      </c>
      <c r="AT105" s="388">
        <f>BB88</f>
        <v>4.3659457289227009E-2</v>
      </c>
      <c r="AU105" s="348">
        <f>AT105/C13</f>
        <v>3.2801996460726526E-2</v>
      </c>
      <c r="AV105" s="323">
        <f>AT105</f>
        <v>4.3659457289227009E-2</v>
      </c>
      <c r="AW105" s="323">
        <f>AV105/C13</f>
        <v>3.2801996460726526E-2</v>
      </c>
      <c r="AX105" s="332">
        <f>$AW105*100/$AW$110</f>
        <v>4.1980378682241713E-3</v>
      </c>
      <c r="AY105" s="351">
        <f>Mass_Balance!$E$56*1000</f>
        <v>0.14848055542352309</v>
      </c>
      <c r="AZ105" s="348">
        <f>AY105/Fuel!$C$13</f>
        <v>0.11155563893577994</v>
      </c>
      <c r="BA105" s="147">
        <f>AV105+AY105</f>
        <v>0.19214001271275011</v>
      </c>
      <c r="BB105" s="96">
        <f t="shared" si="14"/>
        <v>2.4993803260236671E-2</v>
      </c>
      <c r="BC105" s="354">
        <f>BA105/C13</f>
        <v>0.14435763539650648</v>
      </c>
      <c r="BD105" s="386">
        <f t="shared" si="15"/>
        <v>1.8046683930337076E-2</v>
      </c>
    </row>
    <row r="106" spans="2:56" x14ac:dyDescent="0.25">
      <c r="B106" s="199" t="s">
        <v>98</v>
      </c>
      <c r="C106" s="147">
        <f>SUM(E81:E85) + E88</f>
        <v>426.09515735957672</v>
      </c>
      <c r="D106" s="347">
        <f>C106/C14</f>
        <v>215.52612916518802</v>
      </c>
      <c r="E106" s="96">
        <f>IF(O2_substitute&gt;0, M97, C97) + C106</f>
        <v>427.38358429152987</v>
      </c>
      <c r="F106" s="96">
        <f>E106/C14</f>
        <v>216.17783727442077</v>
      </c>
      <c r="G106" s="332">
        <f>$F106*100/$F$109</f>
        <v>8.3866153234866854</v>
      </c>
      <c r="H106" s="351">
        <f>Mass_Balance!$E$57*1000</f>
        <v>36.000541796255419</v>
      </c>
      <c r="I106" s="348">
        <f>H106/Fuel!$C$14</f>
        <v>18.209682243932939</v>
      </c>
      <c r="J106" s="147">
        <f>E106+H106</f>
        <v>463.38412608778526</v>
      </c>
      <c r="K106" s="96">
        <f t="shared" si="9"/>
        <v>16.236351406682747</v>
      </c>
      <c r="L106" s="354">
        <f>J106/C14</f>
        <v>234.38751951835368</v>
      </c>
      <c r="M106" s="386">
        <f>L106*100/L109</f>
        <v>9.0280986419953422</v>
      </c>
      <c r="N106" s="88"/>
      <c r="P106" s="207"/>
      <c r="Q106" s="199" t="s">
        <v>321</v>
      </c>
      <c r="R106" s="29" t="s">
        <v>21</v>
      </c>
      <c r="S106" s="348" t="s">
        <v>21</v>
      </c>
      <c r="T106" s="96">
        <f>R97</f>
        <v>33.557102252504315</v>
      </c>
      <c r="U106" s="96">
        <f>T106/C16</f>
        <v>20.202951386215723</v>
      </c>
      <c r="V106" s="332">
        <f>$U106*100/$U$110</f>
        <v>0.78377313702241247</v>
      </c>
      <c r="W106" s="29" t="s">
        <v>21</v>
      </c>
      <c r="X106" s="350" t="s">
        <v>21</v>
      </c>
      <c r="Y106" s="147">
        <f>T106</f>
        <v>33.557102252504315</v>
      </c>
      <c r="Z106" s="96">
        <f t="shared" si="10"/>
        <v>1.1757953578634837</v>
      </c>
      <c r="AA106" s="354">
        <f>Y106/C16</f>
        <v>20.202951386215723</v>
      </c>
      <c r="AB106" s="386">
        <f t="shared" si="11"/>
        <v>0.77817384794632682</v>
      </c>
      <c r="AF106" s="199" t="s">
        <v>321</v>
      </c>
      <c r="AG106" s="29" t="str">
        <f>$R106</f>
        <v>-</v>
      </c>
      <c r="AH106" s="348" t="str">
        <f>$S106</f>
        <v>-</v>
      </c>
      <c r="AI106" s="96">
        <f>AG97</f>
        <v>33.557102252504322</v>
      </c>
      <c r="AJ106" s="96">
        <f>AI106/C16</f>
        <v>20.202951386215727</v>
      </c>
      <c r="AK106" s="332">
        <f>$AJ106*100/$AJ$110</f>
        <v>0.78377313702241258</v>
      </c>
      <c r="AL106" s="29" t="s">
        <v>21</v>
      </c>
      <c r="AM106" s="350" t="s">
        <v>21</v>
      </c>
      <c r="AN106" s="147">
        <f>AI106</f>
        <v>33.557102252504322</v>
      </c>
      <c r="AO106" s="96">
        <f t="shared" si="12"/>
        <v>1.1757953578634841</v>
      </c>
      <c r="AP106" s="354">
        <f>AN106/C16</f>
        <v>20.202951386215727</v>
      </c>
      <c r="AQ106" s="386">
        <f t="shared" si="13"/>
        <v>0.77817384794632705</v>
      </c>
      <c r="AS106" s="199" t="s">
        <v>321</v>
      </c>
      <c r="AT106" s="29" t="str">
        <f>$R106</f>
        <v>-</v>
      </c>
      <c r="AU106" s="348" t="str">
        <f>$S106</f>
        <v>-</v>
      </c>
      <c r="AV106" s="96">
        <f>AT97</f>
        <v>0</v>
      </c>
      <c r="AW106" s="96">
        <f>AV106/C16</f>
        <v>0</v>
      </c>
      <c r="AX106" s="332">
        <f>$AW106*100/$AW$110</f>
        <v>0</v>
      </c>
      <c r="AY106" s="29" t="s">
        <v>21</v>
      </c>
      <c r="AZ106" s="350" t="s">
        <v>21</v>
      </c>
      <c r="BA106" s="147">
        <f>AV106</f>
        <v>0</v>
      </c>
      <c r="BB106" s="96">
        <f t="shared" si="14"/>
        <v>0</v>
      </c>
      <c r="BC106" s="354">
        <f>BA106/C16</f>
        <v>0</v>
      </c>
      <c r="BD106" s="386">
        <f t="shared" si="15"/>
        <v>0</v>
      </c>
    </row>
    <row r="107" spans="2:56" x14ac:dyDescent="0.25">
      <c r="B107" s="199" t="s">
        <v>139</v>
      </c>
      <c r="C107" s="147">
        <f>SUM(G81:G85)</f>
        <v>336.64393647736836</v>
      </c>
      <c r="D107" s="348">
        <f>C107/C15</f>
        <v>607.66053515770454</v>
      </c>
      <c r="E107" s="96">
        <f>C107</f>
        <v>336.64393647736836</v>
      </c>
      <c r="F107" s="96">
        <f>E107/C15</f>
        <v>607.66053515770454</v>
      </c>
      <c r="G107" s="332">
        <f>$F107*100/$F$109</f>
        <v>23.574179573100643</v>
      </c>
      <c r="H107" s="29" t="s">
        <v>21</v>
      </c>
      <c r="I107" s="350" t="s">
        <v>21</v>
      </c>
      <c r="J107" s="147">
        <f>E107</f>
        <v>336.64393647736836</v>
      </c>
      <c r="K107" s="96">
        <f t="shared" si="9"/>
        <v>11.795547028600762</v>
      </c>
      <c r="L107" s="354">
        <f>J107/C15</f>
        <v>607.66053515770454</v>
      </c>
      <c r="M107" s="386">
        <f>L107*100/L109</f>
        <v>23.405765219601861</v>
      </c>
      <c r="N107" s="88"/>
      <c r="O107" s="207"/>
      <c r="P107" s="207"/>
      <c r="Q107" s="199" t="s">
        <v>98</v>
      </c>
      <c r="R107" s="147">
        <f>SUM(T82:T86) + T89</f>
        <v>426.09515735957666</v>
      </c>
      <c r="S107" s="347">
        <f>R107/C14</f>
        <v>215.526129165188</v>
      </c>
      <c r="T107" s="96">
        <f>R107 + R98</f>
        <v>427.38358429152981</v>
      </c>
      <c r="U107" s="96">
        <f>T107/C14</f>
        <v>216.17783727442074</v>
      </c>
      <c r="V107" s="332">
        <f>$U107*100/$U$110</f>
        <v>8.3866153234866854</v>
      </c>
      <c r="W107" s="351">
        <f>Mass_Balance!$E$57*1000</f>
        <v>36.000541796255419</v>
      </c>
      <c r="X107" s="348">
        <f>W107/Fuel!$C$14</f>
        <v>18.209682243932939</v>
      </c>
      <c r="Y107" s="147">
        <f>T107+W107</f>
        <v>463.38412608778526</v>
      </c>
      <c r="Z107" s="96">
        <f t="shared" si="10"/>
        <v>16.236351406682747</v>
      </c>
      <c r="AA107" s="354">
        <f>Y107/C14</f>
        <v>234.38751951835368</v>
      </c>
      <c r="AB107" s="386">
        <f t="shared" si="11"/>
        <v>9.0280986419953422</v>
      </c>
      <c r="AF107" s="199" t="s">
        <v>98</v>
      </c>
      <c r="AG107" s="147">
        <f>SUM(AI82:AI86) + AI89</f>
        <v>426.09515735957666</v>
      </c>
      <c r="AH107" s="347">
        <f>AG107/C14</f>
        <v>215.526129165188</v>
      </c>
      <c r="AI107" s="96">
        <f>AG107+AG98</f>
        <v>427.38358429152981</v>
      </c>
      <c r="AJ107" s="96">
        <f>AI107/C14</f>
        <v>216.17783727442074</v>
      </c>
      <c r="AK107" s="332">
        <f>$AJ107*100/$AJ$110</f>
        <v>8.3866153234866854</v>
      </c>
      <c r="AL107" s="351">
        <f>Mass_Balance!$E$57*1000</f>
        <v>36.000541796255419</v>
      </c>
      <c r="AM107" s="348">
        <f>AL107/Fuel!$C$14</f>
        <v>18.209682243932939</v>
      </c>
      <c r="AN107" s="147">
        <f>AI107+AL107</f>
        <v>463.38412608778526</v>
      </c>
      <c r="AO107" s="96">
        <f t="shared" si="12"/>
        <v>16.236351406682747</v>
      </c>
      <c r="AP107" s="354">
        <f>AN107/C14</f>
        <v>234.38751951835368</v>
      </c>
      <c r="AQ107" s="386">
        <f t="shared" si="13"/>
        <v>9.0280986419953422</v>
      </c>
      <c r="AS107" s="199" t="s">
        <v>98</v>
      </c>
      <c r="AT107" s="147">
        <f>SUM(AV82:AV86) + AV89</f>
        <v>387.05148387637144</v>
      </c>
      <c r="AU107" s="347">
        <f>AT107/C14</f>
        <v>195.77717950246404</v>
      </c>
      <c r="AV107" s="96">
        <f>AT107+AT98</f>
        <v>387.05148387637144</v>
      </c>
      <c r="AW107" s="96">
        <f>AV107/C14</f>
        <v>195.77717950246404</v>
      </c>
      <c r="AX107" s="332">
        <f>$AW107*100/$AW$110</f>
        <v>25.055792389633751</v>
      </c>
      <c r="AY107" s="351">
        <f>Mass_Balance!$E$57*1000</f>
        <v>36.000541796255419</v>
      </c>
      <c r="AZ107" s="348">
        <f>AY107/Fuel!$C$14</f>
        <v>18.209682243932939</v>
      </c>
      <c r="BA107" s="147">
        <f>AV107+AY107</f>
        <v>423.05202567262688</v>
      </c>
      <c r="BB107" s="96">
        <f t="shared" si="14"/>
        <v>55.0311148064402</v>
      </c>
      <c r="BC107" s="354">
        <f>BA107/C14</f>
        <v>213.98686174639701</v>
      </c>
      <c r="BD107" s="386">
        <f t="shared" si="15"/>
        <v>26.751292015658912</v>
      </c>
    </row>
    <row r="108" spans="2:56" x14ac:dyDescent="0.25">
      <c r="B108" s="291" t="s">
        <v>177</v>
      </c>
      <c r="C108" s="29" t="s">
        <v>21</v>
      </c>
      <c r="D108" s="350" t="s">
        <v>21</v>
      </c>
      <c r="E108" s="11" t="s">
        <v>21</v>
      </c>
      <c r="F108" s="11" t="s">
        <v>21</v>
      </c>
      <c r="G108" s="395" t="s">
        <v>21</v>
      </c>
      <c r="H108" s="351">
        <f>Mass_Balance!$E$55*1000</f>
        <v>0.59454402288250263</v>
      </c>
      <c r="I108" s="348">
        <f>H108/$C$17</f>
        <v>0.22606236611502001</v>
      </c>
      <c r="J108" s="397">
        <f>H108</f>
        <v>0.59454402288250263</v>
      </c>
      <c r="K108" s="98">
        <f t="shared" si="9"/>
        <v>2.0832016331164518E-2</v>
      </c>
      <c r="L108" s="398">
        <f>J108/C17</f>
        <v>0.22606236611502001</v>
      </c>
      <c r="M108" s="399">
        <f>L108*100/L109</f>
        <v>8.7074317980887737E-3</v>
      </c>
      <c r="N108" s="88"/>
      <c r="O108" s="207"/>
      <c r="P108" s="207"/>
      <c r="Q108" s="199" t="s">
        <v>139</v>
      </c>
      <c r="R108" s="147">
        <f>SUM(V82:V86)</f>
        <v>336.64393647736836</v>
      </c>
      <c r="S108" s="348">
        <f>R108/C15</f>
        <v>607.66053515770454</v>
      </c>
      <c r="T108" s="96">
        <f>R108</f>
        <v>336.64393647736836</v>
      </c>
      <c r="U108" s="96">
        <f>T108/C15</f>
        <v>607.66053515770454</v>
      </c>
      <c r="V108" s="332">
        <f>$U108*100/$U$110</f>
        <v>23.574179573100647</v>
      </c>
      <c r="W108" s="29" t="s">
        <v>21</v>
      </c>
      <c r="X108" s="350" t="s">
        <v>21</v>
      </c>
      <c r="Y108" s="147">
        <f>T108</f>
        <v>336.64393647736836</v>
      </c>
      <c r="Z108" s="96">
        <f t="shared" si="10"/>
        <v>11.795547028600762</v>
      </c>
      <c r="AA108" s="354">
        <f>Y108/C15</f>
        <v>607.66053515770454</v>
      </c>
      <c r="AB108" s="386">
        <f t="shared" si="11"/>
        <v>23.405765219601861</v>
      </c>
      <c r="AF108" s="199" t="s">
        <v>139</v>
      </c>
      <c r="AG108" s="147">
        <f>SUM(AK82:AK86)</f>
        <v>336.64393647736836</v>
      </c>
      <c r="AH108" s="348">
        <f>AG108/C15</f>
        <v>607.66053515770454</v>
      </c>
      <c r="AI108" s="96">
        <f>AG108</f>
        <v>336.64393647736836</v>
      </c>
      <c r="AJ108" s="96">
        <f>AI108/C15</f>
        <v>607.66053515770454</v>
      </c>
      <c r="AK108" s="332">
        <f>$AJ108*100/$AJ$110</f>
        <v>23.574179573100643</v>
      </c>
      <c r="AL108" s="29" t="s">
        <v>21</v>
      </c>
      <c r="AM108" s="350" t="s">
        <v>21</v>
      </c>
      <c r="AN108" s="147">
        <f>AI108</f>
        <v>336.64393647736836</v>
      </c>
      <c r="AO108" s="96">
        <f t="shared" si="12"/>
        <v>11.795547028600762</v>
      </c>
      <c r="AP108" s="354">
        <f>AN108/C15</f>
        <v>607.66053515770454</v>
      </c>
      <c r="AQ108" s="386">
        <f t="shared" si="13"/>
        <v>23.405765219601861</v>
      </c>
      <c r="AS108" s="199" t="s">
        <v>139</v>
      </c>
      <c r="AT108" s="147">
        <f>SUM(AX82:AX86)</f>
        <v>305.79679890985233</v>
      </c>
      <c r="AU108" s="348">
        <f>AT108/C15</f>
        <v>551.97978142572617</v>
      </c>
      <c r="AV108" s="96">
        <f>AT108</f>
        <v>305.79679890985233</v>
      </c>
      <c r="AW108" s="96">
        <f>AV108/C15</f>
        <v>551.97978142572617</v>
      </c>
      <c r="AX108" s="332">
        <f>$AW108*100/$AW$110</f>
        <v>70.643017954522861</v>
      </c>
      <c r="AY108" s="29" t="s">
        <v>21</v>
      </c>
      <c r="AZ108" s="350" t="s">
        <v>21</v>
      </c>
      <c r="BA108" s="147">
        <f>AV108</f>
        <v>305.79679890985233</v>
      </c>
      <c r="BB108" s="96">
        <f t="shared" si="14"/>
        <v>39.778414301394633</v>
      </c>
      <c r="BC108" s="354">
        <f>BA108/C15</f>
        <v>551.97978142572617</v>
      </c>
      <c r="BD108" s="386">
        <f t="shared" si="15"/>
        <v>69.005041707462709</v>
      </c>
    </row>
    <row r="109" spans="2:56" x14ac:dyDescent="0.25">
      <c r="C109" s="152">
        <f t="shared" ref="C109:M109" si="16">SUM(C103:C108)</f>
        <v>805.84796982495345</v>
      </c>
      <c r="D109" s="352">
        <f t="shared" si="16"/>
        <v>860.18484593748826</v>
      </c>
      <c r="E109" s="327">
        <f t="shared" si="16"/>
        <v>2817.2481616996433</v>
      </c>
      <c r="F109" s="325">
        <f t="shared" si="16"/>
        <v>2577.6529498022346</v>
      </c>
      <c r="G109" s="345">
        <f t="shared" si="16"/>
        <v>100</v>
      </c>
      <c r="H109" s="152">
        <f t="shared" si="16"/>
        <v>36.743566374561446</v>
      </c>
      <c r="I109" s="352">
        <f t="shared" si="16"/>
        <v>18.547300248983738</v>
      </c>
      <c r="J109" s="400">
        <f t="shared" si="16"/>
        <v>2853.9917280742043</v>
      </c>
      <c r="K109" s="151">
        <f t="shared" si="16"/>
        <v>100</v>
      </c>
      <c r="L109" s="379">
        <f t="shared" si="16"/>
        <v>2596.2002500512181</v>
      </c>
      <c r="M109" s="346">
        <f t="shared" si="16"/>
        <v>100</v>
      </c>
      <c r="O109" s="207"/>
      <c r="Q109" s="291" t="s">
        <v>177</v>
      </c>
      <c r="R109" s="29" t="s">
        <v>21</v>
      </c>
      <c r="S109" s="350" t="s">
        <v>21</v>
      </c>
      <c r="T109" s="11" t="s">
        <v>21</v>
      </c>
      <c r="U109" s="11" t="s">
        <v>21</v>
      </c>
      <c r="V109" s="395" t="s">
        <v>21</v>
      </c>
      <c r="W109" s="351">
        <f>Mass_Balance!$E$55*1000</f>
        <v>0.59454402288250263</v>
      </c>
      <c r="X109" s="348">
        <f>W109/$C$17</f>
        <v>0.22606236611502001</v>
      </c>
      <c r="Y109" s="397">
        <f>W109</f>
        <v>0.59454402288250263</v>
      </c>
      <c r="Z109" s="96">
        <f t="shared" si="10"/>
        <v>2.0832016331164518E-2</v>
      </c>
      <c r="AA109" s="398">
        <f>Y109/C17</f>
        <v>0.22606236611502001</v>
      </c>
      <c r="AB109" s="386">
        <f t="shared" si="11"/>
        <v>8.7074317980887737E-3</v>
      </c>
      <c r="AF109" s="291" t="s">
        <v>177</v>
      </c>
      <c r="AG109" s="29" t="str">
        <f>$R109</f>
        <v>-</v>
      </c>
      <c r="AH109" s="350" t="str">
        <f>$S109</f>
        <v>-</v>
      </c>
      <c r="AI109" s="11" t="s">
        <v>21</v>
      </c>
      <c r="AJ109" s="11" t="s">
        <v>21</v>
      </c>
      <c r="AK109" s="395" t="s">
        <v>21</v>
      </c>
      <c r="AL109" s="351">
        <f>Mass_Balance!$E$55*1000</f>
        <v>0.59454402288250263</v>
      </c>
      <c r="AM109" s="348">
        <f>AL109/$C$17</f>
        <v>0.22606236611502001</v>
      </c>
      <c r="AN109" s="397">
        <f>AL109</f>
        <v>0.59454402288250263</v>
      </c>
      <c r="AO109" s="96">
        <f t="shared" si="12"/>
        <v>2.0832016331164518E-2</v>
      </c>
      <c r="AP109" s="398">
        <f>AN109/C17</f>
        <v>0.22606236611502001</v>
      </c>
      <c r="AQ109" s="386">
        <f t="shared" si="13"/>
        <v>8.7074317980887737E-3</v>
      </c>
      <c r="AS109" s="291" t="s">
        <v>177</v>
      </c>
      <c r="AT109" s="29" t="str">
        <f>$R109</f>
        <v>-</v>
      </c>
      <c r="AU109" s="350" t="str">
        <f>$S109</f>
        <v>-</v>
      </c>
      <c r="AV109" s="11" t="s">
        <v>21</v>
      </c>
      <c r="AW109" s="11" t="s">
        <v>21</v>
      </c>
      <c r="AX109" s="395" t="s">
        <v>21</v>
      </c>
      <c r="AY109" s="351">
        <f>Mass_Balance!$E$55*1000</f>
        <v>0.59454402288250263</v>
      </c>
      <c r="AZ109" s="348">
        <f>AY109/Fuel!$C$17</f>
        <v>0.22606236611502001</v>
      </c>
      <c r="BA109" s="397">
        <f>AY109</f>
        <v>0.59454402288250263</v>
      </c>
      <c r="BB109" s="96">
        <f t="shared" si="14"/>
        <v>7.7338999449794665E-2</v>
      </c>
      <c r="BC109" s="398">
        <f>BA109/C17</f>
        <v>0.22606236611502001</v>
      </c>
      <c r="BD109" s="386">
        <f t="shared" si="15"/>
        <v>2.8260895647232515E-2</v>
      </c>
    </row>
    <row r="110" spans="2:56" x14ac:dyDescent="0.25">
      <c r="B110" s="380"/>
      <c r="C110" s="284"/>
      <c r="D110" s="73"/>
      <c r="E110" s="73"/>
      <c r="H110" s="391"/>
      <c r="I110" s="77"/>
      <c r="J110" s="389"/>
      <c r="M110" s="88"/>
      <c r="R110" s="152">
        <f t="shared" ref="R110:AB110" si="17">SUM(R104:R109)</f>
        <v>805.84796982495345</v>
      </c>
      <c r="S110" s="352">
        <f t="shared" si="17"/>
        <v>860.18484593748826</v>
      </c>
      <c r="T110" s="327">
        <f t="shared" si="17"/>
        <v>2817.2481616996424</v>
      </c>
      <c r="U110" s="325">
        <f t="shared" si="17"/>
        <v>2577.6529498022342</v>
      </c>
      <c r="V110" s="345">
        <f t="shared" si="17"/>
        <v>100</v>
      </c>
      <c r="W110" s="152">
        <f t="shared" si="17"/>
        <v>36.743566374561446</v>
      </c>
      <c r="X110" s="352">
        <f t="shared" si="17"/>
        <v>18.547300248983738</v>
      </c>
      <c r="Y110" s="400">
        <f>SUM(Y104:Y109)</f>
        <v>2853.9917280742043</v>
      </c>
      <c r="Z110" s="151">
        <f t="shared" si="17"/>
        <v>100</v>
      </c>
      <c r="AA110" s="379">
        <f t="shared" si="17"/>
        <v>2596.2002500512181</v>
      </c>
      <c r="AB110" s="346">
        <f t="shared" si="17"/>
        <v>99.999999999999986</v>
      </c>
      <c r="AG110" s="152">
        <f t="shared" ref="AG110:AQ110" si="18">SUM(AG104:AG109)</f>
        <v>805.84796982495345</v>
      </c>
      <c r="AH110" s="352">
        <f t="shared" si="18"/>
        <v>860.18484593748826</v>
      </c>
      <c r="AI110" s="327">
        <f t="shared" si="18"/>
        <v>2817.2481616996433</v>
      </c>
      <c r="AJ110" s="325">
        <f t="shared" si="18"/>
        <v>2577.6529498022346</v>
      </c>
      <c r="AK110" s="626">
        <f t="shared" si="18"/>
        <v>100</v>
      </c>
      <c r="AL110" s="152">
        <f t="shared" si="18"/>
        <v>36.743566374561446</v>
      </c>
      <c r="AM110" s="352">
        <f t="shared" si="18"/>
        <v>18.547300248983738</v>
      </c>
      <c r="AN110" s="400">
        <f t="shared" si="18"/>
        <v>2853.9917280742043</v>
      </c>
      <c r="AO110" s="151">
        <f t="shared" si="18"/>
        <v>100</v>
      </c>
      <c r="AP110" s="325">
        <f t="shared" si="18"/>
        <v>2596.2002500512181</v>
      </c>
      <c r="AQ110" s="346">
        <f t="shared" si="18"/>
        <v>100</v>
      </c>
      <c r="AT110" s="152">
        <f t="shared" ref="AT110:BD110" si="19">SUM(AT104:AT109)</f>
        <v>732.00703437306834</v>
      </c>
      <c r="AU110" s="352">
        <f>SUM(AU104:AU109)</f>
        <v>781.3649493019517</v>
      </c>
      <c r="AV110" s="327">
        <f>SUM(AV104:AV109)</f>
        <v>732.00703437306834</v>
      </c>
      <c r="AW110" s="325">
        <f t="shared" si="19"/>
        <v>781.3649493019517</v>
      </c>
      <c r="AX110" s="626">
        <f t="shared" si="19"/>
        <v>100</v>
      </c>
      <c r="AY110" s="152">
        <f t="shared" si="19"/>
        <v>36.743566374561446</v>
      </c>
      <c r="AZ110" s="352">
        <f t="shared" si="19"/>
        <v>18.547300248983738</v>
      </c>
      <c r="BA110" s="400">
        <f t="shared" si="19"/>
        <v>768.75060074762985</v>
      </c>
      <c r="BB110" s="151">
        <f t="shared" si="19"/>
        <v>100.00000000000001</v>
      </c>
      <c r="BC110" s="325">
        <f t="shared" si="19"/>
        <v>799.91224955093548</v>
      </c>
      <c r="BD110" s="346">
        <f t="shared" si="19"/>
        <v>100</v>
      </c>
    </row>
    <row r="111" spans="2:56" x14ac:dyDescent="0.25">
      <c r="E111" s="46"/>
      <c r="O111" s="88"/>
    </row>
    <row r="112" spans="2:56" ht="15.75" thickBot="1" x14ac:dyDescent="0.3">
      <c r="G112" s="35"/>
      <c r="AL112" s="88"/>
      <c r="AM112" s="88"/>
      <c r="AN112" s="88"/>
      <c r="AO112" s="88"/>
      <c r="AP112" s="88"/>
      <c r="AQ112" s="88"/>
      <c r="AY112" s="88"/>
      <c r="AZ112" s="88"/>
      <c r="BA112" s="88"/>
      <c r="BB112" s="88"/>
      <c r="BC112" s="88"/>
      <c r="BD112" s="88"/>
    </row>
    <row r="113" spans="2:56" ht="15.75" thickBot="1" x14ac:dyDescent="0.3">
      <c r="B113" s="430"/>
      <c r="C113" s="428" t="s">
        <v>445</v>
      </c>
      <c r="D113" s="428" t="s">
        <v>446</v>
      </c>
      <c r="E113" s="428" t="s">
        <v>447</v>
      </c>
      <c r="F113" s="428" t="s">
        <v>448</v>
      </c>
      <c r="G113" s="428" t="s">
        <v>449</v>
      </c>
      <c r="H113" s="428" t="s">
        <v>450</v>
      </c>
      <c r="I113" s="428" t="s">
        <v>451</v>
      </c>
      <c r="J113" s="428" t="s">
        <v>452</v>
      </c>
      <c r="K113" s="505" t="s">
        <v>456</v>
      </c>
      <c r="L113" s="429" t="s">
        <v>54</v>
      </c>
      <c r="AL113" s="88"/>
      <c r="AM113" s="88"/>
      <c r="AN113" s="88"/>
      <c r="AO113" s="88"/>
      <c r="AP113" s="88"/>
      <c r="AQ113" s="88"/>
      <c r="AY113" s="88"/>
      <c r="AZ113" s="88"/>
      <c r="BA113" s="88"/>
      <c r="BB113" s="88"/>
      <c r="BC113" s="88"/>
      <c r="BD113" s="88"/>
    </row>
    <row r="114" spans="2:56" x14ac:dyDescent="0.25">
      <c r="B114" s="473" t="s">
        <v>443</v>
      </c>
      <c r="C114" s="461">
        <f>($M$94*C29 + $M$95*C30 + $M$96*C33 + $M$97*C31)/1000</f>
        <v>2.6246249061186129</v>
      </c>
      <c r="D114" s="461">
        <f>($M$94*J29 + $M$95*J30 + $M$96*J33 + $M$97*J31)/1000</f>
        <v>2.7320215446520981</v>
      </c>
      <c r="E114" s="223">
        <f>AVERAGE(D114,F114)</f>
        <v>2.832849337952795</v>
      </c>
      <c r="F114" s="461">
        <f>($M$94*K$29 + $M$95*K$30 + $M$96*K$33 + $M$97*K$31)/1000</f>
        <v>2.9336771312534915</v>
      </c>
      <c r="G114" s="221">
        <f>($M$94*L$29 + $M$95*L$30 + $M$96*L$33 + $M$97*L$31)/1000</f>
        <v>2.9835893161235698</v>
      </c>
      <c r="H114" s="221">
        <f>($M$94*M$29 + $M$95*M$30 + $M$96*M$33 + $M$97*M$31)/1000</f>
        <v>2.9947512864996693</v>
      </c>
      <c r="I114" s="221">
        <f>($M$94*N$29 + $M$95*N$30 + $M$96*N$33 + $M$97*N$31)/1000</f>
        <v>3.0059119684491198</v>
      </c>
      <c r="J114" s="221">
        <f>($M$94*O$29 + $M$95*O$30 + $M$96*O$33 + $M$97*O$31)/1000</f>
        <v>3.0205647916619243</v>
      </c>
      <c r="K114" s="506">
        <f xml:space="preserve"> IF(Excess_air&gt;31, "Not available",   IF(Heat_Balance!D32&lt;=500, $D114, IF(Heat_Balance!D32&lt;=1000, $E114, IF(Heat_Balance!D32&lt;=1500, $F114, IF(Heat_Balance!D32&lt;=2000, $G114, IF(Heat_Balance!D32&lt;=2200, $H114, IF(Heat_Balance!D32&lt;=2500, I114, J114))))))   )</f>
        <v>2.9336771312534915</v>
      </c>
      <c r="L114" s="504" t="s">
        <v>442</v>
      </c>
      <c r="Q114" s="430"/>
      <c r="R114" s="428" t="s">
        <v>445</v>
      </c>
      <c r="S114" s="428" t="s">
        <v>446</v>
      </c>
      <c r="T114" s="428" t="s">
        <v>447</v>
      </c>
      <c r="U114" s="428" t="s">
        <v>448</v>
      </c>
      <c r="V114" s="428" t="s">
        <v>449</v>
      </c>
      <c r="W114" s="428" t="s">
        <v>450</v>
      </c>
      <c r="X114" s="428" t="s">
        <v>451</v>
      </c>
      <c r="Y114" s="428" t="s">
        <v>452</v>
      </c>
      <c r="Z114" s="428" t="s">
        <v>456</v>
      </c>
      <c r="AA114" s="429" t="s">
        <v>54</v>
      </c>
      <c r="AF114" s="430"/>
      <c r="AG114" s="428" t="s">
        <v>445</v>
      </c>
      <c r="AH114" s="428" t="s">
        <v>446</v>
      </c>
      <c r="AI114" s="428" t="s">
        <v>447</v>
      </c>
      <c r="AJ114" s="428" t="s">
        <v>448</v>
      </c>
      <c r="AK114" s="428" t="s">
        <v>449</v>
      </c>
      <c r="AL114" s="428" t="s">
        <v>450</v>
      </c>
      <c r="AM114" s="428" t="s">
        <v>451</v>
      </c>
      <c r="AN114" s="428" t="s">
        <v>452</v>
      </c>
      <c r="AO114" s="428" t="s">
        <v>456</v>
      </c>
      <c r="AP114" s="429" t="s">
        <v>54</v>
      </c>
      <c r="AS114" s="430"/>
      <c r="AT114" s="428" t="s">
        <v>445</v>
      </c>
      <c r="AU114" s="428" t="s">
        <v>446</v>
      </c>
      <c r="AV114" s="428" t="s">
        <v>447</v>
      </c>
      <c r="AW114" s="428" t="s">
        <v>448</v>
      </c>
      <c r="AX114" s="428" t="s">
        <v>449</v>
      </c>
      <c r="AY114" s="428" t="s">
        <v>450</v>
      </c>
      <c r="AZ114" s="428" t="s">
        <v>451</v>
      </c>
      <c r="BA114" s="428" t="s">
        <v>452</v>
      </c>
      <c r="BB114" s="428" t="s">
        <v>456</v>
      </c>
      <c r="BC114" s="429" t="s">
        <v>54</v>
      </c>
    </row>
    <row r="115" spans="2:56" x14ac:dyDescent="0.25">
      <c r="B115" s="431" t="s">
        <v>444</v>
      </c>
      <c r="C115" s="221">
        <f>($J$103*C29 +$J$104*C30 +$J$105*C33+$J$106*C31 +$J$107*C32+$J$108*C34)/1000</f>
        <v>3.1341210945088838</v>
      </c>
      <c r="D115" s="221">
        <f>($J$103*J29 +$J$104*J30 +$J$105*J33+$J$106*J31 +$J$107*J32+$J$108*J34)/1000</f>
        <v>3.3095900674330858</v>
      </c>
      <c r="E115" s="221">
        <f>AVERAGE(D115,F115)</f>
        <v>3.4718007565117261</v>
      </c>
      <c r="F115" s="221">
        <f t="shared" ref="F115:J116" si="20">($J$103*K$29 +$J$104*K$30 +$J$105*K$33+$J$106*K$31 +$J$107*K$32+$J$108*K$34)/1000</f>
        <v>3.634011445590366</v>
      </c>
      <c r="G115" s="221">
        <f t="shared" si="20"/>
        <v>3.7182006918609778</v>
      </c>
      <c r="H115" s="221">
        <f t="shared" si="20"/>
        <v>3.7362826179437802</v>
      </c>
      <c r="I115" s="221">
        <f t="shared" si="20"/>
        <v>3.7527216735257531</v>
      </c>
      <c r="J115" s="221">
        <f t="shared" si="20"/>
        <v>3.7737289319088543</v>
      </c>
      <c r="K115" s="507">
        <f xml:space="preserve"> IF(O2_substitute&gt;0,   IF(D135&lt;=500, D115, IF(D135&lt;=1000, E115, IF(D135&lt;=1500, F115, IF(D135&lt;=2000, G115, IF(D135&lt;=2200, H115, IF(D135&lt;=2500, I115,  J115)))))),        IF(O2_enrich&gt;0, IF(D134&lt;=500, D115, IF(D134&lt;=1000, E115, IF(D134&lt;=1500, F115, IF(D134&lt;=2000, G115, IF(D134&lt;=2200, H115, IF(D134&lt;=2500, I115,  J115)))))),     IF(D133&lt;=500, D115, IF(D133&lt;=1000, E115, IF(D133&lt;=1500, F115, IF(D133&lt;=2000, G115, IF(D133&lt;=2200, H115, IF(D133&lt;=2500, I115,  J115))))))   ))</f>
        <v>3.7182006918609778</v>
      </c>
      <c r="L115" s="425" t="s">
        <v>442</v>
      </c>
      <c r="M115" s="46"/>
      <c r="Q115" s="473" t="s">
        <v>443</v>
      </c>
      <c r="R115" s="461">
        <f>($R$95*C$29 + $R$96*C$30 + $R$97*C$33 + $R$98*C$31)/1000</f>
        <v>2.6246249061186124</v>
      </c>
      <c r="S115" s="461">
        <f>($R$95*J$29 + $R$96*J$30 + $R$97*J$33 + $R$98*J$31)/1000</f>
        <v>2.7320215446520977</v>
      </c>
      <c r="T115" s="461">
        <f>AVERAGE(S115,U115)</f>
        <v>2.8328493379527946</v>
      </c>
      <c r="U115" s="221">
        <f>($R$95*K$29 + $R$96*K$30 + $R$97*K$33 + $R$98*K$31)/1000</f>
        <v>2.9336771312534915</v>
      </c>
      <c r="V115" s="221">
        <f>($R$95*L$29 + $R$96*L$30 + $R$97*L$33 + $R$98*L$31)/1000</f>
        <v>2.9835893161235694</v>
      </c>
      <c r="W115" s="221">
        <f>($R$95*M$29 + $R$96*M$30 + $R$97*M$33 + $R$98*M$31)/1000</f>
        <v>2.9947512864996684</v>
      </c>
      <c r="X115" s="221">
        <f>($R$95*N$29 + $R$96*N$30 + $R$97*N$33 + $R$98*N$31)/1000</f>
        <v>3.0059119684491193</v>
      </c>
      <c r="Y115" s="221">
        <f>($R$95*O$29 + $R$96*O$30 + $R$97*O$33 + $R$98*O$31)/1000</f>
        <v>3.0205647916619238</v>
      </c>
      <c r="Z115" s="221">
        <f xml:space="preserve"> IF(D1_Furnace!C25&lt;=500, S115, IF(D1_Furnace!C25&lt;=1000, T115, IF(D1_Furnace!C25&lt;=1500, U115, IF(D1_Furnace!C25&lt;=2000, V115, IF(D1_Furnace!C25&lt;=2200,W115, IF(D1_Furnace!C25&lt;=2500, X115, Y115))))))</f>
        <v>2.9336771312534915</v>
      </c>
      <c r="AA115" s="425" t="s">
        <v>442</v>
      </c>
      <c r="AB115" s="79"/>
      <c r="AF115" s="473" t="s">
        <v>443</v>
      </c>
      <c r="AG115" s="461">
        <f>($AG$95*C29 + $AG$96*C30 + $AG$97*C33 + $AG$98*C31)/1000</f>
        <v>2.6246249061186124</v>
      </c>
      <c r="AH115" s="461">
        <f>($AG$95*J29 + $AG$96*J30 + $AG$97*J33 + $AG$98*J31)/1000</f>
        <v>2.7320215446520981</v>
      </c>
      <c r="AI115" s="461">
        <f>AVERAGE(AH115,AJ115)</f>
        <v>2.832849337952795</v>
      </c>
      <c r="AJ115" s="461">
        <f>($AG$95*K29 + $AG$96*K30 + $AG$97*K33 + $AG$98*K31)/1000</f>
        <v>2.9336771312534915</v>
      </c>
      <c r="AK115" s="461">
        <f>($AG$95*L29 + $AG$96*L30 + $AG$97*L33 + $AG$98*L31)/1000</f>
        <v>2.9835893161235694</v>
      </c>
      <c r="AL115" s="461">
        <f>($AG$95*M29 + $AG$96*M30 + $AG$97*M33 + $AG$98*M31)/1000</f>
        <v>2.9947512864996688</v>
      </c>
      <c r="AM115" s="461">
        <f>($AG$95*N29 + $AG$96*N30 + $AG$97*N33 + $AG$98*N31)/1000</f>
        <v>3.0059119684491198</v>
      </c>
      <c r="AN115" s="461">
        <f>($AG$95*O29 + $AG$96*O30 + $AG$97*O33 + $AG$98*O31)/1000</f>
        <v>3.0205647916619243</v>
      </c>
      <c r="AO115" s="471">
        <f xml:space="preserve"> IF(D1_Furnace!C25&lt;=500, AH115, IF(D1_Furnace!C25&lt;=1000, AI115, IF(D1_Furnace!C25&lt;=1500, AJ115, IF(D1_Furnace!C25&lt;=2000, AK115, IF(D1_Furnace!C25&lt;=2200, AL115, IF(D1_Furnace!C25&lt;=2500, AM115, AN115))))))</f>
        <v>2.9336771312534915</v>
      </c>
      <c r="AP115" s="425" t="s">
        <v>442</v>
      </c>
      <c r="AQ115" s="2"/>
      <c r="AS115" s="473" t="s">
        <v>512</v>
      </c>
      <c r="AT115" s="461">
        <f>($AT$95*C29 + $AT$96*C30 + $AT$97*C33 + $AT$98*C31)/1000</f>
        <v>0.50372936829845005</v>
      </c>
      <c r="AU115" s="461">
        <f>($AT$95*J29 + $AT$96*J30 + $AT$97*J33 + $AT$98*J31)/1000</f>
        <v>0.53538057845681419</v>
      </c>
      <c r="AV115" s="461">
        <f>AVERAGE(AU115,AW115)</f>
        <v>0.55284251763094794</v>
      </c>
      <c r="AW115" s="461">
        <f>($AT$95*K29 + $AT$96*K30 + $AT$97*K33 + $AT$98*K31)/1000</f>
        <v>0.57030445680508168</v>
      </c>
      <c r="AX115" s="461">
        <f>($AT$95*L29 + $AT$96*L30 + $AT$97*L33 + $AT$98*L31)/1000</f>
        <v>0.58240406820133195</v>
      </c>
      <c r="AY115" s="461">
        <f>($AT$95*M29 + $AT$96*M30 + $AT$97*M33 + $AT$98*M31)/1000</f>
        <v>0.58625394455468438</v>
      </c>
      <c r="AZ115" s="461">
        <f>($AT$95*N29 + $AT$96*N30 + $AT$97*N33 + $AT$98*N31)/1000</f>
        <v>0.59010382090803659</v>
      </c>
      <c r="BA115" s="461">
        <f>($AT$95*O29 + $AT$96*O30 + $AT$97*O33 + $AT$98*O31)/1000</f>
        <v>0.595328653101872</v>
      </c>
      <c r="BB115" s="471">
        <f>IF(Heat_Balance!D63="Not applicable","Not applicable", IF(Heat_Balance!D63&lt;=500, $AU115, IF(Heat_Balance!D63&lt;=1000, $AV115, IF(Heat_Balance!D63&lt;=1500, $AW115, IF(Heat_Balance!D63&lt;=2000, $AX115, IF(Heat_Balance!D63&lt;=2200, $AY115, IF(Heat_Balance!D63&lt;=2500, $AZ115, $BA115)))))))</f>
        <v>0.55284251763094794</v>
      </c>
      <c r="BC115" s="425" t="s">
        <v>442</v>
      </c>
      <c r="BD115" s="2"/>
    </row>
    <row r="116" spans="2:56" ht="15.75" thickBot="1" x14ac:dyDescent="0.3">
      <c r="B116" s="432" t="s">
        <v>472</v>
      </c>
      <c r="C116" s="462">
        <f>($J$103*C29 +$J$104*C30 +$J$105*C33+$J$106*C31 +$J$107*C32+$J$108*C34)/1000</f>
        <v>3.1341210945088838</v>
      </c>
      <c r="D116" s="462">
        <f>($J$103*J29 +$J$104*J30 +$J$105*J33+$J$106*J31 +$J$107*J32+$J$108*J34)/1000</f>
        <v>3.3095900674330858</v>
      </c>
      <c r="E116" s="470">
        <f>AVERAGE(D116,F116)</f>
        <v>3.4718007565117261</v>
      </c>
      <c r="F116" s="426">
        <f t="shared" si="20"/>
        <v>3.634011445590366</v>
      </c>
      <c r="G116" s="426">
        <f t="shared" si="20"/>
        <v>3.7182006918609778</v>
      </c>
      <c r="H116" s="485">
        <f t="shared" si="20"/>
        <v>3.7362826179437802</v>
      </c>
      <c r="I116" s="426">
        <f t="shared" si="20"/>
        <v>3.7527216735257531</v>
      </c>
      <c r="J116" s="426">
        <f t="shared" si="20"/>
        <v>3.7737289319088543</v>
      </c>
      <c r="K116" s="508">
        <f>IF(AND(Excess_air=0, AND(O2_enrich=0, O2_substitute=0)), H116,    IF(Excess_air&gt;0, IF(C133&lt;=500, $D116, IF(C133&lt;=1000, $E116, IF(C133&lt;=1500, $F116, IF(C133&lt;=2000, $G116, IF(C133&lt;=2200, $H116, IF(C133&lt;=2500, $I116, $J116)))))),        IF(O2_substitute&gt;0, IF(C135&lt;=500, $D116, IF(C135&lt;=1000, $E116, IF(C135&lt;=1500, $F116, IF(C135&lt;=2000, $G116, IF(C135&lt;=2200, $H116, IF(C135&lt;=2500, $I116, $J116)))))),        IF(O2_enrich&gt;0, IF(C134&lt;=500, $D116, IF(C134&lt;=1000, $E116, IF(C134&lt;=1500, $F116, IF(C134&lt;=2000, $G116, IF(C134&lt;=2200, $H116, IF(C134&lt;=2500, $I116, $J116)))))))   ))  )</f>
        <v>3.7362826179437802</v>
      </c>
      <c r="L116" s="427" t="s">
        <v>442</v>
      </c>
      <c r="M116" s="90"/>
      <c r="Q116" s="431" t="s">
        <v>444</v>
      </c>
      <c r="R116" s="221">
        <f>($Y$104*C$29 +$Y$105*C$30 +$Y$106*C$33+$Y$107*C$31 +$Y$108*C$32+$Y$109*C$34)/1000</f>
        <v>3.1341210945088838</v>
      </c>
      <c r="S116" s="221">
        <f>($Y$104*J$29+$Y$105*J$30 +$Y$106*J$33+$Y$107*J$31 +$Y$108*J$32+$Y$109*J$34)/1000</f>
        <v>3.3095900674330858</v>
      </c>
      <c r="T116" s="221">
        <f>AVERAGE(S116,U116)</f>
        <v>3.4718007565117261</v>
      </c>
      <c r="U116" s="221">
        <f t="shared" ref="U116:Y117" si="21">($Y$104*K$29+$Y$105*K$30 +$Y$106*K$33+$Y$107*K$31 +$Y$108*K$32+$Y$109*K$34)/1000</f>
        <v>3.634011445590366</v>
      </c>
      <c r="V116" s="221">
        <f t="shared" si="21"/>
        <v>3.7182006918609773</v>
      </c>
      <c r="W116" s="221">
        <f t="shared" si="21"/>
        <v>3.7362826179437798</v>
      </c>
      <c r="X116" s="221">
        <f t="shared" si="21"/>
        <v>3.7527216735257531</v>
      </c>
      <c r="Y116" s="221">
        <f t="shared" si="21"/>
        <v>3.7737289319088543</v>
      </c>
      <c r="Z116" s="471">
        <f xml:space="preserve"> IF(G127&lt;=500, S116, IF(G127&lt;=1000, T116, IF(G127&lt;=1500, U116, IF(G127&lt;=2000, V116, IF(G127&lt;=2200, W116, IF(G127&lt;=2500, X116,  Y116))))))</f>
        <v>3.7182006918609773</v>
      </c>
      <c r="AA116" s="425" t="s">
        <v>442</v>
      </c>
      <c r="AF116" s="431" t="s">
        <v>444</v>
      </c>
      <c r="AG116" s="221">
        <f>(AN104*C29 +AN105*C30 +AN106*C33+AN107*C31 +AN108*C32+AN109*C34)/1000</f>
        <v>3.1341210945088838</v>
      </c>
      <c r="AH116" s="221">
        <f>($AN$104*J29 +$AN$105*J30 +$AN$106*J33+$AN$107*J31 +$AN$108*J32+$AN$109*J34)/1000</f>
        <v>3.3095900674330858</v>
      </c>
      <c r="AI116" s="461">
        <f>AVERAGE(AH116,AJ116)</f>
        <v>3.4718007565117261</v>
      </c>
      <c r="AJ116" s="221">
        <f>($AN$104*K29 +$AN$105*K30 +$AN$106*K33+$AN$107*K31 +$AN$108*K32+$AN$109*K34)/1000</f>
        <v>3.634011445590366</v>
      </c>
      <c r="AK116" s="221">
        <f>($AN$104*L29 +$AN$105*L30 +$AN$106*L33+$AN$107*L31 +$AN$108*L32+$AN$109*L34)/1000</f>
        <v>3.7182006918609778</v>
      </c>
      <c r="AL116" s="221">
        <f>($AN$104*M29 +$AN$105*M30 +$AN$106*M33+$AN$107*M31 +$AN$108*M32+$AN$109*M34)/1000</f>
        <v>3.7362826179437802</v>
      </c>
      <c r="AM116" s="221">
        <f>($AN$104*N29 +$AN$105*N30 +$AN$106*N33+$AN$107*N31 +$AN$108*N32+$AN$109*N34)/1000</f>
        <v>3.7527216735257531</v>
      </c>
      <c r="AN116" s="221">
        <f>($AN$104*O29 +$AN$105*O30 +$AN$106*O33+$AN$107*O31 +$AN$108*O32+$AN$109*O34)/1000</f>
        <v>3.7737289319088543</v>
      </c>
      <c r="AO116" s="440">
        <f xml:space="preserve"> IF(D1_Furnace!C23&lt;=500, AH116, IF(D1_Furnace!C23&lt;=1000, AI116, IF(D1_Furnace!C23&lt;=1500, AJ116, IF(D1_Furnace!C23&lt;=2000, AK116, IF(D1_Furnace!C23&lt;=2200, AL116, IF(D1_Furnace!C23&lt;=2500, AM116, AN116))))))</f>
        <v>3.7182006918609778</v>
      </c>
      <c r="AP116" s="425" t="s">
        <v>442</v>
      </c>
      <c r="AS116" s="431" t="s">
        <v>444</v>
      </c>
      <c r="AT116" s="221">
        <f>($BA$104*C29 +$BA$105*C30 +$BA$106*C33+$BA$107*C31 +$BA$108*C32+$BA$109*C34)/1000</f>
        <v>0.96937868156248896</v>
      </c>
      <c r="AU116" s="221">
        <f>($BA$104*J29 +$BA$105*J30 +$BA$106*J33+$BA$107*J31 +$BA$108*J32+$BA$109*J34)/1000</f>
        <v>1.0633941413356671</v>
      </c>
      <c r="AV116" s="221">
        <f>AVERAGE(AU116,AW116)</f>
        <v>1.1368044822404531</v>
      </c>
      <c r="AW116" s="221">
        <f>($BA$104*K29 +$BA$105*K30 +$BA$106*K33+$BA$107*K31 +$BA$108*K32+$BA$109*K34)/1000</f>
        <v>1.210214823145239</v>
      </c>
      <c r="AX116" s="221">
        <f>($BA$104*L29 +$BA$105*L30 +$BA$106*L33+$BA$107*L31 +$BA$108*L32+$BA$109*L34)/1000</f>
        <v>1.2535186176859274</v>
      </c>
      <c r="AY116" s="221">
        <f>($BA$104*M29 +$BA$105*M30 +$BA$106*M33+$BA$107*M31 +$BA$108*M32+$BA$109*M34)/1000</f>
        <v>1.2636698180552515</v>
      </c>
      <c r="AZ116" s="221">
        <f>($BA$104*N29 +$BA$105*N30 +$BA$106*N33+$BA$107*N31 +$BA$108*N32+$BA$109*N34)/1000</f>
        <v>1.2723264450053631</v>
      </c>
      <c r="BA116" s="221">
        <f>($BA$104*O29 +$BA$105*O30 +$BA$106*O33+$BA$107*O31 +$BA$108*O32+$BA$109*O34)/1000</f>
        <v>1.2833406059917685</v>
      </c>
      <c r="BB116" s="440">
        <f xml:space="preserve"> IF(D1_Furnace!C145&lt;=500, $AU116, IF(D1_Furnace!C145&lt;=1000, $AV116, IF(D1_Furnace!C145&lt;=1500, $AW116, IF(D1_Furnace!C145&lt;=2000, $AX116, IF(D1_Furnace!C145&lt;=2200, $AY116, IF(D1_Furnace!C145&lt;=2500, $AZ116, $BA116))))))</f>
        <v>1.2535186176859274</v>
      </c>
      <c r="BC116" s="425" t="s">
        <v>442</v>
      </c>
    </row>
    <row r="117" spans="2:56" ht="15.75" thickBot="1" x14ac:dyDescent="0.3">
      <c r="K117" s="49"/>
      <c r="Q117" s="432" t="s">
        <v>472</v>
      </c>
      <c r="R117" s="478">
        <f>($Y$104*C$29 +$Y$105*C$30 +$Y$106*C$33+$Y$107*C$31 +$Y$108*C$32+$Y$109*C$34)/1000</f>
        <v>3.1341210945088838</v>
      </c>
      <c r="S117" s="478">
        <f>($Y$104*J$29+$Y$105*J$30 +$Y$106*J$33+$Y$107*J$31 +$Y$108*J$32+$Y$109*J$34)/1000</f>
        <v>3.3095900674330858</v>
      </c>
      <c r="T117" s="478">
        <f>AVERAGE(S117,U117)</f>
        <v>3.4718007565117261</v>
      </c>
      <c r="U117" s="478">
        <f t="shared" si="21"/>
        <v>3.634011445590366</v>
      </c>
      <c r="V117" s="478">
        <f t="shared" si="21"/>
        <v>3.7182006918609773</v>
      </c>
      <c r="W117" s="478">
        <f t="shared" si="21"/>
        <v>3.7362826179437798</v>
      </c>
      <c r="X117" s="478">
        <f t="shared" si="21"/>
        <v>3.7527216735257531</v>
      </c>
      <c r="Y117" s="478">
        <f t="shared" si="21"/>
        <v>3.7737289319088543</v>
      </c>
      <c r="Z117" s="472">
        <f xml:space="preserve"> IF(G125&lt;=500, S117, IF(G125&lt;=1000, T117, IF(G125&lt;=1500, U117, IF(G125&lt;=2000, V117, IF(G125&lt;=2200, W117, IF(G125&lt;=2500, X117,  Y117))))))</f>
        <v>3.7362826179437798</v>
      </c>
      <c r="AA117" s="427" t="s">
        <v>442</v>
      </c>
      <c r="AF117" s="432" t="s">
        <v>472</v>
      </c>
      <c r="AG117" s="478">
        <f>(AN104*C29 +AN105*C30 +AN106*C33+AN107*C31 +AN108*C32+AN109*C34)/1000</f>
        <v>3.1341210945088838</v>
      </c>
      <c r="AH117" s="478">
        <f>($AN$104*J29 +$AN$105*J30 +$AN$106*J33+$AN$107*J31 +$AN$108*J32+$AN$109*J34)/1000</f>
        <v>3.3095900674330858</v>
      </c>
      <c r="AI117" s="470">
        <f>AVERAGE(AH117,AJ117)</f>
        <v>3.4718007565117261</v>
      </c>
      <c r="AJ117" s="478">
        <f>($AN$104*K29 +$AN$105*K30 +$AN$106*K33+$AN$107*K31 +$AN$108*K32+$AN$109*K34)/1000</f>
        <v>3.634011445590366</v>
      </c>
      <c r="AK117" s="478">
        <f>($AN$104*L29 +$AN$105*L30 +$AN$106*L33+$AN$107*L31 +$AN$108*L32+$AN$109*L34)/1000</f>
        <v>3.7182006918609778</v>
      </c>
      <c r="AL117" s="478">
        <f>($AN$104*M29 +$AN$105*M30 +$AN$106*M33+$AN$107*M31 +$AN$108*M32+$AN$109*M34)/1000</f>
        <v>3.7362826179437802</v>
      </c>
      <c r="AM117" s="478">
        <f>($AN$104*N29 +$AN$105*N30 +$AN$106*N33+$AN$107*N31 +$AN$108*N32+$AN$109*N34)/1000</f>
        <v>3.7527216735257531</v>
      </c>
      <c r="AN117" s="478">
        <f>($AN$104*O29 +$AN$105*O30 +$AN$106*O33+$AN$107*O31 +$AN$108*O32+$AN$109*O34)/1000</f>
        <v>3.7737289319088543</v>
      </c>
      <c r="AO117" s="472">
        <f xml:space="preserve"> IF(D1_Furnace!C20&lt;=500, AH116, IF(D1_Furnace!C20&lt;=1000, AI116, IF(D1_Furnace!C20&lt;=1500, AJ116, IF(D1_Furnace!C20&lt;=2000, AK116, IF(D1_Furnace!C20&lt;=2200, AL116, IF(D1_Furnace!C20&lt;=2500, AM116, AN116))))))</f>
        <v>3.7362826179437802</v>
      </c>
      <c r="AP117" s="427" t="s">
        <v>442</v>
      </c>
      <c r="AS117" s="432" t="s">
        <v>472</v>
      </c>
      <c r="AT117" s="478">
        <f>($BA$104*C29 +$BA$105*C30 +$BA$106*C33+$BA$107*C31 +$BA$108*C32+$BA$109*C34)/1000</f>
        <v>0.96937868156248896</v>
      </c>
      <c r="AU117" s="478">
        <f>($BA$104*J29 +$BA$105*J30 +$BA$106*J33+$BA$107*J31 +$BA$108*J32+$BA$109*J34)/1000</f>
        <v>1.0633941413356671</v>
      </c>
      <c r="AV117" s="478">
        <f>AVERAGE(AU117,AW117)</f>
        <v>1.1368044822404531</v>
      </c>
      <c r="AW117" s="478">
        <f>($BA$104*K29 +$BA$105*K30 +$BA$106*K33+$BA$107*K31 +$BA$108*K32+$BA$109*K34)/1000</f>
        <v>1.210214823145239</v>
      </c>
      <c r="AX117" s="478">
        <f>($BA$104*L29 +$BA$105*L30 +$BA$106*L33+$BA$107*L31 +$BA$108*L32+$BA$109*L34)/1000</f>
        <v>1.2535186176859274</v>
      </c>
      <c r="AY117" s="478">
        <f>($BA$104*M29 +$BA$105*M30 +$BA$106*M33+$BA$107*M31 +$BA$108*M32+$BA$109*M34)/1000</f>
        <v>1.2636698180552515</v>
      </c>
      <c r="AZ117" s="478">
        <f>($BA$104*N29 +$BA$105*N30 +$BA$106*N33+$BA$107*N31 +$BA$108*N32+$BA$109*N34)/1000</f>
        <v>1.2723264450053631</v>
      </c>
      <c r="BA117" s="478">
        <f>($BA$104*O29 +$BA$105*O30 +$BA$106*O33+$BA$107*O31 +$BA$108*O32+$BA$109*O34)/1000</f>
        <v>1.2833406059917685</v>
      </c>
      <c r="BB117" s="472">
        <f xml:space="preserve"> IF(D1_Furnace!C143&lt;=500, $AU117, IF(D1_Furnace!C143&lt;=1000, $AV117, IF(D1_Furnace!C143&lt;=1500, $AW117, IF(D1_Furnace!C143&lt;=2000, $AX117, IF(D1_Furnace!C143&lt;=2200, $AY117, IF(D1_Furnace!C143&lt;=2500, $AZ117, $BA117))))))</f>
        <v>1.2833406059917685</v>
      </c>
      <c r="BC117" s="427" t="s">
        <v>442</v>
      </c>
    </row>
    <row r="118" spans="2:56" x14ac:dyDescent="0.25">
      <c r="I118" s="10"/>
    </row>
    <row r="119" spans="2:56" x14ac:dyDescent="0.25">
      <c r="AN119" t="s">
        <v>681</v>
      </c>
      <c r="AO119" s="53" t="s">
        <v>685</v>
      </c>
      <c r="AP119" s="53" t="s">
        <v>686</v>
      </c>
      <c r="AQ119" s="53"/>
    </row>
    <row r="120" spans="2:56" x14ac:dyDescent="0.25">
      <c r="AF120" s="73" t="s">
        <v>767</v>
      </c>
      <c r="AG120" s="124" t="s">
        <v>677</v>
      </c>
      <c r="AJ120" s="937">
        <v>0.48494635868996899</v>
      </c>
      <c r="AK120" t="s">
        <v>442</v>
      </c>
      <c r="AM120" t="s">
        <v>698</v>
      </c>
      <c r="AN120" s="116">
        <f>R59*AJ120</f>
        <v>3.6944622435997485</v>
      </c>
      <c r="AO120" s="937">
        <f>K116-AN120</f>
        <v>4.1820374344031741E-2</v>
      </c>
      <c r="AP120" s="946">
        <f>AO117-AN120</f>
        <v>4.1820374344031741E-2</v>
      </c>
    </row>
    <row r="121" spans="2:56" x14ac:dyDescent="0.25">
      <c r="I121" s="624"/>
      <c r="AF121" s="7" t="s">
        <v>768</v>
      </c>
      <c r="AG121" s="124" t="s">
        <v>677</v>
      </c>
      <c r="AM121" s="934" t="s">
        <v>699</v>
      </c>
      <c r="AN121" s="116">
        <f>AJ120*AT59</f>
        <v>3.3559336894875709</v>
      </c>
      <c r="AO121" s="937">
        <f>K116-AN121</f>
        <v>0.38034892845620938</v>
      </c>
      <c r="AP121" s="946">
        <f>BB117-AN121</f>
        <v>-2.0725930834958026</v>
      </c>
    </row>
    <row r="122" spans="2:56" ht="21" x14ac:dyDescent="0.35">
      <c r="B122" s="317" t="s">
        <v>453</v>
      </c>
      <c r="J122" s="415" t="s">
        <v>18</v>
      </c>
      <c r="AM122" t="s">
        <v>764</v>
      </c>
      <c r="AN122" s="116">
        <f>AJ120*AT59</f>
        <v>3.3559336894875709</v>
      </c>
      <c r="AO122" s="937">
        <f>K116-AN122</f>
        <v>0.38034892845620938</v>
      </c>
      <c r="AP122" s="1000">
        <f>Syngas!K85-AN122</f>
        <v>-1.9413804488617321</v>
      </c>
      <c r="AR122" s="1229"/>
      <c r="AS122" s="1229"/>
    </row>
    <row r="123" spans="2:56" ht="15.75" thickBot="1" x14ac:dyDescent="0.3">
      <c r="J123" s="275"/>
      <c r="AH123" s="77"/>
      <c r="AI123" s="77"/>
      <c r="AM123" s="2" t="s">
        <v>700</v>
      </c>
      <c r="AN123" s="39"/>
      <c r="AO123" s="1183">
        <f>K116 - AJ120*D1_Furnace!C141</f>
        <v>0.38034892845620938</v>
      </c>
      <c r="AP123" s="1183">
        <f xml:space="preserve"> 0 - AJ120*D1_Furnace!C141</f>
        <v>-3.3559336894875709</v>
      </c>
      <c r="AR123" s="77"/>
    </row>
    <row r="124" spans="2:56" ht="15.75" x14ac:dyDescent="0.25">
      <c r="B124" s="1457" t="s">
        <v>571</v>
      </c>
      <c r="C124" s="1458"/>
      <c r="D124" s="1459"/>
      <c r="F124" s="1454" t="s">
        <v>618</v>
      </c>
      <c r="G124" s="1455"/>
      <c r="H124" s="1456"/>
      <c r="I124" s="10"/>
      <c r="J124" s="318"/>
    </row>
    <row r="125" spans="2:56" ht="15.75" thickBot="1" x14ac:dyDescent="0.3">
      <c r="B125" s="303" t="s">
        <v>427</v>
      </c>
      <c r="C125" s="10"/>
      <c r="D125" s="87"/>
      <c r="F125" s="304" t="s">
        <v>419</v>
      </c>
      <c r="G125" s="145">
        <f>C218</f>
        <v>2064.0027446428007</v>
      </c>
      <c r="H125" s="401" t="s">
        <v>28</v>
      </c>
      <c r="I125" s="10"/>
      <c r="J125" s="411"/>
    </row>
    <row r="126" spans="2:56" ht="15.75" thickBot="1" x14ac:dyDescent="0.3">
      <c r="B126" s="621" t="s">
        <v>484</v>
      </c>
      <c r="C126" s="10"/>
      <c r="D126" s="87"/>
      <c r="F126" s="435" t="s">
        <v>461</v>
      </c>
      <c r="G126" s="61">
        <f>0.754514583122351</f>
        <v>0.75451458312235098</v>
      </c>
      <c r="H126" s="87" t="s">
        <v>355</v>
      </c>
      <c r="I126" s="45"/>
      <c r="J126" s="416" t="s">
        <v>580</v>
      </c>
      <c r="AN126" s="24" t="s">
        <v>687</v>
      </c>
      <c r="AO126" s="938">
        <f>R59*AJ120+AO120</f>
        <v>3.7362826179437802</v>
      </c>
      <c r="AP126" s="939">
        <f>R59*AJ120+AP120</f>
        <v>3.7362826179437802</v>
      </c>
    </row>
    <row r="127" spans="2:56" x14ac:dyDescent="0.25">
      <c r="B127" s="585" t="s">
        <v>429</v>
      </c>
      <c r="C127" s="10"/>
      <c r="D127" s="401"/>
      <c r="F127" s="13" t="s">
        <v>454</v>
      </c>
      <c r="G127" s="145">
        <f>G125*G126</f>
        <v>1557.320170437551</v>
      </c>
      <c r="H127" s="87" t="s">
        <v>28</v>
      </c>
      <c r="I127" s="45"/>
      <c r="J127" s="416" t="s">
        <v>734</v>
      </c>
    </row>
    <row r="128" spans="2:56" x14ac:dyDescent="0.25">
      <c r="B128" s="486" t="s">
        <v>483</v>
      </c>
      <c r="C128" s="145"/>
      <c r="D128" s="87"/>
      <c r="F128" s="13" t="s">
        <v>422</v>
      </c>
      <c r="G128" s="61">
        <f>C43/C45</f>
        <v>38.018007202881158</v>
      </c>
      <c r="H128" s="87" t="s">
        <v>369</v>
      </c>
      <c r="I128" s="10"/>
      <c r="J128" s="318"/>
      <c r="AJ128" t="s">
        <v>688</v>
      </c>
    </row>
    <row r="129" spans="2:87" x14ac:dyDescent="0.25">
      <c r="B129" s="912" t="s">
        <v>428</v>
      </c>
      <c r="C129" s="10"/>
      <c r="D129" s="87"/>
      <c r="F129" s="615" t="s">
        <v>421</v>
      </c>
      <c r="G129" s="616">
        <f>Fuel!V116</f>
        <v>3.7182006918609773</v>
      </c>
      <c r="H129" s="514" t="s">
        <v>420</v>
      </c>
      <c r="J129" s="318"/>
      <c r="AK129" t="s">
        <v>689</v>
      </c>
    </row>
    <row r="130" spans="2:87" ht="15.75" thickBot="1" x14ac:dyDescent="0.3">
      <c r="B130" s="239"/>
      <c r="C130" s="85"/>
      <c r="D130" s="54"/>
      <c r="F130" s="13"/>
      <c r="G130" s="10"/>
      <c r="H130" s="87"/>
      <c r="J130" s="318"/>
      <c r="AK130" s="2" t="s">
        <v>690</v>
      </c>
    </row>
    <row r="131" spans="2:87" ht="15.75" thickBot="1" x14ac:dyDescent="0.3">
      <c r="F131" s="435" t="s">
        <v>335</v>
      </c>
      <c r="G131" s="94">
        <f>G129*(G127-T.ambient)/1000</f>
        <v>5.6974739178734328</v>
      </c>
      <c r="H131" s="269" t="s">
        <v>135</v>
      </c>
      <c r="J131" s="318"/>
      <c r="AF131" s="521" t="s">
        <v>902</v>
      </c>
      <c r="AG131" s="63">
        <f>(D1_Furnace!C17-D1_Furnace!C24)*(100-D1_Furnace!C15)/100</f>
        <v>3.9477745913597047</v>
      </c>
      <c r="AH131" s="41" t="s">
        <v>277</v>
      </c>
    </row>
    <row r="132" spans="2:87" x14ac:dyDescent="0.25">
      <c r="B132" s="593" t="s">
        <v>563</v>
      </c>
      <c r="C132" s="592" t="s">
        <v>562</v>
      </c>
      <c r="D132" s="594" t="s">
        <v>495</v>
      </c>
      <c r="F132" s="13" t="s">
        <v>480</v>
      </c>
      <c r="G132" s="61">
        <f>Heat_Balance!D20</f>
        <v>7.6182905127485556</v>
      </c>
      <c r="H132" s="87" t="s">
        <v>135</v>
      </c>
      <c r="I132" s="10"/>
      <c r="J132" s="318"/>
      <c r="AF132" s="1142" t="s">
        <v>901</v>
      </c>
      <c r="AG132" s="1143">
        <f>D1_Furnace!C19-Heat_Balance!D31*Ratio_NG/100</f>
        <v>3.947774591359706</v>
      </c>
      <c r="AH132" s="1144" t="s">
        <v>277</v>
      </c>
      <c r="AJ132" s="933" t="s">
        <v>803</v>
      </c>
      <c r="AK132" s="419"/>
      <c r="AL132" s="419"/>
      <c r="AM132" s="419"/>
      <c r="AN132" s="419"/>
      <c r="AO132" s="419"/>
      <c r="AP132" s="419"/>
    </row>
    <row r="133" spans="2:87" x14ac:dyDescent="0.25">
      <c r="B133" s="13" t="s">
        <v>368</v>
      </c>
      <c r="C133" s="596">
        <f>IF(Excess_air&gt;42, "Limit exceeded", IF(OR(O2_substitute&gt;0, O2_enrich&gt;0), "Not applicable", T.ambient + C46*(C43/C45)/ H116))</f>
        <v>2064.0027446428007</v>
      </c>
      <c r="D133" s="597">
        <f>IF(Excess_air&gt;42, "Limit exceeded", IF(OR(O2_substitute&gt;0, O2_enrich&gt;0), "Not applicable",  C133*G126))</f>
        <v>1557.320170437551</v>
      </c>
      <c r="E133" s="913"/>
      <c r="F133" s="435" t="s">
        <v>431</v>
      </c>
      <c r="G133" s="587">
        <f>T96</f>
        <v>20.94</v>
      </c>
      <c r="H133" s="87" t="s">
        <v>407</v>
      </c>
      <c r="I133" s="10"/>
      <c r="J133" s="318"/>
      <c r="AF133" s="1005" t="s">
        <v>904</v>
      </c>
      <c r="AG133" s="1140">
        <f>Fuel!G132 - Heat_Balance!D31</f>
        <v>3.6285992938476315</v>
      </c>
      <c r="AH133" s="1141" t="s">
        <v>277</v>
      </c>
      <c r="AJ133" s="419" t="s">
        <v>897</v>
      </c>
      <c r="AK133" s="419"/>
      <c r="AL133" s="419"/>
      <c r="AM133" s="419"/>
      <c r="AN133" s="419"/>
      <c r="AO133" s="419"/>
      <c r="AP133" s="419"/>
    </row>
    <row r="134" spans="2:87" x14ac:dyDescent="0.25">
      <c r="B134" s="13" t="s">
        <v>404</v>
      </c>
      <c r="C134" s="598">
        <f>IF(OR(O2_substitute&gt;0, Excess_air&gt;0), "Not applicable",  VLOOKUP(O95, B218:C256, 2, TRUE) )</f>
        <v>2064.0027446428007</v>
      </c>
      <c r="D134" s="599">
        <f>IF(OR(O2_substitute&gt;0, Excess_air&gt;0), "Not applicable",  Fuel!F142 )</f>
        <v>1557.320170437551</v>
      </c>
      <c r="E134" s="628"/>
      <c r="F134" s="435" t="s">
        <v>430</v>
      </c>
      <c r="G134" s="587">
        <f>AB105</f>
        <v>5.6877940945444499E-3</v>
      </c>
      <c r="H134" s="87" t="s">
        <v>37</v>
      </c>
      <c r="J134" s="625" t="s">
        <v>528</v>
      </c>
      <c r="AF134" s="1145" t="s">
        <v>903</v>
      </c>
      <c r="AG134" s="1147">
        <f>D1_Furnace!C18-Heat_Balance!D31*Ratio_NG/100</f>
        <v>3.9477745913597042</v>
      </c>
      <c r="AH134" s="1146" t="s">
        <v>277</v>
      </c>
      <c r="AJ134" s="935" t="s">
        <v>676</v>
      </c>
      <c r="AM134" s="936">
        <f>Fuel!AJ120</f>
        <v>0.48494635868996899</v>
      </c>
      <c r="AN134" s="419" t="s">
        <v>442</v>
      </c>
      <c r="AO134" s="419"/>
      <c r="AP134" s="419"/>
    </row>
    <row r="135" spans="2:87" ht="15.75" thickBot="1" x14ac:dyDescent="0.3">
      <c r="B135" s="239" t="s">
        <v>403</v>
      </c>
      <c r="C135" s="600">
        <f xml:space="preserve"> IF(OR(Excess_air&gt;0, O2_enrich&gt;0), "Not applicable", VLOOKUP(O95, B218:C256, 2, TRUE))</f>
        <v>2064.0027446428007</v>
      </c>
      <c r="D135" s="601">
        <f xml:space="preserve"> IF(OR(Excess_air&gt;0, O2_enrich&gt;0), "Not applicable",  Fuel!F142 )</f>
        <v>1557.320170437551</v>
      </c>
      <c r="F135" s="239"/>
      <c r="G135" s="85"/>
      <c r="H135" s="54"/>
      <c r="J135" s="318" t="s">
        <v>529</v>
      </c>
      <c r="AJ135" s="931" t="s">
        <v>682</v>
      </c>
      <c r="AK135" s="795"/>
      <c r="AL135" s="660"/>
      <c r="AM135" s="730"/>
      <c r="AN135" s="419"/>
      <c r="AO135" s="936">
        <v>4.1820374344028202E-2</v>
      </c>
      <c r="AP135" s="419" t="s">
        <v>678</v>
      </c>
    </row>
    <row r="136" spans="2:87" x14ac:dyDescent="0.25">
      <c r="J136" s="318" t="s">
        <v>530</v>
      </c>
      <c r="L136" s="19"/>
      <c r="AJ136" s="419" t="s">
        <v>766</v>
      </c>
      <c r="AK136" s="644"/>
      <c r="AL136" s="419"/>
      <c r="AM136" s="419"/>
      <c r="AN136" s="419"/>
      <c r="AO136" s="419"/>
      <c r="AP136" s="419"/>
    </row>
    <row r="137" spans="2:87" x14ac:dyDescent="0.25">
      <c r="J137" s="318" t="s">
        <v>531</v>
      </c>
      <c r="AJ137" s="419" t="s">
        <v>683</v>
      </c>
      <c r="AK137" s="644"/>
      <c r="AL137" s="419"/>
      <c r="AM137" s="419"/>
      <c r="AN137" s="419"/>
      <c r="AO137" s="419"/>
      <c r="AP137" s="419"/>
    </row>
    <row r="138" spans="2:87" ht="15.75" thickBot="1" x14ac:dyDescent="0.3">
      <c r="J138" s="318" t="s">
        <v>532</v>
      </c>
    </row>
    <row r="139" spans="2:87" x14ac:dyDescent="0.25">
      <c r="B139" s="511" t="s">
        <v>506</v>
      </c>
      <c r="C139" s="428" t="s">
        <v>416</v>
      </c>
      <c r="D139" s="586" t="s">
        <v>499</v>
      </c>
      <c r="E139" s="428" t="s">
        <v>494</v>
      </c>
      <c r="F139" s="428" t="s">
        <v>495</v>
      </c>
      <c r="G139" s="12"/>
      <c r="H139" s="161"/>
      <c r="J139" s="318" t="s">
        <v>572</v>
      </c>
    </row>
    <row r="140" spans="2:87" x14ac:dyDescent="0.25">
      <c r="B140" s="503" t="s">
        <v>498</v>
      </c>
      <c r="C140" s="402">
        <v>1558.52632933519</v>
      </c>
      <c r="D140" s="229">
        <v>81</v>
      </c>
      <c r="E140" s="588" t="s">
        <v>21</v>
      </c>
      <c r="F140" s="588" t="s">
        <v>21</v>
      </c>
      <c r="G140" s="520"/>
      <c r="H140" s="524" t="s">
        <v>500</v>
      </c>
      <c r="J140" s="318" t="s">
        <v>573</v>
      </c>
      <c r="CH140" s="6"/>
    </row>
    <row r="141" spans="2:87" x14ac:dyDescent="0.25">
      <c r="B141" s="503" t="s">
        <v>496</v>
      </c>
      <c r="C141" s="402">
        <f>G125</f>
        <v>2064.0027446428007</v>
      </c>
      <c r="D141" s="229">
        <f>(C141-C140+H141*D140)/H141</f>
        <v>68.829013078956976</v>
      </c>
      <c r="E141" s="221">
        <f>Heat_Balance!D19*D141/100</f>
        <v>5.6995588841441762</v>
      </c>
      <c r="F141" s="402">
        <f>C141*G126</f>
        <v>1557.320170437551</v>
      </c>
      <c r="G141" s="11" t="s">
        <v>492</v>
      </c>
      <c r="H141" s="613">
        <v>-41.531259427587386</v>
      </c>
      <c r="J141" s="318" t="s">
        <v>574</v>
      </c>
      <c r="CH141" s="319"/>
      <c r="CI141" s="319"/>
    </row>
    <row r="142" spans="2:87" ht="15.75" thickBot="1" x14ac:dyDescent="0.3">
      <c r="B142" s="617" t="s">
        <v>497</v>
      </c>
      <c r="C142" s="618">
        <f>IF(C135="Not applicable", IF(C134="Not applicable", IF(C133="Not applicable", "Not applicable", C133), C134), C135)</f>
        <v>2064.0027446428007</v>
      </c>
      <c r="D142" s="619">
        <f>IF(C142="Not applicable", "Not applicable", IF(C142="Limit exceeded", "Limit exceeded", IF(Excess_air&gt;0, E142*100/Heat_Balance!D19, (C142-H142)/H141) ))</f>
        <v>68.829013078956976</v>
      </c>
      <c r="E142" s="627">
        <f>IF(C142="Not applicable", "Not applicable", IF(C142="Limit exceeded", "Limit exceeded", IF(Excess_air&gt;0, G115*(D133 - T.ambient)/1000,  ((K116*(C142-T.ambient))/(Heat_Balance!D8*1000))*D142/100 )))</f>
        <v>5.6995588841441771</v>
      </c>
      <c r="F142" s="618">
        <f>IF(E142="Not applicable", "Not applicable", IF(C142="Limit exceeded", "Limit exceeded", IF(AND(Excess_air&gt;=0, AND(O2_enrich=0, O2_substitute=0)),  C133*G126, T.ambient + E142*1000/G115 )))</f>
        <v>1557.320170437551</v>
      </c>
      <c r="G142" s="266" t="s">
        <v>493</v>
      </c>
      <c r="H142" s="620">
        <v>4922.5583429697681</v>
      </c>
      <c r="J142" s="318" t="s">
        <v>501</v>
      </c>
      <c r="CH142" s="319"/>
      <c r="CI142" s="319"/>
    </row>
    <row r="143" spans="2:87" x14ac:dyDescent="0.25">
      <c r="B143" s="11"/>
      <c r="C143" s="10"/>
      <c r="D143" s="229"/>
      <c r="E143" s="629"/>
      <c r="F143" s="10"/>
      <c r="G143" s="10"/>
      <c r="H143" s="10"/>
      <c r="I143" s="10"/>
      <c r="J143" s="484"/>
      <c r="M143" s="6"/>
      <c r="AR143" s="319"/>
      <c r="CH143" s="319"/>
      <c r="CI143" s="319"/>
    </row>
    <row r="144" spans="2:87" x14ac:dyDescent="0.25">
      <c r="B144" s="11"/>
      <c r="C144" s="10"/>
      <c r="D144" s="229"/>
      <c r="E144" s="116"/>
      <c r="H144" s="10"/>
      <c r="I144" s="10"/>
      <c r="J144" s="484"/>
      <c r="AR144" s="319"/>
    </row>
    <row r="146" spans="1:15" x14ac:dyDescent="0.25">
      <c r="A146" s="10"/>
      <c r="K146" s="403"/>
    </row>
    <row r="148" spans="1:15" x14ac:dyDescent="0.25">
      <c r="C148" s="46"/>
    </row>
    <row r="150" spans="1:15" ht="18.75" x14ac:dyDescent="0.3">
      <c r="B150" s="1384" t="s">
        <v>360</v>
      </c>
      <c r="C150" s="1384"/>
      <c r="D150" s="1384"/>
      <c r="E150" s="1384"/>
      <c r="F150" s="1384"/>
      <c r="G150" s="1384"/>
      <c r="H150" s="1384"/>
      <c r="I150" s="1384"/>
      <c r="J150" s="1384"/>
      <c r="K150" s="1384"/>
      <c r="L150" s="1384"/>
      <c r="M150" s="1384"/>
      <c r="N150" s="1384"/>
      <c r="O150" s="1384"/>
    </row>
    <row r="153" spans="1:15" x14ac:dyDescent="0.25">
      <c r="B153" s="1225" t="s">
        <v>965</v>
      </c>
    </row>
    <row r="155" spans="1:15" ht="30" x14ac:dyDescent="0.25">
      <c r="H155" s="465" t="s">
        <v>486</v>
      </c>
      <c r="I155" s="466" t="s">
        <v>485</v>
      </c>
      <c r="J155" s="466" t="s">
        <v>487</v>
      </c>
      <c r="K155" s="466" t="s">
        <v>488</v>
      </c>
      <c r="L155" s="1075" t="s">
        <v>772</v>
      </c>
    </row>
    <row r="156" spans="1:15" x14ac:dyDescent="0.25">
      <c r="G156" s="290" t="s">
        <v>320</v>
      </c>
      <c r="H156" s="1079">
        <v>2203.9198260617368</v>
      </c>
      <c r="I156" s="1080">
        <v>2203.9198260617368</v>
      </c>
      <c r="J156" s="1080">
        <v>1017.6086523901533</v>
      </c>
      <c r="K156" s="1080">
        <v>46.990419386130618</v>
      </c>
      <c r="L156" s="1081">
        <v>52.237372880785294</v>
      </c>
    </row>
    <row r="157" spans="1:15" x14ac:dyDescent="0.25">
      <c r="G157" s="199" t="s">
        <v>98</v>
      </c>
      <c r="H157" s="1076">
        <v>502.38593365490431</v>
      </c>
      <c r="I157" s="402">
        <v>502.38593365490431</v>
      </c>
      <c r="J157" s="402">
        <v>501.612630849428</v>
      </c>
      <c r="K157" s="402">
        <v>500.97992855403845</v>
      </c>
      <c r="L157" s="1081">
        <v>406.81452640719613</v>
      </c>
    </row>
    <row r="158" spans="1:15" x14ac:dyDescent="0.25">
      <c r="G158" s="199" t="s">
        <v>139</v>
      </c>
      <c r="H158" s="1076">
        <v>367.36510245498249</v>
      </c>
      <c r="I158" s="402">
        <v>367.36510245498249</v>
      </c>
      <c r="J158" s="402">
        <v>367.36510245498249</v>
      </c>
      <c r="K158" s="402">
        <v>367.36510245498249</v>
      </c>
      <c r="L158" s="1081">
        <v>447.93207708530451</v>
      </c>
    </row>
    <row r="159" spans="1:15" x14ac:dyDescent="0.25">
      <c r="G159" s="199" t="s">
        <v>138</v>
      </c>
      <c r="H159" s="1076">
        <v>0.20093029020611</v>
      </c>
      <c r="I159" s="402">
        <v>171.98664773761763</v>
      </c>
      <c r="J159" s="402">
        <v>82.790217524538448</v>
      </c>
      <c r="K159" s="402">
        <v>0.20093029020611</v>
      </c>
      <c r="L159" s="1081">
        <v>1.7226041329340398</v>
      </c>
    </row>
    <row r="160" spans="1:15" x14ac:dyDescent="0.25">
      <c r="G160" s="199" t="s">
        <v>321</v>
      </c>
      <c r="H160" s="1076">
        <v>36.619427743390624</v>
      </c>
      <c r="I160" s="402">
        <v>36.619427743390624</v>
      </c>
      <c r="J160" s="402">
        <v>16.478742484525775</v>
      </c>
      <c r="K160" s="402">
        <v>0</v>
      </c>
      <c r="L160" s="1082">
        <v>0</v>
      </c>
    </row>
    <row r="161" spans="2:15" x14ac:dyDescent="0.25">
      <c r="G161" s="1004" t="s">
        <v>177</v>
      </c>
      <c r="H161" s="1076">
        <v>0.59454402288250263</v>
      </c>
      <c r="I161" s="402">
        <v>0.59454402288250263</v>
      </c>
      <c r="J161" s="402">
        <v>0.59454402288250263</v>
      </c>
      <c r="K161" s="402">
        <v>0.59454402288250263</v>
      </c>
      <c r="L161" s="1081">
        <v>0.82282289262741171</v>
      </c>
    </row>
    <row r="162" spans="2:15" x14ac:dyDescent="0.25">
      <c r="G162" s="291" t="s">
        <v>749</v>
      </c>
      <c r="H162" s="1077">
        <v>0</v>
      </c>
      <c r="I162" s="1078">
        <v>0</v>
      </c>
      <c r="J162" s="1078">
        <v>0</v>
      </c>
      <c r="K162" s="1078">
        <v>0</v>
      </c>
      <c r="L162" s="1083">
        <v>2.55526582072293</v>
      </c>
    </row>
    <row r="174" spans="2:15" x14ac:dyDescent="0.25">
      <c r="B174" s="891" t="s">
        <v>966</v>
      </c>
    </row>
    <row r="175" spans="2:15" x14ac:dyDescent="0.25">
      <c r="C175" s="305">
        <v>0</v>
      </c>
      <c r="D175" s="305">
        <v>0.1</v>
      </c>
      <c r="E175" s="305">
        <v>0.2</v>
      </c>
      <c r="F175" s="305">
        <v>0.3</v>
      </c>
      <c r="G175" s="305">
        <v>0.4</v>
      </c>
      <c r="H175" s="305">
        <v>0.5</v>
      </c>
      <c r="I175" s="305">
        <v>0.6</v>
      </c>
      <c r="J175" s="305">
        <v>0.7</v>
      </c>
      <c r="K175" s="305">
        <v>0.8</v>
      </c>
      <c r="L175" s="305">
        <v>0.9</v>
      </c>
      <c r="M175" s="305">
        <v>1</v>
      </c>
    </row>
    <row r="176" spans="2:15" x14ac:dyDescent="0.25">
      <c r="B176" s="59" t="s">
        <v>335</v>
      </c>
      <c r="C176" s="63">
        <v>13.695588878161251</v>
      </c>
      <c r="D176" s="63">
        <v>12.100616333332415</v>
      </c>
      <c r="E176" s="63">
        <v>10.735194323325358</v>
      </c>
      <c r="F176" s="63">
        <v>9.5061932652677843</v>
      </c>
      <c r="G176" s="63">
        <v>8.4486574228141471</v>
      </c>
      <c r="H176" s="63">
        <v>7.4983725386686642</v>
      </c>
      <c r="I176" s="63">
        <v>6.6539787913710668</v>
      </c>
      <c r="J176" s="63">
        <v>5.8949989271485537</v>
      </c>
      <c r="K176" s="63">
        <v>5.2256605781822447</v>
      </c>
      <c r="L176" s="63">
        <v>4.6119905442706903</v>
      </c>
      <c r="M176" s="63">
        <v>4.0749799044389361</v>
      </c>
      <c r="N176" s="32"/>
      <c r="O176" s="41"/>
    </row>
    <row r="177" spans="2:16" x14ac:dyDescent="0.25">
      <c r="B177" s="28" t="s">
        <v>301</v>
      </c>
      <c r="C177" s="61">
        <f>20.0648844509379/0.9</f>
        <v>22.294316056597665</v>
      </c>
      <c r="D177" s="61">
        <f>17.9865941417101/0.9</f>
        <v>19.985104601900112</v>
      </c>
      <c r="E177" s="61">
        <f>16.1930684722003/0.9</f>
        <v>17.992298302444777</v>
      </c>
      <c r="F177" s="61">
        <f>14.5545485142163/0.9</f>
        <v>16.171720571351443</v>
      </c>
      <c r="G177" s="61">
        <f>13.1325961964962/0.9</f>
        <v>14.591773551662444</v>
      </c>
      <c r="H177" s="61">
        <f>11.8359095884786/0.9</f>
        <v>13.151010653865111</v>
      </c>
      <c r="I177" s="61">
        <f>10.6682176454804/0.9</f>
        <v>11.853575161644889</v>
      </c>
      <c r="J177" s="61">
        <f>9.60234727803615/0.9</f>
        <v>10.6692747533735</v>
      </c>
      <c r="K177" s="61">
        <f>8.65025583182066/0.9</f>
        <v>9.6113953686896227</v>
      </c>
      <c r="L177" s="61">
        <f>7.76041096490901/0.9</f>
        <v>8.6226788498989002</v>
      </c>
      <c r="M177" s="61">
        <f>6.97185962287478/0.9</f>
        <v>7.7465106920830884</v>
      </c>
      <c r="N177" s="10"/>
      <c r="O177" s="142" t="s">
        <v>307</v>
      </c>
      <c r="P177" t="s">
        <v>308</v>
      </c>
    </row>
    <row r="178" spans="2:16" x14ac:dyDescent="0.25">
      <c r="B178" s="57"/>
      <c r="C178" s="292">
        <f t="shared" ref="C178:M178" si="22">C176/C177</f>
        <v>0.61430854588195583</v>
      </c>
      <c r="D178" s="292">
        <f t="shared" si="22"/>
        <v>0.60548176126043052</v>
      </c>
      <c r="E178" s="292">
        <f t="shared" si="22"/>
        <v>0.59665497663890277</v>
      </c>
      <c r="F178" s="292">
        <f t="shared" si="22"/>
        <v>0.58782819201737968</v>
      </c>
      <c r="G178" s="292">
        <f t="shared" si="22"/>
        <v>0.57900140739585348</v>
      </c>
      <c r="H178" s="292">
        <f t="shared" si="22"/>
        <v>0.57017462277432462</v>
      </c>
      <c r="I178" s="292">
        <f t="shared" si="22"/>
        <v>0.56134783815279843</v>
      </c>
      <c r="J178" s="292">
        <f t="shared" si="22"/>
        <v>0.55252105353127434</v>
      </c>
      <c r="K178" s="292">
        <f t="shared" si="22"/>
        <v>0.54369426890974826</v>
      </c>
      <c r="L178" s="292">
        <f t="shared" si="22"/>
        <v>0.53486748428822273</v>
      </c>
      <c r="M178" s="292">
        <f t="shared" si="22"/>
        <v>0.52604069966669686</v>
      </c>
      <c r="N178" s="34"/>
      <c r="O178" s="285">
        <f>AVERAGE(C178:M178)</f>
        <v>0.57017462277432618</v>
      </c>
    </row>
    <row r="179" spans="2:16" x14ac:dyDescent="0.25">
      <c r="B179" s="10"/>
      <c r="C179" s="412"/>
      <c r="D179" s="412"/>
      <c r="E179" s="412"/>
      <c r="F179" s="412"/>
      <c r="G179" s="412"/>
      <c r="H179" s="412"/>
      <c r="I179" s="412"/>
      <c r="J179" s="412"/>
      <c r="K179" s="412"/>
      <c r="L179" s="412"/>
      <c r="M179" s="412"/>
      <c r="N179" s="10"/>
      <c r="O179" s="283"/>
    </row>
    <row r="180" spans="2:16" x14ac:dyDescent="0.25">
      <c r="B180" s="59" t="s">
        <v>335</v>
      </c>
      <c r="C180" s="63">
        <v>8.8362096861088499</v>
      </c>
      <c r="D180" s="63">
        <v>8.1849440988289786</v>
      </c>
      <c r="E180" s="63">
        <v>7.5660575013524074</v>
      </c>
      <c r="F180" s="63">
        <v>6.977963124291799</v>
      </c>
      <c r="G180" s="63">
        <v>6.4191788707252702</v>
      </c>
      <c r="H180" s="63">
        <v>5.8883187638781536</v>
      </c>
      <c r="I180" s="63">
        <v>5.3840852066688658</v>
      </c>
      <c r="J180" s="63">
        <v>4.9052619652473304</v>
      </c>
      <c r="K180" s="63">
        <v>4.4507077993465316</v>
      </c>
      <c r="L180" s="63">
        <v>4.0193506715166682</v>
      </c>
      <c r="M180" s="63">
        <v>3.6101824753308573</v>
      </c>
      <c r="N180" s="32"/>
      <c r="O180" s="41"/>
    </row>
    <row r="181" spans="2:16" x14ac:dyDescent="0.25">
      <c r="B181" s="28" t="s">
        <v>301</v>
      </c>
      <c r="C181" s="61">
        <f>12.9455934982648/0.9</f>
        <v>14.383992775849778</v>
      </c>
      <c r="D181" s="61">
        <f>12.1662619095435/0.9</f>
        <v>13.518068788381667</v>
      </c>
      <c r="E181" s="61">
        <f>11.4127125689563/0.9</f>
        <v>12.680791743284777</v>
      </c>
      <c r="F181" s="61">
        <f>10.6836774709794/0.9</f>
        <v>11.870752745532668</v>
      </c>
      <c r="G181" s="61">
        <f>9.97797399083512/0.9</f>
        <v>11.086637767594576</v>
      </c>
      <c r="H181" s="61">
        <f>9.2944979937977/0.9</f>
        <v>10.327219993108555</v>
      </c>
      <c r="I181" s="61">
        <f>8.63221759604064/0.9</f>
        <v>9.5913528844896003</v>
      </c>
      <c r="J181" s="61">
        <f>7.99016750675313/0.9</f>
        <v>8.8779638963923659</v>
      </c>
      <c r="K181" s="61">
        <f>7.36744388982478/0.9</f>
        <v>8.186048766471977</v>
      </c>
      <c r="L181" s="61">
        <f>6.76319969081481/0.9</f>
        <v>7.5146663231275665</v>
      </c>
      <c r="M181" s="61">
        <f>6.17664038135541/0.9</f>
        <v>6.8629337570615672</v>
      </c>
      <c r="N181" s="10"/>
      <c r="O181" s="40" t="s">
        <v>307</v>
      </c>
      <c r="P181" t="s">
        <v>346</v>
      </c>
    </row>
    <row r="182" spans="2:16" x14ac:dyDescent="0.25">
      <c r="B182" s="57"/>
      <c r="C182" s="292">
        <f t="shared" ref="C182:M182" si="23">C180/C181</f>
        <v>0.61430854588195694</v>
      </c>
      <c r="D182" s="292">
        <f t="shared" si="23"/>
        <v>0.60548176126042996</v>
      </c>
      <c r="E182" s="292">
        <f t="shared" si="23"/>
        <v>0.59665497663890577</v>
      </c>
      <c r="F182" s="292">
        <f t="shared" si="23"/>
        <v>0.58782819201737835</v>
      </c>
      <c r="G182" s="292">
        <f t="shared" si="23"/>
        <v>0.57900140739585237</v>
      </c>
      <c r="H182" s="292">
        <f t="shared" si="23"/>
        <v>0.57017462277432651</v>
      </c>
      <c r="I182" s="292">
        <f t="shared" si="23"/>
        <v>0.56134783815280065</v>
      </c>
      <c r="J182" s="292">
        <f t="shared" si="23"/>
        <v>0.55252105353127468</v>
      </c>
      <c r="K182" s="292">
        <f t="shared" si="23"/>
        <v>0.5436942689097487</v>
      </c>
      <c r="L182" s="292">
        <f t="shared" si="23"/>
        <v>0.53486748428822251</v>
      </c>
      <c r="M182" s="292">
        <f t="shared" si="23"/>
        <v>0.52604069966669653</v>
      </c>
      <c r="N182" s="34"/>
      <c r="O182" s="285">
        <f>AVERAGE(C182:M182)</f>
        <v>0.57017462277432662</v>
      </c>
    </row>
    <row r="184" spans="2:16" x14ac:dyDescent="0.25">
      <c r="B184" s="59" t="s">
        <v>361</v>
      </c>
      <c r="C184" s="32">
        <v>0</v>
      </c>
      <c r="D184" s="32">
        <v>1</v>
      </c>
      <c r="E184" s="32">
        <v>2</v>
      </c>
      <c r="F184" s="32">
        <v>3</v>
      </c>
      <c r="G184" s="32">
        <v>4</v>
      </c>
      <c r="H184" s="32">
        <v>5</v>
      </c>
      <c r="I184" s="32">
        <v>6</v>
      </c>
      <c r="J184" s="32">
        <v>7</v>
      </c>
      <c r="K184" s="32">
        <v>8</v>
      </c>
      <c r="L184" s="32">
        <v>9</v>
      </c>
      <c r="M184" s="32">
        <v>10</v>
      </c>
      <c r="N184" s="32"/>
      <c r="O184" s="41"/>
    </row>
    <row r="185" spans="2:16" x14ac:dyDescent="0.25">
      <c r="B185" s="28" t="s">
        <v>353</v>
      </c>
      <c r="C185" s="10">
        <f>0*0.9</f>
        <v>0</v>
      </c>
      <c r="D185" s="10">
        <f t="shared" ref="D185:I185" si="24">D184*0.9</f>
        <v>0.9</v>
      </c>
      <c r="E185" s="10">
        <f t="shared" si="24"/>
        <v>1.8</v>
      </c>
      <c r="F185" s="10">
        <f t="shared" si="24"/>
        <v>2.7</v>
      </c>
      <c r="G185" s="10">
        <f t="shared" si="24"/>
        <v>3.6</v>
      </c>
      <c r="H185" s="10">
        <f t="shared" si="24"/>
        <v>4.5</v>
      </c>
      <c r="I185" s="10">
        <f t="shared" si="24"/>
        <v>5.4</v>
      </c>
      <c r="J185" s="10">
        <f t="shared" ref="J185:M185" si="25">J184*0.9</f>
        <v>6.3</v>
      </c>
      <c r="K185" s="10">
        <f t="shared" si="25"/>
        <v>7.2</v>
      </c>
      <c r="L185" s="10">
        <f t="shared" si="25"/>
        <v>8.1</v>
      </c>
      <c r="M185" s="10">
        <f t="shared" si="25"/>
        <v>9</v>
      </c>
      <c r="N185" s="10"/>
      <c r="O185" s="40"/>
    </row>
    <row r="186" spans="2:16" x14ac:dyDescent="0.25">
      <c r="B186" s="28" t="s">
        <v>352</v>
      </c>
      <c r="C186" s="61">
        <v>0</v>
      </c>
      <c r="D186" s="61">
        <v>259.77477211786186</v>
      </c>
      <c r="E186" s="61">
        <v>519.54954423572372</v>
      </c>
      <c r="F186" s="61">
        <v>779.32431635358591</v>
      </c>
      <c r="G186" s="61">
        <v>1039.0990884714474</v>
      </c>
      <c r="H186" s="61">
        <v>1298.87386058931</v>
      </c>
      <c r="I186" s="61">
        <v>1558.6486327071718</v>
      </c>
      <c r="J186" s="61">
        <v>1818.4234048250335</v>
      </c>
      <c r="K186" s="61">
        <v>2078.1981769428949</v>
      </c>
      <c r="L186" s="61">
        <v>2337.9729490607565</v>
      </c>
      <c r="M186" s="61">
        <v>2597.7477211786199</v>
      </c>
      <c r="N186" s="10"/>
      <c r="O186" s="40" t="s">
        <v>354</v>
      </c>
    </row>
    <row r="187" spans="2:16" x14ac:dyDescent="0.25">
      <c r="B187" s="57"/>
      <c r="C187" s="68"/>
      <c r="D187" s="292">
        <f t="shared" ref="D187:M187" si="26">D$186/D$185</f>
        <v>288.63863568651317</v>
      </c>
      <c r="E187" s="292">
        <f t="shared" si="26"/>
        <v>288.63863568651317</v>
      </c>
      <c r="F187" s="292">
        <f t="shared" si="26"/>
        <v>288.63863568651328</v>
      </c>
      <c r="G187" s="292">
        <f t="shared" si="26"/>
        <v>288.63863568651317</v>
      </c>
      <c r="H187" s="292">
        <f t="shared" si="26"/>
        <v>288.63863568651334</v>
      </c>
      <c r="I187" s="292">
        <f t="shared" si="26"/>
        <v>288.63863568651328</v>
      </c>
      <c r="J187" s="292">
        <f t="shared" si="26"/>
        <v>288.63863568651328</v>
      </c>
      <c r="K187" s="292">
        <f t="shared" si="26"/>
        <v>288.63863568651317</v>
      </c>
      <c r="L187" s="292">
        <f t="shared" si="26"/>
        <v>288.63863568651317</v>
      </c>
      <c r="M187" s="292">
        <f t="shared" si="26"/>
        <v>288.63863568651334</v>
      </c>
      <c r="N187" s="34"/>
      <c r="O187" s="299">
        <f>AVERAGE(D187:M187)</f>
        <v>288.63863568651323</v>
      </c>
    </row>
    <row r="189" spans="2:16" x14ac:dyDescent="0.25">
      <c r="B189" s="59" t="s">
        <v>361</v>
      </c>
      <c r="C189" s="32">
        <v>0</v>
      </c>
      <c r="D189" s="32">
        <v>1</v>
      </c>
      <c r="E189" s="32">
        <v>2</v>
      </c>
      <c r="F189" s="32">
        <v>3</v>
      </c>
      <c r="G189" s="32">
        <v>4</v>
      </c>
      <c r="H189" s="32">
        <v>5</v>
      </c>
      <c r="I189" s="32">
        <v>6</v>
      </c>
      <c r="J189" s="32">
        <v>7</v>
      </c>
      <c r="K189" s="32">
        <v>8</v>
      </c>
      <c r="L189" s="32">
        <v>9</v>
      </c>
      <c r="M189" s="32">
        <v>10</v>
      </c>
      <c r="N189" s="32"/>
      <c r="O189" s="41"/>
    </row>
    <row r="190" spans="2:16" x14ac:dyDescent="0.25">
      <c r="B190" s="28" t="s">
        <v>353</v>
      </c>
      <c r="C190" s="10">
        <f>0*0.9</f>
        <v>0</v>
      </c>
      <c r="D190" s="10">
        <f t="shared" ref="D190:M190" si="27">D189*0.9</f>
        <v>0.9</v>
      </c>
      <c r="E190" s="10">
        <f t="shared" si="27"/>
        <v>1.8</v>
      </c>
      <c r="F190" s="10">
        <f t="shared" si="27"/>
        <v>2.7</v>
      </c>
      <c r="G190" s="10">
        <f t="shared" si="27"/>
        <v>3.6</v>
      </c>
      <c r="H190" s="10">
        <f t="shared" si="27"/>
        <v>4.5</v>
      </c>
      <c r="I190" s="10">
        <f t="shared" si="27"/>
        <v>5.4</v>
      </c>
      <c r="J190" s="10">
        <f t="shared" si="27"/>
        <v>6.3</v>
      </c>
      <c r="K190" s="10">
        <f t="shared" si="27"/>
        <v>7.2</v>
      </c>
      <c r="L190" s="10">
        <f t="shared" si="27"/>
        <v>8.1</v>
      </c>
      <c r="M190" s="10">
        <f t="shared" si="27"/>
        <v>9</v>
      </c>
      <c r="N190" s="10"/>
      <c r="O190" s="40"/>
    </row>
    <row r="191" spans="2:16" x14ac:dyDescent="0.25">
      <c r="B191" s="28" t="s">
        <v>356</v>
      </c>
      <c r="C191" s="61">
        <v>0</v>
      </c>
      <c r="D191" s="61">
        <v>273.2856417516445</v>
      </c>
      <c r="E191" s="61">
        <v>546.57128350328901</v>
      </c>
      <c r="F191" s="61">
        <v>819.85692525493369</v>
      </c>
      <c r="G191" s="61">
        <v>1093.142567006578</v>
      </c>
      <c r="H191" s="61">
        <v>1366.4282087582228</v>
      </c>
      <c r="I191" s="61">
        <v>1639.7138505098674</v>
      </c>
      <c r="J191" s="61">
        <v>1912.9994922615119</v>
      </c>
      <c r="K191" s="61">
        <v>2186.285134013156</v>
      </c>
      <c r="L191" s="61">
        <v>2459.5707757648006</v>
      </c>
      <c r="M191" s="61">
        <v>2732.8564175164456</v>
      </c>
      <c r="N191" s="10"/>
      <c r="O191" s="40" t="s">
        <v>357</v>
      </c>
    </row>
    <row r="192" spans="2:16" x14ac:dyDescent="0.25">
      <c r="B192" s="57"/>
      <c r="C192" s="68"/>
      <c r="D192" s="292">
        <f t="shared" ref="D192:M192" si="28">D$191/D$190</f>
        <v>303.6507130573828</v>
      </c>
      <c r="E192" s="292">
        <f t="shared" si="28"/>
        <v>303.6507130573828</v>
      </c>
      <c r="F192" s="292">
        <f t="shared" si="28"/>
        <v>303.6507130573828</v>
      </c>
      <c r="G192" s="292">
        <f t="shared" si="28"/>
        <v>303.6507130573828</v>
      </c>
      <c r="H192" s="292">
        <f t="shared" si="28"/>
        <v>303.65071305738286</v>
      </c>
      <c r="I192" s="292">
        <f t="shared" si="28"/>
        <v>303.6507130573828</v>
      </c>
      <c r="J192" s="292">
        <f t="shared" si="28"/>
        <v>303.65071305738286</v>
      </c>
      <c r="K192" s="292">
        <f t="shared" si="28"/>
        <v>303.6507130573828</v>
      </c>
      <c r="L192" s="292">
        <f t="shared" si="28"/>
        <v>303.6507130573828</v>
      </c>
      <c r="M192" s="292">
        <f t="shared" si="28"/>
        <v>303.65071305738286</v>
      </c>
      <c r="N192" s="34"/>
      <c r="O192" s="299">
        <f>AVERAGE(D192:M192)</f>
        <v>303.6507130573828</v>
      </c>
    </row>
    <row r="210" spans="2:9" x14ac:dyDescent="0.25">
      <c r="D210" s="479"/>
      <c r="E210" s="483"/>
      <c r="F210" s="37"/>
    </row>
    <row r="212" spans="2:9" x14ac:dyDescent="0.25">
      <c r="B212" s="2" t="s">
        <v>967</v>
      </c>
    </row>
    <row r="213" spans="2:9" x14ac:dyDescent="0.25">
      <c r="B213" t="s">
        <v>417</v>
      </c>
      <c r="C213" s="19" t="s">
        <v>418</v>
      </c>
    </row>
    <row r="214" spans="2:9" x14ac:dyDescent="0.25">
      <c r="B214" t="s">
        <v>511</v>
      </c>
      <c r="D214" s="10"/>
      <c r="E214" s="10"/>
      <c r="F214" s="10"/>
      <c r="G214" s="10"/>
      <c r="H214" s="10"/>
      <c r="I214" s="10"/>
    </row>
    <row r="215" spans="2:9" x14ac:dyDescent="0.25">
      <c r="B215" t="s">
        <v>510</v>
      </c>
      <c r="D215" s="10"/>
      <c r="E215" s="10"/>
      <c r="F215" s="10"/>
      <c r="G215" s="19" t="s">
        <v>432</v>
      </c>
      <c r="H215" s="10"/>
      <c r="I215" s="10"/>
    </row>
    <row r="216" spans="2:9" x14ac:dyDescent="0.25">
      <c r="D216" s="10"/>
      <c r="E216" s="10"/>
      <c r="F216" s="10"/>
      <c r="G216" s="10"/>
      <c r="H216" s="79"/>
      <c r="I216" s="10"/>
    </row>
    <row r="217" spans="2:9" x14ac:dyDescent="0.25">
      <c r="B217" s="128" t="s">
        <v>503</v>
      </c>
      <c r="C217" s="146" t="s">
        <v>416</v>
      </c>
      <c r="E217" s="589" t="s">
        <v>503</v>
      </c>
      <c r="F217" s="590" t="s">
        <v>504</v>
      </c>
      <c r="G217" s="591" t="s">
        <v>502</v>
      </c>
    </row>
    <row r="218" spans="2:9" x14ac:dyDescent="0.25">
      <c r="B218" s="952">
        <v>20.9</v>
      </c>
      <c r="C218" s="953">
        <v>2064.0027446428007</v>
      </c>
      <c r="E218" s="955">
        <v>20.939</v>
      </c>
      <c r="F218" s="956">
        <v>100</v>
      </c>
      <c r="G218" s="954">
        <f>Melt</f>
        <v>1</v>
      </c>
      <c r="I218" s="10"/>
    </row>
    <row r="219" spans="2:9" x14ac:dyDescent="0.25">
      <c r="B219" s="418">
        <f>AVERAGE(B218,B220)</f>
        <v>21.2</v>
      </c>
      <c r="C219" s="410">
        <f>(2500-5.55*20.8333 - 273.15)</f>
        <v>2111.2251849999998</v>
      </c>
      <c r="E219" s="418">
        <f>AVERAGE(E218,E220)</f>
        <v>21.2195</v>
      </c>
      <c r="F219" s="145">
        <v>100.2</v>
      </c>
      <c r="G219" s="513">
        <f>$G$218*($F219/100)</f>
        <v>1.002</v>
      </c>
      <c r="I219" s="10"/>
    </row>
    <row r="220" spans="2:9" x14ac:dyDescent="0.25">
      <c r="B220" s="417">
        <v>21.5</v>
      </c>
      <c r="C220" s="408">
        <f>(2500-3.54*20.8333 - 273.15)</f>
        <v>2153.1001179999998</v>
      </c>
      <c r="E220" s="417">
        <v>21.5</v>
      </c>
      <c r="F220" s="567">
        <v>100.4436</v>
      </c>
      <c r="G220" s="512">
        <f t="shared" ref="G220:G256" si="29">$G$218*($F220/100)</f>
        <v>1.0044360000000001</v>
      </c>
      <c r="I220" s="10"/>
    </row>
    <row r="221" spans="2:9" x14ac:dyDescent="0.25">
      <c r="B221" s="418">
        <f>AVERAGE(B220,B222)</f>
        <v>22</v>
      </c>
      <c r="C221" s="410">
        <f>(2500-1.6*20.8333 - 273.15)</f>
        <v>2193.5167200000001</v>
      </c>
      <c r="E221" s="418">
        <f>AVERAGE(E220,E222)</f>
        <v>22</v>
      </c>
      <c r="F221" s="145">
        <v>100.8</v>
      </c>
      <c r="G221" s="513">
        <f t="shared" si="29"/>
        <v>1.008</v>
      </c>
      <c r="I221" s="10"/>
    </row>
    <row r="222" spans="2:9" x14ac:dyDescent="0.25">
      <c r="B222" s="417">
        <v>22.5</v>
      </c>
      <c r="C222" s="408">
        <f>(2500+0.2*20.8333 - 273.15)</f>
        <v>2231.0166599999998</v>
      </c>
      <c r="E222" s="417">
        <v>22.5</v>
      </c>
      <c r="F222" s="567">
        <v>101.16</v>
      </c>
      <c r="G222" s="512">
        <f t="shared" si="29"/>
        <v>1.0116000000000001</v>
      </c>
      <c r="I222" s="10"/>
    </row>
    <row r="223" spans="2:9" x14ac:dyDescent="0.25">
      <c r="B223" s="418">
        <f>AVERAGE(B222,B224)</f>
        <v>23.75</v>
      </c>
      <c r="C223" s="410">
        <f>(2500+2*20.8333 - 273.15)</f>
        <v>2268.5165999999999</v>
      </c>
      <c r="E223" s="418">
        <f>AVERAGE(E222,E224)</f>
        <v>23.75</v>
      </c>
      <c r="F223" s="145">
        <v>101.5</v>
      </c>
      <c r="G223" s="513">
        <f t="shared" si="29"/>
        <v>1.0149999999999999</v>
      </c>
      <c r="I223" s="10"/>
    </row>
    <row r="224" spans="2:9" x14ac:dyDescent="0.25">
      <c r="B224" s="417">
        <v>25</v>
      </c>
      <c r="C224" s="408">
        <f>(2500+3.8*20.8333 - 273.15)</f>
        <v>2306.0165400000001</v>
      </c>
      <c r="E224" s="417">
        <v>25</v>
      </c>
      <c r="F224" s="567">
        <v>101.92</v>
      </c>
      <c r="G224" s="512">
        <f t="shared" si="29"/>
        <v>1.0192000000000001</v>
      </c>
      <c r="I224" s="10"/>
    </row>
    <row r="225" spans="2:13" x14ac:dyDescent="0.25">
      <c r="B225" s="418">
        <f>AVERAGE(B224,B226)</f>
        <v>26.25</v>
      </c>
      <c r="C225" s="410">
        <f>(2500+5.4*20.8333 - 273.15)</f>
        <v>2339.3498199999999</v>
      </c>
      <c r="E225" s="418">
        <f>AVERAGE(E224,E226)</f>
        <v>26.25</v>
      </c>
      <c r="F225" s="145">
        <v>102.2</v>
      </c>
      <c r="G225" s="513">
        <f t="shared" si="29"/>
        <v>1.022</v>
      </c>
      <c r="I225" s="10"/>
    </row>
    <row r="226" spans="2:13" x14ac:dyDescent="0.25">
      <c r="B226" s="417">
        <v>27.5</v>
      </c>
      <c r="C226" s="408">
        <f>(2500+7*20.8333 - 273.15)</f>
        <v>2372.6830999999997</v>
      </c>
      <c r="E226" s="417">
        <v>27.5</v>
      </c>
      <c r="F226" s="567">
        <v>102.68</v>
      </c>
      <c r="G226" s="512">
        <f t="shared" si="29"/>
        <v>1.0268000000000002</v>
      </c>
      <c r="I226" s="10"/>
    </row>
    <row r="227" spans="2:13" x14ac:dyDescent="0.25">
      <c r="B227" s="265">
        <f>AVERAGE(B226,B228)</f>
        <v>28.75</v>
      </c>
      <c r="C227" s="410">
        <f>(2750-3.5*20.8333 - 273.15)</f>
        <v>2403.93345</v>
      </c>
      <c r="D227" s="2"/>
      <c r="E227" s="265">
        <f>AVERAGE(E226,E228)</f>
        <v>28.75</v>
      </c>
      <c r="F227" s="145">
        <v>103.08</v>
      </c>
      <c r="G227" s="513">
        <f t="shared" si="29"/>
        <v>1.0307999999999999</v>
      </c>
      <c r="I227" s="10"/>
    </row>
    <row r="228" spans="2:13" x14ac:dyDescent="0.25">
      <c r="B228" s="417">
        <v>30</v>
      </c>
      <c r="C228" s="408">
        <f>(2750-2*20.8333 - 273.15)</f>
        <v>2435.1833999999999</v>
      </c>
      <c r="E228" s="417">
        <v>30</v>
      </c>
      <c r="F228" s="567">
        <v>103.52</v>
      </c>
      <c r="G228" s="512">
        <f t="shared" si="29"/>
        <v>1.0351999999999999</v>
      </c>
      <c r="I228" s="10"/>
    </row>
    <row r="229" spans="2:13" x14ac:dyDescent="0.25">
      <c r="B229" s="265">
        <v>32.5</v>
      </c>
      <c r="C229" s="410">
        <f>(2750-0.6*20.8333 - 273.15)</f>
        <v>2464.3500199999999</v>
      </c>
      <c r="E229" s="265">
        <v>32.5</v>
      </c>
      <c r="F229" s="145">
        <v>103.92</v>
      </c>
      <c r="G229" s="513">
        <f t="shared" si="29"/>
        <v>1.0392000000000001</v>
      </c>
    </row>
    <row r="230" spans="2:13" x14ac:dyDescent="0.25">
      <c r="B230" s="417">
        <v>35</v>
      </c>
      <c r="C230" s="408">
        <f>(2750+0.7*20.8333 - 273.15)</f>
        <v>2491.4333099999999</v>
      </c>
      <c r="E230" s="417">
        <v>35</v>
      </c>
      <c r="F230" s="567">
        <v>104.36</v>
      </c>
      <c r="G230" s="512">
        <f t="shared" si="29"/>
        <v>1.0436000000000001</v>
      </c>
    </row>
    <row r="231" spans="2:13" x14ac:dyDescent="0.25">
      <c r="B231" s="265">
        <v>37.5</v>
      </c>
      <c r="C231" s="410">
        <f>(2750+1.9*20.8333 - 273.15)</f>
        <v>2516.43327</v>
      </c>
      <c r="E231" s="265">
        <v>37.5</v>
      </c>
      <c r="F231" s="145">
        <v>105</v>
      </c>
      <c r="G231" s="513">
        <f t="shared" si="29"/>
        <v>1.05</v>
      </c>
    </row>
    <row r="232" spans="2:13" x14ac:dyDescent="0.25">
      <c r="B232" s="417">
        <v>40</v>
      </c>
      <c r="C232" s="408">
        <f>(2750+3.1*20.8333 - 273.15)</f>
        <v>2541.4332300000001</v>
      </c>
      <c r="E232" s="417">
        <v>40</v>
      </c>
      <c r="F232" s="567">
        <v>105.32</v>
      </c>
      <c r="G232" s="512">
        <f t="shared" si="29"/>
        <v>1.0531999999999999</v>
      </c>
    </row>
    <row r="233" spans="2:13" x14ac:dyDescent="0.25">
      <c r="B233" s="265">
        <v>42.5</v>
      </c>
      <c r="C233" s="410">
        <f>(2750+4.1*20.8333 - 273.15)</f>
        <v>2562.2665299999999</v>
      </c>
      <c r="E233" s="265">
        <v>42.5</v>
      </c>
      <c r="F233" s="145">
        <v>105.76</v>
      </c>
      <c r="G233" s="513">
        <f t="shared" si="29"/>
        <v>1.0576000000000001</v>
      </c>
    </row>
    <row r="234" spans="2:13" x14ac:dyDescent="0.25">
      <c r="B234" s="417">
        <v>45</v>
      </c>
      <c r="C234" s="408">
        <f>(2750+5.1*20.8333 - 273.15)</f>
        <v>2583.0998300000001</v>
      </c>
      <c r="E234" s="417">
        <v>45</v>
      </c>
      <c r="F234" s="567">
        <v>106.24</v>
      </c>
      <c r="G234" s="512">
        <f t="shared" si="29"/>
        <v>1.0624</v>
      </c>
    </row>
    <row r="235" spans="2:13" x14ac:dyDescent="0.25">
      <c r="B235" s="265">
        <v>47.5</v>
      </c>
      <c r="C235" s="410">
        <f>(2750+5.98*20.8333 - 273.15)</f>
        <v>2601.4331339999999</v>
      </c>
      <c r="E235" s="265">
        <v>47.5</v>
      </c>
      <c r="F235" s="145">
        <v>106.72</v>
      </c>
      <c r="G235" s="513">
        <f t="shared" si="29"/>
        <v>1.0671999999999999</v>
      </c>
    </row>
    <row r="236" spans="2:13" x14ac:dyDescent="0.25">
      <c r="B236" s="417">
        <v>50</v>
      </c>
      <c r="C236" s="408">
        <f>(2750+6.7*20.8333 - 273.15)</f>
        <v>2616.4331099999999</v>
      </c>
      <c r="E236" s="417">
        <v>50</v>
      </c>
      <c r="F236" s="567">
        <v>107.2</v>
      </c>
      <c r="G236" s="512">
        <f t="shared" si="29"/>
        <v>1.0720000000000001</v>
      </c>
    </row>
    <row r="237" spans="2:13" x14ac:dyDescent="0.25">
      <c r="B237" s="265">
        <v>52.5</v>
      </c>
      <c r="C237" s="410">
        <f>(2750+7.5*20.8333 - 273.15)</f>
        <v>2633.0997499999999</v>
      </c>
      <c r="E237" s="265">
        <v>52.5</v>
      </c>
      <c r="F237" s="145">
        <v>107.64</v>
      </c>
      <c r="G237" s="513">
        <f t="shared" si="29"/>
        <v>1.0764</v>
      </c>
    </row>
    <row r="238" spans="2:13" x14ac:dyDescent="0.25">
      <c r="B238" s="417">
        <v>55</v>
      </c>
      <c r="C238" s="408">
        <f>(2750+8.2*20.8333 - 273.15)</f>
        <v>2647.6830599999998</v>
      </c>
      <c r="E238" s="417">
        <v>55</v>
      </c>
      <c r="F238" s="567">
        <v>108.2</v>
      </c>
      <c r="G238" s="512">
        <f t="shared" si="29"/>
        <v>1.0820000000000001</v>
      </c>
    </row>
    <row r="239" spans="2:13" x14ac:dyDescent="0.25">
      <c r="B239" s="265">
        <v>57.5</v>
      </c>
      <c r="C239" s="410">
        <f>(3000-3.06*20.8333 - 273.15)</f>
        <v>2663.1001019999999</v>
      </c>
      <c r="E239" s="265">
        <v>57.5</v>
      </c>
      <c r="F239" s="145">
        <v>108.64</v>
      </c>
      <c r="G239" s="513">
        <f t="shared" si="29"/>
        <v>1.0864</v>
      </c>
    </row>
    <row r="240" spans="2:13" x14ac:dyDescent="0.25">
      <c r="B240" s="417">
        <v>60</v>
      </c>
      <c r="C240" s="408">
        <f>(3000-2.5*20.8333 - 273.15)</f>
        <v>2674.7667499999998</v>
      </c>
      <c r="E240" s="417">
        <v>60</v>
      </c>
      <c r="F240" s="567">
        <v>109.16</v>
      </c>
      <c r="G240" s="512">
        <f t="shared" si="29"/>
        <v>1.0915999999999999</v>
      </c>
      <c r="J240" s="24"/>
      <c r="K240" s="481"/>
      <c r="L240" s="20"/>
      <c r="M240" s="46"/>
    </row>
    <row r="241" spans="2:17" x14ac:dyDescent="0.25">
      <c r="B241" s="265">
        <v>62.5</v>
      </c>
      <c r="C241" s="410">
        <f>(3000-1.86*20.8333 - 273.15)</f>
        <v>2688.100062</v>
      </c>
      <c r="E241" s="265">
        <v>62.5</v>
      </c>
      <c r="F241" s="145">
        <v>109.64</v>
      </c>
      <c r="G241" s="513">
        <f t="shared" si="29"/>
        <v>1.0964</v>
      </c>
      <c r="I241" s="501"/>
      <c r="J241" s="501"/>
      <c r="K241" s="502"/>
      <c r="L241" s="20"/>
      <c r="M241" s="46"/>
    </row>
    <row r="242" spans="2:17" x14ac:dyDescent="0.25">
      <c r="B242" s="417">
        <v>65</v>
      </c>
      <c r="C242" s="408">
        <f>(3000-1.25*20.8333 - 273.15)</f>
        <v>2700.8083750000001</v>
      </c>
      <c r="E242" s="417">
        <v>65</v>
      </c>
      <c r="F242" s="567">
        <v>110.16</v>
      </c>
      <c r="G242" s="512">
        <f t="shared" si="29"/>
        <v>1.1015999999999999</v>
      </c>
      <c r="J242" s="24"/>
      <c r="K242" s="125"/>
      <c r="L242" s="20"/>
      <c r="M242" s="46"/>
    </row>
    <row r="243" spans="2:17" x14ac:dyDescent="0.25">
      <c r="B243" s="265">
        <v>67.5</v>
      </c>
      <c r="C243" s="410">
        <f>(3000-0.75*20.8333 - 273.15)</f>
        <v>2711.2250249999997</v>
      </c>
      <c r="E243" s="265">
        <v>67.5</v>
      </c>
      <c r="F243" s="145">
        <v>110.8</v>
      </c>
      <c r="G243" s="513">
        <f t="shared" si="29"/>
        <v>1.1079999999999999</v>
      </c>
      <c r="J243" s="24"/>
      <c r="K243" s="20"/>
      <c r="L243" s="20"/>
      <c r="M243" s="46"/>
    </row>
    <row r="244" spans="2:17" x14ac:dyDescent="0.25">
      <c r="B244" s="417">
        <v>70</v>
      </c>
      <c r="C244" s="408">
        <f>(3000-0.2*20.8333 - 273.15)</f>
        <v>2722.68334</v>
      </c>
      <c r="E244" s="417">
        <v>70</v>
      </c>
      <c r="F244" s="567">
        <v>111.36</v>
      </c>
      <c r="G244" s="512">
        <f t="shared" si="29"/>
        <v>1.1135999999999999</v>
      </c>
      <c r="M244" s="500"/>
    </row>
    <row r="245" spans="2:17" x14ac:dyDescent="0.25">
      <c r="B245" s="265">
        <v>72.5</v>
      </c>
      <c r="C245" s="410">
        <f>(3000+0.2*20.8333 - 273.15)</f>
        <v>2731.0166599999998</v>
      </c>
      <c r="E245" s="265">
        <v>72.5</v>
      </c>
      <c r="F245" s="145">
        <v>111.96000000000001</v>
      </c>
      <c r="G245" s="513">
        <f t="shared" si="29"/>
        <v>1.1196000000000002</v>
      </c>
    </row>
    <row r="246" spans="2:17" x14ac:dyDescent="0.25">
      <c r="B246" s="417">
        <v>75</v>
      </c>
      <c r="C246" s="408">
        <f>(3000+0.65*20.8333 - 273.15)</f>
        <v>2740.3916449999997</v>
      </c>
      <c r="E246" s="417">
        <v>75</v>
      </c>
      <c r="F246" s="567">
        <v>112.47999999999999</v>
      </c>
      <c r="G246" s="512">
        <f t="shared" si="29"/>
        <v>1.1247999999999998</v>
      </c>
      <c r="I246" s="10"/>
    </row>
    <row r="247" spans="2:17" x14ac:dyDescent="0.25">
      <c r="B247" s="265">
        <v>77.5</v>
      </c>
      <c r="C247" s="410">
        <f>(3000+1.1*20.8333 - 273.15)</f>
        <v>2749.7666300000001</v>
      </c>
      <c r="E247" s="265">
        <v>77.5</v>
      </c>
      <c r="F247" s="145">
        <v>113.2</v>
      </c>
      <c r="G247" s="513">
        <f t="shared" si="29"/>
        <v>1.1320000000000001</v>
      </c>
      <c r="I247" s="10"/>
    </row>
    <row r="248" spans="2:17" x14ac:dyDescent="0.25">
      <c r="B248" s="417">
        <v>80</v>
      </c>
      <c r="C248" s="408">
        <f>(3000+1.5*20.8333 - 273.15)</f>
        <v>2758.0999499999998</v>
      </c>
      <c r="E248" s="417">
        <v>80</v>
      </c>
      <c r="F248" s="567">
        <v>113.72</v>
      </c>
      <c r="G248" s="512">
        <f t="shared" si="29"/>
        <v>1.1372</v>
      </c>
      <c r="I248" s="10"/>
      <c r="Q248" s="267"/>
    </row>
    <row r="249" spans="2:17" x14ac:dyDescent="0.25">
      <c r="B249" s="265">
        <v>82.5</v>
      </c>
      <c r="C249" s="410">
        <f>(3000+1.92*20.8333 - 273.15)</f>
        <v>2766.8499360000001</v>
      </c>
      <c r="E249" s="265">
        <v>82.5</v>
      </c>
      <c r="F249" s="145">
        <v>114.4</v>
      </c>
      <c r="G249" s="513">
        <f t="shared" si="29"/>
        <v>1.1440000000000001</v>
      </c>
      <c r="I249" s="10"/>
    </row>
    <row r="250" spans="2:17" x14ac:dyDescent="0.25">
      <c r="B250" s="417">
        <v>85</v>
      </c>
      <c r="C250" s="408">
        <f>(3000+2.2*20.8333 - 273.15)</f>
        <v>2772.6832599999998</v>
      </c>
      <c r="E250" s="417">
        <v>85</v>
      </c>
      <c r="F250" s="567">
        <v>115.03999999999999</v>
      </c>
      <c r="G250" s="512">
        <f t="shared" si="29"/>
        <v>1.1503999999999999</v>
      </c>
      <c r="I250" s="10"/>
    </row>
    <row r="251" spans="2:17" x14ac:dyDescent="0.25">
      <c r="B251" s="265">
        <v>87.5</v>
      </c>
      <c r="C251" s="410">
        <f>(3000+2.6*20.8333 - 273.15)</f>
        <v>2781.01658</v>
      </c>
      <c r="E251" s="265">
        <v>87.5</v>
      </c>
      <c r="F251" s="145">
        <v>115.6</v>
      </c>
      <c r="G251" s="513">
        <f t="shared" si="29"/>
        <v>1.1559999999999999</v>
      </c>
      <c r="I251" s="10"/>
    </row>
    <row r="252" spans="2:17" x14ac:dyDescent="0.25">
      <c r="B252" s="417">
        <v>90</v>
      </c>
      <c r="C252" s="408">
        <f>(3000+2.9*20.8333 - 273.15)</f>
        <v>2787.2665699999998</v>
      </c>
      <c r="E252" s="417">
        <v>90</v>
      </c>
      <c r="F252" s="567">
        <v>116.32000000000001</v>
      </c>
      <c r="G252" s="512">
        <f t="shared" si="29"/>
        <v>1.1632</v>
      </c>
      <c r="I252" s="10"/>
    </row>
    <row r="253" spans="2:17" x14ac:dyDescent="0.25">
      <c r="B253" s="265">
        <v>92.5</v>
      </c>
      <c r="C253" s="410">
        <f>(3000+3.1*20.8333 - 273.15)</f>
        <v>2791.4332300000001</v>
      </c>
      <c r="E253" s="265">
        <v>92.5</v>
      </c>
      <c r="F253" s="145">
        <v>117.03999999999999</v>
      </c>
      <c r="G253" s="513">
        <f t="shared" si="29"/>
        <v>1.1703999999999999</v>
      </c>
      <c r="I253" s="10"/>
    </row>
    <row r="254" spans="2:17" x14ac:dyDescent="0.25">
      <c r="B254" s="417">
        <v>95</v>
      </c>
      <c r="C254" s="408">
        <f>(3000+3.248*20.8333 - 273.15)</f>
        <v>2794.5165584000001</v>
      </c>
      <c r="E254" s="417">
        <v>95</v>
      </c>
      <c r="F254" s="567">
        <v>117.96000000000001</v>
      </c>
      <c r="G254" s="512">
        <f t="shared" si="29"/>
        <v>1.1796</v>
      </c>
      <c r="I254" s="10"/>
    </row>
    <row r="255" spans="2:17" x14ac:dyDescent="0.25">
      <c r="B255" s="265">
        <v>97.5</v>
      </c>
      <c r="C255" s="409">
        <f>2800-0.045950300000186</f>
        <v>2799.9540496999998</v>
      </c>
      <c r="E255" s="265">
        <v>97.5</v>
      </c>
      <c r="F255" s="145">
        <v>118.92</v>
      </c>
      <c r="G255" s="513">
        <f t="shared" si="29"/>
        <v>1.1892</v>
      </c>
    </row>
    <row r="256" spans="2:17" x14ac:dyDescent="0.25">
      <c r="B256" s="957">
        <v>100</v>
      </c>
      <c r="C256" s="958">
        <v>2800</v>
      </c>
      <c r="D256" s="6"/>
      <c r="E256" s="957">
        <v>100</v>
      </c>
      <c r="F256" s="956">
        <v>120</v>
      </c>
      <c r="G256" s="954">
        <f t="shared" si="29"/>
        <v>1.2</v>
      </c>
    </row>
    <row r="258" spans="3:7" x14ac:dyDescent="0.25">
      <c r="G258" s="79"/>
    </row>
    <row r="259" spans="3:7" x14ac:dyDescent="0.25">
      <c r="C259" s="207"/>
      <c r="F259" s="6"/>
      <c r="G259" s="6"/>
    </row>
  </sheetData>
  <dataConsolidate/>
  <mergeCells count="118">
    <mergeCell ref="AS86:AT86"/>
    <mergeCell ref="AS87:AT87"/>
    <mergeCell ref="AS88:AT88"/>
    <mergeCell ref="AS89:AT89"/>
    <mergeCell ref="AS76:AT76"/>
    <mergeCell ref="AS77:AT77"/>
    <mergeCell ref="AS78:AT78"/>
    <mergeCell ref="AS79:AT79"/>
    <mergeCell ref="AS81:AT81"/>
    <mergeCell ref="AS82:AT82"/>
    <mergeCell ref="AS83:AT83"/>
    <mergeCell ref="AS84:AT84"/>
    <mergeCell ref="AS85:AT85"/>
    <mergeCell ref="AF72:AG72"/>
    <mergeCell ref="AF73:AG73"/>
    <mergeCell ref="AF74:AG74"/>
    <mergeCell ref="Q82:R82"/>
    <mergeCell ref="Q77:R77"/>
    <mergeCell ref="Q78:R78"/>
    <mergeCell ref="Q79:R79"/>
    <mergeCell ref="AF75:AG75"/>
    <mergeCell ref="AF76:AG76"/>
    <mergeCell ref="Q81:R81"/>
    <mergeCell ref="Q72:R72"/>
    <mergeCell ref="Q73:R73"/>
    <mergeCell ref="Q74:R74"/>
    <mergeCell ref="Q75:R75"/>
    <mergeCell ref="Q76:R76"/>
    <mergeCell ref="A23:A31"/>
    <mergeCell ref="A6:A14"/>
    <mergeCell ref="AS58:AU58"/>
    <mergeCell ref="AS71:AT71"/>
    <mergeCell ref="AS72:AT72"/>
    <mergeCell ref="AS73:AT73"/>
    <mergeCell ref="AS74:AT74"/>
    <mergeCell ref="AS75:AT75"/>
    <mergeCell ref="Q58:S58"/>
    <mergeCell ref="AF71:AG71"/>
    <mergeCell ref="B51:G51"/>
    <mergeCell ref="B54:G54"/>
    <mergeCell ref="B57:G57"/>
    <mergeCell ref="B60:G60"/>
    <mergeCell ref="B63:G63"/>
    <mergeCell ref="B70:C70"/>
    <mergeCell ref="B74:C74"/>
    <mergeCell ref="B73:C73"/>
    <mergeCell ref="B72:C72"/>
    <mergeCell ref="B71:C71"/>
    <mergeCell ref="I59:I60"/>
    <mergeCell ref="J59:L59"/>
    <mergeCell ref="Q71:R71"/>
    <mergeCell ref="B75:C75"/>
    <mergeCell ref="B150:O150"/>
    <mergeCell ref="Q85:R85"/>
    <mergeCell ref="B86:C86"/>
    <mergeCell ref="B87:C87"/>
    <mergeCell ref="Q86:R86"/>
    <mergeCell ref="B101:B102"/>
    <mergeCell ref="C101:D101"/>
    <mergeCell ref="E101:G101"/>
    <mergeCell ref="B92:B93"/>
    <mergeCell ref="Q89:R89"/>
    <mergeCell ref="B88:C88"/>
    <mergeCell ref="Q87:R87"/>
    <mergeCell ref="Q88:R88"/>
    <mergeCell ref="F124:H124"/>
    <mergeCell ref="B124:D124"/>
    <mergeCell ref="G92:G93"/>
    <mergeCell ref="B85:C85"/>
    <mergeCell ref="J101:M101"/>
    <mergeCell ref="H101:I101"/>
    <mergeCell ref="Q93:Q94"/>
    <mergeCell ref="R93:T93"/>
    <mergeCell ref="Q102:Q103"/>
    <mergeCell ref="R102:S102"/>
    <mergeCell ref="BA102:BD102"/>
    <mergeCell ref="AY102:AZ102"/>
    <mergeCell ref="AS93:AS94"/>
    <mergeCell ref="AS102:AS103"/>
    <mergeCell ref="AT93:AV93"/>
    <mergeCell ref="AT102:AU102"/>
    <mergeCell ref="AV102:AX102"/>
    <mergeCell ref="AL102:AM102"/>
    <mergeCell ref="AN102:AQ102"/>
    <mergeCell ref="AF102:AF103"/>
    <mergeCell ref="AG102:AH102"/>
    <mergeCell ref="AI102:AK102"/>
    <mergeCell ref="W102:X102"/>
    <mergeCell ref="T102:V102"/>
    <mergeCell ref="Y102:AB102"/>
    <mergeCell ref="AF93:AF94"/>
    <mergeCell ref="AF77:AG77"/>
    <mergeCell ref="AF78:AG78"/>
    <mergeCell ref="AF83:AG83"/>
    <mergeCell ref="AF84:AG84"/>
    <mergeCell ref="AF85:AG85"/>
    <mergeCell ref="AF86:AG86"/>
    <mergeCell ref="AF87:AG87"/>
    <mergeCell ref="AF88:AG88"/>
    <mergeCell ref="AF89:AG89"/>
    <mergeCell ref="B76:C76"/>
    <mergeCell ref="B77:C77"/>
    <mergeCell ref="B78:C78"/>
    <mergeCell ref="B83:C83"/>
    <mergeCell ref="B84:C84"/>
    <mergeCell ref="Q84:R84"/>
    <mergeCell ref="Q83:R83"/>
    <mergeCell ref="AG93:AI93"/>
    <mergeCell ref="AF79:AG79"/>
    <mergeCell ref="AF82:AG82"/>
    <mergeCell ref="AF81:AG81"/>
    <mergeCell ref="H92:J92"/>
    <mergeCell ref="C92:E92"/>
    <mergeCell ref="L92:L93"/>
    <mergeCell ref="M92:O92"/>
    <mergeCell ref="B81:C81"/>
    <mergeCell ref="B80:C80"/>
    <mergeCell ref="B82:C82"/>
  </mergeCells>
  <conditionalFormatting sqref="C133">
    <cfRule type="containsText" dxfId="4" priority="184" operator="containsText" text="Limit exceeded">
      <formula>NOT(ISERROR(SEARCH("Limit exceeded",C133)))</formula>
    </cfRule>
  </conditionalFormatting>
  <hyperlinks>
    <hyperlink ref="C213" r:id="rId1"/>
    <hyperlink ref="C4" r:id="rId2"/>
    <hyperlink ref="E4" r:id="rId3" display="EngineeringToolbox"/>
    <hyperlink ref="D4" r:id="rId4" location="Thermo-Gas" display="NIST."/>
    <hyperlink ref="G215" r:id="rId5" location="v=onepa" display="source"/>
  </hyperlinks>
  <pageMargins left="0.7" right="0.7" top="0.75" bottom="0.75" header="0.3" footer="0.3"/>
  <pageSetup orientation="portrait" r:id="rId6"/>
  <customProperties>
    <customPr name="EpmWorksheetKeyString_GUID" r:id="rId7"/>
  </customProperties>
  <ignoredErrors>
    <ignoredError sqref="J106 J104" formula="1"/>
  </ignoredErrors>
  <drawing r:id="rId8"/>
  <legacyDrawing r:id="rId9"/>
  <extLst>
    <ext xmlns:x14="http://schemas.microsoft.com/office/spreadsheetml/2009/9/main" uri="{78C0D931-6437-407d-A8EE-F0AAD7539E65}">
      <x14:conditionalFormattings>
        <x14:conditionalFormatting xmlns:xm="http://schemas.microsoft.com/office/excel/2006/main">
          <x14:cfRule type="containsText" priority="191" operator="containsText" id="{B6B334F5-C1FA-408C-A44A-20418F318761}">
            <xm:f>NOT(ISERROR(SEARCH("Limit exceeded",D133)))</xm:f>
            <xm:f>"Limit exceeded"</xm:f>
            <x14:dxf>
              <fill>
                <patternFill>
                  <bgColor theme="9" tint="0.39994506668294322"/>
                </patternFill>
              </fill>
            </x14:dxf>
          </x14:cfRule>
          <xm:sqref>D133</xm:sqref>
        </x14:conditionalFormatting>
        <x14:conditionalFormatting xmlns:xm="http://schemas.microsoft.com/office/excel/2006/main">
          <x14:cfRule type="expression" priority="789" id="{00000000-000E-0000-0C00-0000CB010000}">
            <xm:f>AND(OR(D1_Furnace!$G$24=0, D1_Furnace!$G$24&lt;=42), AND(D1_Furnace!$G$25=0,D1_Furnace!$G$26=0))</xm:f>
            <x14:dxf>
              <fill>
                <patternFill>
                  <bgColor rgb="FF92D050"/>
                </patternFill>
              </fill>
            </x14:dxf>
          </x14:cfRule>
          <xm:sqref>C133:D133</xm:sqref>
        </x14:conditionalFormatting>
        <x14:conditionalFormatting xmlns:xm="http://schemas.microsoft.com/office/excel/2006/main">
          <x14:cfRule type="expression" priority="790" id="{00000000-000E-0000-0C00-0000CC010000}">
            <xm:f>AND(D1_Furnace!$G$26&gt;0, AND(D1_Furnace!$G$24=0,D1_Furnace!$G$25=0))</xm:f>
            <x14:dxf>
              <fill>
                <patternFill>
                  <bgColor rgb="FF92D050"/>
                </patternFill>
              </fill>
            </x14:dxf>
          </x14:cfRule>
          <xm:sqref>C135:D135</xm:sqref>
        </x14:conditionalFormatting>
        <x14:conditionalFormatting xmlns:xm="http://schemas.microsoft.com/office/excel/2006/main">
          <x14:cfRule type="expression" priority="791" id="{00000000-000E-0000-0C00-0000CD010000}">
            <xm:f>AND(D1_Furnace!$G$25&gt;0, AND(D1_Furnace!$G$24=0,D1_Furnace!$G$26=0))</xm:f>
            <x14:dxf>
              <fill>
                <patternFill>
                  <bgColor rgb="FF92D050"/>
                </patternFill>
              </fill>
            </x14:dxf>
          </x14:cfRule>
          <xm:sqref>C134:D134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2:T85"/>
  <sheetViews>
    <sheetView showGridLines="0" zoomScale="70" zoomScaleNormal="70" workbookViewId="0">
      <selection activeCell="I63" sqref="I63"/>
    </sheetView>
  </sheetViews>
  <sheetFormatPr defaultRowHeight="15" x14ac:dyDescent="0.25"/>
  <cols>
    <col min="2" max="3" width="14.42578125" customWidth="1"/>
    <col min="4" max="4" width="15.7109375" customWidth="1"/>
    <col min="5" max="15" width="14.42578125" customWidth="1"/>
  </cols>
  <sheetData>
    <row r="2" spans="2:19" ht="18.75" x14ac:dyDescent="0.3">
      <c r="B2" s="991" t="s">
        <v>763</v>
      </c>
      <c r="C2" s="992"/>
      <c r="D2" s="992"/>
      <c r="E2" s="992"/>
    </row>
    <row r="4" spans="2:19" x14ac:dyDescent="0.25">
      <c r="B4" s="1424" t="s">
        <v>830</v>
      </c>
      <c r="C4" s="1425"/>
      <c r="D4" s="1426"/>
    </row>
    <row r="5" spans="2:19" x14ac:dyDescent="0.25">
      <c r="B5" s="942" t="s">
        <v>831</v>
      </c>
      <c r="C5" s="474">
        <f>D1_Furnace!G141</f>
        <v>5.7643116211881544</v>
      </c>
      <c r="D5" s="475" t="s">
        <v>135</v>
      </c>
    </row>
    <row r="6" spans="2:19" x14ac:dyDescent="0.25">
      <c r="B6" s="67" t="s">
        <v>691</v>
      </c>
      <c r="C6" s="282">
        <f>Fuel!C42</f>
        <v>35.095999999999997</v>
      </c>
      <c r="D6" s="271" t="s">
        <v>366</v>
      </c>
    </row>
    <row r="7" spans="2:19" x14ac:dyDescent="0.25">
      <c r="B7" s="67" t="s">
        <v>692</v>
      </c>
      <c r="C7" s="282">
        <f>Fuel!C43</f>
        <v>31.669</v>
      </c>
      <c r="D7" s="271" t="s">
        <v>366</v>
      </c>
    </row>
    <row r="8" spans="2:19" x14ac:dyDescent="0.25">
      <c r="B8" s="67" t="s">
        <v>693</v>
      </c>
      <c r="C8" s="332">
        <f>C5*1000/C7</f>
        <v>182.01748148625325</v>
      </c>
      <c r="D8" s="271" t="s">
        <v>114</v>
      </c>
    </row>
    <row r="9" spans="2:19" x14ac:dyDescent="0.25">
      <c r="B9" s="107" t="s">
        <v>694</v>
      </c>
      <c r="C9" s="314">
        <f>Fuel!C45</f>
        <v>0.83299999999999996</v>
      </c>
      <c r="D9" s="64" t="s">
        <v>113</v>
      </c>
    </row>
    <row r="10" spans="2:19" x14ac:dyDescent="0.25">
      <c r="B10" s="107" t="s">
        <v>695</v>
      </c>
      <c r="C10" s="332">
        <f>C8*C9</f>
        <v>151.62056207804895</v>
      </c>
      <c r="D10" s="64" t="s">
        <v>337</v>
      </c>
    </row>
    <row r="11" spans="2:19" x14ac:dyDescent="0.25">
      <c r="B11" s="107" t="s">
        <v>423</v>
      </c>
      <c r="C11" s="178">
        <f>(Fuel!G7*Fuel!L24 + Fuel!G8*Fuel!L25+ Fuel!G9*Fuel!L26 + Fuel!G10*Fuel!L27 + Fuel!G11*Fuel!L28 + Fuel!G12*Fuel!L29 + Fuel!G13*Fuel!L30 + Fuel!G14*Fuel!L31)/100</f>
        <v>3.3921845920022076</v>
      </c>
      <c r="D11" s="64" t="s">
        <v>334</v>
      </c>
      <c r="Q11" s="284"/>
      <c r="R11" s="474"/>
      <c r="S11" s="944"/>
    </row>
    <row r="12" spans="2:19" x14ac:dyDescent="0.25">
      <c r="B12" s="943" t="s">
        <v>696</v>
      </c>
      <c r="C12" s="527">
        <f>(Fuel!E7*Fuel!G7 + Fuel!E8*Fuel!G8 + Fuel!E9*Fuel!G9 + Fuel!E10*Fuel!G10 + Fuel!E11*Fuel!G11 + Fuel!E12*Fuel!G12 + Fuel!E13*Fuel!G13 +Fuel!E14*Fuel!G14)/100</f>
        <v>2.0491240469296578E-2</v>
      </c>
      <c r="D12" s="132" t="s">
        <v>61</v>
      </c>
      <c r="Q12" s="284"/>
      <c r="R12" s="474"/>
      <c r="S12" s="944"/>
    </row>
    <row r="13" spans="2:19" x14ac:dyDescent="0.25">
      <c r="Q13" s="284"/>
      <c r="R13" s="474"/>
      <c r="S13" s="944"/>
    </row>
    <row r="14" spans="2:19" x14ac:dyDescent="0.25">
      <c r="Q14" s="284"/>
      <c r="R14" s="474"/>
      <c r="S14" s="944"/>
    </row>
    <row r="15" spans="2:19" x14ac:dyDescent="0.25">
      <c r="B15" s="128" t="s">
        <v>409</v>
      </c>
      <c r="C15" s="62" t="s">
        <v>735</v>
      </c>
      <c r="D15" s="133" t="s">
        <v>736</v>
      </c>
      <c r="E15" s="146" t="s">
        <v>737</v>
      </c>
      <c r="H15" s="976" t="s">
        <v>737</v>
      </c>
      <c r="I15" s="62" t="s">
        <v>736</v>
      </c>
      <c r="J15" s="62" t="s">
        <v>408</v>
      </c>
      <c r="K15" s="133" t="s">
        <v>410</v>
      </c>
      <c r="L15" s="146" t="s">
        <v>411</v>
      </c>
    </row>
    <row r="16" spans="2:19" x14ac:dyDescent="0.25">
      <c r="B16" s="28">
        <v>1</v>
      </c>
      <c r="C16" s="10">
        <v>1</v>
      </c>
      <c r="D16" s="10">
        <v>1</v>
      </c>
      <c r="E16" s="40">
        <v>3</v>
      </c>
      <c r="H16" s="28">
        <v>1</v>
      </c>
      <c r="I16" s="10">
        <v>0</v>
      </c>
      <c r="J16" s="18">
        <v>0.5</v>
      </c>
      <c r="K16" s="18">
        <v>0</v>
      </c>
      <c r="L16" s="40">
        <v>1</v>
      </c>
      <c r="P16" s="19"/>
    </row>
    <row r="17" spans="2:15" x14ac:dyDescent="0.25">
      <c r="B17" s="28">
        <v>1</v>
      </c>
      <c r="C17" s="10">
        <v>2</v>
      </c>
      <c r="D17" s="10">
        <v>2</v>
      </c>
      <c r="E17" s="40">
        <v>5</v>
      </c>
      <c r="H17" s="57">
        <v>0</v>
      </c>
      <c r="I17" s="34">
        <v>1</v>
      </c>
      <c r="J17" s="34">
        <v>0.5</v>
      </c>
      <c r="K17" s="66">
        <v>1</v>
      </c>
      <c r="L17" s="58">
        <v>0</v>
      </c>
    </row>
    <row r="18" spans="2:15" x14ac:dyDescent="0.25">
      <c r="B18" s="28">
        <v>1</v>
      </c>
      <c r="C18" s="10">
        <v>3</v>
      </c>
      <c r="D18" s="10">
        <v>3</v>
      </c>
      <c r="E18" s="40">
        <v>7</v>
      </c>
    </row>
    <row r="19" spans="2:15" x14ac:dyDescent="0.25">
      <c r="B19" s="28">
        <v>1</v>
      </c>
      <c r="C19" s="18">
        <v>4</v>
      </c>
      <c r="D19" s="18">
        <v>4</v>
      </c>
      <c r="E19" s="40">
        <v>9</v>
      </c>
      <c r="H19" t="s">
        <v>760</v>
      </c>
    </row>
    <row r="20" spans="2:15" x14ac:dyDescent="0.25">
      <c r="B20" s="57">
        <v>1</v>
      </c>
      <c r="C20" s="294">
        <v>5</v>
      </c>
      <c r="D20" s="34">
        <v>5</v>
      </c>
      <c r="E20" s="58">
        <v>11</v>
      </c>
      <c r="H20" t="s">
        <v>759</v>
      </c>
    </row>
    <row r="22" spans="2:15" x14ac:dyDescent="0.25">
      <c r="B22" s="361" t="s">
        <v>1077</v>
      </c>
      <c r="D22" s="6"/>
      <c r="F22" s="10"/>
      <c r="M22" s="6"/>
    </row>
    <row r="23" spans="2:15" ht="15.75" thickBot="1" x14ac:dyDescent="0.3">
      <c r="B23" s="1450" t="s">
        <v>382</v>
      </c>
      <c r="C23" s="1451"/>
      <c r="D23" s="610" t="s">
        <v>409</v>
      </c>
      <c r="E23" s="362" t="s">
        <v>370</v>
      </c>
      <c r="F23" s="406" t="s">
        <v>411</v>
      </c>
      <c r="G23" s="363" t="s">
        <v>375</v>
      </c>
      <c r="H23" s="406" t="s">
        <v>520</v>
      </c>
      <c r="I23" s="363" t="s">
        <v>746</v>
      </c>
      <c r="J23" s="406" t="s">
        <v>517</v>
      </c>
      <c r="K23" s="363" t="s">
        <v>516</v>
      </c>
      <c r="L23" s="965" t="s">
        <v>748</v>
      </c>
      <c r="M23" s="363" t="s">
        <v>747</v>
      </c>
      <c r="N23" s="965" t="s">
        <v>518</v>
      </c>
      <c r="O23" s="366" t="s">
        <v>371</v>
      </c>
    </row>
    <row r="24" spans="2:15" x14ac:dyDescent="0.25">
      <c r="B24" s="1446" t="s">
        <v>738</v>
      </c>
      <c r="C24" s="1447"/>
      <c r="D24" s="436">
        <f>$B16</f>
        <v>1</v>
      </c>
      <c r="E24" s="324">
        <f>$C$10*$D24*Fuel!$G7/SUM(Fuel!$G$7:'Fuel'!$G$14)</f>
        <v>105.986611263783</v>
      </c>
      <c r="F24" s="389">
        <f>$C16</f>
        <v>1</v>
      </c>
      <c r="G24" s="324">
        <f>$E24*($F24*Fuel!$E$15/Fuel!$E7)</f>
        <v>119.01766209943484</v>
      </c>
      <c r="H24" s="434">
        <f>$F24*(Fuel!$BD$107/Fuel!$BD$108)</f>
        <v>0.38767155781264939</v>
      </c>
      <c r="I24" s="328">
        <f>$E24*$H24*(Fuel!$E$14/Fuel!$E7)</f>
        <v>112.71520902493077</v>
      </c>
      <c r="J24" s="367">
        <f>$F24*(Fuel!$BD$104/Fuel!$BD$108)</f>
        <v>6.082684095888144E-2</v>
      </c>
      <c r="K24" s="359">
        <f>$E24*$J24*(Fuel!$E$12/Fuel!$E7)</f>
        <v>11.257478494643163</v>
      </c>
      <c r="L24" s="360">
        <f>$F24*(Fuel!$BD$109/Fuel!$BD$108)</f>
        <v>4.0954827282100139E-4</v>
      </c>
      <c r="M24" s="359">
        <f>$E24*$L24*(Fuel!$E$17/Fuel!$E7)</f>
        <v>0.17333745369293715</v>
      </c>
      <c r="N24" s="966">
        <f>$F24*(Fuel!$BD$105/Fuel!$BD$108)</f>
        <v>2.6152703460195683E-4</v>
      </c>
      <c r="O24" s="365">
        <f>$E24*$N24*(Fuel!$E$13/Fuel!$E7)</f>
        <v>5.52865468334768E-2</v>
      </c>
    </row>
    <row r="25" spans="2:15" x14ac:dyDescent="0.25">
      <c r="B25" s="1446" t="s">
        <v>739</v>
      </c>
      <c r="C25" s="1447"/>
      <c r="D25" s="436">
        <f>$B17</f>
        <v>1</v>
      </c>
      <c r="E25" s="324">
        <f>$C$10*$D25*Fuel!$G8/SUM(Fuel!$G$7:'Fuel'!$G$14)</f>
        <v>7.1045992578070276</v>
      </c>
      <c r="F25" s="389">
        <f>$C17</f>
        <v>2</v>
      </c>
      <c r="G25" s="324">
        <f>$E25*($F25*Fuel!$E$15/Fuel!$E8)</f>
        <v>8.512975677140517</v>
      </c>
      <c r="H25" s="434">
        <f>$F25*(Fuel!$BD$107/Fuel!$BD$108)</f>
        <v>0.77534311562529878</v>
      </c>
      <c r="I25" s="328">
        <f>$E25*$H25*(Fuel!$E$14/Fuel!$E8)</f>
        <v>8.0621801499628134</v>
      </c>
      <c r="J25" s="367">
        <f>$F25*(Fuel!$BD$104/Fuel!$BD$108)</f>
        <v>0.12165368191776288</v>
      </c>
      <c r="K25" s="359">
        <f>$E25*$J25*(Fuel!$E$12/Fuel!$E8)</f>
        <v>0.80521360376549334</v>
      </c>
      <c r="L25" s="360">
        <f>$F25*(Fuel!$BD$109/Fuel!$BD$108)</f>
        <v>8.1909654564200278E-4</v>
      </c>
      <c r="M25" s="359">
        <f>$E25*$L25*(Fuel!$E$17/Fuel!$E8)</f>
        <v>1.2398307118422651E-2</v>
      </c>
      <c r="N25" s="360">
        <f>$F25*(Fuel!$BD$105/Fuel!$BD$108)</f>
        <v>5.2305406920391366E-4</v>
      </c>
      <c r="O25" s="365">
        <f>$E25*$N25*(Fuel!$E$13/Fuel!$E8)</f>
        <v>3.9544805381344569E-3</v>
      </c>
    </row>
    <row r="26" spans="2:15" x14ac:dyDescent="0.25">
      <c r="B26" s="1446" t="s">
        <v>740</v>
      </c>
      <c r="C26" s="1447"/>
      <c r="D26" s="436">
        <f>$B18</f>
        <v>1</v>
      </c>
      <c r="E26" s="324">
        <f>$C$10*$D26*Fuel!$G9/SUM(Fuel!$G$7:'Fuel'!$G$14)</f>
        <v>1.4141008164747157</v>
      </c>
      <c r="F26" s="389">
        <f>$C18</f>
        <v>3</v>
      </c>
      <c r="G26" s="324">
        <f>$E26*($F26*Fuel!$E$15/Fuel!$E9)</f>
        <v>1.7331555730497064</v>
      </c>
      <c r="H26" s="434">
        <f>$F26*(Fuel!$BD$107/Fuel!$BD$108)</f>
        <v>1.1630146734379481</v>
      </c>
      <c r="I26" s="328">
        <f>$E26*$H26*(Fuel!$E$14/Fuel!$E9)</f>
        <v>1.6413781723069902</v>
      </c>
      <c r="J26" s="367">
        <f>$F26*(Fuel!$BD$104/Fuel!$BD$108)</f>
        <v>0.18248052287664432</v>
      </c>
      <c r="K26" s="359">
        <f>$E26*$J26*(Fuel!$E$12/Fuel!$E9)</f>
        <v>0.16393332928332377</v>
      </c>
      <c r="L26" s="360">
        <f>$F26*(Fuel!$BD$109/Fuel!$BD$108)</f>
        <v>1.2286448184630041E-3</v>
      </c>
      <c r="M26" s="359">
        <f>$E26*$L26*(Fuel!$E$17/Fuel!$E9)</f>
        <v>2.5241696785740001E-3</v>
      </c>
      <c r="N26" s="360">
        <f>$F26*(Fuel!$BD$105/Fuel!$BD$108)</f>
        <v>7.8458110380587049E-4</v>
      </c>
      <c r="O26" s="365">
        <f>$E26*$N26*(Fuel!$E$13/Fuel!$E9)</f>
        <v>8.0509216085138439E-4</v>
      </c>
    </row>
    <row r="27" spans="2:15" x14ac:dyDescent="0.25">
      <c r="B27" s="1446" t="s">
        <v>741</v>
      </c>
      <c r="C27" s="1447"/>
      <c r="D27" s="436">
        <f>$B19</f>
        <v>1</v>
      </c>
      <c r="E27" s="324">
        <f>$C$10*$D27*Fuel!$G10/SUM(Fuel!$G$7:'Fuel'!$G$14)</f>
        <v>0.75293349778746432</v>
      </c>
      <c r="F27" s="389">
        <f>$C19</f>
        <v>4</v>
      </c>
      <c r="G27" s="324">
        <f>$E27*($F27*Fuel!$E$15/Fuel!$E10)</f>
        <v>0.93348198179844788</v>
      </c>
      <c r="H27" s="434">
        <f>$F27*(Fuel!$BD$107/Fuel!$BD$108)</f>
        <v>1.5506862312505976</v>
      </c>
      <c r="I27" s="328">
        <f>$E27*$H27*(Fuel!$E$14/Fuel!$E10)</f>
        <v>0.8840504412825152</v>
      </c>
      <c r="J27" s="367">
        <f>$F27*(Fuel!$BD$104/Fuel!$BD$108)</f>
        <v>0.24330736383552576</v>
      </c>
      <c r="K27" s="359">
        <f>$E27*$J27*(Fuel!$E$12/Fuel!$E10)</f>
        <v>8.8294906401818862E-2</v>
      </c>
      <c r="L27" s="360">
        <f>$F27*(Fuel!$BD$109/Fuel!$BD$108)</f>
        <v>1.6381930912840056E-3</v>
      </c>
      <c r="M27" s="359">
        <f>$E27*$L27*(Fuel!$E$17/Fuel!$E10)</f>
        <v>1.3595241827048794E-3</v>
      </c>
      <c r="N27" s="360">
        <f>$F27*(Fuel!$BD$105/Fuel!$BD$108)</f>
        <v>1.0461081384078273E-3</v>
      </c>
      <c r="O27" s="365">
        <f>$E27*$N27*(Fuel!$E$13/Fuel!$E10)</f>
        <v>4.3362467716589174E-4</v>
      </c>
    </row>
    <row r="28" spans="2:15" x14ac:dyDescent="0.25">
      <c r="B28" s="1446" t="s">
        <v>742</v>
      </c>
      <c r="C28" s="1447"/>
      <c r="D28" s="436">
        <f>$B20</f>
        <v>1</v>
      </c>
      <c r="E28" s="324">
        <f>$C$10*$D28*Fuel!$G11/SUM(Fuel!$G$7:'Fuel'!$G$14)</f>
        <v>0.29110683272198495</v>
      </c>
      <c r="F28" s="389">
        <f>$C20</f>
        <v>5</v>
      </c>
      <c r="G28" s="324">
        <f>$E28*($F28*Fuel!$E$15/Fuel!$E11)</f>
        <v>0.36343335664626847</v>
      </c>
      <c r="H28" s="434">
        <f>$F28*(Fuel!$BD$107/Fuel!$BD$108)</f>
        <v>1.9383577890632471</v>
      </c>
      <c r="I28" s="328">
        <f>$E28*$H28*(Fuel!$E$14/Fuel!$E11)</f>
        <v>0.34418813173117169</v>
      </c>
      <c r="J28" s="367">
        <f>$F28*(Fuel!$BD$104/Fuel!$BD$108)</f>
        <v>0.30413420479440723</v>
      </c>
      <c r="K28" s="359">
        <f>$E28*$J28*(Fuel!$E$12/Fuel!$E11)</f>
        <v>3.4375933155729274E-2</v>
      </c>
      <c r="L28" s="360">
        <f>$F28*(Fuel!$BD$109/Fuel!$BD$108)</f>
        <v>2.0477413641050071E-3</v>
      </c>
      <c r="M28" s="359">
        <f>$E28*$L28*(Fuel!$E$17/Fuel!$E11)</f>
        <v>5.2930473945547632E-4</v>
      </c>
      <c r="N28" s="360">
        <f>$F28*(Fuel!$BD$105/Fuel!$BD$108)</f>
        <v>1.3076351730097842E-3</v>
      </c>
      <c r="O28" s="365">
        <f>$E28*$N28*(Fuel!$E$13/Fuel!$E11)</f>
        <v>1.6882347492496252E-4</v>
      </c>
    </row>
    <row r="29" spans="2:15" x14ac:dyDescent="0.25">
      <c r="B29" s="1446" t="s">
        <v>320</v>
      </c>
      <c r="C29" s="1447"/>
      <c r="D29" s="29" t="s">
        <v>21</v>
      </c>
      <c r="E29" s="335" t="s">
        <v>21</v>
      </c>
      <c r="F29" s="335" t="s">
        <v>21</v>
      </c>
      <c r="G29" s="329" t="s">
        <v>21</v>
      </c>
      <c r="H29" s="329" t="s">
        <v>21</v>
      </c>
      <c r="I29" s="329" t="s">
        <v>21</v>
      </c>
      <c r="J29" s="296" t="s">
        <v>21</v>
      </c>
      <c r="K29" s="329">
        <f>C10*Fuel!G12/100</f>
        <v>32.581579937889124</v>
      </c>
      <c r="L29" s="329" t="s">
        <v>21</v>
      </c>
      <c r="M29" s="329" t="s">
        <v>21</v>
      </c>
      <c r="N29" s="329" t="s">
        <v>21</v>
      </c>
      <c r="O29" s="376" t="s">
        <v>21</v>
      </c>
    </row>
    <row r="30" spans="2:15" x14ac:dyDescent="0.25">
      <c r="B30" s="1446" t="s">
        <v>138</v>
      </c>
      <c r="C30" s="1447"/>
      <c r="D30" s="29" t="s">
        <v>21</v>
      </c>
      <c r="E30" s="335" t="s">
        <v>21</v>
      </c>
      <c r="F30" s="335" t="s">
        <v>21</v>
      </c>
      <c r="G30" s="344" t="s">
        <v>21</v>
      </c>
      <c r="H30" s="329" t="s">
        <v>21</v>
      </c>
      <c r="I30" s="329" t="s">
        <v>21</v>
      </c>
      <c r="J30" s="296" t="s">
        <v>21</v>
      </c>
      <c r="K30" s="329" t="s">
        <v>21</v>
      </c>
      <c r="L30" s="329" t="s">
        <v>21</v>
      </c>
      <c r="M30" s="329" t="s">
        <v>21</v>
      </c>
      <c r="N30" s="329" t="s">
        <v>21</v>
      </c>
      <c r="O30" s="376">
        <f>C10*Fuel!G13/100</f>
        <v>3.6366886034737651E-2</v>
      </c>
    </row>
    <row r="31" spans="2:15" x14ac:dyDescent="0.25">
      <c r="B31" s="1448" t="s">
        <v>98</v>
      </c>
      <c r="C31" s="1449"/>
      <c r="D31" s="70" t="s">
        <v>21</v>
      </c>
      <c r="E31" s="336" t="s">
        <v>21</v>
      </c>
      <c r="F31" s="971" t="s">
        <v>21</v>
      </c>
      <c r="G31" s="334" t="s">
        <v>21</v>
      </c>
      <c r="H31" s="334" t="s">
        <v>21</v>
      </c>
      <c r="I31" s="334">
        <f>C10*Fuel!G14/100</f>
        <v>3.453263585550892</v>
      </c>
      <c r="J31" s="337" t="s">
        <v>21</v>
      </c>
      <c r="K31" s="334" t="s">
        <v>21</v>
      </c>
      <c r="L31" s="334" t="s">
        <v>21</v>
      </c>
      <c r="M31" s="334"/>
      <c r="N31" s="334" t="s">
        <v>21</v>
      </c>
      <c r="O31" s="377" t="s">
        <v>21</v>
      </c>
    </row>
    <row r="32" spans="2:15" x14ac:dyDescent="0.25">
      <c r="D32" s="96"/>
      <c r="E32" s="96"/>
      <c r="F32" s="96"/>
      <c r="G32" s="96"/>
      <c r="H32" s="96"/>
      <c r="I32" s="96"/>
      <c r="J32" s="96"/>
      <c r="K32" s="96"/>
      <c r="L32" s="96"/>
      <c r="M32" s="374"/>
      <c r="O32" s="10"/>
    </row>
    <row r="33" spans="2:19" ht="15.75" thickBot="1" x14ac:dyDescent="0.3">
      <c r="B33" s="1450" t="s">
        <v>383</v>
      </c>
      <c r="C33" s="1451"/>
      <c r="D33" s="964" t="s">
        <v>744</v>
      </c>
      <c r="E33" s="363" t="s">
        <v>745</v>
      </c>
      <c r="F33" s="965" t="s">
        <v>736</v>
      </c>
      <c r="G33" s="363" t="s">
        <v>743</v>
      </c>
      <c r="H33" s="406" t="s">
        <v>520</v>
      </c>
      <c r="I33" s="363" t="s">
        <v>746</v>
      </c>
      <c r="J33" s="406" t="s">
        <v>517</v>
      </c>
      <c r="K33" s="363" t="s">
        <v>516</v>
      </c>
      <c r="L33" s="965" t="s">
        <v>748</v>
      </c>
      <c r="M33" s="363" t="s">
        <v>747</v>
      </c>
      <c r="N33" s="965" t="s">
        <v>518</v>
      </c>
      <c r="O33" s="366" t="s">
        <v>371</v>
      </c>
      <c r="Q33" s="59"/>
      <c r="R33" s="62" t="s">
        <v>695</v>
      </c>
      <c r="S33" s="146" t="s">
        <v>374</v>
      </c>
    </row>
    <row r="34" spans="2:19" x14ac:dyDescent="0.25">
      <c r="B34" s="1446" t="s">
        <v>751</v>
      </c>
      <c r="C34" s="1447"/>
      <c r="D34" s="383">
        <f>$E16</f>
        <v>3</v>
      </c>
      <c r="E34" s="328">
        <f>$E24*$D34*(Fuel!$E$20/Fuel!$E7)</f>
        <v>39.954525038136595</v>
      </c>
      <c r="F34" s="96">
        <f>$D16</f>
        <v>1</v>
      </c>
      <c r="G34" s="328">
        <f>$E24*$F34*(Fuel!$E$19/Fuel!$E7)</f>
        <v>185.04974832508128</v>
      </c>
      <c r="H34" s="96">
        <v>0</v>
      </c>
      <c r="I34" s="96">
        <v>0</v>
      </c>
      <c r="J34" s="360">
        <f t="shared" ref="J34:O34" si="0">J$24</f>
        <v>6.082684095888144E-2</v>
      </c>
      <c r="K34" s="360">
        <f t="shared" si="0"/>
        <v>11.257478494643163</v>
      </c>
      <c r="L34" s="360">
        <f t="shared" si="0"/>
        <v>4.0954827282100139E-4</v>
      </c>
      <c r="M34" s="360">
        <f t="shared" si="0"/>
        <v>0.17333745369293715</v>
      </c>
      <c r="N34" s="360">
        <f t="shared" si="0"/>
        <v>2.6152703460195683E-4</v>
      </c>
      <c r="O34" s="972">
        <f t="shared" si="0"/>
        <v>5.52865468334768E-2</v>
      </c>
      <c r="Q34" s="28" t="s">
        <v>750</v>
      </c>
      <c r="R34" s="96">
        <f>SUM(E34:E38)</f>
        <v>43.113077743369409</v>
      </c>
      <c r="S34" s="989">
        <f t="shared" ref="S34:S39" si="1">$R34*100/SUM($R$34:$R$39)</f>
        <v>14.625442092278881</v>
      </c>
    </row>
    <row r="35" spans="2:19" x14ac:dyDescent="0.25">
      <c r="B35" s="1446" t="s">
        <v>752</v>
      </c>
      <c r="C35" s="1447"/>
      <c r="D35" s="383">
        <f>$E17</f>
        <v>5</v>
      </c>
      <c r="E35" s="328">
        <f>$E25*$D35*(Fuel!$E$20/Fuel!$E8)</f>
        <v>2.381522581337487</v>
      </c>
      <c r="F35" s="96">
        <f>$D17</f>
        <v>2</v>
      </c>
      <c r="G35" s="328">
        <f>$E25*$F35*(Fuel!$E$19/Fuel!$E8)</f>
        <v>13.236052353610059</v>
      </c>
      <c r="H35" s="96">
        <v>0</v>
      </c>
      <c r="I35" s="96">
        <v>0</v>
      </c>
      <c r="J35" s="360">
        <f t="shared" ref="J35:O35" si="2">J$25</f>
        <v>0.12165368191776288</v>
      </c>
      <c r="K35" s="360">
        <f t="shared" si="2"/>
        <v>0.80521360376549334</v>
      </c>
      <c r="L35" s="360">
        <f t="shared" si="2"/>
        <v>8.1909654564200278E-4</v>
      </c>
      <c r="M35" s="360">
        <f t="shared" si="2"/>
        <v>1.2398307118422651E-2</v>
      </c>
      <c r="N35" s="360">
        <f t="shared" si="2"/>
        <v>5.2305406920391366E-4</v>
      </c>
      <c r="O35" s="972">
        <f t="shared" si="2"/>
        <v>3.9544805381344569E-3</v>
      </c>
      <c r="Q35" s="28" t="s">
        <v>749</v>
      </c>
      <c r="R35" s="96">
        <f>SUM(G34:G38)</f>
        <v>202.99698261327461</v>
      </c>
      <c r="S35" s="989">
        <f t="shared" si="1"/>
        <v>68.863573874040952</v>
      </c>
    </row>
    <row r="36" spans="2:19" x14ac:dyDescent="0.25">
      <c r="B36" s="1446" t="s">
        <v>753</v>
      </c>
      <c r="C36" s="1447"/>
      <c r="D36" s="383">
        <f>$E18</f>
        <v>7</v>
      </c>
      <c r="E36" s="328">
        <f>$E26*$D36*(Fuel!$E$20/Fuel!$E9)</f>
        <v>0.45253027120166034</v>
      </c>
      <c r="F36" s="96">
        <f>$D18</f>
        <v>3</v>
      </c>
      <c r="G36" s="328">
        <f>$E26*$F36*(Fuel!$E$19/Fuel!$E9)</f>
        <v>2.694726118322762</v>
      </c>
      <c r="H36" s="96">
        <v>0</v>
      </c>
      <c r="I36" s="96">
        <v>0</v>
      </c>
      <c r="J36" s="360">
        <f t="shared" ref="J36:O36" si="3">J$26</f>
        <v>0.18248052287664432</v>
      </c>
      <c r="K36" s="360">
        <f t="shared" si="3"/>
        <v>0.16393332928332377</v>
      </c>
      <c r="L36" s="360">
        <f t="shared" si="3"/>
        <v>1.2286448184630041E-3</v>
      </c>
      <c r="M36" s="360">
        <f t="shared" si="3"/>
        <v>2.5241696785740001E-3</v>
      </c>
      <c r="N36" s="360">
        <f t="shared" si="3"/>
        <v>7.8458110380587049E-4</v>
      </c>
      <c r="O36" s="972">
        <f t="shared" si="3"/>
        <v>8.0509216085138439E-4</v>
      </c>
      <c r="Q36" s="28" t="s">
        <v>98</v>
      </c>
      <c r="R36" s="96">
        <f>SUM(I34:I38)+I41</f>
        <v>3.453263585550892</v>
      </c>
      <c r="S36" s="989">
        <f t="shared" si="1"/>
        <v>1.1714660433310728</v>
      </c>
    </row>
    <row r="37" spans="2:19" x14ac:dyDescent="0.25">
      <c r="B37" s="1446" t="s">
        <v>755</v>
      </c>
      <c r="C37" s="1447"/>
      <c r="D37" s="383">
        <f>$E19</f>
        <v>9</v>
      </c>
      <c r="E37" s="328">
        <f>$E27*$D37*(Fuel!$E$20/Fuel!$E10)</f>
        <v>0.23502916640591967</v>
      </c>
      <c r="F37" s="96">
        <f>$D19</f>
        <v>4</v>
      </c>
      <c r="G37" s="328">
        <f>$E27*$F37*(Fuel!$E$19/Fuel!$E10)</f>
        <v>1.4513863131799927</v>
      </c>
      <c r="H37" s="96">
        <v>0</v>
      </c>
      <c r="I37" s="96">
        <v>0</v>
      </c>
      <c r="J37" s="360">
        <f t="shared" ref="J37:O37" si="4">J$27</f>
        <v>0.24330736383552576</v>
      </c>
      <c r="K37" s="360">
        <f t="shared" si="4"/>
        <v>8.8294906401818862E-2</v>
      </c>
      <c r="L37" s="360">
        <f t="shared" si="4"/>
        <v>1.6381930912840056E-3</v>
      </c>
      <c r="M37" s="360">
        <f t="shared" si="4"/>
        <v>1.3595241827048794E-3</v>
      </c>
      <c r="N37" s="360">
        <f t="shared" si="4"/>
        <v>1.0461081384078273E-3</v>
      </c>
      <c r="O37" s="972">
        <f t="shared" si="4"/>
        <v>4.3362467716589174E-4</v>
      </c>
      <c r="Q37" s="28" t="s">
        <v>320</v>
      </c>
      <c r="R37" s="96">
        <f>SUM(K34:K38)+K39</f>
        <v>44.930876205138652</v>
      </c>
      <c r="S37" s="989">
        <f t="shared" si="1"/>
        <v>15.242101990611667</v>
      </c>
    </row>
    <row r="38" spans="2:19" x14ac:dyDescent="0.25">
      <c r="B38" s="1446" t="s">
        <v>754</v>
      </c>
      <c r="C38" s="1447"/>
      <c r="D38" s="383">
        <f>$E20</f>
        <v>11</v>
      </c>
      <c r="E38" s="328">
        <f>$E28*$D38*(Fuel!$E$20/Fuel!$E11)</f>
        <v>8.9470686287745224E-2</v>
      </c>
      <c r="F38" s="96">
        <f>$D20</f>
        <v>5</v>
      </c>
      <c r="G38" s="328">
        <f>$E28*$F38*(Fuel!$E$19/Fuel!$E11)</f>
        <v>0.5650695030805083</v>
      </c>
      <c r="H38" s="96">
        <v>0</v>
      </c>
      <c r="I38" s="96">
        <v>0</v>
      </c>
      <c r="J38" s="360">
        <f t="shared" ref="J38:O38" si="5">J$28</f>
        <v>0.30413420479440723</v>
      </c>
      <c r="K38" s="360">
        <f t="shared" si="5"/>
        <v>3.4375933155729274E-2</v>
      </c>
      <c r="L38" s="360">
        <f t="shared" si="5"/>
        <v>2.0477413641050071E-3</v>
      </c>
      <c r="M38" s="360">
        <f t="shared" si="5"/>
        <v>5.2930473945547632E-4</v>
      </c>
      <c r="N38" s="360">
        <f t="shared" si="5"/>
        <v>1.3076351730097842E-3</v>
      </c>
      <c r="O38" s="972">
        <f t="shared" si="5"/>
        <v>1.6882347492496252E-4</v>
      </c>
      <c r="Q38" s="28" t="s">
        <v>177</v>
      </c>
      <c r="R38" s="96">
        <f>SUM(M34:M38)</f>
        <v>0.19014875941209416</v>
      </c>
      <c r="S38" s="989">
        <f t="shared" si="1"/>
        <v>6.4505013681793066E-2</v>
      </c>
    </row>
    <row r="39" spans="2:19" x14ac:dyDescent="0.25">
      <c r="B39" s="1446" t="s">
        <v>320</v>
      </c>
      <c r="C39" s="1447"/>
      <c r="D39" s="987" t="s">
        <v>21</v>
      </c>
      <c r="E39" s="329" t="s">
        <v>21</v>
      </c>
      <c r="F39" s="11" t="s">
        <v>21</v>
      </c>
      <c r="G39" s="329" t="s">
        <v>21</v>
      </c>
      <c r="H39" s="11" t="s">
        <v>21</v>
      </c>
      <c r="I39" s="11" t="s">
        <v>21</v>
      </c>
      <c r="J39" s="312" t="s">
        <v>21</v>
      </c>
      <c r="K39" s="329">
        <f>K29</f>
        <v>32.581579937889124</v>
      </c>
      <c r="L39" s="312" t="s">
        <v>21</v>
      </c>
      <c r="M39" s="312" t="s">
        <v>21</v>
      </c>
      <c r="N39" s="312" t="s">
        <v>21</v>
      </c>
      <c r="O39" s="973" t="s">
        <v>21</v>
      </c>
      <c r="Q39" s="289" t="s">
        <v>138</v>
      </c>
      <c r="R39" s="98">
        <f>SUM(O34:O38)+O40</f>
        <v>9.7015453719291156E-2</v>
      </c>
      <c r="S39" s="990">
        <f t="shared" si="1"/>
        <v>3.2910986055637699E-2</v>
      </c>
    </row>
    <row r="40" spans="2:19" x14ac:dyDescent="0.25">
      <c r="B40" s="1446" t="s">
        <v>138</v>
      </c>
      <c r="C40" s="1447"/>
      <c r="D40" s="987" t="s">
        <v>21</v>
      </c>
      <c r="E40" s="329" t="s">
        <v>21</v>
      </c>
      <c r="F40" s="11" t="s">
        <v>21</v>
      </c>
      <c r="G40" s="329" t="s">
        <v>21</v>
      </c>
      <c r="H40" s="11" t="s">
        <v>21</v>
      </c>
      <c r="I40" s="11" t="s">
        <v>21</v>
      </c>
      <c r="J40" s="312" t="s">
        <v>21</v>
      </c>
      <c r="K40" s="329" t="s">
        <v>21</v>
      </c>
      <c r="L40" s="312" t="s">
        <v>21</v>
      </c>
      <c r="M40" s="296" t="s">
        <v>21</v>
      </c>
      <c r="N40" s="11" t="s">
        <v>21</v>
      </c>
      <c r="O40" s="376">
        <f>O30</f>
        <v>3.6366886034737651E-2</v>
      </c>
    </row>
    <row r="41" spans="2:19" x14ac:dyDescent="0.25">
      <c r="B41" s="1448" t="s">
        <v>98</v>
      </c>
      <c r="C41" s="1449"/>
      <c r="D41" s="977" t="s">
        <v>21</v>
      </c>
      <c r="E41" s="378" t="s">
        <v>21</v>
      </c>
      <c r="F41" s="68" t="s">
        <v>21</v>
      </c>
      <c r="G41" s="334" t="s">
        <v>21</v>
      </c>
      <c r="H41" s="378" t="s">
        <v>21</v>
      </c>
      <c r="I41" s="975">
        <f>I31</f>
        <v>3.453263585550892</v>
      </c>
      <c r="J41" s="378" t="s">
        <v>21</v>
      </c>
      <c r="K41" s="334" t="s">
        <v>21</v>
      </c>
      <c r="L41" s="298" t="s">
        <v>21</v>
      </c>
      <c r="M41" s="337" t="s">
        <v>21</v>
      </c>
      <c r="N41" s="298" t="s">
        <v>21</v>
      </c>
      <c r="O41" s="974" t="s">
        <v>21</v>
      </c>
    </row>
    <row r="44" spans="2:19" x14ac:dyDescent="0.25">
      <c r="B44" s="361" t="s">
        <v>756</v>
      </c>
    </row>
    <row r="45" spans="2:19" ht="15.75" thickBot="1" x14ac:dyDescent="0.3">
      <c r="B45" s="1450" t="s">
        <v>382</v>
      </c>
      <c r="C45" s="1451"/>
      <c r="D45" s="964" t="s">
        <v>744</v>
      </c>
      <c r="E45" s="363" t="s">
        <v>745</v>
      </c>
      <c r="F45" s="965" t="s">
        <v>736</v>
      </c>
      <c r="G45" s="363" t="s">
        <v>743</v>
      </c>
      <c r="H45" s="965" t="s">
        <v>518</v>
      </c>
      <c r="I45" s="363" t="s">
        <v>371</v>
      </c>
      <c r="J45" s="965" t="s">
        <v>410</v>
      </c>
      <c r="K45" s="363" t="s">
        <v>746</v>
      </c>
      <c r="L45" s="406" t="s">
        <v>517</v>
      </c>
      <c r="M45" s="363" t="s">
        <v>516</v>
      </c>
      <c r="N45" s="965" t="s">
        <v>748</v>
      </c>
      <c r="O45" s="366" t="s">
        <v>747</v>
      </c>
    </row>
    <row r="46" spans="2:19" x14ac:dyDescent="0.25">
      <c r="B46" s="1446" t="s">
        <v>757</v>
      </c>
      <c r="C46" s="1447"/>
      <c r="D46" s="383">
        <f>$H16</f>
        <v>1</v>
      </c>
      <c r="E46" s="328">
        <f>R34*$D46</f>
        <v>43.113077743369409</v>
      </c>
      <c r="F46" s="96">
        <f>$I16</f>
        <v>0</v>
      </c>
      <c r="G46" s="328">
        <f>F46*R35</f>
        <v>0</v>
      </c>
      <c r="H46" s="434">
        <f>$J16</f>
        <v>0.5</v>
      </c>
      <c r="I46" s="328">
        <f>E46*(H46*Fuel!E13/Fuel!E20)</f>
        <v>342.16626526190402</v>
      </c>
      <c r="J46" s="358" t="s">
        <v>21</v>
      </c>
      <c r="K46" s="982" t="s">
        <v>21</v>
      </c>
      <c r="L46" s="981" t="s">
        <v>21</v>
      </c>
      <c r="M46" s="981" t="s">
        <v>21</v>
      </c>
      <c r="N46" s="981" t="s">
        <v>21</v>
      </c>
      <c r="O46" s="983" t="s">
        <v>21</v>
      </c>
    </row>
    <row r="47" spans="2:19" x14ac:dyDescent="0.25">
      <c r="B47" s="1446" t="s">
        <v>758</v>
      </c>
      <c r="C47" s="1447"/>
      <c r="D47" s="383">
        <f>$H17</f>
        <v>0</v>
      </c>
      <c r="E47" s="328">
        <f>D47*R35</f>
        <v>0</v>
      </c>
      <c r="F47" s="96">
        <f>$I17</f>
        <v>1</v>
      </c>
      <c r="G47" s="328">
        <f>F47*R35</f>
        <v>202.99698261327461</v>
      </c>
      <c r="H47" s="434">
        <f>$J17</f>
        <v>0.5</v>
      </c>
      <c r="I47" s="328">
        <f>G47*(H46*Fuel!E13/Fuel!E19)</f>
        <v>115.95085719696321</v>
      </c>
      <c r="J47" s="358" t="s">
        <v>21</v>
      </c>
      <c r="K47" s="982" t="s">
        <v>21</v>
      </c>
      <c r="L47" s="981" t="s">
        <v>21</v>
      </c>
      <c r="M47" s="981" t="s">
        <v>21</v>
      </c>
      <c r="N47" s="981" t="s">
        <v>21</v>
      </c>
      <c r="O47" s="983" t="s">
        <v>21</v>
      </c>
    </row>
    <row r="48" spans="2:19" x14ac:dyDescent="0.25">
      <c r="B48" s="1446" t="s">
        <v>98</v>
      </c>
      <c r="C48" s="1447"/>
      <c r="D48" s="980" t="s">
        <v>21</v>
      </c>
      <c r="E48" s="329" t="s">
        <v>21</v>
      </c>
      <c r="F48" s="323" t="s">
        <v>21</v>
      </c>
      <c r="G48" s="329" t="s">
        <v>21</v>
      </c>
      <c r="H48" s="434" t="s">
        <v>21</v>
      </c>
      <c r="I48" s="329" t="s">
        <v>21</v>
      </c>
      <c r="J48" s="434" t="s">
        <v>21</v>
      </c>
      <c r="K48" s="96">
        <f>I41+SUM(I34:I38)</f>
        <v>3.453263585550892</v>
      </c>
      <c r="L48" s="978" t="s">
        <v>21</v>
      </c>
      <c r="M48" s="978" t="s">
        <v>21</v>
      </c>
      <c r="N48" s="978" t="s">
        <v>21</v>
      </c>
      <c r="O48" s="984" t="s">
        <v>21</v>
      </c>
    </row>
    <row r="49" spans="1:20" x14ac:dyDescent="0.25">
      <c r="B49" s="1446" t="s">
        <v>138</v>
      </c>
      <c r="C49" s="1447"/>
      <c r="D49" s="980" t="s">
        <v>21</v>
      </c>
      <c r="E49" s="329" t="s">
        <v>21</v>
      </c>
      <c r="F49" s="323" t="s">
        <v>21</v>
      </c>
      <c r="G49" s="329" t="s">
        <v>21</v>
      </c>
      <c r="H49" s="434" t="s">
        <v>21</v>
      </c>
      <c r="I49" s="329">
        <f>SUM(O34:O38)+O40</f>
        <v>9.7015453719291156E-2</v>
      </c>
      <c r="J49" s="323" t="s">
        <v>21</v>
      </c>
      <c r="K49" s="323" t="s">
        <v>21</v>
      </c>
      <c r="L49" s="978" t="s">
        <v>21</v>
      </c>
      <c r="M49" s="978" t="s">
        <v>21</v>
      </c>
      <c r="N49" s="978" t="s">
        <v>21</v>
      </c>
      <c r="O49" s="984" t="s">
        <v>21</v>
      </c>
    </row>
    <row r="50" spans="1:20" x14ac:dyDescent="0.25">
      <c r="B50" s="1446" t="s">
        <v>320</v>
      </c>
      <c r="C50" s="1447"/>
      <c r="D50" s="980" t="s">
        <v>21</v>
      </c>
      <c r="E50" s="329" t="s">
        <v>21</v>
      </c>
      <c r="F50" s="323" t="s">
        <v>21</v>
      </c>
      <c r="G50" s="329" t="s">
        <v>21</v>
      </c>
      <c r="H50" s="434" t="s">
        <v>21</v>
      </c>
      <c r="I50" s="329" t="s">
        <v>21</v>
      </c>
      <c r="J50" s="323" t="s">
        <v>21</v>
      </c>
      <c r="K50" s="323" t="s">
        <v>21</v>
      </c>
      <c r="L50" s="978" t="s">
        <v>21</v>
      </c>
      <c r="M50" s="978">
        <f>K39+SUM(K34:K38)</f>
        <v>44.930876205138652</v>
      </c>
      <c r="N50" s="978" t="s">
        <v>21</v>
      </c>
      <c r="O50" s="984" t="s">
        <v>21</v>
      </c>
    </row>
    <row r="51" spans="1:20" x14ac:dyDescent="0.25">
      <c r="B51" s="1446" t="s">
        <v>177</v>
      </c>
      <c r="C51" s="1447"/>
      <c r="D51" s="334" t="s">
        <v>21</v>
      </c>
      <c r="E51" s="334" t="s">
        <v>21</v>
      </c>
      <c r="F51" s="334" t="s">
        <v>21</v>
      </c>
      <c r="G51" s="334" t="s">
        <v>21</v>
      </c>
      <c r="H51" s="334" t="s">
        <v>21</v>
      </c>
      <c r="I51" s="334" t="s">
        <v>21</v>
      </c>
      <c r="J51" s="68" t="s">
        <v>21</v>
      </c>
      <c r="K51" s="334" t="s">
        <v>21</v>
      </c>
      <c r="L51" s="971" t="s">
        <v>21</v>
      </c>
      <c r="M51" s="971" t="s">
        <v>21</v>
      </c>
      <c r="N51" s="971" t="s">
        <v>21</v>
      </c>
      <c r="O51" s="985">
        <f>SUM(M34:M38)</f>
        <v>0.19014875941209416</v>
      </c>
      <c r="R51" s="332"/>
      <c r="S51" s="999"/>
      <c r="T51" s="96"/>
    </row>
    <row r="52" spans="1:20" x14ac:dyDescent="0.25">
      <c r="B52" s="979"/>
      <c r="C52" s="979"/>
      <c r="D52" s="20"/>
      <c r="E52" s="20"/>
      <c r="F52" s="20"/>
      <c r="G52" s="20"/>
      <c r="H52" s="20"/>
      <c r="I52" s="20"/>
      <c r="J52" s="20"/>
      <c r="K52" s="20"/>
      <c r="L52" s="20"/>
      <c r="M52" s="986"/>
      <c r="N52" s="20"/>
      <c r="O52" s="20"/>
    </row>
    <row r="53" spans="1:20" ht="15.75" thickBot="1" x14ac:dyDescent="0.3">
      <c r="B53" s="1450" t="s">
        <v>383</v>
      </c>
      <c r="C53" s="1451"/>
      <c r="D53" s="406" t="s">
        <v>411</v>
      </c>
      <c r="E53" s="363" t="s">
        <v>375</v>
      </c>
      <c r="F53" s="406" t="s">
        <v>520</v>
      </c>
      <c r="G53" s="363" t="s">
        <v>746</v>
      </c>
      <c r="H53" s="965" t="s">
        <v>518</v>
      </c>
      <c r="I53" s="363" t="s">
        <v>371</v>
      </c>
      <c r="J53" s="965" t="s">
        <v>736</v>
      </c>
      <c r="K53" s="363" t="s">
        <v>743</v>
      </c>
      <c r="L53" s="406" t="s">
        <v>517</v>
      </c>
      <c r="M53" s="363" t="s">
        <v>516</v>
      </c>
      <c r="N53" s="965" t="s">
        <v>748</v>
      </c>
      <c r="O53" s="366" t="s">
        <v>747</v>
      </c>
    </row>
    <row r="54" spans="1:20" x14ac:dyDescent="0.25">
      <c r="B54" s="1446" t="s">
        <v>139</v>
      </c>
      <c r="C54" s="1447"/>
      <c r="D54" s="147">
        <f>$L16</f>
        <v>1</v>
      </c>
      <c r="E54" s="96">
        <f>E46*D54*(Fuel!E15/Fuel!E20)</f>
        <v>385.2793430052734</v>
      </c>
      <c r="F54" s="96">
        <f>$K16</f>
        <v>0</v>
      </c>
      <c r="G54" s="286">
        <v>0</v>
      </c>
      <c r="H54" s="358" t="s">
        <v>21</v>
      </c>
      <c r="I54" s="358" t="s">
        <v>21</v>
      </c>
      <c r="J54" s="358" t="s">
        <v>21</v>
      </c>
      <c r="K54" s="982" t="s">
        <v>21</v>
      </c>
      <c r="L54" s="981" t="s">
        <v>21</v>
      </c>
      <c r="M54" s="981" t="s">
        <v>21</v>
      </c>
      <c r="N54" s="981" t="s">
        <v>21</v>
      </c>
      <c r="O54" s="983" t="s">
        <v>21</v>
      </c>
    </row>
    <row r="55" spans="1:20" x14ac:dyDescent="0.25">
      <c r="B55" s="1446" t="s">
        <v>98</v>
      </c>
      <c r="C55" s="1447"/>
      <c r="D55" s="147">
        <f>$L17</f>
        <v>0</v>
      </c>
      <c r="E55" s="96">
        <v>0</v>
      </c>
      <c r="F55" s="96">
        <f>$K17</f>
        <v>1</v>
      </c>
      <c r="G55" s="286">
        <f>G47*F55*(Fuel!E14/Fuel!E19)</f>
        <v>318.94783981023784</v>
      </c>
      <c r="H55" s="358" t="s">
        <v>21</v>
      </c>
      <c r="I55" s="358" t="s">
        <v>21</v>
      </c>
      <c r="J55" s="358" t="s">
        <v>21</v>
      </c>
      <c r="K55" s="982" t="s">
        <v>21</v>
      </c>
      <c r="L55" s="981" t="s">
        <v>21</v>
      </c>
      <c r="M55" s="981" t="s">
        <v>21</v>
      </c>
      <c r="N55" s="981" t="s">
        <v>21</v>
      </c>
      <c r="O55" s="983" t="s">
        <v>21</v>
      </c>
    </row>
    <row r="56" spans="1:20" x14ac:dyDescent="0.25">
      <c r="B56" s="1446" t="s">
        <v>762</v>
      </c>
      <c r="C56" s="1447"/>
      <c r="D56" s="11" t="s">
        <v>21</v>
      </c>
      <c r="E56" s="11" t="s">
        <v>21</v>
      </c>
      <c r="F56" s="11" t="s">
        <v>21</v>
      </c>
      <c r="G56" s="11" t="s">
        <v>21</v>
      </c>
      <c r="H56" s="434" t="s">
        <v>21</v>
      </c>
      <c r="I56" s="11" t="s">
        <v>21</v>
      </c>
      <c r="J56" s="434" t="s">
        <v>21</v>
      </c>
      <c r="K56" s="323">
        <f>K48*(Fuel!E19/Fuel!E14)</f>
        <v>2.1978580837926325</v>
      </c>
      <c r="L56" s="434" t="s">
        <v>21</v>
      </c>
      <c r="M56" s="11"/>
      <c r="N56" s="434" t="s">
        <v>21</v>
      </c>
      <c r="O56" s="42" t="s">
        <v>21</v>
      </c>
    </row>
    <row r="57" spans="1:20" x14ac:dyDescent="0.25">
      <c r="B57" s="1446" t="s">
        <v>761</v>
      </c>
      <c r="C57" s="1447"/>
      <c r="D57" s="11" t="s">
        <v>21</v>
      </c>
      <c r="E57" s="11" t="s">
        <v>21</v>
      </c>
      <c r="F57" s="11" t="s">
        <v>21</v>
      </c>
      <c r="G57" s="11" t="s">
        <v>21</v>
      </c>
      <c r="H57" s="434" t="s">
        <v>21</v>
      </c>
      <c r="I57" s="323">
        <f>0.5*K48*(Fuel!E13/Fuel!E14)  +  I49</f>
        <v>1.3524209554775506</v>
      </c>
      <c r="J57" s="434" t="s">
        <v>21</v>
      </c>
      <c r="K57" s="434" t="s">
        <v>21</v>
      </c>
      <c r="L57" s="434" t="s">
        <v>21</v>
      </c>
      <c r="M57" s="434" t="s">
        <v>21</v>
      </c>
      <c r="N57" s="434" t="s">
        <v>21</v>
      </c>
      <c r="O57" s="42" t="s">
        <v>21</v>
      </c>
    </row>
    <row r="58" spans="1:20" s="20" customFormat="1" x14ac:dyDescent="0.25">
      <c r="A58" s="18"/>
      <c r="B58" s="1446" t="s">
        <v>320</v>
      </c>
      <c r="C58" s="1447"/>
      <c r="D58" s="11" t="s">
        <v>21</v>
      </c>
      <c r="E58" s="11" t="s">
        <v>21</v>
      </c>
      <c r="F58" s="11" t="s">
        <v>21</v>
      </c>
      <c r="G58" s="11" t="s">
        <v>21</v>
      </c>
      <c r="H58" s="434" t="s">
        <v>21</v>
      </c>
      <c r="I58" s="11" t="s">
        <v>21</v>
      </c>
      <c r="J58" s="434" t="s">
        <v>21</v>
      </c>
      <c r="K58" s="434" t="s">
        <v>21</v>
      </c>
      <c r="L58" s="434" t="s">
        <v>21</v>
      </c>
      <c r="M58" s="323">
        <f>M50</f>
        <v>44.930876205138652</v>
      </c>
      <c r="N58" s="434" t="s">
        <v>21</v>
      </c>
      <c r="O58" s="42" t="s">
        <v>21</v>
      </c>
    </row>
    <row r="59" spans="1:20" x14ac:dyDescent="0.25">
      <c r="B59" s="1448" t="s">
        <v>177</v>
      </c>
      <c r="C59" s="1449"/>
      <c r="D59" s="68" t="s">
        <v>21</v>
      </c>
      <c r="E59" s="68" t="s">
        <v>21</v>
      </c>
      <c r="F59" s="68" t="s">
        <v>21</v>
      </c>
      <c r="G59" s="68" t="s">
        <v>21</v>
      </c>
      <c r="H59" s="334" t="s">
        <v>21</v>
      </c>
      <c r="I59" s="68" t="s">
        <v>21</v>
      </c>
      <c r="J59" s="334" t="s">
        <v>21</v>
      </c>
      <c r="K59" s="334" t="s">
        <v>21</v>
      </c>
      <c r="L59" s="334" t="s">
        <v>21</v>
      </c>
      <c r="M59" s="68" t="s">
        <v>21</v>
      </c>
      <c r="N59" s="334" t="s">
        <v>21</v>
      </c>
      <c r="O59" s="988">
        <f>O51</f>
        <v>0.19014875941209416</v>
      </c>
    </row>
    <row r="62" spans="1:20" x14ac:dyDescent="0.25">
      <c r="B62" s="1452" t="s">
        <v>380</v>
      </c>
      <c r="C62" s="1424" t="s">
        <v>586</v>
      </c>
      <c r="D62" s="1425"/>
      <c r="E62" s="1426"/>
    </row>
    <row r="63" spans="1:20" x14ac:dyDescent="0.25">
      <c r="B63" s="1453"/>
      <c r="C63" s="62" t="s">
        <v>60</v>
      </c>
      <c r="D63" s="62" t="s">
        <v>114</v>
      </c>
      <c r="E63" s="349" t="s">
        <v>399</v>
      </c>
    </row>
    <row r="64" spans="1:20" x14ac:dyDescent="0.25">
      <c r="B64" s="290" t="s">
        <v>320</v>
      </c>
      <c r="C64" s="344">
        <f>0</f>
        <v>0</v>
      </c>
      <c r="D64" s="96">
        <f>C64/Fuel!C12</f>
        <v>0</v>
      </c>
      <c r="E64" s="156">
        <f>D64*100/D68</f>
        <v>0</v>
      </c>
    </row>
    <row r="65" spans="2:10" x14ac:dyDescent="0.25">
      <c r="B65" s="199" t="s">
        <v>138</v>
      </c>
      <c r="C65" s="344">
        <f>SUM(I46:I47)</f>
        <v>458.11712245886724</v>
      </c>
      <c r="D65" s="281">
        <f>C65/Fuel!C13</f>
        <v>344.19017464978759</v>
      </c>
      <c r="E65" s="390">
        <f>D65*100/D68</f>
        <v>100</v>
      </c>
      <c r="F65" t="s">
        <v>522</v>
      </c>
    </row>
    <row r="66" spans="2:10" x14ac:dyDescent="0.25">
      <c r="B66" s="199" t="s">
        <v>321</v>
      </c>
      <c r="C66" s="344">
        <f>0</f>
        <v>0</v>
      </c>
      <c r="D66" s="96">
        <f>C66/Fuel!C16</f>
        <v>0</v>
      </c>
      <c r="E66" s="156">
        <f>D66*100/D68</f>
        <v>0</v>
      </c>
      <c r="F66" t="s">
        <v>523</v>
      </c>
    </row>
    <row r="67" spans="2:10" x14ac:dyDescent="0.25">
      <c r="B67" s="200" t="s">
        <v>98</v>
      </c>
      <c r="C67" s="344">
        <f>0</f>
        <v>0</v>
      </c>
      <c r="D67" s="96">
        <f>C67/Fuel!C14</f>
        <v>0</v>
      </c>
      <c r="E67" s="156">
        <f>D67*100/D68</f>
        <v>0</v>
      </c>
    </row>
    <row r="68" spans="2:10" x14ac:dyDescent="0.25">
      <c r="C68" s="384">
        <f>SUM(C64:C67)</f>
        <v>458.11712245886724</v>
      </c>
      <c r="D68" s="392">
        <f>SUM(D64:D67)</f>
        <v>344.19017464978759</v>
      </c>
      <c r="E68" s="159">
        <f>SUM(E64:E67)</f>
        <v>100</v>
      </c>
    </row>
    <row r="71" spans="2:10" x14ac:dyDescent="0.25">
      <c r="B71" s="1452" t="s">
        <v>402</v>
      </c>
      <c r="C71" s="1424" t="s">
        <v>339</v>
      </c>
      <c r="D71" s="1426"/>
      <c r="E71" s="1424" t="s">
        <v>396</v>
      </c>
      <c r="F71" s="1426"/>
      <c r="G71" s="1424" t="s">
        <v>397</v>
      </c>
      <c r="H71" s="1425"/>
      <c r="I71" s="1425"/>
      <c r="J71" s="1426"/>
    </row>
    <row r="72" spans="2:10" x14ac:dyDescent="0.25">
      <c r="B72" s="1453"/>
      <c r="C72" s="128" t="s">
        <v>60</v>
      </c>
      <c r="D72" s="349" t="s">
        <v>114</v>
      </c>
      <c r="E72" s="247" t="s">
        <v>60</v>
      </c>
      <c r="F72" s="353" t="s">
        <v>114</v>
      </c>
      <c r="G72" s="128" t="s">
        <v>377</v>
      </c>
      <c r="H72" s="396" t="s">
        <v>374</v>
      </c>
      <c r="I72" s="364" t="s">
        <v>343</v>
      </c>
      <c r="J72" s="146" t="s">
        <v>376</v>
      </c>
    </row>
    <row r="73" spans="2:10" x14ac:dyDescent="0.25">
      <c r="B73" s="290" t="s">
        <v>320</v>
      </c>
      <c r="C73" s="147">
        <f>M58</f>
        <v>44.930876205138652</v>
      </c>
      <c r="D73" s="347">
        <f>C73/Fuel!C12</f>
        <v>38.567275712565369</v>
      </c>
      <c r="E73" s="29" t="s">
        <v>21</v>
      </c>
      <c r="F73" s="350" t="s">
        <v>21</v>
      </c>
      <c r="G73" s="147">
        <f>C73</f>
        <v>44.930876205138652</v>
      </c>
      <c r="H73" s="96">
        <f t="shared" ref="H73:H78" si="6">$G73*100/$G$79</f>
        <v>5.69003082135825</v>
      </c>
      <c r="I73" s="354">
        <f>G73/Fuel!C12</f>
        <v>38.567275712565369</v>
      </c>
      <c r="J73" s="386">
        <f t="shared" ref="J73:J78" si="7">$I73*100/$I$79</f>
        <v>4.2064114945523183</v>
      </c>
    </row>
    <row r="74" spans="2:10" x14ac:dyDescent="0.25">
      <c r="B74" s="199" t="s">
        <v>138</v>
      </c>
      <c r="C74" s="388">
        <f>I57</f>
        <v>1.3524209554775506</v>
      </c>
      <c r="D74" s="348">
        <f>C74/Fuel!C13</f>
        <v>1.0160938808997375</v>
      </c>
      <c r="E74" s="351">
        <f>Mass_Balance!$E$56*1000</f>
        <v>0.14848055542352309</v>
      </c>
      <c r="F74" s="348">
        <f>E74/Fuel!$C$13</f>
        <v>0.11155563893577994</v>
      </c>
      <c r="G74" s="147">
        <f>C74+E74</f>
        <v>1.5009015109010737</v>
      </c>
      <c r="H74" s="96">
        <f t="shared" si="6"/>
        <v>0.19007365487062441</v>
      </c>
      <c r="I74" s="354">
        <f>G74/Fuel!C13</f>
        <v>1.1276495198355174</v>
      </c>
      <c r="J74" s="386">
        <f t="shared" si="7"/>
        <v>0.12298918745036269</v>
      </c>
    </row>
    <row r="75" spans="2:10" x14ac:dyDescent="0.25">
      <c r="B75" s="199" t="s">
        <v>749</v>
      </c>
      <c r="C75" s="351">
        <f>K56</f>
        <v>2.1978580837926325</v>
      </c>
      <c r="D75" s="348">
        <f>C75/Fuel!C19</f>
        <v>1.8865734624829462</v>
      </c>
      <c r="E75" s="29" t="s">
        <v>21</v>
      </c>
      <c r="F75" s="350" t="s">
        <v>21</v>
      </c>
      <c r="G75" s="147">
        <f>C75</f>
        <v>2.1978580837926325</v>
      </c>
      <c r="H75" s="96">
        <f t="shared" si="6"/>
        <v>0.27833599729179531</v>
      </c>
      <c r="I75" s="354">
        <f>G75/Fuel!C19</f>
        <v>1.8865734624829462</v>
      </c>
      <c r="J75" s="386">
        <f t="shared" si="7"/>
        <v>0.2057626355838286</v>
      </c>
    </row>
    <row r="76" spans="2:10" x14ac:dyDescent="0.25">
      <c r="B76" s="199" t="s">
        <v>98</v>
      </c>
      <c r="C76" s="147">
        <f>G55</f>
        <v>318.94783981023784</v>
      </c>
      <c r="D76" s="347">
        <f>C76/Fuel!C14</f>
        <v>161.32920577149105</v>
      </c>
      <c r="E76" s="351">
        <f>Mass_Balance!$E$57*1000</f>
        <v>36.000541796255419</v>
      </c>
      <c r="F76" s="348">
        <f>E76/Fuel!$C$14</f>
        <v>18.209682243932939</v>
      </c>
      <c r="G76" s="147">
        <f>C76+E76</f>
        <v>354.94838160649329</v>
      </c>
      <c r="H76" s="96">
        <f t="shared" si="6"/>
        <v>44.95054185258001</v>
      </c>
      <c r="I76" s="354">
        <f>G76/Fuel!C14</f>
        <v>179.53888801542402</v>
      </c>
      <c r="J76" s="386">
        <f t="shared" si="7"/>
        <v>19.581741990170418</v>
      </c>
    </row>
    <row r="77" spans="2:10" x14ac:dyDescent="0.25">
      <c r="B77" s="199" t="s">
        <v>139</v>
      </c>
      <c r="C77" s="147">
        <f>E54</f>
        <v>385.2793430052734</v>
      </c>
      <c r="D77" s="348">
        <f>C77/Fuel!C15</f>
        <v>695.45007762684725</v>
      </c>
      <c r="E77" s="29" t="s">
        <v>21</v>
      </c>
      <c r="F77" s="350" t="s">
        <v>21</v>
      </c>
      <c r="G77" s="147">
        <f>C77</f>
        <v>385.2793430052734</v>
      </c>
      <c r="H77" s="96">
        <f t="shared" si="6"/>
        <v>48.791644447876124</v>
      </c>
      <c r="I77" s="354">
        <f>G77/Fuel!C15</f>
        <v>695.45007762684725</v>
      </c>
      <c r="J77" s="386">
        <f t="shared" si="7"/>
        <v>75.850553257091519</v>
      </c>
    </row>
    <row r="78" spans="2:10" x14ac:dyDescent="0.25">
      <c r="B78" s="291" t="s">
        <v>177</v>
      </c>
      <c r="C78" s="351">
        <f>O59</f>
        <v>0.19014875941209416</v>
      </c>
      <c r="D78" s="350">
        <f>C78/Fuel!$C$17</f>
        <v>7.2299908521708811E-2</v>
      </c>
      <c r="E78" s="351">
        <f>Mass_Balance!$E$55*1000</f>
        <v>0.59454402288250263</v>
      </c>
      <c r="F78" s="348">
        <f>E78/Fuel!$C$17</f>
        <v>0.22606236611502001</v>
      </c>
      <c r="G78" s="397">
        <f>C78+E78</f>
        <v>0.78469278229459682</v>
      </c>
      <c r="H78" s="96">
        <f t="shared" si="6"/>
        <v>9.9373226023198966E-2</v>
      </c>
      <c r="I78" s="398">
        <f>G78/Fuel!$C$17</f>
        <v>0.29836227463672882</v>
      </c>
      <c r="J78" s="386">
        <f t="shared" si="7"/>
        <v>3.2541435151558197E-2</v>
      </c>
    </row>
    <row r="79" spans="2:10" x14ac:dyDescent="0.25">
      <c r="C79" s="152">
        <f t="shared" ref="C79:I79" si="8">SUM(C73:C78)</f>
        <v>752.89848681933222</v>
      </c>
      <c r="D79" s="352">
        <f t="shared" si="8"/>
        <v>898.32152636280807</v>
      </c>
      <c r="E79" s="152">
        <f t="shared" si="8"/>
        <v>36.743566374561446</v>
      </c>
      <c r="F79" s="352">
        <f t="shared" si="8"/>
        <v>18.547300248983738</v>
      </c>
      <c r="G79" s="400">
        <f t="shared" si="8"/>
        <v>789.64205319389362</v>
      </c>
      <c r="H79" s="151">
        <f t="shared" si="8"/>
        <v>100</v>
      </c>
      <c r="I79" s="325">
        <f t="shared" si="8"/>
        <v>916.86882661179175</v>
      </c>
      <c r="J79" s="346">
        <f>SUM(J72:J78)</f>
        <v>100</v>
      </c>
    </row>
    <row r="81" spans="2:13" ht="15.75" thickBot="1" x14ac:dyDescent="0.3"/>
    <row r="82" spans="2:13" x14ac:dyDescent="0.25">
      <c r="B82" s="430"/>
      <c r="C82" s="428" t="s">
        <v>445</v>
      </c>
      <c r="D82" s="428" t="s">
        <v>446</v>
      </c>
      <c r="E82" s="428" t="s">
        <v>447</v>
      </c>
      <c r="F82" s="428" t="s">
        <v>448</v>
      </c>
      <c r="G82" s="428" t="s">
        <v>449</v>
      </c>
      <c r="H82" s="428" t="s">
        <v>450</v>
      </c>
      <c r="I82" s="428" t="s">
        <v>451</v>
      </c>
      <c r="J82" s="428" t="s">
        <v>452</v>
      </c>
      <c r="K82" s="428" t="s">
        <v>456</v>
      </c>
      <c r="L82" s="429" t="s">
        <v>54</v>
      </c>
    </row>
    <row r="83" spans="2:13" x14ac:dyDescent="0.25">
      <c r="B83" s="473" t="s">
        <v>512</v>
      </c>
      <c r="C83" s="461">
        <f>SUM($I$46:$I$47)*Fuel!$C36/1000</f>
        <v>0.47545902847510935</v>
      </c>
      <c r="D83" s="461">
        <f>SUM($I$46:$I$47)*Fuel!J36/1000</f>
        <v>0.49862721547787964</v>
      </c>
      <c r="E83" s="221">
        <f>AVERAGE(D83,F83)</f>
        <v>0.51500490260578413</v>
      </c>
      <c r="F83" s="461">
        <f>SUM($I$46:$I$47)*Fuel!K36/1000</f>
        <v>0.53138258973368868</v>
      </c>
      <c r="G83" s="461">
        <f>SUM($I$46:$I$47)*Fuel!L36/1000</f>
        <v>0.53733811232565376</v>
      </c>
      <c r="H83" s="461">
        <f>SUM($I$46:$I$47)*Fuel!M36/1000</f>
        <v>0.53962869793794821</v>
      </c>
      <c r="I83" s="461">
        <f>SUM($I$46:$I$47)*Fuel!N36/1000</f>
        <v>0.54100304930532483</v>
      </c>
      <c r="J83" s="461">
        <f>SUM($I$46:$I$47)*Fuel!O36/1000</f>
        <v>0.54214834211147189</v>
      </c>
      <c r="K83" s="471">
        <f>IF(Heat_Balance!D63="Not applicable","Not applicable",IF(Heat_Balance!D63&lt;=500,D83,IF(Heat_Balance!D63&lt;=1000,E83,IF(Heat_Balance!D63&lt;=1500,F83,IF(Heat_Balance!D63&lt;=2000,G83,IF(Heat_Balance!D63&lt;=2200,H83,IF(Heat_Balance!D63&lt;=2500,I83,J83)))))))</f>
        <v>0.51500490260578413</v>
      </c>
      <c r="L83" s="425" t="s">
        <v>442</v>
      </c>
      <c r="M83" s="2"/>
    </row>
    <row r="84" spans="2:13" x14ac:dyDescent="0.25">
      <c r="B84" s="431" t="s">
        <v>444</v>
      </c>
      <c r="C84" s="221">
        <f>($G$73*Fuel!C29 +$G$74*Fuel!C30 +$G$75*Fuel!C36+$G$76*Fuel!C31 +$G$77*Fuel!C32+$G$78*Fuel!C34)/1000</f>
        <v>1.0695461597164908</v>
      </c>
      <c r="D84" s="221">
        <f>($G$73*Fuel!J29 +$G$74*Fuel!J30 +$G$75*Fuel!J36+$G$76*Fuel!J31 +$G$77*Fuel!J32+$G$78*Fuel!J34)/1000</f>
        <v>1.163212296803662</v>
      </c>
      <c r="E84" s="221">
        <f>AVERAGE(D84,F84)</f>
        <v>1.2457642830975142</v>
      </c>
      <c r="F84" s="221">
        <f>($G$73*Fuel!K29 +$G$74*Fuel!K30 +$G$75*Fuel!K36+$G$76*Fuel!K31 +$G$77*Fuel!K32+$G$78*Fuel!K34)/1000</f>
        <v>1.3283162693913664</v>
      </c>
      <c r="G84" s="221">
        <f>($G$73*Fuel!L29 +$G$74*Fuel!L30 +$G$75*Fuel!L36+$G$76*Fuel!L31 +$G$77*Fuel!L32+$G$78*Fuel!L34)/1000</f>
        <v>1.379291185836238</v>
      </c>
      <c r="H84" s="221">
        <f>($G$73*Fuel!M29 +$G$74*Fuel!M30 +$G$75*Fuel!M36+$G$76*Fuel!M31 +$G$77*Fuel!M32+$G$78*Fuel!M34)/1000</f>
        <v>1.3912845051479468</v>
      </c>
      <c r="I84" s="221">
        <f>($G$73*Fuel!N29 +$G$74*Fuel!N30 +$G$75*Fuel!N36+$G$76*Fuel!N31 +$G$77*Fuel!N32+$G$78*Fuel!N34)/1000</f>
        <v>1.4015683758512179</v>
      </c>
      <c r="J84" s="221">
        <f>($G$73*Fuel!O29 +$G$74*Fuel!O30 +$G$75*Fuel!O36+$G$76*Fuel!O31 +$G$77*Fuel!O32+$G$78*Fuel!O34)/1000</f>
        <v>1.4145532406258388</v>
      </c>
      <c r="K84" s="471">
        <f xml:space="preserve"> IF(D1_Furnace!G145&lt;=500, D84, IF(D1_Furnace!G145&lt;=1000, E84, IF(D1_Furnace!G145&lt;=1500, F84, IF(D1_Furnace!G145&lt;=2000, G84, IF(D1_Furnace!G145&lt;=2200, H84, IF(D1_Furnace!G145&lt;=2500, I84, J84))))))</f>
        <v>1.2457642830975142</v>
      </c>
      <c r="L84" s="425" t="s">
        <v>442</v>
      </c>
    </row>
    <row r="85" spans="2:13" ht="15.75" thickBot="1" x14ac:dyDescent="0.3">
      <c r="B85" s="432" t="s">
        <v>472</v>
      </c>
      <c r="C85" s="478">
        <f>(G73*Fuel!C29 +G74*Fuel!C30 +G75*Fuel!C36+G76*Fuel!C31 +G77*Fuel!C32+G78*Fuel!C34)/1000</f>
        <v>1.0695461597164908</v>
      </c>
      <c r="D85" s="478">
        <f>($G$73*Fuel!J29 +$G$74*Fuel!J30 +$G$75*Fuel!J36+$G$76*Fuel!J31 +$G$77*Fuel!J32+$G$78*Fuel!J34)/1000</f>
        <v>1.163212296803662</v>
      </c>
      <c r="E85" s="478">
        <f>AVERAGE(D85,F85)</f>
        <v>1.2457642830975142</v>
      </c>
      <c r="F85" s="478">
        <f>($G$73*Fuel!K29 +$G$74*Fuel!K30 +$G$75*Fuel!K36+$G$76*Fuel!K31 +$G$77*Fuel!K32+$G$78*Fuel!K34)/1000</f>
        <v>1.3283162693913664</v>
      </c>
      <c r="G85" s="478">
        <f>($G$73*Fuel!L29 +$G$74*Fuel!L30 +$G$75*Fuel!L36+$G$76*Fuel!L31 +$G$77*Fuel!L32+$G$78*Fuel!L34)/1000</f>
        <v>1.379291185836238</v>
      </c>
      <c r="H85" s="478">
        <f>($G$73*Fuel!M29 +$G$74*Fuel!M30 +$G$75*Fuel!M36+$G$76*Fuel!M31 +$G$77*Fuel!M32+$G$78*Fuel!M34)/1000</f>
        <v>1.3912845051479468</v>
      </c>
      <c r="I85" s="478">
        <f>($G$73*Fuel!N29 +$G$74*Fuel!N30 +$G$75*Fuel!N36+$G$76*Fuel!N31 +$G$77*Fuel!N32+$G$78*Fuel!N34)/1000</f>
        <v>1.4015683758512179</v>
      </c>
      <c r="J85" s="478">
        <f>($G$73*Fuel!O29 +$G$74*Fuel!O30 +$G$75*Fuel!O36+$G$76*Fuel!O31 +$G$77*Fuel!O32+$G$78*Fuel!O34)/1000</f>
        <v>1.4145532406258388</v>
      </c>
      <c r="K85" s="472">
        <f xml:space="preserve"> IF(D1_Furnace!C143&lt;=500, D85, IF(D1_Furnace!C143&lt;=1000, E85, IF(D1_Furnace!C143&lt;=1500, F85, IF(D1_Furnace!C143&lt;=2000, G85, IF(D1_Furnace!C143&lt;=2200, H85, IF(D1_Furnace!C143&lt;=2500, I85, J85))))))</f>
        <v>1.4145532406258388</v>
      </c>
      <c r="L85" s="427" t="s">
        <v>442</v>
      </c>
    </row>
  </sheetData>
  <mergeCells count="39">
    <mergeCell ref="B41:C41"/>
    <mergeCell ref="B36:C36"/>
    <mergeCell ref="B37:C37"/>
    <mergeCell ref="B38:C38"/>
    <mergeCell ref="B39:C39"/>
    <mergeCell ref="B40:C40"/>
    <mergeCell ref="B47:C47"/>
    <mergeCell ref="B49:C49"/>
    <mergeCell ref="B50:C50"/>
    <mergeCell ref="B48:C48"/>
    <mergeCell ref="B45:C45"/>
    <mergeCell ref="B46:C46"/>
    <mergeCell ref="B4:D4"/>
    <mergeCell ref="B35:C35"/>
    <mergeCell ref="B23:C23"/>
    <mergeCell ref="B24:C24"/>
    <mergeCell ref="B25:C25"/>
    <mergeCell ref="B26:C26"/>
    <mergeCell ref="B27:C27"/>
    <mergeCell ref="B28:C28"/>
    <mergeCell ref="B29:C29"/>
    <mergeCell ref="B30:C30"/>
    <mergeCell ref="B31:C31"/>
    <mergeCell ref="B33:C33"/>
    <mergeCell ref="B34:C34"/>
    <mergeCell ref="E71:F71"/>
    <mergeCell ref="G71:J71"/>
    <mergeCell ref="B62:B63"/>
    <mergeCell ref="C62:E62"/>
    <mergeCell ref="B59:C59"/>
    <mergeCell ref="B71:B72"/>
    <mergeCell ref="C71:D71"/>
    <mergeCell ref="B56:C56"/>
    <mergeCell ref="B57:C57"/>
    <mergeCell ref="B58:C58"/>
    <mergeCell ref="B53:C53"/>
    <mergeCell ref="B51:C51"/>
    <mergeCell ref="B54:C54"/>
    <mergeCell ref="B55:C55"/>
  </mergeCells>
  <hyperlinks>
    <hyperlink ref="Q38" r:id="rId1" display="SO@"/>
  </hyperlinks>
  <pageMargins left="0.7" right="0.7" top="0.75" bottom="0.75" header="0.3" footer="0.3"/>
  <pageSetup orientation="portrait" r:id="rId2"/>
  <customProperties>
    <customPr name="EpmWorksheetKeyString_GUID" r:id="rId3"/>
  </customProperties>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5"/>
  <dimension ref="B1:M28"/>
  <sheetViews>
    <sheetView zoomScale="80" zoomScaleNormal="80" workbookViewId="0">
      <pane xSplit="2" topLeftCell="E1" activePane="topRight" state="frozen"/>
      <selection pane="topRight" activeCell="H5" sqref="H5"/>
    </sheetView>
  </sheetViews>
  <sheetFormatPr defaultRowHeight="15" x14ac:dyDescent="0.25"/>
  <cols>
    <col min="2" max="2" width="28.28515625" bestFit="1" customWidth="1"/>
    <col min="3" max="5" width="20.7109375" customWidth="1"/>
    <col min="6" max="7" width="23" customWidth="1"/>
    <col min="8" max="8" width="22.42578125" customWidth="1"/>
    <col min="9" max="10" width="20.7109375" customWidth="1"/>
    <col min="11" max="11" width="22.85546875" customWidth="1"/>
    <col min="12" max="12" width="24" customWidth="1"/>
    <col min="13" max="15" width="20.7109375" customWidth="1"/>
  </cols>
  <sheetData>
    <row r="1" spans="2:13" x14ac:dyDescent="0.25">
      <c r="B1" s="2" t="s">
        <v>1</v>
      </c>
    </row>
    <row r="4" spans="2:13" x14ac:dyDescent="0.25">
      <c r="B4" s="3" t="s">
        <v>2</v>
      </c>
      <c r="C4" s="459" t="s">
        <v>474</v>
      </c>
      <c r="D4" s="459" t="s">
        <v>473</v>
      </c>
      <c r="E4" s="459" t="s">
        <v>708</v>
      </c>
      <c r="F4" s="459" t="s">
        <v>475</v>
      </c>
      <c r="G4" s="459" t="s">
        <v>709</v>
      </c>
      <c r="H4" s="4" t="s">
        <v>710</v>
      </c>
      <c r="I4" s="459" t="s">
        <v>459</v>
      </c>
      <c r="J4" s="459" t="s">
        <v>3</v>
      </c>
      <c r="K4" s="459" t="s">
        <v>70</v>
      </c>
      <c r="L4" s="459" t="s">
        <v>150</v>
      </c>
      <c r="M4" s="459" t="s">
        <v>344</v>
      </c>
    </row>
    <row r="5" spans="2:13" x14ac:dyDescent="0.25">
      <c r="B5" s="3" t="s">
        <v>458</v>
      </c>
      <c r="C5" s="5"/>
      <c r="D5" s="5"/>
      <c r="E5" s="5"/>
      <c r="F5" s="5"/>
      <c r="G5" s="5"/>
      <c r="H5" s="5"/>
      <c r="I5" s="22"/>
      <c r="J5" s="5"/>
      <c r="K5" s="5"/>
      <c r="L5" s="5"/>
      <c r="M5" s="5"/>
    </row>
    <row r="6" spans="2:13" x14ac:dyDescent="0.25">
      <c r="B6" s="3" t="s">
        <v>0</v>
      </c>
      <c r="C6" s="5">
        <v>2019</v>
      </c>
      <c r="D6" s="5">
        <v>2019</v>
      </c>
      <c r="E6" s="5">
        <v>2019</v>
      </c>
      <c r="F6" s="5">
        <v>2019</v>
      </c>
      <c r="G6" s="5">
        <v>2019</v>
      </c>
      <c r="H6" s="5">
        <v>2019</v>
      </c>
      <c r="I6" s="5">
        <v>2019</v>
      </c>
      <c r="J6" s="5">
        <v>2018</v>
      </c>
      <c r="K6" s="5">
        <v>2017</v>
      </c>
      <c r="L6" s="5">
        <v>2018</v>
      </c>
      <c r="M6" s="5">
        <v>2018</v>
      </c>
    </row>
    <row r="7" spans="2:13" x14ac:dyDescent="0.25">
      <c r="B7" s="3" t="s">
        <v>4</v>
      </c>
      <c r="C7" s="5">
        <v>210</v>
      </c>
      <c r="D7" s="5">
        <v>170</v>
      </c>
      <c r="E7" s="5">
        <v>150</v>
      </c>
      <c r="F7" s="5">
        <v>75</v>
      </c>
      <c r="G7" s="5">
        <v>670</v>
      </c>
      <c r="H7" s="5">
        <v>70</v>
      </c>
      <c r="I7" s="5">
        <v>150</v>
      </c>
      <c r="J7" s="5">
        <v>3.7999999999999999E-2</v>
      </c>
      <c r="K7" s="5">
        <v>7.9299999999999995E-2</v>
      </c>
      <c r="L7" s="5">
        <v>2335</v>
      </c>
      <c r="M7" s="5">
        <v>0.06</v>
      </c>
    </row>
    <row r="8" spans="2:13" x14ac:dyDescent="0.25">
      <c r="B8" s="3" t="s">
        <v>5</v>
      </c>
      <c r="C8" s="22" t="s">
        <v>706</v>
      </c>
      <c r="D8" s="22" t="s">
        <v>706</v>
      </c>
      <c r="E8" s="22" t="s">
        <v>706</v>
      </c>
      <c r="F8" s="22" t="s">
        <v>706</v>
      </c>
      <c r="G8" s="22" t="s">
        <v>706</v>
      </c>
      <c r="H8" s="22" t="s">
        <v>706</v>
      </c>
      <c r="I8" s="22" t="s">
        <v>706</v>
      </c>
      <c r="J8" s="22" t="s">
        <v>705</v>
      </c>
      <c r="K8" s="22" t="s">
        <v>703</v>
      </c>
      <c r="L8" s="22" t="s">
        <v>707</v>
      </c>
      <c r="M8" s="22" t="s">
        <v>704</v>
      </c>
    </row>
    <row r="9" spans="2:13" x14ac:dyDescent="0.25">
      <c r="B9" s="3" t="s">
        <v>6</v>
      </c>
      <c r="C9" s="5">
        <f>0.9*C7</f>
        <v>189</v>
      </c>
      <c r="D9" s="5">
        <f>0.7*D7</f>
        <v>118.99999999999999</v>
      </c>
      <c r="E9" s="5">
        <f>0.8*E7</f>
        <v>120</v>
      </c>
      <c r="F9" s="5">
        <f>0.85*F7</f>
        <v>63.75</v>
      </c>
      <c r="G9" s="5">
        <f>0.7*G7</f>
        <v>468.99999999999994</v>
      </c>
      <c r="H9" s="5">
        <f>0.7*H7</f>
        <v>49</v>
      </c>
      <c r="I9" s="5">
        <f>0.7*I7</f>
        <v>105</v>
      </c>
      <c r="J9" s="5">
        <f>0.95*J7</f>
        <v>3.61E-2</v>
      </c>
      <c r="K9" s="5"/>
      <c r="L9" s="5">
        <v>2101.5</v>
      </c>
      <c r="M9" s="5"/>
    </row>
    <row r="10" spans="2:13" x14ac:dyDescent="0.25">
      <c r="B10" s="3" t="s">
        <v>7</v>
      </c>
      <c r="C10" s="5">
        <f>1.1*C7</f>
        <v>231.00000000000003</v>
      </c>
      <c r="D10" s="5">
        <f>1.3*D7</f>
        <v>221</v>
      </c>
      <c r="E10" s="5">
        <f>1.2*E7</f>
        <v>180</v>
      </c>
      <c r="F10" s="5">
        <f>1.15*F7</f>
        <v>86.25</v>
      </c>
      <c r="G10" s="5">
        <f>1.3*G7</f>
        <v>871</v>
      </c>
      <c r="H10" s="5">
        <f>1.3*H7</f>
        <v>91</v>
      </c>
      <c r="I10" s="5">
        <f>1.3*I7</f>
        <v>195</v>
      </c>
      <c r="J10" s="5">
        <f>1.05*J7</f>
        <v>3.9899999999999998E-2</v>
      </c>
      <c r="K10" s="5"/>
      <c r="L10" s="5">
        <v>2568.5</v>
      </c>
      <c r="M10" s="5"/>
    </row>
    <row r="11" spans="2:13" ht="120" x14ac:dyDescent="0.25">
      <c r="B11" s="3" t="s">
        <v>8</v>
      </c>
      <c r="C11" s="5"/>
      <c r="D11" s="5"/>
      <c r="E11" s="5"/>
      <c r="F11" s="5"/>
      <c r="G11" s="5"/>
      <c r="H11" s="5"/>
      <c r="I11" s="5"/>
      <c r="J11" s="1365" t="s">
        <v>1099</v>
      </c>
      <c r="K11" s="1365" t="s">
        <v>1098</v>
      </c>
      <c r="L11" s="5"/>
      <c r="M11" s="5"/>
    </row>
    <row r="12" spans="2:13" ht="45" x14ac:dyDescent="0.25">
      <c r="B12" s="3" t="s">
        <v>9</v>
      </c>
      <c r="C12" s="22"/>
      <c r="D12" s="22"/>
      <c r="E12" s="22"/>
      <c r="F12" s="22"/>
      <c r="G12" s="22"/>
      <c r="H12" s="22"/>
      <c r="I12" s="22"/>
      <c r="J12" s="460" t="s">
        <v>112</v>
      </c>
      <c r="K12" s="460" t="s">
        <v>72</v>
      </c>
      <c r="L12" s="22" t="s">
        <v>880</v>
      </c>
      <c r="M12" s="22"/>
    </row>
    <row r="13" spans="2:13" x14ac:dyDescent="0.25">
      <c r="B13" s="3" t="s">
        <v>10</v>
      </c>
      <c r="C13" s="5"/>
      <c r="D13" s="5"/>
      <c r="E13" s="5"/>
      <c r="F13" s="5"/>
      <c r="G13" s="5"/>
      <c r="H13" s="5"/>
      <c r="I13" s="5"/>
      <c r="J13" s="5"/>
      <c r="K13" s="5"/>
      <c r="L13" s="5"/>
      <c r="M13" s="5"/>
    </row>
    <row r="14" spans="2:13" ht="18" x14ac:dyDescent="0.25">
      <c r="J14" s="51"/>
    </row>
    <row r="16" spans="2:13" x14ac:dyDescent="0.25">
      <c r="C16" t="s">
        <v>476</v>
      </c>
      <c r="D16" s="19" t="s">
        <v>881</v>
      </c>
      <c r="J16" s="31" t="s">
        <v>68</v>
      </c>
    </row>
    <row r="17" spans="3:11" x14ac:dyDescent="0.25">
      <c r="D17" t="s">
        <v>538</v>
      </c>
      <c r="E17" s="19" t="s">
        <v>477</v>
      </c>
      <c r="J17" s="19" t="s">
        <v>52</v>
      </c>
    </row>
    <row r="18" spans="3:11" x14ac:dyDescent="0.25">
      <c r="D18" t="s">
        <v>536</v>
      </c>
      <c r="F18" s="19" t="s">
        <v>537</v>
      </c>
      <c r="J18" s="8"/>
    </row>
    <row r="19" spans="3:11" x14ac:dyDescent="0.25">
      <c r="J19" t="s">
        <v>171</v>
      </c>
    </row>
    <row r="20" spans="3:11" x14ac:dyDescent="0.25">
      <c r="J20" s="19" t="s">
        <v>172</v>
      </c>
    </row>
    <row r="22" spans="3:11" x14ac:dyDescent="0.25">
      <c r="C22" s="947" t="s">
        <v>701</v>
      </c>
      <c r="D22" s="947"/>
      <c r="E22" s="947"/>
      <c r="F22" s="947"/>
      <c r="G22" s="947"/>
    </row>
    <row r="23" spans="3:11" x14ac:dyDescent="0.25">
      <c r="C23" s="947" t="s">
        <v>702</v>
      </c>
      <c r="D23" s="947"/>
      <c r="E23" s="947"/>
      <c r="F23" s="947"/>
      <c r="G23" s="947"/>
    </row>
    <row r="26" spans="3:11" x14ac:dyDescent="0.25">
      <c r="J26">
        <v>3.7999999999999999E-2</v>
      </c>
      <c r="K26" t="s">
        <v>857</v>
      </c>
    </row>
    <row r="27" spans="3:11" x14ac:dyDescent="0.25">
      <c r="J27" s="88">
        <f>0.038*1000</f>
        <v>38</v>
      </c>
      <c r="K27" t="s">
        <v>856</v>
      </c>
    </row>
    <row r="28" spans="3:11" x14ac:dyDescent="0.25">
      <c r="J28" s="88">
        <f>J27*3.6</f>
        <v>136.80000000000001</v>
      </c>
      <c r="K28" t="s">
        <v>858</v>
      </c>
    </row>
  </sheetData>
  <hyperlinks>
    <hyperlink ref="J17" r:id="rId1" location="23.631_Calorie/Gram_%C2%B0C_in_Kilojoule/Kilogram_%C2%B0C"/>
    <hyperlink ref="J20" r:id="rId2"/>
    <hyperlink ref="E17" r:id="rId3"/>
    <hyperlink ref="F18" r:id="rId4"/>
    <hyperlink ref="D16" r:id="rId5"/>
    <hyperlink ref="K11" r:id="rId6"/>
    <hyperlink ref="J11" r:id="rId7"/>
  </hyperlinks>
  <pageMargins left="0.7" right="0.7" top="0.75" bottom="0.75" header="0.3" footer="0.3"/>
  <customProperties>
    <customPr name="EpmWorksheetKeyString_GUID" r:id="rId8"/>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7">
    <tabColor theme="9" tint="0.39997558519241921"/>
  </sheetPr>
  <dimension ref="B2:V72"/>
  <sheetViews>
    <sheetView showGridLines="0" zoomScale="90" zoomScaleNormal="90" workbookViewId="0">
      <selection activeCell="L18" sqref="L18"/>
    </sheetView>
  </sheetViews>
  <sheetFormatPr defaultRowHeight="15" x14ac:dyDescent="0.25"/>
  <cols>
    <col min="1" max="1" width="6.5703125" customWidth="1"/>
    <col min="2" max="2" width="13.28515625" customWidth="1"/>
    <col min="3" max="3" width="13.140625" customWidth="1"/>
    <col min="4" max="4" width="13.7109375" customWidth="1"/>
    <col min="5" max="5" width="14.140625" customWidth="1"/>
    <col min="6" max="6" width="11" customWidth="1"/>
    <col min="7" max="7" width="12.140625" customWidth="1"/>
    <col min="8" max="8" width="11.85546875" customWidth="1"/>
    <col min="9" max="9" width="14.5703125" customWidth="1"/>
    <col min="10" max="10" width="21.5703125" customWidth="1"/>
    <col min="11" max="11" width="10.140625" customWidth="1"/>
    <col min="12" max="12" width="16.28515625" customWidth="1"/>
    <col min="13" max="13" width="15.28515625" customWidth="1"/>
    <col min="14" max="14" width="14.7109375" customWidth="1"/>
    <col min="15" max="15" width="15.42578125" customWidth="1"/>
    <col min="16" max="16" width="11.28515625" customWidth="1"/>
    <col min="17" max="17" width="10.85546875" customWidth="1"/>
    <col min="18" max="18" width="11.42578125" customWidth="1"/>
    <col min="19" max="19" width="11.7109375" customWidth="1"/>
    <col min="20" max="20" width="13.7109375" customWidth="1"/>
    <col min="21" max="21" width="9.7109375" customWidth="1"/>
    <col min="22" max="22" width="11.42578125" customWidth="1"/>
    <col min="23" max="24" width="11.5703125" customWidth="1"/>
    <col min="25" max="25" width="10.140625" customWidth="1"/>
    <col min="26" max="26" width="9.5703125" bestFit="1" customWidth="1"/>
    <col min="29" max="29" width="7.28515625" customWidth="1"/>
    <col min="30" max="30" width="4.7109375" customWidth="1"/>
  </cols>
  <sheetData>
    <row r="2" spans="2:22" x14ac:dyDescent="0.25">
      <c r="N2" s="10"/>
    </row>
    <row r="3" spans="2:22" ht="21" x14ac:dyDescent="0.35">
      <c r="B3" s="1344" t="s">
        <v>1081</v>
      </c>
      <c r="C3" s="20"/>
      <c r="D3" s="20"/>
      <c r="E3" s="20"/>
    </row>
    <row r="5" spans="2:22" x14ac:dyDescent="0.25">
      <c r="B5" s="1262" t="s">
        <v>1054</v>
      </c>
      <c r="C5" s="1263"/>
      <c r="D5" s="1263"/>
      <c r="E5" s="1264"/>
      <c r="G5" s="1262" t="s">
        <v>1055</v>
      </c>
      <c r="H5" s="1263"/>
      <c r="I5" s="1263"/>
      <c r="J5" s="1264"/>
      <c r="P5" s="18"/>
      <c r="S5" s="10"/>
      <c r="T5" s="10"/>
      <c r="U5" s="10"/>
      <c r="V5" s="10"/>
    </row>
    <row r="6" spans="2:22" x14ac:dyDescent="0.25">
      <c r="B6" s="28"/>
      <c r="C6" s="10"/>
      <c r="D6" s="10"/>
      <c r="E6" s="40"/>
      <c r="G6" s="28"/>
      <c r="H6" s="10"/>
      <c r="I6" s="10"/>
      <c r="J6" s="40"/>
      <c r="L6" s="1312" t="s">
        <v>159</v>
      </c>
      <c r="P6" s="18"/>
      <c r="S6" s="10"/>
      <c r="T6" s="10"/>
      <c r="U6" s="10"/>
      <c r="V6" s="10"/>
    </row>
    <row r="7" spans="2:22" x14ac:dyDescent="0.25">
      <c r="B7" s="28" t="s">
        <v>1049</v>
      </c>
      <c r="C7" s="10"/>
      <c r="D7" s="1106">
        <v>1</v>
      </c>
      <c r="E7" s="1286" t="s">
        <v>1096</v>
      </c>
      <c r="G7" s="28" t="s">
        <v>873</v>
      </c>
      <c r="H7" s="10"/>
      <c r="I7" s="120">
        <v>0</v>
      </c>
      <c r="J7" s="1317" t="s">
        <v>1057</v>
      </c>
      <c r="L7" s="199"/>
      <c r="P7" s="18"/>
      <c r="S7" s="43"/>
      <c r="V7" s="10"/>
    </row>
    <row r="8" spans="2:22" x14ac:dyDescent="0.25">
      <c r="B8" s="28" t="s">
        <v>909</v>
      </c>
      <c r="C8" s="10"/>
      <c r="D8" s="1106">
        <v>1</v>
      </c>
      <c r="E8" s="1286" t="s">
        <v>1096</v>
      </c>
      <c r="G8" s="28"/>
      <c r="H8" s="10"/>
      <c r="I8" s="10"/>
      <c r="J8" s="40"/>
      <c r="K8" s="10"/>
      <c r="L8" s="1313" t="s">
        <v>109</v>
      </c>
      <c r="P8" s="18"/>
      <c r="S8" s="43"/>
    </row>
    <row r="9" spans="2:22" x14ac:dyDescent="0.25">
      <c r="B9" s="28" t="s">
        <v>879</v>
      </c>
      <c r="C9" s="10"/>
      <c r="D9" s="1106">
        <v>1</v>
      </c>
      <c r="E9" s="1286" t="s">
        <v>1097</v>
      </c>
      <c r="G9" s="67" t="s">
        <v>1058</v>
      </c>
      <c r="H9" s="10"/>
      <c r="I9" s="1107">
        <v>92</v>
      </c>
      <c r="J9" s="40" t="s">
        <v>37</v>
      </c>
      <c r="K9" s="10"/>
      <c r="L9" s="1320" t="s">
        <v>1059</v>
      </c>
      <c r="P9" s="18"/>
      <c r="S9" s="43"/>
    </row>
    <row r="10" spans="2:22" x14ac:dyDescent="0.25">
      <c r="B10" s="28" t="s">
        <v>1080</v>
      </c>
      <c r="C10" s="10"/>
      <c r="D10" s="10">
        <f>IF(Technology =9, D1_Furnace!C164, Cullet)</f>
        <v>76</v>
      </c>
      <c r="E10" s="40" t="s">
        <v>37</v>
      </c>
      <c r="G10" s="67" t="s">
        <v>1032</v>
      </c>
      <c r="H10" s="10"/>
      <c r="I10" s="1107">
        <v>1</v>
      </c>
      <c r="J10" s="1286" t="s">
        <v>1033</v>
      </c>
      <c r="K10" s="10"/>
      <c r="L10" s="1314" t="s">
        <v>865</v>
      </c>
      <c r="P10" s="18"/>
      <c r="Q10" s="10"/>
      <c r="R10" s="10"/>
      <c r="S10" s="10"/>
    </row>
    <row r="11" spans="2:22" x14ac:dyDescent="0.25">
      <c r="B11" s="28" t="s">
        <v>851</v>
      </c>
      <c r="C11" s="10"/>
      <c r="D11" s="1107">
        <v>0.5</v>
      </c>
      <c r="E11" s="40" t="s">
        <v>310</v>
      </c>
      <c r="G11" s="67" t="s">
        <v>979</v>
      </c>
      <c r="H11" s="10"/>
      <c r="I11" s="1137">
        <v>0</v>
      </c>
      <c r="J11" s="1150" t="s">
        <v>37</v>
      </c>
      <c r="L11" s="1321" t="s">
        <v>882</v>
      </c>
      <c r="P11" s="18"/>
      <c r="Q11" s="10"/>
      <c r="R11" s="10"/>
    </row>
    <row r="12" spans="2:22" x14ac:dyDescent="0.25">
      <c r="B12" s="28" t="s">
        <v>852</v>
      </c>
      <c r="C12" s="10"/>
      <c r="D12" s="1106">
        <v>20</v>
      </c>
      <c r="E12" s="40" t="s">
        <v>527</v>
      </c>
      <c r="G12" s="1370" t="s">
        <v>1076</v>
      </c>
      <c r="H12" s="18"/>
      <c r="I12" s="1106">
        <v>0</v>
      </c>
      <c r="J12" s="1286" t="s">
        <v>1075</v>
      </c>
      <c r="L12" s="200"/>
      <c r="P12" s="18"/>
    </row>
    <row r="13" spans="2:22" x14ac:dyDescent="0.25">
      <c r="B13" s="27"/>
      <c r="C13" s="10"/>
      <c r="D13" s="18"/>
      <c r="E13" s="40"/>
      <c r="G13" s="28"/>
      <c r="H13" s="10"/>
      <c r="I13" s="10"/>
      <c r="J13" s="40"/>
      <c r="P13" s="18"/>
    </row>
    <row r="14" spans="2:22" x14ac:dyDescent="0.25">
      <c r="B14" s="28" t="s">
        <v>854</v>
      </c>
      <c r="C14" s="10"/>
      <c r="D14" s="1106">
        <v>3.7999999999999999E-2</v>
      </c>
      <c r="E14" s="40" t="s">
        <v>71</v>
      </c>
      <c r="G14" s="1309" t="s">
        <v>1050</v>
      </c>
      <c r="H14" s="18"/>
      <c r="I14" s="18"/>
      <c r="J14" s="64"/>
      <c r="P14" s="18"/>
    </row>
    <row r="15" spans="2:22" x14ac:dyDescent="0.25">
      <c r="B15" s="28" t="s">
        <v>853</v>
      </c>
      <c r="C15" s="10"/>
      <c r="D15" s="1108">
        <v>7.9299999999999995E-2</v>
      </c>
      <c r="E15" s="40" t="s">
        <v>71</v>
      </c>
      <c r="G15" s="67" t="s">
        <v>980</v>
      </c>
      <c r="H15" s="10"/>
      <c r="I15" s="1106">
        <v>0</v>
      </c>
      <c r="J15" s="40" t="s">
        <v>1115</v>
      </c>
      <c r="K15" s="10"/>
      <c r="P15" s="18"/>
    </row>
    <row r="16" spans="2:22" x14ac:dyDescent="0.25">
      <c r="B16" s="28" t="s">
        <v>863</v>
      </c>
      <c r="C16" s="10"/>
      <c r="D16" s="1319">
        <f>Commodity_data!M7</f>
        <v>0.06</v>
      </c>
      <c r="E16" s="40" t="s">
        <v>864</v>
      </c>
      <c r="F16" s="1346"/>
      <c r="G16" s="67" t="s">
        <v>981</v>
      </c>
      <c r="H16" s="10"/>
      <c r="I16" s="1106">
        <v>0</v>
      </c>
      <c r="J16" s="40" t="s">
        <v>1114</v>
      </c>
      <c r="K16" s="10"/>
      <c r="P16" s="18"/>
    </row>
    <row r="17" spans="2:22" x14ac:dyDescent="0.25">
      <c r="B17" s="28" t="s">
        <v>1078</v>
      </c>
      <c r="C17" s="10"/>
      <c r="D17" s="1319">
        <v>0.8</v>
      </c>
      <c r="E17" s="40" t="s">
        <v>864</v>
      </c>
      <c r="F17" s="20"/>
      <c r="G17" s="67" t="s">
        <v>871</v>
      </c>
      <c r="H17" s="10"/>
      <c r="I17" s="1106">
        <v>0</v>
      </c>
      <c r="J17" s="40" t="s">
        <v>872</v>
      </c>
      <c r="K17" s="10"/>
      <c r="L17" s="46"/>
      <c r="P17" s="18"/>
    </row>
    <row r="18" spans="2:22" x14ac:dyDescent="0.25">
      <c r="B18" s="57"/>
      <c r="C18" s="34"/>
      <c r="D18" s="34"/>
      <c r="E18" s="58"/>
      <c r="G18" s="57"/>
      <c r="H18" s="34"/>
      <c r="I18" s="34"/>
      <c r="J18" s="58"/>
      <c r="K18" s="109"/>
      <c r="L18" s="46"/>
      <c r="P18" s="18"/>
    </row>
    <row r="19" spans="2:22" x14ac:dyDescent="0.25">
      <c r="K19" s="10"/>
      <c r="L19" s="79"/>
      <c r="P19" s="18"/>
    </row>
    <row r="20" spans="2:22" x14ac:dyDescent="0.25">
      <c r="K20" s="10"/>
      <c r="L20" s="46"/>
      <c r="S20" s="123"/>
      <c r="T20" s="10"/>
      <c r="U20" s="10"/>
      <c r="V20" s="10"/>
    </row>
    <row r="21" spans="2:22" x14ac:dyDescent="0.25">
      <c r="B21" s="1378" t="s">
        <v>1053</v>
      </c>
      <c r="C21" s="1379"/>
      <c r="D21" s="1379"/>
      <c r="E21" s="1380"/>
      <c r="G21" s="1378" t="s">
        <v>1056</v>
      </c>
      <c r="H21" s="1379"/>
      <c r="I21" s="1379"/>
      <c r="J21" s="1380"/>
      <c r="L21" s="1310"/>
      <c r="M21" s="1310"/>
      <c r="N21" s="1310"/>
      <c r="O21" s="1310"/>
      <c r="T21" s="10"/>
      <c r="U21" s="10"/>
      <c r="V21" s="10"/>
    </row>
    <row r="22" spans="2:22" x14ac:dyDescent="0.25">
      <c r="B22" s="28"/>
      <c r="C22" s="10"/>
      <c r="D22" s="123"/>
      <c r="E22" s="64"/>
      <c r="G22" s="1315"/>
      <c r="H22" s="196"/>
      <c r="I22" s="196"/>
      <c r="J22" s="1316"/>
      <c r="L22" s="49"/>
      <c r="M22" s="18"/>
      <c r="N22" s="18"/>
      <c r="O22" s="18"/>
      <c r="T22" s="10"/>
      <c r="U22" s="10"/>
      <c r="V22" s="10"/>
    </row>
    <row r="23" spans="2:22" x14ac:dyDescent="0.25">
      <c r="B23" s="25" t="s">
        <v>1036</v>
      </c>
      <c r="C23" s="10"/>
      <c r="D23" s="123"/>
      <c r="E23" s="64"/>
      <c r="G23" s="1373" t="s">
        <v>1110</v>
      </c>
      <c r="H23" s="18"/>
      <c r="I23" s="553">
        <f>I24+I25</f>
        <v>4.7678437093716255</v>
      </c>
      <c r="J23" s="64" t="s">
        <v>971</v>
      </c>
      <c r="L23" s="6"/>
      <c r="M23" s="18"/>
      <c r="N23" s="18"/>
      <c r="O23" s="18"/>
    </row>
    <row r="24" spans="2:22" x14ac:dyDescent="0.25">
      <c r="B24" s="1371" t="s">
        <v>1037</v>
      </c>
      <c r="C24" s="10"/>
      <c r="D24" s="10"/>
      <c r="E24" s="64"/>
      <c r="G24" s="141" t="s">
        <v>1111</v>
      </c>
      <c r="H24" s="10"/>
      <c r="I24" s="61">
        <f>IF(Technology=0, D1_Furnace!C31, IF(Technology=1, D1_Furnace!G31, IF(Technology=2, D1_Furnace!C80, IF(Technology=3, D1_Furnace!C80-D1_Furnace!C101, IF(Technology=4, D1_Furnace!C80-D1_Furnace!C111, IF(Technology=5, D1_Furnace!C80-D1_Furnace!C122, IF(Technology=6, D1_Furnace!G85, IF(Technology=7, D1_Furnace!G85-D1_Furnace!G107, IF(Technology=8, D1_Furnace!G120, IF(Technology=9, 0,"Error"))))))))))*100/Pack_to_melt</f>
        <v>4.3864162126218957</v>
      </c>
      <c r="J24" s="64" t="s">
        <v>971</v>
      </c>
      <c r="K24" s="81"/>
      <c r="N24" s="18"/>
      <c r="O24" s="18"/>
    </row>
    <row r="25" spans="2:22" x14ac:dyDescent="0.25">
      <c r="B25" s="25" t="s">
        <v>1102</v>
      </c>
      <c r="C25" s="10"/>
      <c r="D25" s="10"/>
      <c r="E25" s="64"/>
      <c r="G25" s="1222" t="s">
        <v>1112</v>
      </c>
      <c r="H25" s="18"/>
      <c r="I25" s="81">
        <f>IF(Technology=0, D1_Furnace!C33, IF(Technology=1, D1_Furnace!G33, IF(Technology=2, D1_Furnace!C83, IF(Technology=3, D1_Furnace!C83-D1_Furnace!C102, IF(Technology=4, D1_Furnace!C83-D1_Furnace!C112, IF(Technology=5, D1_Furnace!C83-D1_Furnace!C123, IF(Technology=6, D1_Furnace!G88, IF(Technology=7, D1_Furnace!G88-D1_Furnace!G108, IF(Technology=8, D1_Furnace!G121, IF(Technology=9, D1_Furnace!C161,"Error"))))))))))*3.6*100/Pack_to_melt</f>
        <v>0.38142749674972981</v>
      </c>
      <c r="J25" s="64" t="s">
        <v>971</v>
      </c>
      <c r="K25" s="81"/>
      <c r="M25" s="18"/>
      <c r="N25" s="18"/>
      <c r="O25" s="18"/>
    </row>
    <row r="26" spans="2:22" x14ac:dyDescent="0.25">
      <c r="B26" s="28" t="s">
        <v>1103</v>
      </c>
      <c r="C26" s="10"/>
      <c r="D26" s="10"/>
      <c r="E26" s="64"/>
      <c r="G26" s="28"/>
      <c r="H26" s="10"/>
      <c r="I26" s="10"/>
      <c r="J26" s="64"/>
      <c r="L26" s="18"/>
      <c r="M26" s="18"/>
      <c r="N26" s="81"/>
      <c r="O26" s="18"/>
    </row>
    <row r="27" spans="2:22" x14ac:dyDescent="0.25">
      <c r="B27" s="28" t="s">
        <v>1104</v>
      </c>
      <c r="C27" s="10"/>
      <c r="D27" s="10"/>
      <c r="E27" s="64"/>
      <c r="G27" s="1223" t="s">
        <v>956</v>
      </c>
      <c r="H27" s="18"/>
      <c r="I27" s="552">
        <f>IF(Technology=0, D1_Furnace!C71, IF(Technology=1, D1_Furnace!G71, IF(Technology=2, D1_Furnace!C151, IF(Technology=3, D1_Furnace!C151-D1_Furnace!C103, IF(Technology=4, D1_Furnace!C151-D1_Furnace!C113, IF(Technology=5, D1_Furnace!C151-D1_Furnace!C124, IF(Technology=6, D1_Furnace!G154, IF(Technology=7, D1_Furnace!G154-D1_Furnace!G109, IF(Technology=8, D1_Furnace!G154-D1_Furnace!G119, IF(Technology=9, D1_Furnace!C167,"Error"))))))))))*100/Pack_to_melt</f>
        <v>266.80469062471633</v>
      </c>
      <c r="J27" s="40" t="s">
        <v>990</v>
      </c>
      <c r="N27" s="77"/>
    </row>
    <row r="28" spans="2:22" x14ac:dyDescent="0.25">
      <c r="B28" s="28" t="s">
        <v>1105</v>
      </c>
      <c r="C28" s="10"/>
      <c r="D28" s="10"/>
      <c r="E28" s="64"/>
      <c r="G28" s="1223" t="s">
        <v>957</v>
      </c>
      <c r="H28" s="10"/>
      <c r="I28" s="552">
        <f>(I25/3.6)*Emission_factor*1000</f>
        <v>52.976041215240251</v>
      </c>
      <c r="J28" s="40" t="s">
        <v>990</v>
      </c>
      <c r="N28" s="77"/>
    </row>
    <row r="29" spans="2:22" x14ac:dyDescent="0.25">
      <c r="B29" s="25" t="s">
        <v>1106</v>
      </c>
      <c r="C29" s="10"/>
      <c r="D29" s="10"/>
      <c r="E29" s="64"/>
      <c r="G29" s="28"/>
      <c r="H29" s="10"/>
      <c r="I29" s="10"/>
      <c r="J29" s="40"/>
    </row>
    <row r="30" spans="2:22" x14ac:dyDescent="0.25">
      <c r="B30" s="28" t="s">
        <v>1107</v>
      </c>
      <c r="C30" s="10"/>
      <c r="D30" s="10"/>
      <c r="E30" s="64"/>
      <c r="G30" s="28" t="s">
        <v>862</v>
      </c>
      <c r="H30" s="10"/>
      <c r="I30" s="552">
        <f>Economic_Analysis!D18*100</f>
        <v>5.4174523692514418</v>
      </c>
      <c r="J30" s="64" t="s">
        <v>1000</v>
      </c>
    </row>
    <row r="31" spans="2:22" x14ac:dyDescent="0.25">
      <c r="B31" s="28" t="s">
        <v>1108</v>
      </c>
      <c r="C31" s="10"/>
      <c r="D31" s="10"/>
      <c r="E31" s="40"/>
      <c r="G31" s="28" t="s">
        <v>973</v>
      </c>
      <c r="H31" s="10"/>
      <c r="I31" s="552">
        <f>Economic_Analysis!D40</f>
        <v>0</v>
      </c>
      <c r="J31" s="40" t="s">
        <v>37</v>
      </c>
    </row>
    <row r="32" spans="2:22" x14ac:dyDescent="0.25">
      <c r="B32" s="25" t="s">
        <v>1109</v>
      </c>
      <c r="C32" s="10"/>
      <c r="D32" s="10"/>
      <c r="E32" s="40"/>
      <c r="G32" s="28" t="s">
        <v>972</v>
      </c>
      <c r="H32" s="10"/>
      <c r="I32" s="1372">
        <f>Economic_Analysis!D39</f>
        <v>1.8502495161549566</v>
      </c>
      <c r="J32" s="40" t="s">
        <v>974</v>
      </c>
    </row>
    <row r="33" spans="2:18" x14ac:dyDescent="0.25">
      <c r="B33" s="57"/>
      <c r="C33" s="1311"/>
      <c r="D33" s="34"/>
      <c r="E33" s="58"/>
      <c r="G33" s="57"/>
      <c r="H33" s="34"/>
      <c r="I33" s="34"/>
      <c r="J33" s="58"/>
    </row>
    <row r="35" spans="2:18" x14ac:dyDescent="0.25">
      <c r="B35" s="1374" t="s">
        <v>1113</v>
      </c>
      <c r="C35" s="1327"/>
      <c r="D35" s="1327"/>
      <c r="E35" s="1327"/>
      <c r="F35" s="32"/>
      <c r="G35" s="32"/>
      <c r="H35" s="32"/>
      <c r="I35" s="32"/>
      <c r="J35" s="41"/>
      <c r="L35" s="1332" t="s">
        <v>1070</v>
      </c>
      <c r="M35" s="1327"/>
      <c r="N35" s="1327"/>
      <c r="O35" s="32"/>
      <c r="P35" s="32"/>
      <c r="Q35" s="32"/>
      <c r="R35" s="41"/>
    </row>
    <row r="36" spans="2:18" x14ac:dyDescent="0.25">
      <c r="B36" s="1328" t="s">
        <v>1067</v>
      </c>
      <c r="C36" s="10"/>
      <c r="D36" s="10"/>
      <c r="E36" s="10"/>
      <c r="F36" s="10"/>
      <c r="G36" s="10"/>
      <c r="H36" s="10"/>
      <c r="I36" s="10"/>
      <c r="J36" s="40"/>
      <c r="L36" s="28" t="s">
        <v>1071</v>
      </c>
      <c r="M36" s="10"/>
      <c r="N36" s="10"/>
      <c r="O36" s="10"/>
      <c r="P36" s="10"/>
      <c r="Q36" s="10"/>
      <c r="R36" s="40"/>
    </row>
    <row r="37" spans="2:18" x14ac:dyDescent="0.25">
      <c r="B37" s="1328"/>
      <c r="C37" s="10"/>
      <c r="D37" s="10"/>
      <c r="E37" s="10"/>
      <c r="F37" s="10"/>
      <c r="G37" s="10"/>
      <c r="H37" s="10"/>
      <c r="I37" s="10"/>
      <c r="J37" s="40"/>
      <c r="L37" s="28"/>
      <c r="M37" s="10"/>
      <c r="N37" s="10"/>
      <c r="O37" s="10"/>
      <c r="P37" s="10"/>
      <c r="Q37" s="10"/>
      <c r="R37" s="40"/>
    </row>
    <row r="38" spans="2:18" ht="24.75" x14ac:dyDescent="0.25">
      <c r="B38" s="28"/>
      <c r="C38" s="10"/>
      <c r="D38" s="1329" t="s">
        <v>1063</v>
      </c>
      <c r="E38" s="1329" t="s">
        <v>1062</v>
      </c>
      <c r="F38" s="1329" t="s">
        <v>1065</v>
      </c>
      <c r="G38" s="1329" t="s">
        <v>1064</v>
      </c>
      <c r="H38" s="1325" t="s">
        <v>13</v>
      </c>
      <c r="I38" s="10"/>
      <c r="J38" s="40"/>
      <c r="L38" s="28"/>
      <c r="M38" s="1329" t="s">
        <v>1063</v>
      </c>
      <c r="N38" s="1329" t="s">
        <v>1062</v>
      </c>
      <c r="O38" s="1329" t="s">
        <v>1065</v>
      </c>
      <c r="P38" s="1329" t="s">
        <v>1064</v>
      </c>
      <c r="Q38" s="1325" t="s">
        <v>13</v>
      </c>
      <c r="R38" s="40"/>
    </row>
    <row r="39" spans="2:18" x14ac:dyDescent="0.25">
      <c r="B39" s="28"/>
      <c r="C39" s="56" t="s">
        <v>1060</v>
      </c>
      <c r="D39" s="588">
        <v>5.3399849544962201</v>
      </c>
      <c r="E39" s="588">
        <v>6.783328454038557</v>
      </c>
      <c r="F39" s="588">
        <v>4.3680455103032276</v>
      </c>
      <c r="G39" s="588">
        <f>G40+G41</f>
        <v>7.8397843716396345</v>
      </c>
      <c r="H39" s="32" t="s">
        <v>971</v>
      </c>
      <c r="I39" s="32"/>
      <c r="J39" s="40"/>
      <c r="L39" s="110" t="s">
        <v>1068</v>
      </c>
      <c r="M39" s="404" t="s">
        <v>21</v>
      </c>
      <c r="N39" s="1330">
        <f>100  - E39*100/$D$39</f>
        <v>-27.028980640236711</v>
      </c>
      <c r="O39" s="1330">
        <f>100  - F39*100/$D$39</f>
        <v>18.201164469098885</v>
      </c>
      <c r="P39" s="1330">
        <f>100  - G39*100/$D$39</f>
        <v>-46.812855063170275</v>
      </c>
      <c r="Q39" s="32" t="s">
        <v>37</v>
      </c>
      <c r="R39" s="40"/>
    </row>
    <row r="40" spans="2:18" x14ac:dyDescent="0.25">
      <c r="B40" s="28"/>
      <c r="C40" s="91" t="s">
        <v>1061</v>
      </c>
      <c r="D40" s="221">
        <v>4.3864162126218957</v>
      </c>
      <c r="E40" s="221">
        <v>5.5720198015316704</v>
      </c>
      <c r="F40" s="221">
        <v>3.5880373834633659</v>
      </c>
      <c r="G40" s="221">
        <f>(D1_Furnace!K67 + D1_Furnace!C26)/0.9</f>
        <v>6.4398228767039853</v>
      </c>
      <c r="H40" s="10" t="s">
        <v>971</v>
      </c>
      <c r="I40" s="35"/>
      <c r="J40" s="40"/>
      <c r="L40" s="110" t="s">
        <v>1069</v>
      </c>
      <c r="M40" s="1265" t="s">
        <v>21</v>
      </c>
      <c r="N40" s="229">
        <f>100  - E42*100/$D$42</f>
        <v>-27.028980640236725</v>
      </c>
      <c r="O40" s="229">
        <f>100  - F42*100/$D$42</f>
        <v>18.201164469098899</v>
      </c>
      <c r="P40" s="229">
        <f>100  - G42*100/$D$42</f>
        <v>-46.812855063170275</v>
      </c>
      <c r="Q40" s="10" t="s">
        <v>37</v>
      </c>
      <c r="R40" s="40"/>
    </row>
    <row r="41" spans="2:18" x14ac:dyDescent="0.25">
      <c r="B41" s="28"/>
      <c r="C41" s="35" t="s">
        <v>551</v>
      </c>
      <c r="D41" s="221">
        <v>0.95356874187432461</v>
      </c>
      <c r="E41" s="221">
        <v>1.2113086525068844</v>
      </c>
      <c r="F41" s="221">
        <v>0.78000812683986198</v>
      </c>
      <c r="G41" s="221">
        <f>(G40*(D1_Furnace!C15)/(100-D1_Furnace!C15)) * 100/40</f>
        <v>1.3999614949356489</v>
      </c>
      <c r="H41" s="10" t="s">
        <v>971</v>
      </c>
      <c r="I41" s="75"/>
      <c r="J41" s="40"/>
      <c r="L41" s="110"/>
      <c r="M41" s="1265"/>
      <c r="N41" s="1265"/>
      <c r="O41" s="1265"/>
      <c r="P41" s="1265"/>
      <c r="Q41" s="10"/>
      <c r="R41" s="40"/>
    </row>
    <row r="42" spans="2:18" x14ac:dyDescent="0.25">
      <c r="B42" s="28"/>
      <c r="C42" s="35" t="s">
        <v>349</v>
      </c>
      <c r="D42" s="220">
        <v>266.80469062471633</v>
      </c>
      <c r="E42" s="220">
        <v>338.91927880091441</v>
      </c>
      <c r="F42" s="220">
        <v>218.24313007284124</v>
      </c>
      <c r="G42" s="220">
        <f>(G40*1000/Fuel!C43)*Heat_Balance!D14*Fuel!$C$14</f>
        <v>391.70358374860467</v>
      </c>
      <c r="H42" s="18" t="s">
        <v>990</v>
      </c>
      <c r="I42" s="18"/>
      <c r="J42" s="40"/>
      <c r="L42" s="110"/>
      <c r="M42" s="1163" t="s">
        <v>1042</v>
      </c>
      <c r="N42" s="1163" t="s">
        <v>934</v>
      </c>
      <c r="O42" s="1325" t="s">
        <v>13</v>
      </c>
      <c r="P42" s="10"/>
      <c r="Q42" s="10"/>
      <c r="R42" s="40"/>
    </row>
    <row r="43" spans="2:18" x14ac:dyDescent="0.25">
      <c r="B43" s="28"/>
      <c r="C43" s="10"/>
      <c r="D43" s="10"/>
      <c r="E43" s="10"/>
      <c r="F43" s="10"/>
      <c r="G43" s="10"/>
      <c r="H43" s="10"/>
      <c r="I43" s="10"/>
      <c r="J43" s="40"/>
      <c r="L43" s="110" t="s">
        <v>1068</v>
      </c>
      <c r="M43" s="489">
        <f>100  - D45*100/$D$39</f>
        <v>16.149194389955909</v>
      </c>
      <c r="N43" s="489">
        <f>100  - E45*100/$D$39</f>
        <v>23.855163157042057</v>
      </c>
      <c r="O43" s="32" t="s">
        <v>37</v>
      </c>
      <c r="P43" s="10"/>
      <c r="Q43" s="10"/>
      <c r="R43" s="40"/>
    </row>
    <row r="44" spans="2:18" x14ac:dyDescent="0.25">
      <c r="B44" s="28"/>
      <c r="C44" s="18"/>
      <c r="D44" s="1163" t="s">
        <v>1042</v>
      </c>
      <c r="E44" s="1163" t="s">
        <v>934</v>
      </c>
      <c r="F44" s="1325" t="s">
        <v>13</v>
      </c>
      <c r="G44" s="10"/>
      <c r="H44" s="10"/>
      <c r="I44" s="18"/>
      <c r="J44" s="40"/>
      <c r="L44" s="110" t="s">
        <v>1069</v>
      </c>
      <c r="M44" s="229">
        <f>100  - D48*100/$D$42</f>
        <v>9.7904376450081827</v>
      </c>
      <c r="N44" s="229">
        <f>100  - E48*100/$D$42</f>
        <v>18.080782203329363</v>
      </c>
      <c r="O44" s="10" t="s">
        <v>37</v>
      </c>
      <c r="P44" s="10"/>
      <c r="Q44" s="10"/>
      <c r="R44" s="40"/>
    </row>
    <row r="45" spans="2:18" s="18" customFormat="1" x14ac:dyDescent="0.25">
      <c r="B45" s="27"/>
      <c r="C45" s="56" t="s">
        <v>1060</v>
      </c>
      <c r="D45" s="588">
        <v>4.477620403800227</v>
      </c>
      <c r="E45" s="588">
        <v>4.0661228310396487</v>
      </c>
      <c r="F45" s="32" t="s">
        <v>971</v>
      </c>
      <c r="G45" s="221"/>
      <c r="H45" s="10"/>
      <c r="J45" s="40"/>
      <c r="L45" s="1335"/>
      <c r="R45" s="64"/>
    </row>
    <row r="46" spans="2:18" s="18" customFormat="1" x14ac:dyDescent="0.25">
      <c r="B46" s="27"/>
      <c r="C46" s="91" t="s">
        <v>1061</v>
      </c>
      <c r="D46" s="221">
        <v>3.9569668684746193</v>
      </c>
      <c r="E46" s="221">
        <v>3.5933178506862014</v>
      </c>
      <c r="F46" s="10" t="s">
        <v>971</v>
      </c>
      <c r="G46" s="221"/>
      <c r="H46" s="10"/>
      <c r="J46" s="40"/>
      <c r="L46" s="1335"/>
      <c r="M46" s="1057" t="s">
        <v>1066</v>
      </c>
      <c r="N46" s="1325" t="s">
        <v>13</v>
      </c>
      <c r="R46" s="64"/>
    </row>
    <row r="47" spans="2:18" s="18" customFormat="1" x14ac:dyDescent="0.25">
      <c r="B47" s="27"/>
      <c r="C47" s="35" t="s">
        <v>551</v>
      </c>
      <c r="D47" s="221">
        <v>0.52065353532560787</v>
      </c>
      <c r="E47" s="221">
        <v>0.47280498035344759</v>
      </c>
      <c r="F47" s="10" t="s">
        <v>971</v>
      </c>
      <c r="G47" s="221"/>
      <c r="H47" s="10"/>
      <c r="I47" s="10"/>
      <c r="J47" s="1326"/>
      <c r="L47" s="110" t="s">
        <v>1068</v>
      </c>
      <c r="M47" s="1331">
        <f>100  - D51*100/$D$39</f>
        <v>-113.62950455008172</v>
      </c>
      <c r="N47" s="32" t="s">
        <v>37</v>
      </c>
      <c r="R47" s="64"/>
    </row>
    <row r="48" spans="2:18" s="18" customFormat="1" x14ac:dyDescent="0.25">
      <c r="B48" s="27"/>
      <c r="C48" s="35" t="s">
        <v>349</v>
      </c>
      <c r="D48" s="222">
        <v>240.6833437551465</v>
      </c>
      <c r="E48" s="222">
        <v>218.56431560459467</v>
      </c>
      <c r="F48" s="18" t="s">
        <v>990</v>
      </c>
      <c r="G48" s="1323"/>
      <c r="I48" s="35"/>
      <c r="J48" s="64"/>
      <c r="L48" s="110" t="s">
        <v>1069</v>
      </c>
      <c r="M48" s="222">
        <f>100  -D54*100/$D$42</f>
        <v>85.00753419957536</v>
      </c>
      <c r="N48" s="10" t="s">
        <v>37</v>
      </c>
      <c r="R48" s="64"/>
    </row>
    <row r="49" spans="2:18" s="18" customFormat="1" x14ac:dyDescent="0.25">
      <c r="B49" s="27"/>
      <c r="J49" s="64"/>
      <c r="L49" s="50"/>
      <c r="R49" s="64"/>
    </row>
    <row r="50" spans="2:18" s="18" customFormat="1" ht="26.25" x14ac:dyDescent="0.25">
      <c r="B50" s="27"/>
      <c r="D50" s="1057" t="s">
        <v>1066</v>
      </c>
      <c r="E50" s="1325" t="s">
        <v>13</v>
      </c>
      <c r="I50" s="75"/>
      <c r="J50" s="64"/>
      <c r="L50" s="50"/>
      <c r="M50" s="1333" t="s">
        <v>1072</v>
      </c>
      <c r="N50" s="1333" t="s">
        <v>1074</v>
      </c>
      <c r="O50" s="1333" t="s">
        <v>1073</v>
      </c>
      <c r="P50" s="1334" t="s">
        <v>13</v>
      </c>
      <c r="R50" s="64"/>
    </row>
    <row r="51" spans="2:18" s="18" customFormat="1" x14ac:dyDescent="0.25">
      <c r="B51" s="27"/>
      <c r="C51" s="56" t="s">
        <v>1060</v>
      </c>
      <c r="D51" s="1324">
        <v>11.407783401339183</v>
      </c>
      <c r="E51" s="32" t="s">
        <v>971</v>
      </c>
      <c r="F51" s="1323"/>
      <c r="G51" s="1323"/>
      <c r="J51" s="64"/>
      <c r="L51" s="110" t="s">
        <v>1068</v>
      </c>
      <c r="M51" s="1331">
        <f>100  - E45*100/D45</f>
        <v>9.1900950873668137</v>
      </c>
      <c r="N51" s="1331">
        <f>100  - D51*100/D45</f>
        <v>-154.77334772856619</v>
      </c>
      <c r="O51" s="1331">
        <f>100  - D51*100/E45</f>
        <v>-180.55678284618807</v>
      </c>
      <c r="P51" s="32" t="s">
        <v>37</v>
      </c>
      <c r="R51" s="64"/>
    </row>
    <row r="52" spans="2:18" x14ac:dyDescent="0.25">
      <c r="B52" s="28"/>
      <c r="C52" s="91" t="s">
        <v>1061</v>
      </c>
      <c r="D52" s="1323">
        <v>0</v>
      </c>
      <c r="E52" s="10" t="s">
        <v>971</v>
      </c>
      <c r="F52" s="1323"/>
      <c r="G52" s="1323"/>
      <c r="H52" s="18"/>
      <c r="I52" s="18"/>
      <c r="J52" s="64"/>
      <c r="L52" s="110" t="s">
        <v>1069</v>
      </c>
      <c r="M52" s="222">
        <f>100  - E48*100/D48</f>
        <v>9.1900950873667853</v>
      </c>
      <c r="N52" s="222">
        <f>100  - D54*100/D48</f>
        <v>83.380402909586877</v>
      </c>
      <c r="O52" s="220">
        <f>100  - D54*100/E48</f>
        <v>81.698475396045637</v>
      </c>
      <c r="P52" s="10" t="s">
        <v>37</v>
      </c>
      <c r="Q52" s="10"/>
      <c r="R52" s="40"/>
    </row>
    <row r="53" spans="2:18" x14ac:dyDescent="0.25">
      <c r="B53" s="28"/>
      <c r="C53" s="35" t="s">
        <v>551</v>
      </c>
      <c r="D53" s="1323">
        <v>11.407783401339183</v>
      </c>
      <c r="E53" s="10" t="s">
        <v>971</v>
      </c>
      <c r="F53" s="1323"/>
      <c r="G53" s="1323"/>
      <c r="H53" s="18"/>
      <c r="I53" s="18"/>
      <c r="J53" s="64"/>
      <c r="L53" s="28"/>
      <c r="M53" s="10"/>
      <c r="N53" s="18"/>
      <c r="O53" s="10"/>
      <c r="P53" s="10"/>
      <c r="Q53" s="10"/>
      <c r="R53" s="40"/>
    </row>
    <row r="54" spans="2:18" x14ac:dyDescent="0.25">
      <c r="B54" s="28"/>
      <c r="C54" s="35" t="s">
        <v>349</v>
      </c>
      <c r="D54" s="220">
        <v>40.000601995839354</v>
      </c>
      <c r="E54" s="18" t="s">
        <v>990</v>
      </c>
      <c r="F54" s="10"/>
      <c r="G54" s="10"/>
      <c r="H54" s="10"/>
      <c r="I54" s="10"/>
      <c r="J54" s="40"/>
      <c r="L54" s="28"/>
      <c r="M54" s="10"/>
      <c r="N54" s="18"/>
      <c r="O54" s="10"/>
      <c r="P54" s="10"/>
      <c r="Q54" s="10"/>
      <c r="R54" s="40"/>
    </row>
    <row r="55" spans="2:18" x14ac:dyDescent="0.25">
      <c r="B55" s="57"/>
      <c r="C55" s="34"/>
      <c r="D55" s="34"/>
      <c r="E55" s="34"/>
      <c r="F55" s="34"/>
      <c r="G55" s="34"/>
      <c r="H55" s="34"/>
      <c r="I55" s="34"/>
      <c r="J55" s="58"/>
      <c r="L55" s="57"/>
      <c r="M55" s="34"/>
      <c r="N55" s="34"/>
      <c r="O55" s="34"/>
      <c r="P55" s="34"/>
      <c r="Q55" s="34"/>
      <c r="R55" s="58"/>
    </row>
    <row r="56" spans="2:18" x14ac:dyDescent="0.25">
      <c r="Q56" s="10"/>
    </row>
    <row r="57" spans="2:18" x14ac:dyDescent="0.25">
      <c r="F57" s="9"/>
      <c r="G57" s="9"/>
      <c r="H57" s="9"/>
    </row>
    <row r="58" spans="2:18" x14ac:dyDescent="0.25">
      <c r="D58" s="1019"/>
      <c r="E58" s="1019"/>
      <c r="F58" s="1019"/>
      <c r="G58" s="1019"/>
      <c r="H58" s="9"/>
    </row>
    <row r="59" spans="2:18" x14ac:dyDescent="0.25">
      <c r="D59" s="1019"/>
      <c r="E59" s="1019"/>
      <c r="F59" s="1019"/>
      <c r="G59" s="1019"/>
      <c r="H59" s="9"/>
      <c r="K59" s="71"/>
    </row>
    <row r="60" spans="2:18" x14ac:dyDescent="0.25">
      <c r="D60" s="1019"/>
      <c r="E60" s="1019"/>
      <c r="F60" s="1019"/>
      <c r="G60" s="1019"/>
    </row>
    <row r="61" spans="2:18" x14ac:dyDescent="0.25">
      <c r="D61" s="1019"/>
      <c r="E61" s="1019"/>
      <c r="F61" s="1019"/>
      <c r="G61" s="1019"/>
    </row>
    <row r="62" spans="2:18" x14ac:dyDescent="0.25">
      <c r="D62" s="1019"/>
      <c r="E62" s="1019"/>
      <c r="F62" s="1019"/>
      <c r="G62" s="1019"/>
    </row>
    <row r="63" spans="2:18" x14ac:dyDescent="0.25">
      <c r="D63" s="1019"/>
      <c r="E63" s="1019"/>
      <c r="F63" s="1019"/>
      <c r="G63" s="1019"/>
    </row>
    <row r="64" spans="2:18" x14ac:dyDescent="0.25">
      <c r="D64" s="1019"/>
      <c r="E64" s="1019"/>
      <c r="F64" s="1019"/>
      <c r="G64" s="1019"/>
    </row>
    <row r="65" spans="4:7" x14ac:dyDescent="0.25">
      <c r="D65" s="1019"/>
      <c r="E65" s="1019"/>
      <c r="F65" s="1019"/>
      <c r="G65" s="1019"/>
    </row>
    <row r="66" spans="4:7" x14ac:dyDescent="0.25">
      <c r="D66" s="1019"/>
      <c r="E66" s="1019"/>
      <c r="F66" s="1019"/>
      <c r="G66" s="1019"/>
    </row>
    <row r="67" spans="4:7" x14ac:dyDescent="0.25">
      <c r="D67" s="1019"/>
      <c r="E67" s="1019"/>
      <c r="F67" s="1019"/>
      <c r="G67" s="1019"/>
    </row>
    <row r="68" spans="4:7" x14ac:dyDescent="0.25">
      <c r="D68" s="1019"/>
      <c r="E68" s="1019"/>
      <c r="F68" s="1019"/>
      <c r="G68" s="1019"/>
    </row>
    <row r="69" spans="4:7" x14ac:dyDescent="0.25">
      <c r="D69" s="1019"/>
      <c r="E69" s="1019"/>
      <c r="F69" s="1019"/>
      <c r="G69" s="1019"/>
    </row>
    <row r="70" spans="4:7" x14ac:dyDescent="0.25">
      <c r="D70" s="1019"/>
      <c r="E70" s="1019"/>
      <c r="F70" s="1019"/>
      <c r="G70" s="1019"/>
    </row>
    <row r="71" spans="4:7" x14ac:dyDescent="0.25">
      <c r="D71" s="1019"/>
      <c r="E71" s="1019"/>
      <c r="F71" s="1019"/>
      <c r="G71" s="1019"/>
    </row>
    <row r="72" spans="4:7" x14ac:dyDescent="0.25">
      <c r="D72" s="1019"/>
    </row>
  </sheetData>
  <mergeCells count="2">
    <mergeCell ref="G21:J21"/>
    <mergeCell ref="B21:E21"/>
  </mergeCells>
  <pageMargins left="0.7" right="0.7" top="0.75" bottom="0.75" header="0.3" footer="0.3"/>
  <pageSetup orientation="portrait" r:id="rId1"/>
  <customProperties>
    <customPr name="EpmWorksheetKeyString_GUID" r:id="rId2"/>
  </customPropertie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8CCE4"/>
  </sheetPr>
  <dimension ref="B2:AA117"/>
  <sheetViews>
    <sheetView showGridLines="0" zoomScale="80" zoomScaleNormal="80" workbookViewId="0">
      <selection activeCell="G11" sqref="G11"/>
    </sheetView>
  </sheetViews>
  <sheetFormatPr defaultRowHeight="15" x14ac:dyDescent="0.25"/>
  <cols>
    <col min="2" max="2" width="14.42578125" customWidth="1"/>
    <col min="3" max="3" width="17" customWidth="1"/>
    <col min="4" max="4" width="16.28515625" customWidth="1"/>
    <col min="5" max="6" width="16.140625" customWidth="1"/>
    <col min="7" max="7" width="17.7109375" customWidth="1"/>
    <col min="8" max="8" width="26.28515625" customWidth="1"/>
    <col min="9" max="9" width="13.5703125" customWidth="1"/>
    <col min="10" max="10" width="15" customWidth="1"/>
    <col min="11" max="11" width="24.28515625" customWidth="1"/>
    <col min="12" max="12" width="24.85546875" customWidth="1"/>
    <col min="13" max="13" width="11" customWidth="1"/>
    <col min="14" max="14" width="10.5703125" customWidth="1"/>
    <col min="16" max="16" width="13.85546875" bestFit="1" customWidth="1"/>
    <col min="19" max="19" width="12" bestFit="1" customWidth="1"/>
    <col min="20" max="20" width="16.140625" customWidth="1"/>
    <col min="23" max="23" width="15.28515625" bestFit="1" customWidth="1"/>
    <col min="25" max="25" width="10.140625" customWidth="1"/>
    <col min="26" max="26" width="22" customWidth="1"/>
    <col min="27" max="27" width="16.7109375" customWidth="1"/>
  </cols>
  <sheetData>
    <row r="2" spans="2:16" ht="18.75" x14ac:dyDescent="0.3">
      <c r="B2" s="892" t="s">
        <v>978</v>
      </c>
      <c r="C2" s="837"/>
      <c r="D2" s="837"/>
      <c r="E2" s="837"/>
      <c r="F2" s="892"/>
    </row>
    <row r="4" spans="2:16" ht="15.75" thickBot="1" x14ac:dyDescent="0.3"/>
    <row r="5" spans="2:16" x14ac:dyDescent="0.25">
      <c r="B5" s="1381" t="s">
        <v>998</v>
      </c>
      <c r="C5" s="1382"/>
      <c r="D5" s="1382"/>
      <c r="E5" s="1382"/>
      <c r="F5" s="1383"/>
      <c r="H5" s="1381" t="s">
        <v>928</v>
      </c>
      <c r="I5" s="1382"/>
      <c r="J5" s="1382"/>
      <c r="K5" s="1382"/>
      <c r="L5" s="1383"/>
      <c r="O5">
        <v>1</v>
      </c>
      <c r="P5">
        <v>98</v>
      </c>
    </row>
    <row r="6" spans="2:16" x14ac:dyDescent="0.25">
      <c r="B6" s="13"/>
      <c r="C6" s="10"/>
      <c r="D6" s="10"/>
      <c r="E6" s="10"/>
      <c r="F6" s="87"/>
      <c r="H6" s="13"/>
      <c r="I6" s="10"/>
      <c r="J6" s="10"/>
      <c r="K6" s="10"/>
      <c r="L6" s="87"/>
      <c r="O6">
        <v>9</v>
      </c>
      <c r="P6">
        <v>25</v>
      </c>
    </row>
    <row r="7" spans="2:16" x14ac:dyDescent="0.25">
      <c r="B7" s="13"/>
      <c r="C7" s="10" t="s">
        <v>855</v>
      </c>
      <c r="D7" s="96">
        <f>(Mass_Balance!J54*Commodity_data!E7) + (Mass_Balance!J55*Commodity_data!C7) + (Mass_Balance!J56*Commodity_data!D7) + (Mass_Balance!J57*Commodity_data!F7) + (Mass_Balance!J58*40) + (Mass_Balance!J41*Commodity_data!I7)</f>
        <v>156.5497311346154</v>
      </c>
      <c r="E7" s="10" t="s">
        <v>859</v>
      </c>
      <c r="F7" s="87"/>
      <c r="H7" s="1191" t="s">
        <v>893</v>
      </c>
      <c r="I7" s="520" t="s">
        <v>927</v>
      </c>
      <c r="J7" s="520" t="s">
        <v>937</v>
      </c>
      <c r="K7" s="129" t="s">
        <v>984</v>
      </c>
      <c r="L7" s="1192" t="s">
        <v>926</v>
      </c>
      <c r="O7">
        <v>7</v>
      </c>
      <c r="P7">
        <v>25</v>
      </c>
    </row>
    <row r="8" spans="2:16" x14ac:dyDescent="0.25">
      <c r="B8" s="13"/>
      <c r="C8" s="18" t="s">
        <v>876</v>
      </c>
      <c r="D8" s="286">
        <f>(Direct_CO2*'1.Batch_Preparation'!J55/'1.Batch_Preparation'!J49)*(Pack_to_melt/100)*CO2_price/1000</f>
        <v>5.4618472733336141</v>
      </c>
      <c r="E8" s="10" t="s">
        <v>859</v>
      </c>
      <c r="F8" s="87"/>
      <c r="H8" s="13" t="s">
        <v>318</v>
      </c>
      <c r="I8" s="1185">
        <v>9</v>
      </c>
      <c r="J8" s="1185">
        <v>20</v>
      </c>
      <c r="K8" s="229">
        <v>1.5</v>
      </c>
      <c r="L8" s="1219" t="s">
        <v>943</v>
      </c>
      <c r="O8">
        <v>6</v>
      </c>
      <c r="P8">
        <v>25</v>
      </c>
    </row>
    <row r="9" spans="2:16" x14ac:dyDescent="0.25">
      <c r="B9" s="13"/>
      <c r="C9" s="10" t="s">
        <v>3</v>
      </c>
      <c r="D9" s="96">
        <f>IF(Bio_switch=1, 0, (Global!I24*1000/3.6)*('1.Batch_Preparation'!F55/'1.Batch_Preparation'!F49)*(Pack_to_melt/100)*NG_price)</f>
        <v>47.392217476038041</v>
      </c>
      <c r="E9" s="10" t="s">
        <v>859</v>
      </c>
      <c r="F9" s="87"/>
      <c r="H9" s="13" t="s">
        <v>949</v>
      </c>
      <c r="I9" s="1185">
        <v>9</v>
      </c>
      <c r="J9" s="1232">
        <v>10</v>
      </c>
      <c r="K9" s="229">
        <f>0.375*8</f>
        <v>3</v>
      </c>
      <c r="L9" s="1220" t="s">
        <v>950</v>
      </c>
      <c r="O9" s="46">
        <v>8</v>
      </c>
      <c r="P9">
        <v>24</v>
      </c>
    </row>
    <row r="10" spans="2:16" x14ac:dyDescent="0.25">
      <c r="B10" s="13"/>
      <c r="C10" s="95" t="s">
        <v>684</v>
      </c>
      <c r="D10" s="1287">
        <f>IF(Bio_switch=0, 0, (Fuel!C44*Global!I24/Fuel!C40)*('1.Batch_Preparation'!F55/'1.Batch_Preparation'!F49)*(Pack_to_melt/100)*Bio_price)</f>
        <v>0</v>
      </c>
      <c r="E10" s="154" t="s">
        <v>859</v>
      </c>
      <c r="F10" s="87"/>
      <c r="H10" s="304" t="s">
        <v>929</v>
      </c>
      <c r="I10" s="1185">
        <v>8</v>
      </c>
      <c r="J10" s="1232">
        <v>7</v>
      </c>
      <c r="K10" s="229">
        <f>4*(D1_Furnace!C182/3.6)*300/24</f>
        <v>57.038917006695954</v>
      </c>
      <c r="L10" s="1219" t="s">
        <v>930</v>
      </c>
      <c r="O10" s="90">
        <v>5</v>
      </c>
      <c r="P10">
        <v>12</v>
      </c>
    </row>
    <row r="11" spans="2:16" x14ac:dyDescent="0.25">
      <c r="B11" s="13"/>
      <c r="C11" s="18" t="s">
        <v>87</v>
      </c>
      <c r="D11" s="96">
        <f>(Global!I25*1000/3.6)*('1.Batch_Preparation'!G55/'1.Batch_Preparation'!G49)*(Pack_to_melt/100)*Electricity_price</f>
        <v>19.253052032080948</v>
      </c>
      <c r="E11" s="10" t="s">
        <v>859</v>
      </c>
      <c r="F11" s="87"/>
      <c r="H11" s="304" t="s">
        <v>931</v>
      </c>
      <c r="I11" s="1185">
        <v>7</v>
      </c>
      <c r="J11" s="1232">
        <v>10</v>
      </c>
      <c r="K11" s="229">
        <f>0.45*8</f>
        <v>3.6</v>
      </c>
      <c r="L11" s="1220" t="s">
        <v>938</v>
      </c>
      <c r="O11" s="90">
        <v>0</v>
      </c>
      <c r="P11">
        <v>6</v>
      </c>
    </row>
    <row r="12" spans="2:16" x14ac:dyDescent="0.25">
      <c r="B12" s="13"/>
      <c r="C12" s="18" t="s">
        <v>896</v>
      </c>
      <c r="D12" s="96">
        <f>Global!I24*(1000/Fuel!$C$43)*Heat_Balance!$D$13*IF(O2_enrich&gt;0, O2_enrichment/100, IF(Technology&lt;2, (O2_substitution/100), Oxyfuel/100))*O2_price</f>
        <v>0</v>
      </c>
      <c r="E12" s="10" t="s">
        <v>859</v>
      </c>
      <c r="F12" s="87"/>
      <c r="G12" s="88"/>
      <c r="H12" s="304" t="s">
        <v>932</v>
      </c>
      <c r="I12" s="1185">
        <v>9</v>
      </c>
      <c r="J12" s="1232" t="s">
        <v>21</v>
      </c>
      <c r="K12" s="229">
        <f>0.05*'1.Batch_Preparation'!F6</f>
        <v>14</v>
      </c>
      <c r="L12" s="1220" t="s">
        <v>939</v>
      </c>
    </row>
    <row r="13" spans="2:16" x14ac:dyDescent="0.25">
      <c r="B13" s="13"/>
      <c r="C13" s="10" t="s">
        <v>867</v>
      </c>
      <c r="D13" s="10">
        <v>35</v>
      </c>
      <c r="E13" s="18" t="s">
        <v>37</v>
      </c>
      <c r="F13" s="87"/>
      <c r="H13" s="304" t="s">
        <v>933</v>
      </c>
      <c r="I13" s="1185">
        <v>9</v>
      </c>
      <c r="J13" s="1232">
        <v>15</v>
      </c>
      <c r="K13" s="229">
        <v>1.2</v>
      </c>
      <c r="L13" s="1219" t="s">
        <v>940</v>
      </c>
      <c r="O13">
        <v>1</v>
      </c>
    </row>
    <row r="14" spans="2:16" x14ac:dyDescent="0.25">
      <c r="B14" s="13"/>
      <c r="C14" s="10"/>
      <c r="D14" s="10"/>
      <c r="E14" s="10"/>
      <c r="F14" s="1197"/>
      <c r="H14" s="304" t="s">
        <v>1034</v>
      </c>
      <c r="I14" s="53">
        <v>9</v>
      </c>
      <c r="J14" s="53">
        <v>10</v>
      </c>
      <c r="K14" s="229">
        <f>8*0.05</f>
        <v>0.4</v>
      </c>
      <c r="L14" s="1220" t="s">
        <v>950</v>
      </c>
      <c r="O14">
        <v>9</v>
      </c>
    </row>
    <row r="15" spans="2:16" x14ac:dyDescent="0.25">
      <c r="B15" s="13"/>
      <c r="C15" s="56" t="s">
        <v>1117</v>
      </c>
      <c r="D15" s="1094">
        <f>SUM(D7:D12)*(1+D13/100)*Pack_to_melt/100</f>
        <v>277.81807021802263</v>
      </c>
      <c r="E15" s="60" t="s">
        <v>860</v>
      </c>
      <c r="F15" s="1197"/>
      <c r="H15" s="304" t="s">
        <v>925</v>
      </c>
      <c r="I15" s="1185">
        <v>9</v>
      </c>
      <c r="J15" s="1185">
        <v>20</v>
      </c>
      <c r="K15" s="229">
        <v>2</v>
      </c>
      <c r="L15" s="1219" t="s">
        <v>941</v>
      </c>
      <c r="O15">
        <v>5</v>
      </c>
    </row>
    <row r="16" spans="2:16" x14ac:dyDescent="0.25">
      <c r="B16" s="13"/>
      <c r="C16" s="10"/>
      <c r="D16" s="61">
        <f>D15/1000</f>
        <v>0.27781807021802263</v>
      </c>
      <c r="E16" s="18" t="s">
        <v>861</v>
      </c>
      <c r="F16" s="87"/>
      <c r="H16" s="304" t="s">
        <v>934</v>
      </c>
      <c r="I16" s="53">
        <v>7</v>
      </c>
      <c r="J16" s="1185">
        <v>12</v>
      </c>
      <c r="K16" s="229">
        <v>4.2</v>
      </c>
      <c r="L16" s="1220" t="s">
        <v>942</v>
      </c>
      <c r="O16">
        <v>4</v>
      </c>
    </row>
    <row r="17" spans="2:27" x14ac:dyDescent="0.25">
      <c r="B17" s="13"/>
      <c r="C17" s="10"/>
      <c r="D17" s="10"/>
      <c r="E17" s="10"/>
      <c r="F17" s="87"/>
      <c r="H17" s="304" t="s">
        <v>936</v>
      </c>
      <c r="I17" s="1185">
        <v>9</v>
      </c>
      <c r="J17" s="1185" t="s">
        <v>21</v>
      </c>
      <c r="K17" s="229">
        <v>1.66</v>
      </c>
      <c r="L17" s="1219" t="s">
        <v>935</v>
      </c>
      <c r="O17">
        <v>2</v>
      </c>
      <c r="P17" s="18"/>
    </row>
    <row r="18" spans="2:27" x14ac:dyDescent="0.25">
      <c r="B18" s="13"/>
      <c r="C18" s="56" t="s">
        <v>999</v>
      </c>
      <c r="D18" s="1377">
        <f>D16*'1.Batch_Preparation'!F20</f>
        <v>5.4174523692514416E-2</v>
      </c>
      <c r="E18" s="158" t="s">
        <v>1017</v>
      </c>
      <c r="F18" s="87"/>
      <c r="H18" s="304" t="s">
        <v>1035</v>
      </c>
      <c r="I18" s="53">
        <v>6</v>
      </c>
      <c r="J18" s="1185" t="s">
        <v>21</v>
      </c>
      <c r="K18" s="229">
        <f>0.4*'1.Batch_Preparation'!F9</f>
        <v>32</v>
      </c>
      <c r="L18" s="1219" t="s">
        <v>930</v>
      </c>
      <c r="O18">
        <v>7</v>
      </c>
      <c r="P18" s="17">
        <v>12</v>
      </c>
    </row>
    <row r="19" spans="2:27" ht="15.75" thickBot="1" x14ac:dyDescent="0.3">
      <c r="B19" s="1199"/>
      <c r="C19" s="85"/>
      <c r="D19" s="85"/>
      <c r="E19" s="85"/>
      <c r="F19" s="54"/>
      <c r="H19" s="239"/>
      <c r="I19" s="1194"/>
      <c r="J19" s="1194"/>
      <c r="K19" s="1194"/>
      <c r="L19" s="1198"/>
      <c r="O19">
        <v>0</v>
      </c>
      <c r="P19" s="1375">
        <v>5</v>
      </c>
    </row>
    <row r="20" spans="2:27" x14ac:dyDescent="0.25">
      <c r="C20" s="96"/>
      <c r="D20" s="10"/>
      <c r="E20" s="10"/>
      <c r="O20">
        <v>6</v>
      </c>
      <c r="P20" s="1375">
        <v>1</v>
      </c>
    </row>
    <row r="21" spans="2:27" ht="15.75" thickBot="1" x14ac:dyDescent="0.3">
      <c r="B21" s="10"/>
      <c r="C21" s="10"/>
      <c r="D21" s="10"/>
      <c r="E21" s="10"/>
      <c r="I21" s="18"/>
      <c r="J21" s="10"/>
      <c r="K21" s="17"/>
      <c r="L21" s="10"/>
      <c r="M21" s="10"/>
    </row>
    <row r="22" spans="2:27" x14ac:dyDescent="0.25">
      <c r="B22" s="1381" t="s">
        <v>1022</v>
      </c>
      <c r="C22" s="1382"/>
      <c r="D22" s="1382"/>
      <c r="E22" s="1382"/>
      <c r="F22" s="1383"/>
      <c r="H22" s="46"/>
      <c r="I22" s="1288"/>
      <c r="J22" s="10"/>
      <c r="K22" s="11"/>
      <c r="L22" s="10"/>
      <c r="M22" s="10"/>
    </row>
    <row r="23" spans="2:27" x14ac:dyDescent="0.25">
      <c r="B23" s="1368"/>
      <c r="C23" s="17" t="s">
        <v>1101</v>
      </c>
      <c r="D23" s="1271">
        <v>54174523.69251442</v>
      </c>
      <c r="E23" s="10" t="s">
        <v>89</v>
      </c>
      <c r="F23" s="1369"/>
      <c r="H23" s="1271"/>
      <c r="I23" s="1288"/>
      <c r="J23" s="10"/>
      <c r="K23" s="11"/>
      <c r="L23" s="10"/>
      <c r="M23" s="10"/>
    </row>
    <row r="24" spans="2:27" x14ac:dyDescent="0.25">
      <c r="B24" s="13"/>
      <c r="C24" s="17" t="s">
        <v>919</v>
      </c>
      <c r="D24" s="1187">
        <f>D18*1000000000</f>
        <v>54174523.69251442</v>
      </c>
      <c r="E24" s="10" t="s">
        <v>89</v>
      </c>
      <c r="F24" s="87"/>
      <c r="G24" s="1271"/>
      <c r="H24" s="46"/>
      <c r="I24" s="1188"/>
      <c r="J24" s="1273"/>
      <c r="K24" s="11"/>
      <c r="L24" s="10"/>
      <c r="M24" s="10"/>
    </row>
    <row r="25" spans="2:27" x14ac:dyDescent="0.25">
      <c r="B25" s="13"/>
      <c r="C25" s="17" t="s">
        <v>1027</v>
      </c>
      <c r="D25" s="1273">
        <f>(D13/100)*D24</f>
        <v>18961083.292380046</v>
      </c>
      <c r="E25" s="10" t="s">
        <v>89</v>
      </c>
      <c r="F25" s="87"/>
      <c r="I25" s="1232"/>
      <c r="J25" s="10"/>
      <c r="K25" s="1232"/>
      <c r="L25" s="1232"/>
      <c r="M25" s="37"/>
      <c r="Q25" s="18"/>
      <c r="R25" s="18"/>
      <c r="S25" s="18"/>
      <c r="T25" s="18"/>
      <c r="U25" s="18"/>
      <c r="V25" s="18"/>
      <c r="W25" s="18"/>
      <c r="X25" s="18"/>
      <c r="Y25" s="18"/>
      <c r="Z25" s="18"/>
      <c r="AA25" s="18"/>
    </row>
    <row r="26" spans="2:27" x14ac:dyDescent="0.25">
      <c r="B26" s="13"/>
      <c r="C26" s="17" t="s">
        <v>920</v>
      </c>
      <c r="D26" s="1188">
        <f>0.4*D24</f>
        <v>21669809.477005769</v>
      </c>
      <c r="E26" s="10" t="s">
        <v>89</v>
      </c>
      <c r="F26" s="401"/>
      <c r="I26" s="1182"/>
      <c r="J26" s="10"/>
      <c r="K26" s="1182"/>
      <c r="L26" s="1182"/>
      <c r="Q26" s="18"/>
      <c r="R26" s="53"/>
      <c r="S26" s="53"/>
      <c r="T26" s="89"/>
      <c r="U26" s="18"/>
      <c r="V26" s="18"/>
      <c r="W26" s="18"/>
      <c r="X26" s="18"/>
      <c r="Y26" s="18"/>
      <c r="Z26" s="18"/>
      <c r="AA26" s="18"/>
    </row>
    <row r="27" spans="2:27" x14ac:dyDescent="0.25">
      <c r="B27" s="13"/>
      <c r="C27" s="133" t="s">
        <v>921</v>
      </c>
      <c r="D27" s="1279">
        <f>D24-D25- D26</f>
        <v>13543630.923128601</v>
      </c>
      <c r="E27" s="56" t="s">
        <v>89</v>
      </c>
      <c r="F27" s="87"/>
      <c r="H27" s="46" t="s">
        <v>1118</v>
      </c>
      <c r="Q27" s="18"/>
      <c r="R27" s="53"/>
      <c r="S27" s="53"/>
      <c r="T27" s="1288"/>
      <c r="U27" s="18"/>
      <c r="V27" s="18"/>
      <c r="W27" s="18"/>
      <c r="X27" s="18"/>
      <c r="Y27" s="18"/>
      <c r="Z27" s="18"/>
      <c r="AA27" s="18"/>
    </row>
    <row r="28" spans="2:27" x14ac:dyDescent="0.25">
      <c r="B28" s="13"/>
      <c r="C28" s="10"/>
      <c r="D28" s="10"/>
      <c r="E28" s="10"/>
      <c r="F28" s="87"/>
      <c r="H28" s="46"/>
      <c r="Q28" s="18"/>
      <c r="R28" s="18"/>
      <c r="S28" s="53"/>
      <c r="T28" s="1288"/>
      <c r="U28" s="18"/>
      <c r="V28" s="18"/>
      <c r="W28" s="197"/>
      <c r="X28" s="18"/>
      <c r="Y28" s="18"/>
      <c r="Z28" s="18"/>
      <c r="AA28" s="18"/>
    </row>
    <row r="29" spans="2:27" x14ac:dyDescent="0.25">
      <c r="B29" s="13"/>
      <c r="C29" s="11" t="s">
        <v>893</v>
      </c>
      <c r="D29" s="1195">
        <f>Technology</f>
        <v>0</v>
      </c>
      <c r="E29" s="18"/>
      <c r="F29" s="87"/>
      <c r="H29" s="46" t="s">
        <v>1084</v>
      </c>
      <c r="P29" s="1188"/>
      <c r="Q29" s="18"/>
      <c r="R29" s="18"/>
      <c r="S29" s="53"/>
      <c r="T29" s="1288"/>
      <c r="U29" s="18"/>
      <c r="V29" s="18"/>
      <c r="W29" s="18"/>
      <c r="X29" s="18"/>
      <c r="Y29" s="18"/>
      <c r="Z29" s="18"/>
      <c r="AA29" s="18"/>
    </row>
    <row r="30" spans="2:27" x14ac:dyDescent="0.25">
      <c r="B30" s="13"/>
      <c r="C30" s="62" t="s">
        <v>1100</v>
      </c>
      <c r="D30" s="1366">
        <f>D23-D24</f>
        <v>0</v>
      </c>
      <c r="E30" s="56" t="s">
        <v>89</v>
      </c>
      <c r="F30" s="87"/>
      <c r="P30" s="1188"/>
      <c r="Q30" s="18"/>
      <c r="R30" s="18"/>
      <c r="S30" s="53"/>
      <c r="T30" s="1288"/>
      <c r="U30" s="18"/>
      <c r="V30" s="18"/>
      <c r="W30" s="18"/>
      <c r="X30" s="18"/>
      <c r="Y30" s="18"/>
      <c r="Z30" s="18"/>
      <c r="AA30" s="18"/>
    </row>
    <row r="31" spans="2:27" x14ac:dyDescent="0.25">
      <c r="B31" s="13"/>
      <c r="C31" s="10"/>
      <c r="D31" s="10"/>
      <c r="F31" s="87"/>
      <c r="H31" s="25" t="s">
        <v>1036</v>
      </c>
      <c r="P31" s="1188"/>
      <c r="Q31" s="18"/>
      <c r="R31" s="18"/>
      <c r="S31" s="53"/>
      <c r="T31" s="1288"/>
      <c r="U31" s="18"/>
      <c r="V31" s="18"/>
      <c r="W31" s="18"/>
      <c r="X31" s="18"/>
      <c r="Y31" s="18"/>
      <c r="Z31" s="18"/>
      <c r="AA31" s="18"/>
    </row>
    <row r="32" spans="2:27" x14ac:dyDescent="0.25">
      <c r="B32" s="13"/>
      <c r="C32" s="17" t="s">
        <v>1020</v>
      </c>
      <c r="D32" s="1193">
        <f>IF(Technology = 0, (K8+K9 + IF(O2_substitute&gt;0, K11*(O2_substitute/10), 0))*1000000, IF(Technology = 1, (K8+K9+K15+IF(O2_substitute&gt;0, K11*(O2_substitute/10), 0))*1000000, IF(Technology = 2, (K13+K14)*1000000, IF(Technology = 3, (K13+K14+K15)*1000000, IF(Technology = 4, (K13+K14+K17)*1000000, IF(Technology = 5, (K13+K14+K15+K17)*1000000, IF(Technology = 6, K16*1000000, IF(Technology = 7, (K16+K15)*1000000, IF(Technology = 8, (K16+K17)*1000000, IF(Technology = 9, K10*1000000))))))))))</f>
        <v>4500000</v>
      </c>
      <c r="E32" s="18" t="s">
        <v>923</v>
      </c>
      <c r="F32" s="87"/>
      <c r="H32" s="1371" t="s">
        <v>1037</v>
      </c>
      <c r="P32" s="1188"/>
      <c r="Q32" s="18"/>
      <c r="R32" s="18"/>
      <c r="S32" s="53"/>
      <c r="T32" s="1288"/>
      <c r="U32" s="18"/>
      <c r="V32" s="18"/>
      <c r="W32" s="18"/>
      <c r="X32" s="18"/>
      <c r="Y32" s="18"/>
      <c r="Z32" s="18"/>
      <c r="AA32" s="18"/>
    </row>
    <row r="33" spans="2:27" x14ac:dyDescent="0.25">
      <c r="B33" s="13"/>
      <c r="C33" s="17" t="s">
        <v>1018</v>
      </c>
      <c r="D33" s="1196">
        <f>0.3*D32+0.35*D32+0.4*D32+0.03*D32+ 0.1*D32 + D32 +0.15*D32 + 0.4*D32</f>
        <v>12285000</v>
      </c>
      <c r="E33" s="18" t="s">
        <v>923</v>
      </c>
      <c r="F33" s="87"/>
      <c r="H33" s="25" t="s">
        <v>1102</v>
      </c>
      <c r="P33" s="18"/>
      <c r="Q33" s="35"/>
      <c r="R33" s="18"/>
      <c r="S33" s="18"/>
      <c r="T33" s="1288"/>
      <c r="U33" s="18"/>
      <c r="V33" s="18"/>
      <c r="W33" s="18"/>
      <c r="X33" s="18"/>
      <c r="Y33" s="18"/>
      <c r="Z33" s="18"/>
      <c r="AA33" s="18"/>
    </row>
    <row r="34" spans="2:27" x14ac:dyDescent="0.25">
      <c r="B34" s="13"/>
      <c r="C34" s="17" t="s">
        <v>1019</v>
      </c>
      <c r="D34" s="1196">
        <f>D33*0.25 + D33*0.35 + D33*0.05</f>
        <v>7985250</v>
      </c>
      <c r="E34" s="18" t="s">
        <v>923</v>
      </c>
      <c r="F34" s="87"/>
      <c r="H34" s="28" t="s">
        <v>1103</v>
      </c>
      <c r="P34" s="1188"/>
      <c r="Q34" s="18"/>
      <c r="R34" s="18"/>
      <c r="S34" s="18"/>
      <c r="T34" s="1288"/>
      <c r="U34" s="18"/>
      <c r="V34" s="18"/>
      <c r="W34" s="18"/>
      <c r="X34" s="18"/>
      <c r="Y34" s="18"/>
      <c r="Z34" s="18"/>
      <c r="AA34" s="18"/>
    </row>
    <row r="35" spans="2:27" x14ac:dyDescent="0.25">
      <c r="B35" s="13"/>
      <c r="C35" s="73" t="s">
        <v>1021</v>
      </c>
      <c r="D35" s="1196">
        <f>SUM(D33:D34) *(1+ 0.05 +0.1)</f>
        <v>23310787.500000004</v>
      </c>
      <c r="E35" s="18" t="s">
        <v>923</v>
      </c>
      <c r="F35" s="87"/>
      <c r="H35" s="28" t="s">
        <v>1104</v>
      </c>
      <c r="P35" s="1188"/>
      <c r="Q35" s="18"/>
      <c r="R35" s="18"/>
      <c r="S35" s="18"/>
      <c r="T35" s="1288"/>
      <c r="U35" s="18"/>
      <c r="V35" s="18"/>
      <c r="W35" s="18"/>
      <c r="X35" s="18"/>
      <c r="Y35" s="18"/>
      <c r="Z35" s="18"/>
      <c r="AA35" s="18"/>
    </row>
    <row r="36" spans="2:27" x14ac:dyDescent="0.25">
      <c r="B36" s="13"/>
      <c r="C36" s="17" t="s">
        <v>924</v>
      </c>
      <c r="D36" s="1376">
        <f>(7.5/100)*D35</f>
        <v>1748309.0625000002</v>
      </c>
      <c r="E36" s="18" t="s">
        <v>923</v>
      </c>
      <c r="F36" s="87"/>
      <c r="H36" s="28" t="s">
        <v>1105</v>
      </c>
      <c r="P36" s="1188"/>
      <c r="Q36" s="18"/>
      <c r="R36" s="18"/>
      <c r="S36" s="18"/>
      <c r="T36" s="1288"/>
      <c r="U36" s="18"/>
      <c r="V36" s="18"/>
      <c r="W36" s="35"/>
      <c r="X36" s="18"/>
      <c r="Y36" s="18"/>
      <c r="Z36" s="1364"/>
      <c r="AA36" s="18"/>
    </row>
    <row r="37" spans="2:27" x14ac:dyDescent="0.25">
      <c r="B37" s="13"/>
      <c r="C37" s="133" t="s">
        <v>1026</v>
      </c>
      <c r="D37" s="1189">
        <f>D35+D36</f>
        <v>25059096.562500004</v>
      </c>
      <c r="E37" s="1190" t="s">
        <v>923</v>
      </c>
      <c r="F37" s="87"/>
      <c r="G37" s="46"/>
      <c r="H37" s="25" t="s">
        <v>1106</v>
      </c>
      <c r="P37" s="1188"/>
      <c r="Q37" s="18"/>
      <c r="R37" s="18"/>
      <c r="S37" s="18"/>
      <c r="T37" s="1288"/>
      <c r="U37" s="18"/>
      <c r="V37" s="18"/>
      <c r="W37" s="18"/>
      <c r="X37" s="18"/>
      <c r="Y37" s="18"/>
      <c r="Z37" s="18"/>
      <c r="AA37" s="18"/>
    </row>
    <row r="38" spans="2:27" x14ac:dyDescent="0.25">
      <c r="B38" s="13"/>
      <c r="C38" s="10"/>
      <c r="D38" s="10"/>
      <c r="E38" s="10"/>
      <c r="F38" s="87"/>
      <c r="G38" s="19"/>
      <c r="H38" s="28" t="s">
        <v>1107</v>
      </c>
      <c r="P38" s="1188"/>
      <c r="Q38" s="18"/>
      <c r="R38" s="18"/>
      <c r="S38" s="18"/>
      <c r="T38" s="1288"/>
      <c r="U38" s="18"/>
      <c r="V38" s="18"/>
      <c r="W38" s="18"/>
      <c r="X38" s="18"/>
      <c r="Y38" s="18"/>
      <c r="Z38" s="18"/>
      <c r="AA38" s="18"/>
    </row>
    <row r="39" spans="2:27" x14ac:dyDescent="0.25">
      <c r="B39" s="13"/>
      <c r="C39" s="73" t="s">
        <v>1116</v>
      </c>
      <c r="D39" s="1287">
        <f>D37/D27</f>
        <v>1.8502495161549566</v>
      </c>
      <c r="E39" s="10" t="s">
        <v>974</v>
      </c>
      <c r="F39" s="87"/>
      <c r="H39" s="28" t="s">
        <v>1108</v>
      </c>
    </row>
    <row r="40" spans="2:27" x14ac:dyDescent="0.25">
      <c r="B40" s="13"/>
      <c r="C40" s="73" t="s">
        <v>922</v>
      </c>
      <c r="D40" s="1367">
        <f>D30*100/D37</f>
        <v>0</v>
      </c>
      <c r="E40" s="10" t="s">
        <v>37</v>
      </c>
      <c r="F40" s="87"/>
      <c r="H40" s="25" t="s">
        <v>1109</v>
      </c>
      <c r="Q40" s="10"/>
      <c r="R40" s="10"/>
      <c r="S40" s="10"/>
      <c r="T40" s="1289"/>
      <c r="U40" s="10"/>
    </row>
    <row r="41" spans="2:27" ht="15.75" thickBot="1" x14ac:dyDescent="0.3">
      <c r="B41" s="510"/>
      <c r="C41" s="433"/>
      <c r="D41" s="433"/>
      <c r="E41" s="85"/>
      <c r="F41" s="54"/>
    </row>
    <row r="43" spans="2:27" x14ac:dyDescent="0.25">
      <c r="H43" s="573" t="s">
        <v>989</v>
      </c>
      <c r="I43" s="19" t="s">
        <v>988</v>
      </c>
    </row>
    <row r="44" spans="2:27" x14ac:dyDescent="0.25">
      <c r="B44" s="46"/>
      <c r="C44" s="1347"/>
      <c r="D44" s="1347"/>
      <c r="E44" s="46"/>
      <c r="F44" s="46"/>
      <c r="H44" s="573" t="s">
        <v>983</v>
      </c>
      <c r="I44" s="19" t="s">
        <v>982</v>
      </c>
      <c r="J44" s="8"/>
    </row>
    <row r="45" spans="2:27" x14ac:dyDescent="0.25">
      <c r="B45" s="46"/>
      <c r="C45" s="46"/>
      <c r="D45" s="46"/>
      <c r="E45" s="46"/>
      <c r="F45" s="46"/>
      <c r="H45" s="573" t="s">
        <v>985</v>
      </c>
      <c r="I45" s="19" t="s">
        <v>986</v>
      </c>
      <c r="J45" s="8"/>
    </row>
    <row r="46" spans="2:27" x14ac:dyDescent="0.25">
      <c r="B46" s="46"/>
      <c r="C46" s="46"/>
      <c r="D46" s="46"/>
      <c r="E46" s="46"/>
      <c r="F46" s="46"/>
    </row>
    <row r="47" spans="2:27" x14ac:dyDescent="0.25">
      <c r="B47" s="46"/>
      <c r="C47" s="46"/>
      <c r="D47" s="46"/>
      <c r="E47" s="46"/>
      <c r="F47" s="46"/>
    </row>
    <row r="48" spans="2:27" x14ac:dyDescent="0.25">
      <c r="B48" s="1348"/>
      <c r="C48" s="46"/>
      <c r="D48" s="1349"/>
      <c r="E48" s="46"/>
      <c r="F48" s="46"/>
    </row>
    <row r="49" spans="2:16" x14ac:dyDescent="0.25">
      <c r="B49" s="1350"/>
      <c r="C49" s="46"/>
      <c r="D49" s="46"/>
      <c r="E49" s="46"/>
    </row>
    <row r="50" spans="2:16" x14ac:dyDescent="0.25">
      <c r="B50" s="1350"/>
      <c r="C50" s="46"/>
      <c r="D50" s="46"/>
      <c r="E50" s="46"/>
    </row>
    <row r="53" spans="2:16" ht="18.75" x14ac:dyDescent="0.3">
      <c r="B53" s="1384" t="s">
        <v>360</v>
      </c>
      <c r="C53" s="1384"/>
      <c r="D53" s="1384"/>
      <c r="E53" s="1384"/>
      <c r="F53" s="1384"/>
      <c r="G53" s="1384"/>
      <c r="H53" s="1384"/>
      <c r="I53" s="1384"/>
      <c r="J53" s="1384"/>
      <c r="K53" s="1384"/>
      <c r="L53" s="1384"/>
      <c r="M53" s="1384"/>
      <c r="N53" s="1384"/>
      <c r="O53" s="1285"/>
      <c r="P53" s="1285"/>
    </row>
    <row r="55" spans="2:16" x14ac:dyDescent="0.25">
      <c r="B55" s="1280" t="s">
        <v>1028</v>
      </c>
      <c r="E55" s="19" t="s">
        <v>1030</v>
      </c>
      <c r="F55" s="19" t="s">
        <v>1031</v>
      </c>
      <c r="G55" s="1278" t="s">
        <v>1029</v>
      </c>
    </row>
    <row r="94" spans="2:10" x14ac:dyDescent="0.25">
      <c r="J94" s="19"/>
    </row>
    <row r="96" spans="2:10" x14ac:dyDescent="0.25">
      <c r="B96" s="91" t="s">
        <v>995</v>
      </c>
    </row>
    <row r="97" spans="2:11" ht="15.75" thickBot="1" x14ac:dyDescent="0.3"/>
    <row r="98" spans="2:11" x14ac:dyDescent="0.25">
      <c r="B98" s="1281" t="s">
        <v>996</v>
      </c>
      <c r="C98" s="1282"/>
      <c r="D98" s="1282"/>
      <c r="E98" s="1283" t="s">
        <v>997</v>
      </c>
      <c r="F98" s="1283"/>
      <c r="G98" s="1284"/>
    </row>
    <row r="99" spans="2:11" x14ac:dyDescent="0.25">
      <c r="B99" s="1267">
        <f>Global!I24</f>
        <v>4.3864162126218957</v>
      </c>
      <c r="C99" s="32" t="s">
        <v>994</v>
      </c>
      <c r="D99" s="41"/>
      <c r="E99" s="1266">
        <f>Global!I25</f>
        <v>0.38142749674972981</v>
      </c>
      <c r="F99" s="32" t="s">
        <v>994</v>
      </c>
      <c r="G99" s="41"/>
    </row>
    <row r="100" spans="2:11" x14ac:dyDescent="0.25">
      <c r="B100" s="1268">
        <f>Global!I24*(Pack_to_melt/100)</f>
        <v>3.9477745913597064</v>
      </c>
      <c r="C100" s="10" t="s">
        <v>993</v>
      </c>
      <c r="D100" s="40"/>
      <c r="E100" s="163">
        <f>E99*(Pack_to_melt/100)</f>
        <v>0.34328474707475681</v>
      </c>
      <c r="F100" s="10" t="s">
        <v>993</v>
      </c>
      <c r="G100" s="40"/>
    </row>
    <row r="101" spans="2:11" x14ac:dyDescent="0.25">
      <c r="B101" s="1268">
        <f>B100/3.6</f>
        <v>1.0966040531554739</v>
      </c>
      <c r="C101" s="10" t="s">
        <v>842</v>
      </c>
      <c r="D101" s="40"/>
      <c r="E101" s="163">
        <f>E100/3.6</f>
        <v>9.5356874187432439E-2</v>
      </c>
      <c r="F101" s="10" t="s">
        <v>842</v>
      </c>
      <c r="G101" s="40"/>
    </row>
    <row r="102" spans="2:11" x14ac:dyDescent="0.25">
      <c r="B102" s="1268">
        <f>B101*1000</f>
        <v>1096.604053155474</v>
      </c>
      <c r="C102" s="10" t="s">
        <v>992</v>
      </c>
      <c r="D102" s="40"/>
      <c r="E102" s="163">
        <f>E101*1000</f>
        <v>95.356874187432439</v>
      </c>
      <c r="F102" s="10" t="s">
        <v>992</v>
      </c>
      <c r="G102" s="40"/>
    </row>
    <row r="103" spans="2:11" x14ac:dyDescent="0.25">
      <c r="B103" s="1268">
        <f>B102*'1.Batch_Preparation'!F55/'1.Batch_Preparation'!F49</f>
        <v>1247.163617790475</v>
      </c>
      <c r="C103" s="10" t="s">
        <v>991</v>
      </c>
      <c r="D103" s="40"/>
      <c r="E103" s="163">
        <f>E102*'1.Batch_Preparation'!G55/'1.Batch_Preparation'!G49</f>
        <v>242.78754138815816</v>
      </c>
      <c r="F103" s="10" t="s">
        <v>991</v>
      </c>
      <c r="G103" s="40"/>
    </row>
    <row r="104" spans="2:11" ht="15.75" thickBot="1" x14ac:dyDescent="0.3">
      <c r="B104" s="1276">
        <f>B103*NG_price</f>
        <v>47.392217476038049</v>
      </c>
      <c r="C104" s="1269" t="s">
        <v>859</v>
      </c>
      <c r="D104" s="1270"/>
      <c r="E104" s="1277">
        <f>E103*Electricity_price</f>
        <v>19.253052032080941</v>
      </c>
      <c r="F104" s="1269" t="s">
        <v>859</v>
      </c>
      <c r="G104" s="1270"/>
    </row>
    <row r="107" spans="2:11" x14ac:dyDescent="0.25">
      <c r="B107" s="6">
        <f>1</f>
        <v>1</v>
      </c>
      <c r="C107" s="6" t="s">
        <v>1010</v>
      </c>
      <c r="E107" s="25">
        <v>1</v>
      </c>
      <c r="F107" s="37" t="s">
        <v>843</v>
      </c>
      <c r="J107" s="10"/>
    </row>
    <row r="108" spans="2:11" x14ac:dyDescent="0.25">
      <c r="B108">
        <f>Pack_to_melt</f>
        <v>90</v>
      </c>
      <c r="C108" t="s">
        <v>37</v>
      </c>
      <c r="E108" s="1272">
        <f>E107*B107/B109</f>
        <v>1.1111111111111112</v>
      </c>
      <c r="F108" s="10" t="s">
        <v>1013</v>
      </c>
    </row>
    <row r="109" spans="2:11" x14ac:dyDescent="0.25">
      <c r="B109">
        <f>B107*B108/100</f>
        <v>0.9</v>
      </c>
      <c r="C109" t="s">
        <v>1009</v>
      </c>
      <c r="E109" s="1272">
        <f>E107*B107*1000/B111</f>
        <v>5.6980056980056979</v>
      </c>
      <c r="F109" s="18" t="s">
        <v>1014</v>
      </c>
      <c r="J109" s="11"/>
    </row>
    <row r="110" spans="2:11" x14ac:dyDescent="0.25">
      <c r="B110">
        <f>B109*1000</f>
        <v>900</v>
      </c>
      <c r="C110" t="s">
        <v>1011</v>
      </c>
      <c r="E110" s="1272"/>
      <c r="J110" s="1275"/>
      <c r="K110" s="6"/>
    </row>
    <row r="111" spans="2:11" x14ac:dyDescent="0.25">
      <c r="B111">
        <f>B110*'1.Batch_Preparation'!F20</f>
        <v>175.5</v>
      </c>
      <c r="C111" t="s">
        <v>1012</v>
      </c>
      <c r="F111" s="18"/>
    </row>
    <row r="113" spans="2:4" x14ac:dyDescent="0.25">
      <c r="B113" s="1274">
        <v>1000000000</v>
      </c>
      <c r="C113" s="6" t="s">
        <v>1024</v>
      </c>
    </row>
    <row r="114" spans="2:4" x14ac:dyDescent="0.25">
      <c r="C114" s="267">
        <f>B113*'1.Batch_Preparation'!F20</f>
        <v>195000000</v>
      </c>
      <c r="D114" t="s">
        <v>1023</v>
      </c>
    </row>
    <row r="115" spans="2:4" x14ac:dyDescent="0.25">
      <c r="C115" s="267">
        <f>C114/1000</f>
        <v>195000</v>
      </c>
      <c r="D115" t="s">
        <v>1025</v>
      </c>
    </row>
    <row r="116" spans="2:4" x14ac:dyDescent="0.25">
      <c r="C116" s="267">
        <f>C115/365</f>
        <v>534.2465753424658</v>
      </c>
      <c r="D116" t="s">
        <v>1015</v>
      </c>
    </row>
    <row r="117" spans="2:4" x14ac:dyDescent="0.25">
      <c r="C117" s="267">
        <f>C116/0.9</f>
        <v>593.60730593607309</v>
      </c>
      <c r="D117" t="s">
        <v>1016</v>
      </c>
    </row>
  </sheetData>
  <mergeCells count="4">
    <mergeCell ref="B5:F5"/>
    <mergeCell ref="H5:L5"/>
    <mergeCell ref="B22:F22"/>
    <mergeCell ref="B53:N53"/>
  </mergeCells>
  <hyperlinks>
    <hyperlink ref="I44" r:id="rId1"/>
    <hyperlink ref="I45" r:id="rId2"/>
    <hyperlink ref="I43" r:id="rId3"/>
    <hyperlink ref="G55" r:id="rId4" display="Source:"/>
    <hyperlink ref="E55" r:id="rId5" display="Source (left)"/>
    <hyperlink ref="F55" r:id="rId6" display="Source (right)"/>
  </hyperlinks>
  <pageMargins left="0.7" right="0.7" top="0.75" bottom="0.75" header="0.3" footer="0.3"/>
  <pageSetup orientation="portrait" r:id="rId7"/>
  <drawing r:id="rId8"/>
  <legacy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AD290"/>
  <sheetViews>
    <sheetView showGridLines="0" zoomScale="80" zoomScaleNormal="80" workbookViewId="0">
      <selection activeCell="E164" sqref="E164"/>
    </sheetView>
  </sheetViews>
  <sheetFormatPr defaultColWidth="9.140625" defaultRowHeight="12.75" x14ac:dyDescent="0.2"/>
  <cols>
    <col min="1" max="1" width="9.140625" style="419"/>
    <col min="2" max="2" width="18.85546875" style="419" customWidth="1"/>
    <col min="3" max="3" width="19.5703125" style="419" customWidth="1"/>
    <col min="4" max="4" width="18.7109375" style="419" customWidth="1"/>
    <col min="5" max="5" width="19.42578125" style="419" customWidth="1"/>
    <col min="6" max="6" width="18.85546875" style="419" customWidth="1"/>
    <col min="7" max="7" width="19.5703125" style="419" customWidth="1"/>
    <col min="8" max="8" width="19.140625" style="419" customWidth="1"/>
    <col min="9" max="9" width="19.42578125" style="419" customWidth="1"/>
    <col min="10" max="10" width="18.85546875" style="419" customWidth="1"/>
    <col min="11" max="11" width="19.5703125" style="419" customWidth="1"/>
    <col min="12" max="12" width="18.7109375" style="419" customWidth="1"/>
    <col min="13" max="13" width="19.42578125" style="419" customWidth="1"/>
    <col min="14" max="14" width="18.85546875" style="419" customWidth="1"/>
    <col min="15" max="15" width="18.5703125" style="419" customWidth="1"/>
    <col min="16" max="16" width="18.7109375" style="419" customWidth="1"/>
    <col min="17" max="17" width="20.28515625" style="419" customWidth="1"/>
    <col min="18" max="32" width="18.7109375" style="419" customWidth="1"/>
    <col min="33" max="16384" width="9.140625" style="419"/>
  </cols>
  <sheetData>
    <row r="2" spans="2:13" ht="18.75" x14ac:dyDescent="0.3">
      <c r="B2" s="963" t="s">
        <v>727</v>
      </c>
      <c r="C2" s="633"/>
      <c r="D2" s="633"/>
      <c r="E2" s="633"/>
      <c r="F2" s="633"/>
      <c r="G2" s="633"/>
    </row>
    <row r="4" spans="2:13" x14ac:dyDescent="0.2">
      <c r="B4" s="419" t="s">
        <v>672</v>
      </c>
    </row>
    <row r="5" spans="2:13" x14ac:dyDescent="0.2">
      <c r="B5" s="419" t="s">
        <v>828</v>
      </c>
    </row>
    <row r="6" spans="2:13" x14ac:dyDescent="0.2">
      <c r="B6" s="419" t="s">
        <v>597</v>
      </c>
    </row>
    <row r="7" spans="2:13" x14ac:dyDescent="0.2">
      <c r="B7" s="419" t="s">
        <v>970</v>
      </c>
      <c r="C7" s="634"/>
    </row>
    <row r="8" spans="2:13" x14ac:dyDescent="0.2">
      <c r="C8" s="634"/>
    </row>
    <row r="9" spans="2:13" x14ac:dyDescent="0.2">
      <c r="C9" s="634"/>
    </row>
    <row r="10" spans="2:13" ht="15" customHeight="1" x14ac:dyDescent="0.2">
      <c r="B10" s="637"/>
      <c r="F10" s="1008"/>
      <c r="M10" s="635"/>
    </row>
    <row r="11" spans="2:13" ht="21" x14ac:dyDescent="0.35">
      <c r="B11" s="1" t="s">
        <v>547</v>
      </c>
      <c r="M11" s="639"/>
    </row>
    <row r="12" spans="2:13" ht="13.5" thickBot="1" x14ac:dyDescent="0.25"/>
    <row r="13" spans="2:13" x14ac:dyDescent="0.2">
      <c r="B13" s="1385" t="s">
        <v>624</v>
      </c>
      <c r="C13" s="1386"/>
      <c r="D13" s="1387"/>
      <c r="E13" s="740"/>
    </row>
    <row r="14" spans="2:13" x14ac:dyDescent="0.2">
      <c r="B14" s="664" t="s">
        <v>403</v>
      </c>
      <c r="C14" s="758">
        <f>O2_substitution</f>
        <v>0</v>
      </c>
      <c r="D14" s="665" t="s">
        <v>37</v>
      </c>
      <c r="E14" s="740"/>
    </row>
    <row r="15" spans="2:13" x14ac:dyDescent="0.2">
      <c r="B15" s="1133" t="s">
        <v>478</v>
      </c>
      <c r="C15" s="1136">
        <f>100-Ratio_NG</f>
        <v>8</v>
      </c>
      <c r="D15" s="1134" t="s">
        <v>37</v>
      </c>
      <c r="E15" s="1103"/>
      <c r="L15" s="1132"/>
    </row>
    <row r="16" spans="2:13" s="650" customFormat="1" x14ac:dyDescent="0.2">
      <c r="B16" s="677" t="s">
        <v>898</v>
      </c>
      <c r="C16" s="774">
        <f>Heat_Balance!D19</f>
        <v>8.2807505573353861</v>
      </c>
      <c r="D16" s="665" t="s">
        <v>277</v>
      </c>
      <c r="E16" s="1104"/>
    </row>
    <row r="17" spans="2:13" x14ac:dyDescent="0.2">
      <c r="B17" s="1129" t="s">
        <v>899</v>
      </c>
      <c r="C17" s="1228">
        <f xml:space="preserve">  (  ( C18*Fuel!AJ120 + Fuel!AP120)*(C20-T.ambient)/1000  )*100 /(100-D1_Furnace!C15)</f>
        <v>8.2807505573353861</v>
      </c>
      <c r="D17" s="1131" t="s">
        <v>900</v>
      </c>
      <c r="E17" s="1212"/>
      <c r="L17" s="1128"/>
      <c r="M17" s="650"/>
    </row>
    <row r="18" spans="2:13" x14ac:dyDescent="0.2">
      <c r="B18" s="677" t="s">
        <v>634</v>
      </c>
      <c r="C18" s="763">
        <f>C16*(100-D1_Furnace!C15)/100</f>
        <v>7.6182905127485547</v>
      </c>
      <c r="D18" s="665" t="s">
        <v>277</v>
      </c>
      <c r="E18" s="1212"/>
      <c r="H18" s="676"/>
      <c r="M18" s="1135"/>
    </row>
    <row r="19" spans="2:13" x14ac:dyDescent="0.2">
      <c r="B19" s="1129" t="s">
        <v>634</v>
      </c>
      <c r="C19" s="1130">
        <f xml:space="preserve"> Fuel!K116*(Fuel!C142-T.ambient)/1000</f>
        <v>7.6182905127485565</v>
      </c>
      <c r="D19" s="1131" t="s">
        <v>900</v>
      </c>
      <c r="G19" s="676"/>
      <c r="H19" s="676"/>
    </row>
    <row r="20" spans="2:13" x14ac:dyDescent="0.2">
      <c r="B20" s="710" t="s">
        <v>419</v>
      </c>
      <c r="C20" s="772">
        <f>VLOOKUP(Fuel!AI96, Fuel!B218:C256, 2, TRUE)</f>
        <v>2064.0027446428007</v>
      </c>
      <c r="D20" s="665" t="s">
        <v>28</v>
      </c>
    </row>
    <row r="21" spans="2:13" x14ac:dyDescent="0.2">
      <c r="B21" s="710" t="s">
        <v>514</v>
      </c>
      <c r="C21" s="775">
        <f>(C20-Fuel!H142)/Fuel!H141</f>
        <v>68.829013078956976</v>
      </c>
      <c r="D21" s="665" t="s">
        <v>37</v>
      </c>
      <c r="I21" s="301"/>
    </row>
    <row r="22" spans="2:13" x14ac:dyDescent="0.2">
      <c r="B22" s="710" t="s">
        <v>335</v>
      </c>
      <c r="C22" s="774">
        <f>( (Fuel!$AO$117*(C20-T.ambient))/(((100-D1_Furnace!C15)/100)*1000))*C21/100</f>
        <v>5.6995588841441771</v>
      </c>
      <c r="D22" s="665" t="s">
        <v>277</v>
      </c>
      <c r="I22" s="301"/>
      <c r="M22" s="635"/>
    </row>
    <row r="23" spans="2:13" ht="15" customHeight="1" thickBot="1" x14ac:dyDescent="0.25">
      <c r="B23" s="710" t="s">
        <v>827</v>
      </c>
      <c r="C23" s="772">
        <f>IF(AirOxyFuel=0, C20*Fuel!G126, T.ambient + C22*1000/Fuel!AK116)</f>
        <v>1557.320170437551</v>
      </c>
      <c r="D23" s="665" t="s">
        <v>28</v>
      </c>
      <c r="K23" s="676"/>
      <c r="L23" s="676"/>
      <c r="M23" s="639"/>
    </row>
    <row r="24" spans="2:13" ht="15" customHeight="1" x14ac:dyDescent="0.2">
      <c r="B24" s="800" t="s">
        <v>635</v>
      </c>
      <c r="C24" s="1071">
        <f>C22*Heat_Balance!D30/100</f>
        <v>3.9896912189009242</v>
      </c>
      <c r="D24" s="657" t="s">
        <v>277</v>
      </c>
      <c r="F24" s="764" t="s">
        <v>368</v>
      </c>
      <c r="G24" s="1096">
        <f>Excess_Comb</f>
        <v>0</v>
      </c>
      <c r="H24" s="765" t="s">
        <v>37</v>
      </c>
    </row>
    <row r="25" spans="2:13" ht="15" customHeight="1" x14ac:dyDescent="0.2">
      <c r="B25" s="710" t="s">
        <v>631</v>
      </c>
      <c r="C25" s="772">
        <f>C24/(Fuel!AJ115/1000) + T.ambient</f>
        <v>1384.9626136077975</v>
      </c>
      <c r="D25" s="665" t="s">
        <v>28</v>
      </c>
      <c r="E25" s="1227"/>
      <c r="F25" s="768" t="s">
        <v>404</v>
      </c>
      <c r="G25" s="1043">
        <f>O2_enrichment</f>
        <v>0</v>
      </c>
      <c r="H25" s="665" t="s">
        <v>37</v>
      </c>
      <c r="K25" s="676"/>
      <c r="L25" s="676"/>
      <c r="M25" s="639"/>
    </row>
    <row r="26" spans="2:13" ht="15" customHeight="1" thickBot="1" x14ac:dyDescent="0.25">
      <c r="B26" s="710" t="s">
        <v>636</v>
      </c>
      <c r="C26" s="763">
        <f>IF(O2_substitute&lt;80, (D1_Furnace!C22-D1_Furnace!C24-Heat_Balance!D10*(D1_Furnace!C24+D1_Furnace!C68)/100)*Heat_Balance!C79/100, (Fuel!E141-(Fuel!E141*Heat_Balance!D30/100)-Heat_Balance!D10*((Fuel!E141*Heat_Balance!D30/100)+C68)/100)*Heat_Balance!C79/100)</f>
        <v>0.78102276765508305</v>
      </c>
      <c r="D26" s="649" t="s">
        <v>277</v>
      </c>
      <c r="E26" s="1227"/>
      <c r="F26" s="773" t="s">
        <v>403</v>
      </c>
      <c r="G26" s="1097">
        <f>O2_substitution</f>
        <v>0</v>
      </c>
      <c r="H26" s="744" t="s">
        <v>37</v>
      </c>
      <c r="K26" s="676"/>
      <c r="M26" s="639"/>
    </row>
    <row r="27" spans="2:13" ht="15" customHeight="1" thickBot="1" x14ac:dyDescent="0.25">
      <c r="B27" s="789" t="s">
        <v>632</v>
      </c>
      <c r="C27" s="790">
        <f>C26/(Fuel!S116/1000)+T.ambient</f>
        <v>260.98776638245215</v>
      </c>
      <c r="D27" s="744" t="s">
        <v>28</v>
      </c>
    </row>
    <row r="28" spans="2:13" s="639" customFormat="1" ht="13.5" thickBot="1" x14ac:dyDescent="0.25">
      <c r="M28" s="672"/>
    </row>
    <row r="29" spans="2:13" x14ac:dyDescent="0.2">
      <c r="B29" s="1395" t="s">
        <v>581</v>
      </c>
      <c r="C29" s="1396"/>
      <c r="D29" s="1397"/>
      <c r="F29" s="1395" t="s">
        <v>582</v>
      </c>
      <c r="G29" s="1396"/>
      <c r="H29" s="1397"/>
      <c r="J29" s="1395" t="s">
        <v>583</v>
      </c>
      <c r="K29" s="1396"/>
      <c r="L29" s="1397"/>
      <c r="M29" s="932"/>
    </row>
    <row r="30" spans="2:13" x14ac:dyDescent="0.2">
      <c r="B30" s="640" t="s">
        <v>301</v>
      </c>
      <c r="C30" s="641">
        <f>IF(OR(Excess_air&gt;=32,  , O2_enrich&gt;20), "Limit exceeded", IF( O2_substitute&gt;80, "Requires O2 &lt;= 80%", C31+C33*3.6 ))</f>
        <v>4.2910593384344633</v>
      </c>
      <c r="D30" s="642" t="s">
        <v>277</v>
      </c>
      <c r="F30" s="643" t="s">
        <v>301</v>
      </c>
      <c r="G30" s="641">
        <f>IF(OR(Excess_air&gt;=32,  , O2_enrich&gt;20), "Limit exceeded", IF( O2_substitute&gt;80, "Requires O2 &lt;= 80%", G31+G33*3.6))</f>
        <v>3.5100365707793797</v>
      </c>
      <c r="H30" s="642" t="s">
        <v>277</v>
      </c>
      <c r="J30" s="643" t="s">
        <v>301</v>
      </c>
      <c r="K30" s="641">
        <f>IF(OR(Excess_air&gt;=32,  , O2_enrich&gt;20), "Limit exceeded", IF( O2_substitute&gt;80, "Requires O2 &lt;= 80%", K31+K33*3.6))</f>
        <v>5.4508889362809834</v>
      </c>
      <c r="L30" s="642" t="s">
        <v>277</v>
      </c>
    </row>
    <row r="31" spans="2:13" x14ac:dyDescent="0.2">
      <c r="B31" s="645" t="s">
        <v>628</v>
      </c>
      <c r="C31" s="646">
        <f>IF(O2_enrich&gt;0,      D1_Furnace!C18-Heat_Balance!D35*Ratio_NG/100,       C19-Heat_Balance!D31*Ratio_NG/100)</f>
        <v>3.947774591359706</v>
      </c>
      <c r="D31" s="642" t="s">
        <v>277</v>
      </c>
      <c r="F31" s="643" t="s">
        <v>628</v>
      </c>
      <c r="G31" s="646">
        <f>IF(O2_enrich&gt;0,      D1_Furnace!C18-Heat_Balance!D35*Ratio_NG/100 - Heat_Balance!C80*Ratio_NG/100,       C19-Heat_Balance!D31*Ratio_NG/100 - C26*Ratio_NG/100)</f>
        <v>3.2292336451170294</v>
      </c>
      <c r="H31" s="642" t="s">
        <v>277</v>
      </c>
      <c r="J31" s="643" t="s">
        <v>628</v>
      </c>
      <c r="K31" s="646">
        <f xml:space="preserve"> (  Energy_Balance!C81*Heat_Balance!D8  /  (Heat_Balance!D6*(1-Heat_Balance!D7)-(Heat_Balance!D11)/100)    *   Fuel!AJ120 + Fuel!AO120 )*(Fuel!C142-T.ambient)/1000   - Heat_Balance!C80</f>
        <v>5.0148178213785046</v>
      </c>
      <c r="L31" s="642" t="s">
        <v>277</v>
      </c>
    </row>
    <row r="32" spans="2:13" x14ac:dyDescent="0.2">
      <c r="B32" s="645" t="s">
        <v>587</v>
      </c>
      <c r="C32" s="648">
        <f>(C33*3.6)*100/C30</f>
        <v>7.9999999999999947</v>
      </c>
      <c r="D32" s="649" t="s">
        <v>37</v>
      </c>
      <c r="E32" s="848"/>
      <c r="F32" s="645" t="s">
        <v>587</v>
      </c>
      <c r="G32" s="648">
        <f>(G33*3.6)*100/G30</f>
        <v>7.9999999999999973</v>
      </c>
      <c r="H32" s="649" t="s">
        <v>37</v>
      </c>
      <c r="J32" s="645" t="s">
        <v>587</v>
      </c>
      <c r="K32" s="648">
        <f>(K33*3.6)*100/K30</f>
        <v>7.9999999999999947</v>
      </c>
      <c r="L32" s="649" t="s">
        <v>37</v>
      </c>
    </row>
    <row r="33" spans="2:18" x14ac:dyDescent="0.2">
      <c r="B33" s="651" t="s">
        <v>629</v>
      </c>
      <c r="C33" s="652">
        <f>C31*(1-Heat_Balance!D8)/Heat_Balance!D8/3.6    +   (Add_Pull*Boost_to_Pull)</f>
        <v>9.5356874187432467E-2</v>
      </c>
      <c r="D33" s="649" t="s">
        <v>482</v>
      </c>
      <c r="E33" s="848"/>
      <c r="F33" s="653" t="s">
        <v>629</v>
      </c>
      <c r="G33" s="654">
        <f>G31*(1-Heat_Balance!D8)/Heat_Balance!D8/3.6    +   (Add_Pull*Boost_to_Pull)</f>
        <v>7.800081268398619E-2</v>
      </c>
      <c r="H33" s="649" t="s">
        <v>482</v>
      </c>
      <c r="J33" s="653" t="s">
        <v>629</v>
      </c>
      <c r="K33" s="654">
        <f>K31*(1-Heat_Balance!D8)/Heat_Balance!D8/3.6    +   (Add_Pull*Boost_to_Pull)</f>
        <v>0.12113086525068845</v>
      </c>
      <c r="L33" s="649" t="s">
        <v>482</v>
      </c>
    </row>
    <row r="34" spans="2:18" x14ac:dyDescent="0.2">
      <c r="B34" s="651"/>
      <c r="C34" s="652"/>
      <c r="D34" s="649"/>
      <c r="E34" s="650"/>
      <c r="F34" s="653"/>
      <c r="G34" s="654"/>
      <c r="H34" s="649"/>
      <c r="J34" s="653"/>
      <c r="K34" s="654"/>
      <c r="L34" s="649"/>
      <c r="O34" s="639"/>
      <c r="P34" s="639"/>
      <c r="Q34" s="639"/>
      <c r="R34" s="639"/>
    </row>
    <row r="35" spans="2:18" x14ac:dyDescent="0.2">
      <c r="B35" s="655" t="s">
        <v>505</v>
      </c>
      <c r="C35" s="656">
        <f>VLOOKUP(C55,  Fuel!E218:'Fuel'!F256, 2, TRUE)  * ((Melt+Add_Pull)/Melt)</f>
        <v>100</v>
      </c>
      <c r="D35" s="657" t="s">
        <v>37</v>
      </c>
      <c r="F35" s="658" t="s">
        <v>505</v>
      </c>
      <c r="G35" s="656">
        <f>VLOOKUP(G55,  Fuel!E218:'Fuel'!F256, 2, TRUE)  * ((Melt+Add_Pull)/Melt) + 10</f>
        <v>110</v>
      </c>
      <c r="H35" s="657" t="s">
        <v>37</v>
      </c>
      <c r="J35" s="658" t="s">
        <v>505</v>
      </c>
      <c r="K35" s="656">
        <f>VLOOKUP(K55,  Fuel!E218:'Fuel'!F256, 2, TRUE)  * ((Melt+Add_Pull)/Melt) + 10</f>
        <v>110</v>
      </c>
      <c r="L35" s="657" t="s">
        <v>37</v>
      </c>
    </row>
    <row r="36" spans="2:18" x14ac:dyDescent="0.2">
      <c r="B36" s="659" t="s">
        <v>590</v>
      </c>
      <c r="C36" s="660">
        <f>Melt*(C35/100)</f>
        <v>1</v>
      </c>
      <c r="D36" s="649" t="s">
        <v>101</v>
      </c>
      <c r="E36" s="1095" t="s">
        <v>868</v>
      </c>
      <c r="F36" s="659" t="s">
        <v>590</v>
      </c>
      <c r="G36" s="660">
        <f>Melt*(G35/100)</f>
        <v>1.1000000000000001</v>
      </c>
      <c r="H36" s="649" t="s">
        <v>101</v>
      </c>
      <c r="J36" s="659" t="s">
        <v>590</v>
      </c>
      <c r="K36" s="660">
        <f>Melt*(K35/100)</f>
        <v>1.1000000000000001</v>
      </c>
      <c r="L36" s="649" t="s">
        <v>101</v>
      </c>
      <c r="O36" s="666"/>
      <c r="P36" s="650"/>
      <c r="Q36" s="650"/>
      <c r="R36" s="650"/>
    </row>
    <row r="37" spans="2:18" x14ac:dyDescent="0.2">
      <c r="B37" s="659" t="s">
        <v>671</v>
      </c>
      <c r="C37" s="893">
        <f>Cullet</f>
        <v>76</v>
      </c>
      <c r="D37" s="649" t="s">
        <v>37</v>
      </c>
      <c r="E37" s="635" t="s">
        <v>869</v>
      </c>
      <c r="F37" s="659" t="s">
        <v>671</v>
      </c>
      <c r="G37" s="893">
        <f>Cullet</f>
        <v>76</v>
      </c>
      <c r="H37" s="649" t="s">
        <v>37</v>
      </c>
      <c r="J37" s="659" t="s">
        <v>671</v>
      </c>
      <c r="K37" s="893">
        <f>Cullet</f>
        <v>76</v>
      </c>
      <c r="L37" s="649" t="s">
        <v>37</v>
      </c>
    </row>
    <row r="38" spans="2:18" x14ac:dyDescent="0.2">
      <c r="B38" s="659" t="s">
        <v>552</v>
      </c>
      <c r="C38" s="660">
        <f>D1_Furnace!C31*1000/Fuel!$C$43</f>
        <v>124.65738076225034</v>
      </c>
      <c r="D38" s="649" t="s">
        <v>479</v>
      </c>
      <c r="E38" s="635" t="s">
        <v>870</v>
      </c>
      <c r="F38" s="661" t="s">
        <v>552</v>
      </c>
      <c r="G38" s="660">
        <f>D1_Furnace!G31*1000/Fuel!$C$43</f>
        <v>101.96828586684232</v>
      </c>
      <c r="H38" s="649" t="s">
        <v>479</v>
      </c>
      <c r="J38" s="661" t="s">
        <v>552</v>
      </c>
      <c r="K38" s="660">
        <f>D1_Furnace!K31*1000/Fuel!$C$43</f>
        <v>158.35100007510513</v>
      </c>
      <c r="L38" s="649" t="s">
        <v>479</v>
      </c>
    </row>
    <row r="39" spans="2:18" x14ac:dyDescent="0.2">
      <c r="B39" s="874" t="s">
        <v>658</v>
      </c>
      <c r="C39" s="663">
        <f>C70 - C38</f>
        <v>0</v>
      </c>
      <c r="D39" s="632" t="s">
        <v>479</v>
      </c>
      <c r="E39" s="419" t="s">
        <v>874</v>
      </c>
      <c r="F39" s="874" t="s">
        <v>659</v>
      </c>
      <c r="G39" s="663">
        <f>G70 - G38</f>
        <v>0</v>
      </c>
      <c r="H39" s="632" t="s">
        <v>479</v>
      </c>
      <c r="J39" s="874" t="s">
        <v>660</v>
      </c>
      <c r="K39" s="663">
        <f>K70 - K38</f>
        <v>0</v>
      </c>
      <c r="L39" s="632" t="s">
        <v>479</v>
      </c>
    </row>
    <row r="40" spans="2:18" x14ac:dyDescent="0.2">
      <c r="B40" s="874" t="s">
        <v>657</v>
      </c>
      <c r="C40" s="663">
        <f>$C$70-C38</f>
        <v>0</v>
      </c>
      <c r="D40" s="632" t="s">
        <v>479</v>
      </c>
      <c r="E40" s="419" t="s">
        <v>875</v>
      </c>
      <c r="F40" s="874" t="s">
        <v>657</v>
      </c>
      <c r="G40" s="663">
        <f>$C$70-G38</f>
        <v>22.689094895407976</v>
      </c>
      <c r="H40" s="632" t="s">
        <v>479</v>
      </c>
      <c r="J40" s="874" t="s">
        <v>657</v>
      </c>
      <c r="K40" s="663">
        <f>$C$70-K38</f>
        <v>-33.693619312854835</v>
      </c>
      <c r="L40" s="632" t="s">
        <v>479</v>
      </c>
    </row>
    <row r="41" spans="2:18" x14ac:dyDescent="0.2">
      <c r="B41" s="874" t="s">
        <v>661</v>
      </c>
      <c r="C41" s="663">
        <f>100-C31*100/$C$67</f>
        <v>0</v>
      </c>
      <c r="D41" s="632" t="s">
        <v>37</v>
      </c>
      <c r="F41" s="874" t="s">
        <v>657</v>
      </c>
      <c r="G41" s="663">
        <f>100-G31*100/$C$67</f>
        <v>18.20116446909887</v>
      </c>
      <c r="H41" s="632" t="s">
        <v>37</v>
      </c>
      <c r="J41" s="874" t="s">
        <v>657</v>
      </c>
      <c r="K41" s="663">
        <f>100-K31*100/$C$67</f>
        <v>-27.028980640236753</v>
      </c>
      <c r="L41" s="632" t="s">
        <v>37</v>
      </c>
    </row>
    <row r="42" spans="2:18" x14ac:dyDescent="0.2">
      <c r="B42" s="664"/>
      <c r="C42" s="301"/>
      <c r="D42" s="665"/>
      <c r="E42" s="1112"/>
      <c r="F42" s="664"/>
      <c r="G42" s="301"/>
      <c r="H42" s="665"/>
      <c r="J42" s="664"/>
      <c r="K42" s="301"/>
      <c r="L42" s="665"/>
    </row>
    <row r="43" spans="2:18" x14ac:dyDescent="0.2">
      <c r="B43" s="667" t="s">
        <v>349</v>
      </c>
      <c r="C43" s="668">
        <f>C38*Heat_Balance!$D$14*Fuel!$C$14   +  Add_Pull*Mass_Balance!$E$59</f>
        <v>240.12422156224474</v>
      </c>
      <c r="D43" s="669" t="s">
        <v>60</v>
      </c>
      <c r="E43" s="635"/>
      <c r="F43" s="671" t="s">
        <v>349</v>
      </c>
      <c r="G43" s="668">
        <f>G38*Heat_Balance!$D$14*Fuel!$C$14   +  Add_Pull*Mass_Balance!$E$59</f>
        <v>196.41881706555719</v>
      </c>
      <c r="H43" s="669" t="s">
        <v>60</v>
      </c>
      <c r="J43" s="671" t="s">
        <v>349</v>
      </c>
      <c r="K43" s="668">
        <f>K38*Heat_Balance!$D$14*Fuel!$C$14   +  Add_Pull*Mass_Balance!$E$59</f>
        <v>305.02735092082298</v>
      </c>
      <c r="L43" s="669" t="s">
        <v>60</v>
      </c>
    </row>
    <row r="44" spans="2:18" ht="15" customHeight="1" x14ac:dyDescent="0.2">
      <c r="B44" s="674" t="s">
        <v>350</v>
      </c>
      <c r="C44" s="675">
        <f>C33*1000*'2.Melting&amp;Fining'!$F$38</f>
        <v>47.678437093716234</v>
      </c>
      <c r="D44" s="649" t="s">
        <v>60</v>
      </c>
      <c r="F44" s="677" t="s">
        <v>350</v>
      </c>
      <c r="G44" s="675">
        <f>G33*1000*'2.Melting&amp;Fining'!$F$38</f>
        <v>39.000406341993092</v>
      </c>
      <c r="H44" s="649" t="s">
        <v>60</v>
      </c>
      <c r="J44" s="677" t="s">
        <v>350</v>
      </c>
      <c r="K44" s="675">
        <f>K33*1000*'2.Melting&amp;Fining'!$F$38</f>
        <v>60.565432625344222</v>
      </c>
      <c r="L44" s="649" t="s">
        <v>60</v>
      </c>
    </row>
    <row r="45" spans="2:18" s="639" customFormat="1" x14ac:dyDescent="0.2">
      <c r="B45" s="645" t="s">
        <v>363</v>
      </c>
      <c r="C45" s="675">
        <f>C43/((Melt+Add_Pull)*1000)</f>
        <v>0.24012422156224475</v>
      </c>
      <c r="D45" s="649" t="s">
        <v>575</v>
      </c>
      <c r="E45" s="584"/>
      <c r="F45" s="643" t="s">
        <v>363</v>
      </c>
      <c r="G45" s="675">
        <f>G43/((Melt+Add_Pull)*1000)</f>
        <v>0.19641881706555719</v>
      </c>
      <c r="H45" s="649" t="s">
        <v>575</v>
      </c>
      <c r="J45" s="643" t="s">
        <v>363</v>
      </c>
      <c r="K45" s="675">
        <f>K43/((Melt+Add_Pull)*1000)</f>
        <v>0.305027350920823</v>
      </c>
      <c r="L45" s="649" t="s">
        <v>575</v>
      </c>
    </row>
    <row r="46" spans="2:18" s="635" customFormat="1" x14ac:dyDescent="0.2">
      <c r="B46" s="645" t="s">
        <v>364</v>
      </c>
      <c r="C46" s="675">
        <f>(C43+C44)/((Melt+Add_Pull)*1000)</f>
        <v>0.28780265865596094</v>
      </c>
      <c r="D46" s="649" t="s">
        <v>575</v>
      </c>
      <c r="E46" s="584"/>
      <c r="F46" s="643" t="s">
        <v>364</v>
      </c>
      <c r="G46" s="675">
        <f>(G43+G44)/((Melt+Add_Pull)*1000)</f>
        <v>0.23541922340755028</v>
      </c>
      <c r="H46" s="649" t="s">
        <v>575</v>
      </c>
      <c r="J46" s="643" t="s">
        <v>364</v>
      </c>
      <c r="K46" s="675">
        <f>(K43+K44)/((Melt+Add_Pull)*1000)</f>
        <v>0.3655927835461672</v>
      </c>
      <c r="L46" s="649" t="s">
        <v>575</v>
      </c>
    </row>
    <row r="47" spans="2:18" x14ac:dyDescent="0.2">
      <c r="B47" s="680"/>
      <c r="C47" s="660"/>
      <c r="D47" s="649"/>
      <c r="E47" s="635"/>
      <c r="F47" s="680"/>
      <c r="G47" s="660"/>
      <c r="H47" s="649"/>
      <c r="J47" s="680"/>
      <c r="K47" s="660"/>
      <c r="L47" s="649"/>
    </row>
    <row r="48" spans="2:18" x14ac:dyDescent="0.2">
      <c r="B48" s="1392" t="s">
        <v>566</v>
      </c>
      <c r="C48" s="1393"/>
      <c r="D48" s="1394"/>
      <c r="E48" s="635"/>
      <c r="F48" s="1392" t="s">
        <v>567</v>
      </c>
      <c r="G48" s="1393"/>
      <c r="H48" s="1394"/>
      <c r="J48" s="1392" t="s">
        <v>567</v>
      </c>
      <c r="K48" s="1393"/>
      <c r="L48" s="1394"/>
    </row>
    <row r="49" spans="2:30" x14ac:dyDescent="0.2">
      <c r="B49" s="661" t="s">
        <v>631</v>
      </c>
      <c r="C49" s="685">
        <f>IF(OR(Heat_Balance!D32&lt;1250, O2_enrich&gt;20),  "Limit exceeded", Heat_Balance!$D$32)</f>
        <v>1384.9626136077975</v>
      </c>
      <c r="D49" s="632" t="s">
        <v>28</v>
      </c>
      <c r="F49" s="661" t="s">
        <v>631</v>
      </c>
      <c r="G49" s="685">
        <f>IF(OR(Heat_Balance!D32&lt;1250,O2_enrich&gt;20),  "Limit exceeded", Heat_Balance!$D$32)</f>
        <v>1384.9626136077975</v>
      </c>
      <c r="H49" s="632" t="s">
        <v>28</v>
      </c>
      <c r="J49" s="661" t="s">
        <v>631</v>
      </c>
      <c r="K49" s="686">
        <f>T.ambient</f>
        <v>25</v>
      </c>
      <c r="L49" s="632" t="s">
        <v>28</v>
      </c>
    </row>
    <row r="50" spans="2:30" x14ac:dyDescent="0.2">
      <c r="B50" s="661" t="s">
        <v>632</v>
      </c>
      <c r="C50" s="686">
        <f>T.ambient</f>
        <v>25</v>
      </c>
      <c r="D50" s="632" t="s">
        <v>28</v>
      </c>
      <c r="F50" s="661" t="s">
        <v>632</v>
      </c>
      <c r="G50" s="686">
        <f>Heat_Balance!C81</f>
        <v>260.98776638245209</v>
      </c>
      <c r="H50" s="632" t="s">
        <v>28</v>
      </c>
      <c r="J50" s="661" t="s">
        <v>632</v>
      </c>
      <c r="K50" s="686">
        <f>Heat_Balance!C81</f>
        <v>260.98776638245209</v>
      </c>
      <c r="L50" s="632" t="s">
        <v>28</v>
      </c>
      <c r="AA50" s="676"/>
    </row>
    <row r="51" spans="2:30" x14ac:dyDescent="0.2">
      <c r="B51" s="677" t="s">
        <v>348</v>
      </c>
      <c r="C51" s="690">
        <f>Fuel!$E$142*100 / (D1_Furnace!C18*100/(100-D1_Furnace!C15))</f>
        <v>68.82901307895699</v>
      </c>
      <c r="D51" s="665" t="s">
        <v>37</v>
      </c>
      <c r="F51" s="677" t="s">
        <v>348</v>
      </c>
      <c r="G51" s="690">
        <f>Fuel!$E$142*100 / (C18*100/(100-D1_Furnace!C15))</f>
        <v>68.82901307895699</v>
      </c>
      <c r="H51" s="691" t="s">
        <v>37</v>
      </c>
      <c r="J51" s="677" t="s">
        <v>348</v>
      </c>
      <c r="K51" s="690">
        <f>Fuel!$E$142*100 / (C18*100/(100-D1_Furnace!C15))</f>
        <v>68.82901307895699</v>
      </c>
      <c r="L51" s="691" t="s">
        <v>37</v>
      </c>
      <c r="AA51" s="676"/>
    </row>
    <row r="52" spans="2:30" x14ac:dyDescent="0.2">
      <c r="B52" s="694" t="s">
        <v>457</v>
      </c>
      <c r="C52" s="690">
        <v>0</v>
      </c>
      <c r="D52" s="665" t="s">
        <v>37</v>
      </c>
      <c r="F52" s="694" t="s">
        <v>457</v>
      </c>
      <c r="G52" s="690"/>
      <c r="H52" s="723" t="s">
        <v>37</v>
      </c>
      <c r="J52" s="694" t="s">
        <v>457</v>
      </c>
      <c r="K52" s="690"/>
      <c r="L52" s="723" t="s">
        <v>37</v>
      </c>
      <c r="AA52" s="676"/>
    </row>
    <row r="53" spans="2:30" x14ac:dyDescent="0.2">
      <c r="B53" s="700"/>
      <c r="C53" s="301"/>
      <c r="D53" s="642"/>
      <c r="F53" s="700"/>
      <c r="G53" s="301"/>
      <c r="H53" s="642"/>
      <c r="J53" s="700"/>
      <c r="K53" s="301"/>
      <c r="L53" s="642"/>
    </row>
    <row r="54" spans="2:30" x14ac:dyDescent="0.2">
      <c r="B54" s="1392" t="s">
        <v>617</v>
      </c>
      <c r="C54" s="1393"/>
      <c r="D54" s="1394"/>
      <c r="F54" s="1392" t="s">
        <v>617</v>
      </c>
      <c r="G54" s="1393"/>
      <c r="H54" s="1394"/>
      <c r="J54" s="1392" t="s">
        <v>617</v>
      </c>
      <c r="K54" s="1393"/>
      <c r="L54" s="1394"/>
    </row>
    <row r="55" spans="2:30" x14ac:dyDescent="0.2">
      <c r="B55" s="710" t="s">
        <v>431</v>
      </c>
      <c r="C55" s="692">
        <f>Fuel!O95</f>
        <v>20.939999999999998</v>
      </c>
      <c r="D55" s="665" t="s">
        <v>407</v>
      </c>
      <c r="F55" s="710" t="s">
        <v>431</v>
      </c>
      <c r="G55" s="692">
        <f>Fuel!O95</f>
        <v>20.939999999999998</v>
      </c>
      <c r="H55" s="665" t="s">
        <v>407</v>
      </c>
      <c r="J55" s="710" t="s">
        <v>431</v>
      </c>
      <c r="K55" s="692">
        <f>Fuel!O95</f>
        <v>20.939999999999998</v>
      </c>
      <c r="L55" s="665" t="s">
        <v>407</v>
      </c>
    </row>
    <row r="56" spans="2:30" ht="15" customHeight="1" x14ac:dyDescent="0.2">
      <c r="B56" s="710" t="s">
        <v>553</v>
      </c>
      <c r="C56" s="692">
        <f>Fuel!M104</f>
        <v>5.6877940945444499E-3</v>
      </c>
      <c r="D56" s="649" t="s">
        <v>407</v>
      </c>
      <c r="F56" s="710" t="s">
        <v>430</v>
      </c>
      <c r="G56" s="692">
        <f>Fuel!M104</f>
        <v>5.6877940945444499E-3</v>
      </c>
      <c r="H56" s="649" t="s">
        <v>407</v>
      </c>
      <c r="J56" s="710" t="s">
        <v>430</v>
      </c>
      <c r="K56" s="692">
        <f>Fuel!M104</f>
        <v>5.6877940945444499E-3</v>
      </c>
      <c r="L56" s="649" t="s">
        <v>407</v>
      </c>
      <c r="AA56" s="676"/>
    </row>
    <row r="57" spans="2:30" ht="15" customHeight="1" x14ac:dyDescent="0.2">
      <c r="B57" s="677" t="s">
        <v>533</v>
      </c>
      <c r="C57" s="692">
        <f>C38*Heat_Balance!$D$13</f>
        <v>235.7237629352889</v>
      </c>
      <c r="D57" s="649" t="s">
        <v>400</v>
      </c>
      <c r="F57" s="677" t="s">
        <v>533</v>
      </c>
      <c r="G57" s="692">
        <f>G38*Heat_Balance!$D$13</f>
        <v>192.81929315068822</v>
      </c>
      <c r="H57" s="649" t="s">
        <v>400</v>
      </c>
      <c r="J57" s="677" t="s">
        <v>533</v>
      </c>
      <c r="K57" s="692">
        <f>K38*Heat_Balance!$D$13</f>
        <v>299.43749318350558</v>
      </c>
      <c r="L57" s="649" t="s">
        <v>400</v>
      </c>
      <c r="AA57" s="301"/>
    </row>
    <row r="58" spans="2:30" ht="15" customHeight="1" x14ac:dyDescent="0.2">
      <c r="B58" s="694" t="s">
        <v>895</v>
      </c>
      <c r="C58" s="692">
        <f>IF(O2_enrich&gt;0, C57*O2_enrichment/100, C57*O2_substitution/100)</f>
        <v>0</v>
      </c>
      <c r="D58" s="649" t="s">
        <v>400</v>
      </c>
      <c r="F58" s="677" t="s">
        <v>895</v>
      </c>
      <c r="G58" s="692">
        <f>IF(O2_enrich&gt;0, G57*O2_enrichment/100, G57*O2_substitution/100)</f>
        <v>0</v>
      </c>
      <c r="H58" s="649" t="s">
        <v>400</v>
      </c>
      <c r="J58" s="677" t="s">
        <v>895</v>
      </c>
      <c r="K58" s="692">
        <f>IF(O2_enrich&gt;0, K57*O2_enrichment/100, K57*O2_substitution/100)</f>
        <v>0</v>
      </c>
      <c r="L58" s="649" t="s">
        <v>400</v>
      </c>
      <c r="AA58" s="301"/>
    </row>
    <row r="59" spans="2:30" s="301" customFormat="1" x14ac:dyDescent="0.2">
      <c r="B59" s="677" t="s">
        <v>576</v>
      </c>
      <c r="C59" s="692">
        <f>Heat_Balance!$D$14*(D1_Furnace!C67 - D1_Furnace!C31)*Fuel!$C$14</f>
        <v>-2.5663119624537571E-15</v>
      </c>
      <c r="D59" s="693" t="s">
        <v>60</v>
      </c>
      <c r="E59" s="1123"/>
      <c r="F59" s="677" t="s">
        <v>576</v>
      </c>
      <c r="G59" s="692">
        <f>Heat_Balance!$D$14*(D1_Furnace!G67 - D1_Furnace!G31)*Fuel!$C$14</f>
        <v>-2.5663119624537571E-15</v>
      </c>
      <c r="H59" s="693" t="s">
        <v>60</v>
      </c>
      <c r="I59" s="419"/>
      <c r="J59" s="677" t="s">
        <v>576</v>
      </c>
      <c r="K59" s="692">
        <f>Heat_Balance!$D$14*(D1_Furnace!K67 - D1_Furnace!K31)*Fuel!$C$14</f>
        <v>0</v>
      </c>
      <c r="L59" s="693" t="s">
        <v>60</v>
      </c>
      <c r="M59" s="724"/>
      <c r="AC59" s="419"/>
      <c r="AD59" s="419"/>
    </row>
    <row r="60" spans="2:30" s="650" customFormat="1" x14ac:dyDescent="0.2">
      <c r="B60" s="694" t="s">
        <v>457</v>
      </c>
      <c r="C60" s="692">
        <f>100-D1_Furnace!C31*100/D1_Furnace!C67</f>
        <v>0</v>
      </c>
      <c r="D60" s="723" t="s">
        <v>37</v>
      </c>
      <c r="E60" s="1040"/>
      <c r="F60" s="694" t="s">
        <v>457</v>
      </c>
      <c r="G60" s="692">
        <f>100-D1_Furnace!G31*100/D1_Furnace!G67</f>
        <v>0</v>
      </c>
      <c r="H60" s="723" t="s">
        <v>37</v>
      </c>
      <c r="I60" s="639"/>
      <c r="J60" s="694" t="s">
        <v>457</v>
      </c>
      <c r="K60" s="692">
        <f>100-D1_Furnace!K31*100/D1_Furnace!K67</f>
        <v>0</v>
      </c>
      <c r="L60" s="723" t="s">
        <v>37</v>
      </c>
      <c r="M60" s="730"/>
      <c r="AB60" s="419"/>
      <c r="AC60" s="419"/>
      <c r="AD60" s="419"/>
    </row>
    <row r="61" spans="2:30" x14ac:dyDescent="0.2">
      <c r="B61" s="664"/>
      <c r="C61" s="301"/>
      <c r="D61" s="665"/>
      <c r="F61" s="664"/>
      <c r="G61" s="301"/>
      <c r="H61" s="665"/>
      <c r="J61" s="664"/>
      <c r="K61" s="301"/>
      <c r="L61" s="665"/>
      <c r="AA61" s="301"/>
    </row>
    <row r="62" spans="2:30" x14ac:dyDescent="0.2">
      <c r="B62" s="1392" t="s">
        <v>365</v>
      </c>
      <c r="C62" s="1393"/>
      <c r="D62" s="1394"/>
      <c r="E62" s="666"/>
      <c r="F62" s="1392" t="s">
        <v>365</v>
      </c>
      <c r="G62" s="1393"/>
      <c r="H62" s="1394"/>
      <c r="J62" s="1392" t="s">
        <v>365</v>
      </c>
      <c r="K62" s="1393"/>
      <c r="L62" s="1394"/>
    </row>
    <row r="63" spans="2:30" x14ac:dyDescent="0.2">
      <c r="B63" s="677" t="s">
        <v>633</v>
      </c>
      <c r="C63" s="692">
        <f>Heat_Balance!D37</f>
        <v>1.4200413957365143</v>
      </c>
      <c r="D63" s="642" t="s">
        <v>277</v>
      </c>
      <c r="E63" s="740"/>
      <c r="F63" s="677" t="s">
        <v>633</v>
      </c>
      <c r="G63" s="692">
        <f>Heat_Balance!C84</f>
        <v>0.63901862808143139</v>
      </c>
      <c r="H63" s="642" t="s">
        <v>277</v>
      </c>
      <c r="J63" s="677" t="s">
        <v>633</v>
      </c>
      <c r="K63" s="692">
        <f>Heat_Balance!C84</f>
        <v>0.63901862808143139</v>
      </c>
      <c r="L63" s="642" t="s">
        <v>277</v>
      </c>
    </row>
    <row r="64" spans="2:30" ht="13.5" thickBot="1" x14ac:dyDescent="0.25">
      <c r="B64" s="742"/>
      <c r="C64" s="743"/>
      <c r="D64" s="744"/>
      <c r="E64" s="740"/>
      <c r="F64" s="742"/>
      <c r="G64" s="743"/>
      <c r="H64" s="744"/>
      <c r="J64" s="742"/>
      <c r="K64" s="743"/>
      <c r="L64" s="744"/>
    </row>
    <row r="65" spans="2:27" ht="13.5" thickBot="1" x14ac:dyDescent="0.25">
      <c r="E65" s="676"/>
      <c r="AA65" s="650"/>
    </row>
    <row r="66" spans="2:27" x14ac:dyDescent="0.2">
      <c r="B66" s="1389" t="s">
        <v>507</v>
      </c>
      <c r="C66" s="1390"/>
      <c r="D66" s="1391"/>
      <c r="F66" s="1389" t="s">
        <v>508</v>
      </c>
      <c r="G66" s="1390"/>
      <c r="H66" s="1391"/>
      <c r="I66" s="676"/>
      <c r="J66" s="1389" t="s">
        <v>509</v>
      </c>
      <c r="K66" s="1390"/>
      <c r="L66" s="1391"/>
    </row>
    <row r="67" spans="2:27" x14ac:dyDescent="0.2">
      <c r="B67" s="677" t="s">
        <v>637</v>
      </c>
      <c r="C67" s="794">
        <f>IF(O2_substitute&lt;80, (D1_Furnace!C17-D1_Furnace!C24)*(100-D1_Furnace!C15)/100, (C16-Fuel!E141*Heat_Balance!D30/100)*(100-D1_Furnace!C15)/100 )</f>
        <v>3.9477745913597047</v>
      </c>
      <c r="D67" s="649" t="s">
        <v>135</v>
      </c>
      <c r="E67" s="1227"/>
      <c r="F67" s="677" t="s">
        <v>637</v>
      </c>
      <c r="G67" s="794">
        <f>IF(O2_substitute&lt;80, (D1_Furnace!C17-D1_Furnace!C24 - C26)*(100-D1_Furnace!C15)/100, (C16-Fuel!E141*Heat_Balance!D30/100 - C26)*(100-D1_Furnace!C15)/100)</f>
        <v>3.229233645117028</v>
      </c>
      <c r="H67" s="649" t="s">
        <v>135</v>
      </c>
      <c r="I67" s="1086"/>
      <c r="J67" s="677" t="s">
        <v>637</v>
      </c>
      <c r="K67" s="794">
        <f xml:space="preserve"> IF(O2_substitute&lt;80, ( Energy_Balance!C81*(1-D1_Furnace!C15/100)  /  (Heat_Balance!D6*(1-Heat_Balance!D7)-(Heat_Balance!D11)/100)  *  Fuel!AJ120 + Fuel!AP120  )*(C20-T.ambient)/1000   - C26, ( Energy_Balance!C81*(1-D1_Furnace!C15/100)  /  (Heat_Balance!D6*(1-Heat_Balance!D7)-(Heat_Balance!D11)/100)  *  Fuel!AJ120 + (Fuel!Z117-Fuel!AN120)  )*(Fuel!C141-T.ambient)/1000   - C26 )</f>
        <v>5.0148178213785046</v>
      </c>
      <c r="L67" s="649" t="s">
        <v>135</v>
      </c>
    </row>
    <row r="68" spans="2:27" x14ac:dyDescent="0.2">
      <c r="B68" s="677" t="s">
        <v>638</v>
      </c>
      <c r="C68" s="774">
        <f>C67+C69*3.6</f>
        <v>4.2910593384344615</v>
      </c>
      <c r="D68" s="691" t="s">
        <v>135</v>
      </c>
      <c r="E68" s="635"/>
      <c r="F68" s="677" t="s">
        <v>638</v>
      </c>
      <c r="G68" s="774">
        <f>G67+G69*3.6</f>
        <v>3.5100365707793784</v>
      </c>
      <c r="H68" s="691" t="s">
        <v>135</v>
      </c>
      <c r="I68" s="1087"/>
      <c r="J68" s="677" t="s">
        <v>638</v>
      </c>
      <c r="K68" s="774">
        <f>K67+K69*3.6</f>
        <v>5.4508889362809834</v>
      </c>
      <c r="L68" s="691" t="s">
        <v>135</v>
      </c>
    </row>
    <row r="69" spans="2:27" x14ac:dyDescent="0.2">
      <c r="B69" s="677" t="s">
        <v>639</v>
      </c>
      <c r="C69" s="774">
        <f>C67*(D1_Furnace!C15)/(100-D1_Furnace!C15)/3.6</f>
        <v>9.535687418743248E-2</v>
      </c>
      <c r="D69" s="649" t="s">
        <v>300</v>
      </c>
      <c r="E69" s="635"/>
      <c r="F69" s="677" t="s">
        <v>639</v>
      </c>
      <c r="G69" s="774">
        <f>G67*(D1_Furnace!C15)/(100-D1_Furnace!C15)/3.6</f>
        <v>7.800081268398619E-2</v>
      </c>
      <c r="H69" s="649" t="s">
        <v>300</v>
      </c>
      <c r="I69" s="676"/>
      <c r="J69" s="677" t="s">
        <v>639</v>
      </c>
      <c r="K69" s="774">
        <f>K67*(D1_Furnace!C15)/(100-D1_Furnace!C15)/3.6</f>
        <v>0.12113086525068852</v>
      </c>
      <c r="L69" s="649" t="s">
        <v>300</v>
      </c>
      <c r="AA69" s="636"/>
    </row>
    <row r="70" spans="2:27" x14ac:dyDescent="0.2">
      <c r="B70" s="760" t="s">
        <v>568</v>
      </c>
      <c r="C70" s="855">
        <f>C67*1000/Fuel!C43</f>
        <v>124.6573807622503</v>
      </c>
      <c r="D70" s="669" t="s">
        <v>479</v>
      </c>
      <c r="E70" s="1127"/>
      <c r="F70" s="760" t="s">
        <v>568</v>
      </c>
      <c r="G70" s="855">
        <f>G67*1000/Fuel!$C$43</f>
        <v>101.96828586684228</v>
      </c>
      <c r="H70" s="669" t="s">
        <v>479</v>
      </c>
      <c r="I70" s="676"/>
      <c r="J70" s="760" t="s">
        <v>568</v>
      </c>
      <c r="K70" s="855">
        <f>K67*1000/Fuel!$C$43</f>
        <v>158.35100007510513</v>
      </c>
      <c r="L70" s="669" t="s">
        <v>479</v>
      </c>
    </row>
    <row r="71" spans="2:27" x14ac:dyDescent="0.2">
      <c r="B71" s="710" t="s">
        <v>349</v>
      </c>
      <c r="C71" s="796">
        <f>C70*Heat_Balance!D14*Fuel!$C$14</f>
        <v>240.12422156224468</v>
      </c>
      <c r="D71" s="649" t="s">
        <v>60</v>
      </c>
      <c r="E71" s="635"/>
      <c r="F71" s="710" t="s">
        <v>349</v>
      </c>
      <c r="G71" s="796">
        <f>G70*Heat_Balance!D14*Fuel!$C$14</f>
        <v>196.41881706555711</v>
      </c>
      <c r="H71" s="649" t="s">
        <v>60</v>
      </c>
      <c r="J71" s="710" t="s">
        <v>349</v>
      </c>
      <c r="K71" s="796">
        <f>K70*Heat_Balance!D14*Fuel!$C$14</f>
        <v>305.02735092082298</v>
      </c>
      <c r="L71" s="649" t="s">
        <v>60</v>
      </c>
    </row>
    <row r="72" spans="2:27" x14ac:dyDescent="0.2">
      <c r="B72" s="710" t="s">
        <v>505</v>
      </c>
      <c r="C72" s="775">
        <f>VLOOKUP(Fuel!AI96,  Fuel!E218:'Fuel'!F256, 2, TRUE)  * ((Melt+Add_Pull)/Melt)</f>
        <v>100</v>
      </c>
      <c r="D72" s="649" t="s">
        <v>37</v>
      </c>
      <c r="F72" s="710" t="s">
        <v>505</v>
      </c>
      <c r="G72" s="775">
        <f>VLOOKUP(Fuel!AI96,  Fuel!E218:'Fuel'!F256, 2, TRUE)  * ((Melt+Add_Pull)/Melt) + 10</f>
        <v>110</v>
      </c>
      <c r="H72" s="649" t="s">
        <v>37</v>
      </c>
      <c r="J72" s="710" t="s">
        <v>505</v>
      </c>
      <c r="K72" s="775">
        <f>VLOOKUP(Fuel!AI96,  Fuel!E218:'Fuel'!F256, 2, TRUE)  * ((Melt+Add_Pull)/Melt) + 10</f>
        <v>110</v>
      </c>
      <c r="L72" s="649" t="s">
        <v>37</v>
      </c>
    </row>
    <row r="73" spans="2:27" ht="13.5" thickBot="1" x14ac:dyDescent="0.25">
      <c r="B73" s="742"/>
      <c r="C73" s="743"/>
      <c r="D73" s="744"/>
      <c r="F73" s="742"/>
      <c r="G73" s="743"/>
      <c r="H73" s="744"/>
      <c r="J73" s="742"/>
      <c r="K73" s="743"/>
      <c r="L73" s="744"/>
      <c r="M73" s="1087"/>
    </row>
    <row r="74" spans="2:27" x14ac:dyDescent="0.2">
      <c r="F74" s="1110"/>
    </row>
    <row r="75" spans="2:27" x14ac:dyDescent="0.2">
      <c r="G75" s="647"/>
      <c r="M75" s="301"/>
      <c r="N75" s="301"/>
      <c r="O75" s="301"/>
      <c r="P75" s="301"/>
      <c r="Q75" s="301"/>
    </row>
    <row r="76" spans="2:27" ht="17.25" customHeight="1" x14ac:dyDescent="0.2">
      <c r="B76" s="1211" t="s">
        <v>548</v>
      </c>
      <c r="M76" s="301"/>
      <c r="N76" s="301"/>
      <c r="O76" s="301"/>
      <c r="P76" s="301"/>
      <c r="Q76" s="301"/>
    </row>
    <row r="77" spans="2:27" ht="13.5" thickBot="1" x14ac:dyDescent="0.25">
      <c r="M77" s="301"/>
      <c r="N77" s="301"/>
      <c r="O77" s="301"/>
      <c r="P77" s="301"/>
      <c r="Q77" s="301"/>
    </row>
    <row r="78" spans="2:27" ht="15" customHeight="1" x14ac:dyDescent="0.2">
      <c r="B78" s="1398" t="s">
        <v>669</v>
      </c>
      <c r="C78" s="1399"/>
      <c r="D78" s="1400"/>
      <c r="F78" s="1398" t="s">
        <v>798</v>
      </c>
      <c r="G78" s="1399"/>
      <c r="H78" s="1400"/>
    </row>
    <row r="79" spans="2:27" x14ac:dyDescent="0.2">
      <c r="B79" s="1213" t="s">
        <v>301</v>
      </c>
      <c r="C79" s="783">
        <f>C80+C83*3.6</f>
        <v>3.7487054543443761</v>
      </c>
      <c r="D79" s="691" t="s">
        <v>277</v>
      </c>
      <c r="E79" s="1103"/>
      <c r="F79" s="664" t="s">
        <v>946</v>
      </c>
      <c r="G79" s="1210">
        <f>Energy_Balance!C81*((100-5*(92/Ratio_NG))/100)  /  (Heat_Balance!D6*(1-Heat_Balance!D7)-(D1_Furnace!G138+D1_Furnace!G139)/100)</f>
        <v>5.7643116211881544</v>
      </c>
      <c r="H79" s="691" t="s">
        <v>277</v>
      </c>
    </row>
    <row r="80" spans="2:27" x14ac:dyDescent="0.2">
      <c r="B80" s="643" t="s">
        <v>628</v>
      </c>
      <c r="C80" s="1050">
        <f>Fuel!BB117*(C143-T.ambient)/1000</f>
        <v>3.5612701816271572</v>
      </c>
      <c r="D80" s="691" t="s">
        <v>277</v>
      </c>
      <c r="E80" s="1103"/>
      <c r="F80" s="1341" t="s">
        <v>947</v>
      </c>
      <c r="G80" s="1038">
        <f xml:space="preserve"> (Syngas!K85*G79/G141)*(G142-T.ambient)/1000</f>
        <v>3.9253852427367022</v>
      </c>
      <c r="H80" s="691" t="s">
        <v>277</v>
      </c>
    </row>
    <row r="81" spans="2:14" x14ac:dyDescent="0.2">
      <c r="B81" s="661" t="s">
        <v>335</v>
      </c>
      <c r="C81" s="1046">
        <f>C80*(C143-Fuel!H142)/Fuel!H141/100</f>
        <v>1.8200757308508375</v>
      </c>
      <c r="D81" s="649" t="s">
        <v>277</v>
      </c>
      <c r="E81" s="1127"/>
      <c r="F81" s="664" t="s">
        <v>898</v>
      </c>
      <c r="G81" s="1046">
        <f>G80+G82*3.6</f>
        <v>4.1319844660386336</v>
      </c>
      <c r="H81" s="691" t="s">
        <v>277</v>
      </c>
    </row>
    <row r="82" spans="2:14" x14ac:dyDescent="0.2">
      <c r="B82" s="1208" t="s">
        <v>478</v>
      </c>
      <c r="C82" s="302">
        <f xml:space="preserve"> (C83*3.6)*100/C79</f>
        <v>5</v>
      </c>
      <c r="D82" s="665" t="s">
        <v>37</v>
      </c>
      <c r="E82" s="1127"/>
      <c r="F82" s="664" t="s">
        <v>948</v>
      </c>
      <c r="G82" s="763">
        <f>G80*D1_Furnace!C137/(100-D1_Furnace!C137)/3.6</f>
        <v>5.7388673139425472E-2</v>
      </c>
      <c r="H82" s="691" t="s">
        <v>482</v>
      </c>
    </row>
    <row r="83" spans="2:14" x14ac:dyDescent="0.2">
      <c r="B83" s="1209" t="s">
        <v>629</v>
      </c>
      <c r="C83" s="763">
        <f>C80*D1_Furnace!C137/(100-D1_Furnace!C137)/3.6    +   (Add_Pull*Boost_to_Pull)</f>
        <v>5.2065353532560775E-2</v>
      </c>
      <c r="D83" s="665" t="s">
        <v>482</v>
      </c>
      <c r="E83" s="1127"/>
      <c r="F83" s="664"/>
      <c r="G83" s="763"/>
      <c r="H83" s="691"/>
      <c r="N83" s="805"/>
    </row>
    <row r="84" spans="2:14" x14ac:dyDescent="0.2">
      <c r="B84" s="800" t="s">
        <v>505</v>
      </c>
      <c r="C84" s="1002">
        <f>VLOOKUP(C129,  Fuel!E218:'Fuel'!F256, 2, TRUE)</f>
        <v>120</v>
      </c>
      <c r="D84" s="657" t="s">
        <v>37</v>
      </c>
      <c r="E84" s="741"/>
      <c r="F84" s="1342" t="s">
        <v>638</v>
      </c>
      <c r="G84" s="1210">
        <f>G81-G86</f>
        <v>3.4041958585448224</v>
      </c>
      <c r="H84" s="1343" t="s">
        <v>277</v>
      </c>
      <c r="N84" s="805"/>
    </row>
    <row r="85" spans="2:14" x14ac:dyDescent="0.2">
      <c r="B85" s="659" t="s">
        <v>590</v>
      </c>
      <c r="C85" s="675">
        <f>Melt*(C84/100)</f>
        <v>1.2</v>
      </c>
      <c r="D85" s="649" t="s">
        <v>101</v>
      </c>
      <c r="F85" s="643" t="s">
        <v>637</v>
      </c>
      <c r="G85" s="1207">
        <f>G84*(100-5*(92/Ratio_NG))/100</f>
        <v>3.2339860656175814</v>
      </c>
      <c r="H85" s="691" t="s">
        <v>277</v>
      </c>
      <c r="N85" s="805"/>
    </row>
    <row r="86" spans="2:14" x14ac:dyDescent="0.2">
      <c r="B86" s="659" t="s">
        <v>671</v>
      </c>
      <c r="C86" s="675">
        <f>Cullet</f>
        <v>76</v>
      </c>
      <c r="D86" s="649" t="s">
        <v>37</v>
      </c>
      <c r="F86" s="661" t="s">
        <v>770</v>
      </c>
      <c r="G86" s="1046">
        <f>(((Syngas!E85*G79/G141)*(VLOOKUP(G126, Fuel!B218:'Fuel'!C256, 2, TRUE)-T.ambient))/((100-5*(92/Ratio_NG))*10))   *   (G96/100)</f>
        <v>0.72778860749381102</v>
      </c>
      <c r="H86" s="649" t="s">
        <v>277</v>
      </c>
      <c r="N86" s="805"/>
    </row>
    <row r="87" spans="2:14" x14ac:dyDescent="0.2">
      <c r="B87" s="661" t="s">
        <v>552</v>
      </c>
      <c r="C87" s="675">
        <f>C80*1000/Fuel!C43</f>
        <v>112.4528776288218</v>
      </c>
      <c r="D87" s="649" t="s">
        <v>479</v>
      </c>
      <c r="F87" s="1208" t="s">
        <v>478</v>
      </c>
      <c r="G87" s="697">
        <f xml:space="preserve"> (G88*3.6)*100/G84</f>
        <v>5.0000000000000009</v>
      </c>
      <c r="H87" s="665" t="s">
        <v>37</v>
      </c>
      <c r="N87" s="805"/>
    </row>
    <row r="88" spans="2:14" x14ac:dyDescent="0.2">
      <c r="B88" s="874" t="s">
        <v>662</v>
      </c>
      <c r="C88" s="675">
        <f>C150  - C87</f>
        <v>0</v>
      </c>
      <c r="D88" s="632" t="s">
        <v>479</v>
      </c>
      <c r="F88" s="1209" t="s">
        <v>945</v>
      </c>
      <c r="G88" s="763">
        <f>G84*(100-(100-5*(92/Ratio_NG)))/100/3.6    +   (Add_Pull*Boost_to_Pull)</f>
        <v>4.7280498035344759E-2</v>
      </c>
      <c r="H88" s="665" t="s">
        <v>482</v>
      </c>
      <c r="N88" s="805"/>
    </row>
    <row r="89" spans="2:14" x14ac:dyDescent="0.2">
      <c r="B89" s="874" t="s">
        <v>657</v>
      </c>
      <c r="C89" s="675">
        <f>$C$70-C87</f>
        <v>12.204503133428503</v>
      </c>
      <c r="D89" s="632" t="s">
        <v>479</v>
      </c>
      <c r="F89" s="800" t="s">
        <v>505</v>
      </c>
      <c r="G89" s="1002">
        <f>VLOOKUP(G126,  Fuel!E218:'Fuel'!F256, 2, TRUE)</f>
        <v>120</v>
      </c>
      <c r="H89" s="657" t="s">
        <v>37</v>
      </c>
      <c r="L89" s="301"/>
      <c r="N89" s="805"/>
    </row>
    <row r="90" spans="2:14" x14ac:dyDescent="0.2">
      <c r="B90" s="874" t="s">
        <v>661</v>
      </c>
      <c r="C90" s="796">
        <f>100-C80*100/$C$67</f>
        <v>9.7904376450081543</v>
      </c>
      <c r="D90" s="632" t="s">
        <v>37</v>
      </c>
      <c r="E90" s="1103"/>
      <c r="F90" s="659" t="s">
        <v>590</v>
      </c>
      <c r="G90" s="675">
        <f>Melt*(G89/100)</f>
        <v>1.2</v>
      </c>
      <c r="H90" s="649" t="s">
        <v>101</v>
      </c>
      <c r="K90" s="741"/>
      <c r="L90" s="595"/>
    </row>
    <row r="91" spans="2:14" x14ac:dyDescent="0.2">
      <c r="B91" s="677" t="s">
        <v>348</v>
      </c>
      <c r="C91" s="1049">
        <f>(VLOOKUP(C129, Fuel!B218:'Fuel'!C256, 2, TRUE)-Fuel!H142)/Fuel!H141</f>
        <v>51.107488003598711</v>
      </c>
      <c r="D91" s="691" t="s">
        <v>37</v>
      </c>
      <c r="E91" s="1103"/>
      <c r="F91" s="659" t="s">
        <v>671</v>
      </c>
      <c r="G91" s="675">
        <f>Cullet</f>
        <v>76</v>
      </c>
      <c r="H91" s="649" t="s">
        <v>37</v>
      </c>
      <c r="L91" s="301"/>
    </row>
    <row r="92" spans="2:14" x14ac:dyDescent="0.2">
      <c r="B92" s="710"/>
      <c r="C92" s="796"/>
      <c r="D92" s="649"/>
      <c r="E92" s="1103"/>
      <c r="F92" s="661" t="s">
        <v>552</v>
      </c>
      <c r="G92" s="675">
        <f>G85*1000/Fuel!C43</f>
        <v>102.11835124625284</v>
      </c>
      <c r="H92" s="649" t="s">
        <v>479</v>
      </c>
      <c r="L92" s="301"/>
    </row>
    <row r="93" spans="2:14" x14ac:dyDescent="0.2">
      <c r="B93" s="800" t="s">
        <v>349</v>
      </c>
      <c r="C93" s="801">
        <f>C87*Heat_Balance!$D$14*Fuel!$C$14   +  Add_Pull*Mass_Balance!$E$59</f>
        <v>216.61500937963189</v>
      </c>
      <c r="D93" s="657" t="s">
        <v>60</v>
      </c>
      <c r="F93" s="874" t="s">
        <v>668</v>
      </c>
      <c r="G93" s="675">
        <f>100-G92*100/G153</f>
        <v>0</v>
      </c>
      <c r="H93" s="632" t="s">
        <v>37</v>
      </c>
    </row>
    <row r="94" spans="2:14" x14ac:dyDescent="0.2">
      <c r="B94" s="677" t="s">
        <v>350</v>
      </c>
      <c r="C94" s="697">
        <f>C83*1000*'2.Melting&amp;Fining'!$F$38</f>
        <v>26.032676766280389</v>
      </c>
      <c r="D94" s="691" t="s">
        <v>60</v>
      </c>
      <c r="F94" s="874" t="s">
        <v>662</v>
      </c>
      <c r="G94" s="675">
        <f>100-G92*100/C150</f>
        <v>9.1900950873667853</v>
      </c>
      <c r="H94" s="665" t="s">
        <v>37</v>
      </c>
    </row>
    <row r="95" spans="2:14" x14ac:dyDescent="0.2">
      <c r="B95" s="677" t="s">
        <v>363</v>
      </c>
      <c r="C95" s="697">
        <f>C93/((Melt+Add_Pull)*1000)</f>
        <v>0.21661500937963188</v>
      </c>
      <c r="D95" s="691" t="s">
        <v>140</v>
      </c>
      <c r="F95" s="874" t="s">
        <v>657</v>
      </c>
      <c r="G95" s="675">
        <f>100-G92*100/C70</f>
        <v>18.080782203329349</v>
      </c>
      <c r="H95" s="632" t="s">
        <v>37</v>
      </c>
    </row>
    <row r="96" spans="2:14" x14ac:dyDescent="0.2">
      <c r="B96" s="677" t="s">
        <v>364</v>
      </c>
      <c r="C96" s="697">
        <f>(C93+C94)/((Melt+Add_Pull)*1000)</f>
        <v>0.24264768614591228</v>
      </c>
      <c r="D96" s="649" t="s">
        <v>140</v>
      </c>
      <c r="F96" s="677" t="s">
        <v>769</v>
      </c>
      <c r="G96" s="1048">
        <f>G143</f>
        <v>20</v>
      </c>
      <c r="H96" s="691" t="s">
        <v>37</v>
      </c>
    </row>
    <row r="97" spans="2:11" x14ac:dyDescent="0.2">
      <c r="B97" s="664"/>
      <c r="C97" s="301"/>
      <c r="D97" s="665"/>
      <c r="F97" s="664"/>
      <c r="G97" s="675"/>
      <c r="H97" s="665"/>
      <c r="J97" s="1206"/>
      <c r="K97" s="1184"/>
    </row>
    <row r="98" spans="2:11" x14ac:dyDescent="0.2">
      <c r="B98" s="1392" t="s">
        <v>1041</v>
      </c>
      <c r="C98" s="1393"/>
      <c r="D98" s="1394"/>
      <c r="F98" s="800" t="s">
        <v>349</v>
      </c>
      <c r="G98" s="801">
        <f>G92*Heat_Balance!$D$14*Fuel!$C$14   +  Add_Pull*Mass_Balance!$E$59</f>
        <v>196.7078840441352</v>
      </c>
      <c r="H98" s="657" t="s">
        <v>60</v>
      </c>
      <c r="J98" s="1206"/>
      <c r="K98" s="1184"/>
    </row>
    <row r="99" spans="2:11" x14ac:dyDescent="0.2">
      <c r="B99" s="661" t="s">
        <v>640</v>
      </c>
      <c r="C99" s="1036">
        <f>Heat_Balance!D81</f>
        <v>310.17022225397193</v>
      </c>
      <c r="D99" s="632" t="s">
        <v>28</v>
      </c>
      <c r="E99" s="932"/>
      <c r="F99" s="677" t="s">
        <v>350</v>
      </c>
      <c r="G99" s="697">
        <f>G88*1000*'2.Melting&amp;Fining'!$F$38</f>
        <v>23.640249017672378</v>
      </c>
      <c r="H99" s="691" t="s">
        <v>60</v>
      </c>
    </row>
    <row r="100" spans="2:11" x14ac:dyDescent="0.2">
      <c r="B100" s="802" t="s">
        <v>987</v>
      </c>
      <c r="C100" s="1036">
        <v>10</v>
      </c>
      <c r="D100" s="723" t="s">
        <v>37</v>
      </c>
      <c r="F100" s="677" t="s">
        <v>363</v>
      </c>
      <c r="G100" s="697">
        <f>G98/((Melt+Add_Pull)*1000)</f>
        <v>0.1967078840441352</v>
      </c>
      <c r="H100" s="691" t="s">
        <v>140</v>
      </c>
      <c r="I100" s="676"/>
    </row>
    <row r="101" spans="2:11" s="650" customFormat="1" x14ac:dyDescent="0.2">
      <c r="B101" s="802" t="s">
        <v>1051</v>
      </c>
      <c r="C101" s="783">
        <f>C80*Heat_Balance!C82/100</f>
        <v>0.2849016145301726</v>
      </c>
      <c r="D101" s="723" t="s">
        <v>277</v>
      </c>
      <c r="F101" s="677" t="s">
        <v>364</v>
      </c>
      <c r="G101" s="697">
        <f>(G98+G99)/((Melt+Add_Pull)*1000)</f>
        <v>0.22034813306180756</v>
      </c>
      <c r="H101" s="649" t="s">
        <v>140</v>
      </c>
    </row>
    <row r="102" spans="2:11" s="650" customFormat="1" x14ac:dyDescent="0.2">
      <c r="B102" s="802" t="s">
        <v>1052</v>
      </c>
      <c r="C102" s="783">
        <f>C101*C137/(100-C137)/3.6</f>
        <v>4.1652282826048622E-3</v>
      </c>
      <c r="D102" s="723" t="s">
        <v>482</v>
      </c>
      <c r="F102" s="677"/>
      <c r="G102" s="697"/>
      <c r="H102" s="649"/>
    </row>
    <row r="103" spans="2:11" x14ac:dyDescent="0.2">
      <c r="B103" s="664" t="s">
        <v>576</v>
      </c>
      <c r="C103" s="1049">
        <f>(C101*1000/Fuel!C43)*Heat_Balance!$D$14*Fuel!$C$14</f>
        <v>17.329200750370553</v>
      </c>
      <c r="D103" s="665" t="s">
        <v>60</v>
      </c>
      <c r="F103" s="664"/>
      <c r="G103" s="301"/>
      <c r="H103" s="665"/>
    </row>
    <row r="104" spans="2:11" x14ac:dyDescent="0.2">
      <c r="B104" s="874" t="s">
        <v>802</v>
      </c>
      <c r="C104" s="1049">
        <f>C101*100/C80</f>
        <v>8</v>
      </c>
      <c r="D104" s="665" t="s">
        <v>37</v>
      </c>
      <c r="E104" s="635"/>
      <c r="F104" s="1392" t="s">
        <v>1041</v>
      </c>
      <c r="G104" s="1393"/>
      <c r="H104" s="1394"/>
    </row>
    <row r="105" spans="2:11" x14ac:dyDescent="0.2">
      <c r="B105" s="874" t="s">
        <v>805</v>
      </c>
      <c r="C105" s="1048">
        <f>100-(C80-C101)*100/$C$67</f>
        <v>17.007202633407502</v>
      </c>
      <c r="D105" s="665" t="s">
        <v>37</v>
      </c>
      <c r="E105" s="1103"/>
      <c r="F105" s="661" t="s">
        <v>640</v>
      </c>
      <c r="G105" s="1036">
        <f>Heat_Balance!F81</f>
        <v>355.75428136080404</v>
      </c>
      <c r="H105" s="632" t="s">
        <v>28</v>
      </c>
      <c r="I105" s="635"/>
    </row>
    <row r="106" spans="2:11" x14ac:dyDescent="0.2">
      <c r="B106" s="664"/>
      <c r="C106" s="301"/>
      <c r="D106" s="665"/>
      <c r="E106" s="1103"/>
      <c r="F106" s="802" t="s">
        <v>987</v>
      </c>
      <c r="G106" s="1036">
        <v>10</v>
      </c>
      <c r="H106" s="723" t="s">
        <v>37</v>
      </c>
      <c r="I106" s="635"/>
    </row>
    <row r="107" spans="2:11" x14ac:dyDescent="0.2">
      <c r="B107" s="1392" t="s">
        <v>1040</v>
      </c>
      <c r="C107" s="1393"/>
      <c r="D107" s="1394"/>
      <c r="E107" s="1103"/>
      <c r="F107" s="802" t="s">
        <v>1051</v>
      </c>
      <c r="G107" s="783">
        <f>G85*Heat_Balance!F82/100</f>
        <v>0.32339860656175817</v>
      </c>
      <c r="H107" s="723" t="s">
        <v>277</v>
      </c>
      <c r="I107" s="635"/>
    </row>
    <row r="108" spans="2:11" x14ac:dyDescent="0.2">
      <c r="B108" s="802" t="s">
        <v>654</v>
      </c>
      <c r="C108" s="772">
        <f>Heat_Balance!D59</f>
        <v>424.20124684404408</v>
      </c>
      <c r="D108" s="723" t="s">
        <v>28</v>
      </c>
      <c r="E108" s="1103"/>
      <c r="F108" s="802" t="s">
        <v>1052</v>
      </c>
      <c r="G108" s="774">
        <f>G107*G137/(100-G137)/3.6</f>
        <v>4.7280498035344757E-3</v>
      </c>
      <c r="H108" s="723" t="s">
        <v>482</v>
      </c>
      <c r="I108" s="635"/>
    </row>
    <row r="109" spans="2:11" x14ac:dyDescent="0.2">
      <c r="B109" s="802" t="s">
        <v>513</v>
      </c>
      <c r="C109" s="772">
        <f>Heat_Balance!D63</f>
        <v>631.01745428722234</v>
      </c>
      <c r="D109" s="723" t="s">
        <v>28</v>
      </c>
      <c r="E109" s="1103"/>
      <c r="F109" s="802" t="s">
        <v>576</v>
      </c>
      <c r="G109" s="1049">
        <f>(G107*1000/Fuel!C43)*Heat_Balance!$D$14*Fuel!$C$14</f>
        <v>19.670788404413525</v>
      </c>
      <c r="H109" s="723" t="s">
        <v>60</v>
      </c>
      <c r="I109" s="635"/>
    </row>
    <row r="110" spans="2:11" x14ac:dyDescent="0.2">
      <c r="B110" s="802" t="s">
        <v>987</v>
      </c>
      <c r="C110" s="301">
        <v>10</v>
      </c>
      <c r="D110" s="723" t="s">
        <v>37</v>
      </c>
      <c r="F110" s="874" t="s">
        <v>802</v>
      </c>
      <c r="G110" s="1049">
        <f>100 - (G85-G107)*100/C80</f>
        <v>18.271085578630107</v>
      </c>
      <c r="H110" s="665" t="s">
        <v>37</v>
      </c>
      <c r="I110" s="635"/>
    </row>
    <row r="111" spans="2:11" x14ac:dyDescent="0.2">
      <c r="B111" s="802" t="s">
        <v>1051</v>
      </c>
      <c r="C111" s="774">
        <f>C80*Heat_Balance!D65/100</f>
        <v>0.38817844979736016</v>
      </c>
      <c r="D111" s="723" t="s">
        <v>277</v>
      </c>
      <c r="E111" s="1103"/>
      <c r="F111" s="874" t="s">
        <v>806</v>
      </c>
      <c r="G111" s="1049">
        <f>G107*100/G85</f>
        <v>10</v>
      </c>
      <c r="H111" s="665" t="s">
        <v>37</v>
      </c>
      <c r="I111" s="635"/>
    </row>
    <row r="112" spans="2:11" x14ac:dyDescent="0.2">
      <c r="B112" s="802" t="s">
        <v>1052</v>
      </c>
      <c r="C112" s="774">
        <f>C111*C137/(100-C137)/3.6</f>
        <v>5.6751235350491246E-3</v>
      </c>
      <c r="D112" s="723" t="s">
        <v>482</v>
      </c>
      <c r="E112" s="1103"/>
      <c r="F112" s="664"/>
      <c r="G112" s="301"/>
      <c r="H112" s="665"/>
      <c r="I112" s="635"/>
    </row>
    <row r="113" spans="2:12" x14ac:dyDescent="0.2">
      <c r="B113" s="664" t="s">
        <v>576</v>
      </c>
      <c r="C113" s="675">
        <f>(C111*1000/Fuel!C43)*Heat_Balance!$D$14*Fuel!$C$14</f>
        <v>23.611036022379874</v>
      </c>
      <c r="D113" s="665" t="s">
        <v>60</v>
      </c>
      <c r="E113" s="1103"/>
      <c r="F113" s="1392" t="s">
        <v>1040</v>
      </c>
      <c r="G113" s="1393"/>
      <c r="H113" s="1394"/>
      <c r="I113" s="635"/>
    </row>
    <row r="114" spans="2:12" x14ac:dyDescent="0.2">
      <c r="B114" s="874" t="s">
        <v>802</v>
      </c>
      <c r="C114" s="675">
        <f>C111*100/C80</f>
        <v>10.9</v>
      </c>
      <c r="D114" s="665" t="s">
        <v>37</v>
      </c>
      <c r="E114" s="1103"/>
      <c r="F114" s="802" t="s">
        <v>654</v>
      </c>
      <c r="G114" s="1049">
        <f>Heat_Balance!E59</f>
        <v>250.04672741979746</v>
      </c>
      <c r="H114" s="632" t="s">
        <v>28</v>
      </c>
      <c r="I114" s="635"/>
    </row>
    <row r="115" spans="2:12" x14ac:dyDescent="0.2">
      <c r="B115" s="874" t="s">
        <v>805</v>
      </c>
      <c r="C115" s="675">
        <f>100-(C80-C111)*100/$C$67</f>
        <v>19.623279941702265</v>
      </c>
      <c r="D115" s="665" t="s">
        <v>37</v>
      </c>
      <c r="E115" s="1103"/>
      <c r="F115" s="802" t="s">
        <v>513</v>
      </c>
      <c r="G115" s="1049">
        <f>Heat_Balance!E63</f>
        <v>366.63782283950786</v>
      </c>
      <c r="H115" s="632" t="s">
        <v>28</v>
      </c>
      <c r="I115" s="635"/>
    </row>
    <row r="116" spans="2:12" x14ac:dyDescent="0.2">
      <c r="B116" s="664"/>
      <c r="C116" s="301"/>
      <c r="D116" s="665"/>
      <c r="E116" s="1103"/>
      <c r="F116" s="802" t="s">
        <v>987</v>
      </c>
      <c r="G116" s="1049">
        <v>10</v>
      </c>
      <c r="H116" s="723" t="s">
        <v>37</v>
      </c>
      <c r="I116" s="635"/>
    </row>
    <row r="117" spans="2:12" x14ac:dyDescent="0.2">
      <c r="B117" s="1392" t="s">
        <v>1046</v>
      </c>
      <c r="C117" s="1393"/>
      <c r="D117" s="1394"/>
      <c r="E117" s="1103"/>
      <c r="F117" s="802" t="s">
        <v>1051</v>
      </c>
      <c r="G117" s="783">
        <f>G85*Heat_Balance!E65/100</f>
        <v>0.22961301065884826</v>
      </c>
      <c r="H117" s="723" t="s">
        <v>277</v>
      </c>
    </row>
    <row r="118" spans="2:12" x14ac:dyDescent="0.2">
      <c r="B118" s="661" t="s">
        <v>640</v>
      </c>
      <c r="C118" s="685">
        <f>Heat_Balance!E81</f>
        <v>233.6592817763858</v>
      </c>
      <c r="D118" s="723" t="s">
        <v>28</v>
      </c>
      <c r="E118" s="1103"/>
      <c r="F118" s="802" t="s">
        <v>1052</v>
      </c>
      <c r="G118" s="774">
        <f>G117*G137/(100-G137)/3.6</f>
        <v>3.3569153605094776E-3</v>
      </c>
      <c r="H118" s="723" t="s">
        <v>482</v>
      </c>
    </row>
    <row r="119" spans="2:12" x14ac:dyDescent="0.2">
      <c r="B119" s="802" t="s">
        <v>654</v>
      </c>
      <c r="C119" s="772">
        <f>Heat_Balance!D59</f>
        <v>424.20124684404408</v>
      </c>
      <c r="D119" s="723" t="s">
        <v>28</v>
      </c>
      <c r="F119" s="664" t="s">
        <v>576</v>
      </c>
      <c r="G119" s="1049">
        <f>(G117*1000/Fuel!C43)*Heat_Balance!$D$14*Fuel!$C$14</f>
        <v>13.966259767133598</v>
      </c>
      <c r="H119" s="665" t="s">
        <v>60</v>
      </c>
    </row>
    <row r="120" spans="2:12" x14ac:dyDescent="0.2">
      <c r="B120" s="802" t="s">
        <v>513</v>
      </c>
      <c r="C120" s="772">
        <f>Heat_Balance!D63</f>
        <v>631.01745428722234</v>
      </c>
      <c r="D120" s="723" t="s">
        <v>28</v>
      </c>
      <c r="F120" s="664" t="s">
        <v>799</v>
      </c>
      <c r="G120" s="1207">
        <f>G85 - G117</f>
        <v>3.0043730549587333</v>
      </c>
      <c r="H120" s="723" t="s">
        <v>277</v>
      </c>
    </row>
    <row r="121" spans="2:12" x14ac:dyDescent="0.2">
      <c r="B121" s="802" t="s">
        <v>987</v>
      </c>
      <c r="C121" s="301">
        <f>20</f>
        <v>20</v>
      </c>
      <c r="D121" s="723" t="s">
        <v>37</v>
      </c>
      <c r="F121" s="664" t="s">
        <v>1048</v>
      </c>
      <c r="G121" s="774">
        <f>G120*G137/(100-G137)/3.6</f>
        <v>4.3923582674835281E-2</v>
      </c>
      <c r="H121" s="665" t="s">
        <v>482</v>
      </c>
    </row>
    <row r="122" spans="2:12" x14ac:dyDescent="0.2">
      <c r="B122" s="802" t="s">
        <v>1051</v>
      </c>
      <c r="C122" s="774">
        <f>(C80*Heat_Balance!D65/100) + (C80*Heat_Balance!E82/100)</f>
        <v>0.6303448221480068</v>
      </c>
      <c r="D122" s="723" t="s">
        <v>277</v>
      </c>
      <c r="F122" s="874" t="s">
        <v>802</v>
      </c>
      <c r="G122" s="1049">
        <f>100 - (G85-G117)*100/C80</f>
        <v>15.637598336163748</v>
      </c>
      <c r="H122" s="665" t="s">
        <v>37</v>
      </c>
    </row>
    <row r="123" spans="2:12" x14ac:dyDescent="0.2">
      <c r="B123" s="802" t="s">
        <v>1052</v>
      </c>
      <c r="C123" s="774">
        <f>C122*C137/(100-C137)/3.6</f>
        <v>9.2155675752632563E-3</v>
      </c>
      <c r="D123" s="723" t="s">
        <v>482</v>
      </c>
      <c r="F123" s="874" t="s">
        <v>806</v>
      </c>
      <c r="G123" s="1049">
        <f>G117*100/G85</f>
        <v>7.1</v>
      </c>
      <c r="H123" s="665" t="s">
        <v>37</v>
      </c>
    </row>
    <row r="124" spans="2:12" x14ac:dyDescent="0.2">
      <c r="B124" s="664" t="s">
        <v>576</v>
      </c>
      <c r="C124" s="675">
        <f>(C122*1000/Fuel!C43)*Heat_Balance!$D$14*Fuel!$C$14</f>
        <v>38.340856660194838</v>
      </c>
      <c r="D124" s="665" t="s">
        <v>60</v>
      </c>
      <c r="F124" s="874"/>
      <c r="G124" s="1049"/>
      <c r="H124" s="665"/>
      <c r="I124" s="1164"/>
      <c r="J124" s="1164"/>
    </row>
    <row r="125" spans="2:12" ht="15" customHeight="1" x14ac:dyDescent="0.2">
      <c r="B125" s="874" t="s">
        <v>802</v>
      </c>
      <c r="C125" s="675">
        <f>C122*100/C80</f>
        <v>17.7</v>
      </c>
      <c r="D125" s="665" t="s">
        <v>37</v>
      </c>
      <c r="F125" s="1392" t="s">
        <v>804</v>
      </c>
      <c r="G125" s="1393"/>
      <c r="H125" s="1394"/>
      <c r="I125" s="1164"/>
      <c r="J125" s="1164"/>
    </row>
    <row r="126" spans="2:12" ht="15" customHeight="1" x14ac:dyDescent="0.2">
      <c r="B126" s="874" t="s">
        <v>805</v>
      </c>
      <c r="C126" s="675">
        <f>100-(C80-C122)*100/$C$67</f>
        <v>25.757530181841716</v>
      </c>
      <c r="D126" s="665" t="s">
        <v>37</v>
      </c>
      <c r="F126" s="710" t="s">
        <v>431</v>
      </c>
      <c r="G126" s="803">
        <f>Fuel!AV96</f>
        <v>100</v>
      </c>
      <c r="H126" s="665" t="s">
        <v>407</v>
      </c>
      <c r="I126" s="1164"/>
      <c r="J126" s="1164"/>
    </row>
    <row r="127" spans="2:12" x14ac:dyDescent="0.2">
      <c r="B127" s="664"/>
      <c r="C127" s="301"/>
      <c r="D127" s="665"/>
      <c r="E127" s="741"/>
      <c r="F127" s="710" t="s">
        <v>430</v>
      </c>
      <c r="G127" s="675">
        <f>Syngas!J74</f>
        <v>0.12298918745036269</v>
      </c>
      <c r="H127" s="649" t="s">
        <v>407</v>
      </c>
      <c r="I127" s="1164"/>
      <c r="J127" s="1164"/>
      <c r="K127" s="1164"/>
      <c r="L127" s="301"/>
    </row>
    <row r="128" spans="2:12" x14ac:dyDescent="0.2">
      <c r="B128" s="1392" t="s">
        <v>804</v>
      </c>
      <c r="C128" s="1393"/>
      <c r="D128" s="1394"/>
      <c r="E128" s="301"/>
      <c r="F128" s="677" t="s">
        <v>533</v>
      </c>
      <c r="G128" s="803">
        <f>G92*Heat_Balance!$D$13</f>
        <v>193.10306275746686</v>
      </c>
      <c r="H128" s="649" t="s">
        <v>400</v>
      </c>
      <c r="I128" s="1164"/>
      <c r="J128" s="1164"/>
      <c r="K128" s="698"/>
      <c r="L128" s="301"/>
    </row>
    <row r="129" spans="2:12" x14ac:dyDescent="0.2">
      <c r="B129" s="710" t="s">
        <v>431</v>
      </c>
      <c r="C129" s="803">
        <f>Fuel!AV96</f>
        <v>100</v>
      </c>
      <c r="D129" s="665" t="s">
        <v>407</v>
      </c>
      <c r="E129" s="933"/>
      <c r="F129" s="677" t="s">
        <v>895</v>
      </c>
      <c r="G129" s="803">
        <f>G128*Oxyfuel/100</f>
        <v>193.10306275746686</v>
      </c>
      <c r="H129" s="649" t="s">
        <v>400</v>
      </c>
      <c r="I129" s="1164"/>
      <c r="J129" s="1164"/>
      <c r="K129" s="301"/>
      <c r="L129" s="301"/>
    </row>
    <row r="130" spans="2:12" ht="13.5" thickBot="1" x14ac:dyDescent="0.25">
      <c r="B130" s="710" t="s">
        <v>430</v>
      </c>
      <c r="C130" s="675">
        <f>Fuel!BD105</f>
        <v>1.8046683930337076E-2</v>
      </c>
      <c r="D130" s="649" t="s">
        <v>407</v>
      </c>
      <c r="E130" s="933"/>
      <c r="F130" s="742"/>
      <c r="G130" s="743"/>
      <c r="H130" s="744"/>
      <c r="I130" s="1164"/>
      <c r="J130" s="1164"/>
      <c r="K130" s="301"/>
      <c r="L130" s="301"/>
    </row>
    <row r="131" spans="2:12" x14ac:dyDescent="0.2">
      <c r="B131" s="677" t="s">
        <v>533</v>
      </c>
      <c r="C131" s="803">
        <f>C87*Heat_Balance!$D$13</f>
        <v>212.64537491064254</v>
      </c>
      <c r="D131" s="649" t="s">
        <v>400</v>
      </c>
      <c r="E131" s="741"/>
      <c r="J131" s="301"/>
      <c r="K131" s="301"/>
      <c r="L131" s="301"/>
    </row>
    <row r="132" spans="2:12" x14ac:dyDescent="0.2">
      <c r="B132" s="677" t="s">
        <v>895</v>
      </c>
      <c r="C132" s="803">
        <f>C131*Oxyfuel/100</f>
        <v>212.64537491064254</v>
      </c>
      <c r="D132" s="649" t="s">
        <v>400</v>
      </c>
      <c r="E132" s="741"/>
      <c r="J132" s="301"/>
      <c r="K132" s="301"/>
      <c r="L132" s="301"/>
    </row>
    <row r="133" spans="2:12" ht="13.5" thickBot="1" x14ac:dyDescent="0.25">
      <c r="B133" s="742"/>
      <c r="C133" s="743"/>
      <c r="D133" s="744"/>
      <c r="E133" s="741"/>
      <c r="J133" s="301"/>
      <c r="K133" s="301"/>
      <c r="L133" s="301"/>
    </row>
    <row r="134" spans="2:12" ht="15.75" thickBot="1" x14ac:dyDescent="0.3">
      <c r="E134" s="77"/>
      <c r="I134" s="741"/>
      <c r="J134" s="301"/>
      <c r="K134" s="1164"/>
      <c r="L134" s="301"/>
    </row>
    <row r="135" spans="2:12" s="301" customFormat="1" x14ac:dyDescent="0.2">
      <c r="B135" s="1389" t="s">
        <v>535</v>
      </c>
      <c r="C135" s="1390"/>
      <c r="D135" s="1391"/>
      <c r="E135" s="419"/>
      <c r="F135" s="1389" t="s">
        <v>765</v>
      </c>
      <c r="G135" s="1390"/>
      <c r="H135" s="1391"/>
      <c r="K135" s="698"/>
    </row>
    <row r="136" spans="2:12" s="301" customFormat="1" x14ac:dyDescent="0.2">
      <c r="B136" s="872" t="s">
        <v>515</v>
      </c>
      <c r="C136" s="880">
        <v>100</v>
      </c>
      <c r="D136" s="665" t="s">
        <v>37</v>
      </c>
      <c r="E136" s="419"/>
      <c r="F136" s="872" t="s">
        <v>515</v>
      </c>
      <c r="G136" s="880">
        <f>Oxyfuel</f>
        <v>100</v>
      </c>
      <c r="H136" s="665" t="s">
        <v>37</v>
      </c>
      <c r="K136" s="1204"/>
    </row>
    <row r="137" spans="2:12" x14ac:dyDescent="0.2">
      <c r="B137" s="871" t="s">
        <v>478</v>
      </c>
      <c r="C137" s="1200">
        <f>5*(92/Ratio_NG)</f>
        <v>5</v>
      </c>
      <c r="D137" s="723" t="s">
        <v>37</v>
      </c>
      <c r="F137" s="871" t="s">
        <v>478</v>
      </c>
      <c r="G137" s="1200">
        <f>5*(92/Ratio_NG)</f>
        <v>5</v>
      </c>
      <c r="H137" s="723" t="s">
        <v>37</v>
      </c>
      <c r="J137" s="301"/>
      <c r="K137" s="301"/>
      <c r="L137" s="301"/>
    </row>
    <row r="138" spans="2:12" x14ac:dyDescent="0.2">
      <c r="B138" s="802" t="s">
        <v>615</v>
      </c>
      <c r="C138" s="798">
        <v>0</v>
      </c>
      <c r="D138" s="723" t="s">
        <v>37</v>
      </c>
      <c r="E138" s="848"/>
      <c r="F138" s="802" t="s">
        <v>615</v>
      </c>
      <c r="G138" s="798">
        <f>3.5*Losses_factor</f>
        <v>3.5</v>
      </c>
      <c r="H138" s="723" t="s">
        <v>37</v>
      </c>
      <c r="K138" s="301"/>
      <c r="L138" s="301"/>
    </row>
    <row r="139" spans="2:12" x14ac:dyDescent="0.2">
      <c r="B139" s="802" t="s">
        <v>800</v>
      </c>
      <c r="C139" s="798">
        <f>26*Losses_factor</f>
        <v>26</v>
      </c>
      <c r="D139" s="723" t="s">
        <v>37</v>
      </c>
      <c r="E139" s="814"/>
      <c r="F139" s="802" t="s">
        <v>800</v>
      </c>
      <c r="G139" s="798">
        <f>20*Losses_factor</f>
        <v>20</v>
      </c>
      <c r="H139" s="723" t="s">
        <v>37</v>
      </c>
    </row>
    <row r="140" spans="2:12" x14ac:dyDescent="0.2">
      <c r="B140" s="671"/>
      <c r="C140" s="889"/>
      <c r="D140" s="890"/>
      <c r="E140" s="848"/>
      <c r="F140" s="671"/>
      <c r="G140" s="889"/>
      <c r="H140" s="890"/>
    </row>
    <row r="141" spans="2:12" x14ac:dyDescent="0.2">
      <c r="B141" s="664" t="s">
        <v>946</v>
      </c>
      <c r="C141" s="1140">
        <f xml:space="preserve"> Energy_Balance!C81*(1-D1_Furnace!C137/100)  /  (Heat_Balance!D6*(1-Heat_Balance!D7)-(C138+C139)/100)</f>
        <v>6.9202162865049006</v>
      </c>
      <c r="D141" s="665" t="s">
        <v>277</v>
      </c>
      <c r="E141" s="635"/>
      <c r="F141" s="664" t="s">
        <v>946</v>
      </c>
      <c r="G141" s="1140">
        <f xml:space="preserve"> Energy_Balance!C81*(1-D1_Furnace!G137/100)  /  (Heat_Balance!D6*(1-Heat_Balance!D7)-(D1_Furnace!G138+D1_Furnace!G139)/100)</f>
        <v>5.7643116211881544</v>
      </c>
      <c r="H141" s="665" t="s">
        <v>277</v>
      </c>
    </row>
    <row r="142" spans="2:12" x14ac:dyDescent="0.2">
      <c r="B142" s="677" t="s">
        <v>348</v>
      </c>
      <c r="C142" s="675">
        <f>(C143-Fuel!H142)/Fuel!H141</f>
        <v>51.107488003598711</v>
      </c>
      <c r="D142" s="665" t="s">
        <v>37</v>
      </c>
      <c r="F142" s="710" t="s">
        <v>419</v>
      </c>
      <c r="G142" s="772">
        <f>C143</f>
        <v>2800</v>
      </c>
      <c r="H142" s="665" t="s">
        <v>28</v>
      </c>
      <c r="I142" s="676"/>
      <c r="K142" s="709"/>
      <c r="L142" s="741"/>
    </row>
    <row r="143" spans="2:12" x14ac:dyDescent="0.2">
      <c r="B143" s="710" t="s">
        <v>419</v>
      </c>
      <c r="C143" s="772">
        <f>VLOOKUP(Fuel!AV96, Fuel!B218:C256, 2, TRUE)</f>
        <v>2800</v>
      </c>
      <c r="D143" s="665" t="s">
        <v>28</v>
      </c>
      <c r="F143" s="664" t="s">
        <v>769</v>
      </c>
      <c r="G143" s="758">
        <f>20*Effic_factor</f>
        <v>20</v>
      </c>
      <c r="H143" s="665" t="s">
        <v>37</v>
      </c>
      <c r="K143" s="709"/>
      <c r="L143" s="670"/>
    </row>
    <row r="144" spans="2:12" x14ac:dyDescent="0.2">
      <c r="B144" s="710" t="s">
        <v>335</v>
      </c>
      <c r="C144" s="774">
        <f>( (Fuel!BB117*(C143-T.ambient))/(Heat_Balance!D8*1000))*C142/100</f>
        <v>1.9783431857074318</v>
      </c>
      <c r="D144" s="665" t="s">
        <v>277</v>
      </c>
      <c r="F144" s="664" t="s">
        <v>770</v>
      </c>
      <c r="G144" s="780">
        <f>( (Syngas!E85*(G142-T.ambient))/(((100-D1_Furnace!G137)/100)*1000))  *  (G143/100)</f>
        <v>0.72778860749381102</v>
      </c>
      <c r="H144" s="665" t="s">
        <v>277</v>
      </c>
    </row>
    <row r="145" spans="2:10" x14ac:dyDescent="0.2">
      <c r="B145" s="710" t="s">
        <v>454</v>
      </c>
      <c r="C145" s="772">
        <f>T.ambient + C144*1000/Fuel!AX116</f>
        <v>1603.2319925647178</v>
      </c>
      <c r="D145" s="665" t="s">
        <v>28</v>
      </c>
      <c r="F145" s="710" t="s">
        <v>771</v>
      </c>
      <c r="G145" s="772">
        <f>T.ambient + G144*1000/Syngas!E84</f>
        <v>609.21052631578959</v>
      </c>
      <c r="H145" s="665" t="s">
        <v>28</v>
      </c>
    </row>
    <row r="146" spans="2:10" x14ac:dyDescent="0.2">
      <c r="B146" s="1126"/>
      <c r="C146" s="1203"/>
      <c r="D146" s="1125"/>
      <c r="F146" s="664" t="s">
        <v>947</v>
      </c>
      <c r="G146" s="783">
        <f xml:space="preserve"> Syngas!K85*(G142-T.ambient)/1000</f>
        <v>3.9253852427367022</v>
      </c>
      <c r="H146" s="665" t="s">
        <v>277</v>
      </c>
    </row>
    <row r="147" spans="2:10" x14ac:dyDescent="0.2">
      <c r="B147" s="799" t="s">
        <v>641</v>
      </c>
      <c r="C147" s="794">
        <f>(C141*Fuel!AJ120+Fuel!AP121)*(C143-T.ambient)/1000</f>
        <v>3.5612701816271568</v>
      </c>
      <c r="D147" s="804" t="s">
        <v>277</v>
      </c>
      <c r="F147" s="664" t="s">
        <v>898</v>
      </c>
      <c r="G147" s="783">
        <f>G146+G148*3.6</f>
        <v>4.1319844660386336</v>
      </c>
      <c r="H147" s="665" t="s">
        <v>277</v>
      </c>
    </row>
    <row r="148" spans="2:10" x14ac:dyDescent="0.2">
      <c r="B148" s="677" t="s">
        <v>301</v>
      </c>
      <c r="C148" s="774">
        <f>C147+C149*3.6</f>
        <v>3.7487054543443756</v>
      </c>
      <c r="D148" s="649" t="s">
        <v>277</v>
      </c>
      <c r="F148" s="664" t="s">
        <v>944</v>
      </c>
      <c r="G148" s="783">
        <f>G146*G137/(100-G137)/3.6</f>
        <v>5.7388673139425472E-2</v>
      </c>
      <c r="H148" s="665" t="s">
        <v>482</v>
      </c>
    </row>
    <row r="149" spans="2:10" x14ac:dyDescent="0.2">
      <c r="B149" s="677" t="s">
        <v>663</v>
      </c>
      <c r="C149" s="774">
        <f>C147*D1_Furnace!C137/(100-D1_Furnace!C137)/3.6</f>
        <v>5.2065353532560768E-2</v>
      </c>
      <c r="D149" s="649" t="s">
        <v>482</v>
      </c>
      <c r="F149" s="664"/>
      <c r="G149" s="301"/>
      <c r="H149" s="665"/>
    </row>
    <row r="150" spans="2:10" x14ac:dyDescent="0.2">
      <c r="B150" s="664" t="s">
        <v>568</v>
      </c>
      <c r="C150" s="675">
        <f>C147*1000/Fuel!$C$43</f>
        <v>112.45287762882178</v>
      </c>
      <c r="D150" s="632" t="s">
        <v>479</v>
      </c>
      <c r="F150" s="1201" t="s">
        <v>641</v>
      </c>
      <c r="G150" s="1205">
        <f>G151*(100-G137)/100</f>
        <v>3.2339860656175814</v>
      </c>
      <c r="H150" s="1202" t="s">
        <v>277</v>
      </c>
    </row>
    <row r="151" spans="2:10" x14ac:dyDescent="0.2">
      <c r="B151" s="710" t="s">
        <v>349</v>
      </c>
      <c r="C151" s="796">
        <f>C150*Heat_Balance!D14*Fuel!$C$14</f>
        <v>216.61500937963186</v>
      </c>
      <c r="D151" s="649" t="s">
        <v>60</v>
      </c>
      <c r="F151" s="677" t="s">
        <v>301</v>
      </c>
      <c r="G151" s="780">
        <f>G147-G144</f>
        <v>3.4041958585448224</v>
      </c>
      <c r="H151" s="649" t="s">
        <v>277</v>
      </c>
    </row>
    <row r="152" spans="2:10" ht="13.5" thickBot="1" x14ac:dyDescent="0.25">
      <c r="B152" s="742"/>
      <c r="C152" s="743"/>
      <c r="D152" s="744"/>
      <c r="F152" s="677" t="s">
        <v>663</v>
      </c>
      <c r="G152" s="780">
        <f>G151*G137/100/3.6</f>
        <v>4.7280498035344759E-2</v>
      </c>
      <c r="H152" s="649" t="s">
        <v>482</v>
      </c>
    </row>
    <row r="153" spans="2:10" ht="15" x14ac:dyDescent="0.25">
      <c r="C153"/>
      <c r="D153" s="301"/>
      <c r="F153" s="664" t="s">
        <v>568</v>
      </c>
      <c r="G153" s="796">
        <f>G150*1000/Fuel!C43</f>
        <v>102.11835124625284</v>
      </c>
      <c r="H153" s="632" t="s">
        <v>479</v>
      </c>
    </row>
    <row r="154" spans="2:10" ht="15.75" thickBot="1" x14ac:dyDescent="0.3">
      <c r="C154"/>
      <c r="D154" s="301"/>
      <c r="F154" s="789" t="s">
        <v>349</v>
      </c>
      <c r="G154" s="1101">
        <f>G153*Heat_Balance!D14*Fuel!$C$14</f>
        <v>196.7078840441352</v>
      </c>
      <c r="H154" s="1102" t="s">
        <v>60</v>
      </c>
    </row>
    <row r="155" spans="2:10" ht="15" x14ac:dyDescent="0.25">
      <c r="C155"/>
      <c r="D155" s="301"/>
    </row>
    <row r="157" spans="2:10" ht="21" x14ac:dyDescent="0.35">
      <c r="B157" s="1" t="s">
        <v>549</v>
      </c>
      <c r="J157" s="635"/>
    </row>
    <row r="158" spans="2:10" ht="13.5" thickBot="1" x14ac:dyDescent="0.25">
      <c r="I158" s="1058"/>
    </row>
    <row r="159" spans="2:10" x14ac:dyDescent="0.2">
      <c r="B159" s="1395" t="s">
        <v>670</v>
      </c>
      <c r="C159" s="1396"/>
      <c r="D159" s="1397"/>
      <c r="F159" s="891" t="s">
        <v>959</v>
      </c>
    </row>
    <row r="160" spans="2:10" x14ac:dyDescent="0.2">
      <c r="B160" s="643" t="s">
        <v>629</v>
      </c>
      <c r="C160" s="1216">
        <f>C184*100/(100-C183) - C165</f>
        <v>4.1068020244821062</v>
      </c>
      <c r="D160" s="1215" t="s">
        <v>277</v>
      </c>
      <c r="E160" s="635"/>
      <c r="F160" s="891" t="s">
        <v>912</v>
      </c>
      <c r="I160" s="676"/>
      <c r="J160" s="676"/>
    </row>
    <row r="161" spans="2:12" x14ac:dyDescent="0.2">
      <c r="B161" s="664"/>
      <c r="C161" s="774">
        <f>C160/3.6</f>
        <v>1.1407783401339184</v>
      </c>
      <c r="D161" s="665" t="s">
        <v>482</v>
      </c>
      <c r="I161" s="676"/>
      <c r="J161" s="780"/>
    </row>
    <row r="162" spans="2:12" x14ac:dyDescent="0.2">
      <c r="B162" s="710" t="s">
        <v>505</v>
      </c>
      <c r="C162" s="638">
        <f xml:space="preserve"> 100</f>
        <v>100</v>
      </c>
      <c r="D162" s="665" t="s">
        <v>37</v>
      </c>
      <c r="F162" s="1406" t="s">
        <v>87</v>
      </c>
      <c r="G162" s="1407"/>
      <c r="H162" s="1407"/>
      <c r="I162" s="1408"/>
      <c r="J162" s="1186" t="s">
        <v>910</v>
      </c>
      <c r="K162" s="1176" t="s">
        <v>13</v>
      </c>
      <c r="L162" s="1176" t="s">
        <v>845</v>
      </c>
    </row>
    <row r="163" spans="2:12" x14ac:dyDescent="0.2">
      <c r="B163" s="659" t="s">
        <v>590</v>
      </c>
      <c r="C163" s="660">
        <f>Melt*(C162/100)</f>
        <v>1</v>
      </c>
      <c r="D163" s="665" t="s">
        <v>101</v>
      </c>
      <c r="F163" s="1156">
        <f>(H163*3.6)*Melt</f>
        <v>2.84</v>
      </c>
      <c r="G163" s="1157" t="s">
        <v>843</v>
      </c>
      <c r="H163" s="1158">
        <f>(710/(0.9*1000))</f>
        <v>0.78888888888888886</v>
      </c>
      <c r="I163" s="1159" t="s">
        <v>842</v>
      </c>
      <c r="J163" s="1012">
        <v>160</v>
      </c>
      <c r="K163" s="1013" t="s">
        <v>841</v>
      </c>
      <c r="L163" s="1168">
        <f>H163/J163</f>
        <v>4.9305555555555552E-3</v>
      </c>
    </row>
    <row r="164" spans="2:12" x14ac:dyDescent="0.2">
      <c r="B164" s="659" t="s">
        <v>913</v>
      </c>
      <c r="C164" s="638">
        <f>50*(1+Cullet_factor)/2</f>
        <v>50</v>
      </c>
      <c r="D164" s="665" t="s">
        <v>37</v>
      </c>
      <c r="F164" s="1160">
        <f>(H164*3.6)*Melt</f>
        <v>3.0555555555555554</v>
      </c>
      <c r="G164" s="1161" t="s">
        <v>843</v>
      </c>
      <c r="H164" s="698">
        <f>(2.75/0.9)/3.6</f>
        <v>0.84876543209876532</v>
      </c>
      <c r="I164" s="709" t="s">
        <v>842</v>
      </c>
      <c r="J164" s="1012">
        <v>200</v>
      </c>
      <c r="K164" s="1013" t="s">
        <v>841</v>
      </c>
      <c r="L164" s="1168">
        <f>H164/J164</f>
        <v>4.2438271604938269E-3</v>
      </c>
    </row>
    <row r="165" spans="2:12" x14ac:dyDescent="0.2">
      <c r="B165" s="1126" t="s">
        <v>955</v>
      </c>
      <c r="C165" s="1124">
        <f>((C164-50)/10)*('2.Melting&amp;Fining'!F25/100)</f>
        <v>0</v>
      </c>
      <c r="D165" s="1125" t="s">
        <v>277</v>
      </c>
      <c r="F165" s="1162">
        <f>(H165*3.6)*Melt</f>
        <v>3.37</v>
      </c>
      <c r="G165" s="1163" t="s">
        <v>843</v>
      </c>
      <c r="H165" s="1164">
        <f>J165*L165</f>
        <v>0.93611111111111112</v>
      </c>
      <c r="I165" s="1163" t="s">
        <v>842</v>
      </c>
      <c r="J165" s="1152">
        <v>240</v>
      </c>
      <c r="K165" s="1153" t="s">
        <v>841</v>
      </c>
      <c r="L165" s="1169">
        <f>L164 - (L163-L164)/2</f>
        <v>3.9004629629629628E-3</v>
      </c>
    </row>
    <row r="166" spans="2:12" x14ac:dyDescent="0.2">
      <c r="B166" s="664" t="s">
        <v>891</v>
      </c>
      <c r="C166" s="775">
        <f>(C182-C160)*100/C182</f>
        <v>6.4881025265306982E-14</v>
      </c>
      <c r="D166" s="665" t="s">
        <v>37</v>
      </c>
      <c r="F166" s="1162">
        <f>(H166*3.6)*Melt</f>
        <v>3.8162962962962963</v>
      </c>
      <c r="G166" s="1163" t="s">
        <v>843</v>
      </c>
      <c r="H166" s="1164">
        <f>J166*L166</f>
        <v>1.0600823045267489</v>
      </c>
      <c r="I166" s="1163" t="s">
        <v>842</v>
      </c>
      <c r="J166" s="1152">
        <f>280</f>
        <v>280</v>
      </c>
      <c r="K166" s="1153" t="s">
        <v>841</v>
      </c>
      <c r="L166" s="1169">
        <f>L165 - (L164-L165)/3</f>
        <v>3.7860082304526747E-3</v>
      </c>
    </row>
    <row r="167" spans="2:12" x14ac:dyDescent="0.2">
      <c r="B167" s="710" t="s">
        <v>349</v>
      </c>
      <c r="C167" s="675">
        <f>Mass_Balance!E57*1000</f>
        <v>36.000541796255419</v>
      </c>
      <c r="D167" s="665" t="s">
        <v>60</v>
      </c>
      <c r="F167" s="1165">
        <f>(H167*3.6)*Melt</f>
        <v>4.0579861111111111</v>
      </c>
      <c r="G167" s="1166" t="s">
        <v>843</v>
      </c>
      <c r="H167" s="1167">
        <f>J167*L167</f>
        <v>1.1272183641975309</v>
      </c>
      <c r="I167" s="1166" t="s">
        <v>842</v>
      </c>
      <c r="J167" s="1154">
        <v>300</v>
      </c>
      <c r="K167" s="1155" t="s">
        <v>841</v>
      </c>
      <c r="L167" s="1170">
        <f>L166 - (L165-L166)/4</f>
        <v>3.7573945473251026E-3</v>
      </c>
    </row>
    <row r="168" spans="2:12" x14ac:dyDescent="0.2">
      <c r="B168" s="677" t="s">
        <v>350</v>
      </c>
      <c r="C168" s="675">
        <f>C161*1000*'2.Melting&amp;Fining'!$F$38</f>
        <v>570.3891700669592</v>
      </c>
      <c r="D168" s="665" t="s">
        <v>60</v>
      </c>
      <c r="F168" s="1086"/>
      <c r="G168" s="931"/>
      <c r="H168" s="1086"/>
      <c r="I168" s="931"/>
      <c r="J168" s="931"/>
      <c r="K168" s="931"/>
      <c r="L168" s="1085"/>
    </row>
    <row r="169" spans="2:12" x14ac:dyDescent="0.2">
      <c r="B169" s="677" t="s">
        <v>363</v>
      </c>
      <c r="C169" s="697">
        <f>C167/(Melt*1000)</f>
        <v>3.600054179625542E-2</v>
      </c>
      <c r="D169" s="691" t="s">
        <v>140</v>
      </c>
    </row>
    <row r="170" spans="2:12" x14ac:dyDescent="0.2">
      <c r="B170" s="677" t="s">
        <v>364</v>
      </c>
      <c r="C170" s="697">
        <f>(C167+C168)/(Melt*1000)</f>
        <v>0.60638971186321466</v>
      </c>
      <c r="D170" s="649" t="s">
        <v>140</v>
      </c>
      <c r="F170" s="419" t="s">
        <v>911</v>
      </c>
      <c r="G170" s="1151">
        <f>AVERAGE(F163:F167)</f>
        <v>3.427967592592593</v>
      </c>
      <c r="H170" s="897" t="s">
        <v>843</v>
      </c>
      <c r="I170" s="897">
        <f>AVERAGE(J163:J167)</f>
        <v>236</v>
      </c>
      <c r="J170" s="849" t="s">
        <v>841</v>
      </c>
    </row>
    <row r="171" spans="2:12" x14ac:dyDescent="0.2">
      <c r="B171" s="664"/>
      <c r="C171" s="301"/>
      <c r="D171" s="665"/>
      <c r="G171" s="1177">
        <f>G170/I170</f>
        <v>1.4525286409290648E-2</v>
      </c>
      <c r="H171" s="1178" t="s">
        <v>843</v>
      </c>
      <c r="I171" s="705">
        <v>1</v>
      </c>
      <c r="J171" s="921" t="s">
        <v>841</v>
      </c>
    </row>
    <row r="172" spans="2:12" x14ac:dyDescent="0.2">
      <c r="B172" s="1392" t="s">
        <v>917</v>
      </c>
      <c r="C172" s="1393"/>
      <c r="D172" s="1394"/>
    </row>
    <row r="173" spans="2:12" x14ac:dyDescent="0.2">
      <c r="B173" s="677" t="s">
        <v>807</v>
      </c>
      <c r="C173" s="1067" t="s">
        <v>56</v>
      </c>
      <c r="D173" s="665"/>
      <c r="F173" s="1171">
        <f>(J165-J164)*G171 +F164</f>
        <v>3.6365670119271813</v>
      </c>
      <c r="G173" s="1172" t="s">
        <v>843</v>
      </c>
      <c r="H173" s="1173">
        <f>F173/3.6</f>
        <v>1.0101575033131058</v>
      </c>
      <c r="I173" s="1159" t="s">
        <v>842</v>
      </c>
      <c r="J173" s="1157">
        <v>240</v>
      </c>
      <c r="K173" s="1179" t="s">
        <v>841</v>
      </c>
    </row>
    <row r="174" spans="2:12" x14ac:dyDescent="0.2">
      <c r="B174" s="661" t="s">
        <v>640</v>
      </c>
      <c r="C174" s="1224" t="str">
        <f>IF(C186&lt;1.2, "Too low Qflue", IF(FlagBatch_3="N", "Not applicable", Heat_Balance!C81))</f>
        <v>Too low Qflue</v>
      </c>
      <c r="D174" s="665" t="s">
        <v>28</v>
      </c>
      <c r="F174" s="1174">
        <f>(J166-J165)*G171 +F165</f>
        <v>3.9510114563716261</v>
      </c>
      <c r="G174" s="1163" t="s">
        <v>843</v>
      </c>
      <c r="H174" s="1175">
        <f>F174/3.6</f>
        <v>1.0975031823254517</v>
      </c>
      <c r="I174" s="709" t="s">
        <v>842</v>
      </c>
      <c r="J174" s="1161">
        <f>280</f>
        <v>280</v>
      </c>
      <c r="K174" s="1180" t="s">
        <v>841</v>
      </c>
    </row>
    <row r="175" spans="2:12" x14ac:dyDescent="0.2">
      <c r="B175" s="802" t="s">
        <v>987</v>
      </c>
      <c r="C175" s="302" t="str">
        <f>IF(FlagBatch_3="y", 10, "Not applicable")</f>
        <v>Not applicable</v>
      </c>
      <c r="D175" s="665" t="s">
        <v>37</v>
      </c>
      <c r="F175" s="1165">
        <f>(J167-J166)*G171 +F166</f>
        <v>4.1068020244821088</v>
      </c>
      <c r="G175" s="1166" t="s">
        <v>843</v>
      </c>
      <c r="H175" s="1166">
        <f>F175/3.6</f>
        <v>1.1407783401339191</v>
      </c>
      <c r="I175" s="1166" t="s">
        <v>842</v>
      </c>
      <c r="J175" s="1166">
        <v>300</v>
      </c>
      <c r="K175" s="1155" t="s">
        <v>841</v>
      </c>
    </row>
    <row r="176" spans="2:12" x14ac:dyDescent="0.2">
      <c r="B176" s="874" t="s">
        <v>915</v>
      </c>
      <c r="C176" s="763" t="str">
        <f>IF(FlagBatch_3="y", C160*Heat_Balance!C82/100, "Not applicable")</f>
        <v>Not applicable</v>
      </c>
      <c r="D176" s="665" t="s">
        <v>277</v>
      </c>
    </row>
    <row r="177" spans="2:8" x14ac:dyDescent="0.2">
      <c r="B177" s="664" t="s">
        <v>914</v>
      </c>
      <c r="C177" s="697" t="str">
        <f>IF(FlagBatch_3="y", (C176/3.6)*1000*'2.Melting&amp;Fining'!$F$38, "Not applicable")</f>
        <v>Not applicable</v>
      </c>
      <c r="D177" s="665" t="s">
        <v>60</v>
      </c>
    </row>
    <row r="178" spans="2:8" x14ac:dyDescent="0.2">
      <c r="B178" s="874" t="s">
        <v>916</v>
      </c>
      <c r="C178" s="697" t="str">
        <f>IF(FlagBatch_3="y", 100-(C160-C176)*100/$C$67, "Not applicable")</f>
        <v>Not applicable</v>
      </c>
      <c r="D178" s="665" t="s">
        <v>37</v>
      </c>
    </row>
    <row r="179" spans="2:8" ht="13.5" thickBot="1" x14ac:dyDescent="0.25">
      <c r="B179" s="742"/>
      <c r="C179" s="743"/>
      <c r="D179" s="744"/>
      <c r="G179" s="1058"/>
      <c r="H179" s="1058"/>
    </row>
    <row r="180" spans="2:8" ht="13.5" thickBot="1" x14ac:dyDescent="0.25"/>
    <row r="181" spans="2:8" ht="15" customHeight="1" x14ac:dyDescent="0.2">
      <c r="B181" s="1389" t="s">
        <v>534</v>
      </c>
      <c r="C181" s="1390"/>
      <c r="D181" s="1391"/>
      <c r="F181" s="931"/>
    </row>
    <row r="182" spans="2:8" ht="15" customHeight="1" x14ac:dyDescent="0.2">
      <c r="B182" s="643" t="s">
        <v>629</v>
      </c>
      <c r="C182" s="1217">
        <f>F175</f>
        <v>4.1068020244821088</v>
      </c>
      <c r="D182" s="1218" t="s">
        <v>277</v>
      </c>
      <c r="E182" s="935" t="s">
        <v>179</v>
      </c>
    </row>
    <row r="183" spans="2:8" x14ac:dyDescent="0.2">
      <c r="B183" s="677" t="s">
        <v>908</v>
      </c>
      <c r="C183" s="1221">
        <f>15*Losses_factor</f>
        <v>15</v>
      </c>
      <c r="D183" s="649" t="s">
        <v>37</v>
      </c>
      <c r="E183" s="741"/>
    </row>
    <row r="184" spans="2:8" x14ac:dyDescent="0.2">
      <c r="B184" s="1213" t="s">
        <v>954</v>
      </c>
      <c r="C184" s="676">
        <v>3.4907817208097902</v>
      </c>
      <c r="D184" s="649" t="s">
        <v>277</v>
      </c>
      <c r="E184" s="635"/>
    </row>
    <row r="185" spans="2:8" x14ac:dyDescent="0.2">
      <c r="B185" s="710" t="s">
        <v>844</v>
      </c>
      <c r="C185" s="1001">
        <f>'2.Melting&amp;Fining'!F13</f>
        <v>1350</v>
      </c>
      <c r="D185" s="665" t="s">
        <v>28</v>
      </c>
      <c r="E185" s="635"/>
    </row>
    <row r="186" spans="2:8" x14ac:dyDescent="0.2">
      <c r="B186" s="710" t="s">
        <v>335</v>
      </c>
      <c r="C186" s="780">
        <f>(Mass_Balance!E57*1000*Fuel!K31 + Mass_Balance!E56*1000*Fuel!K30 + Mass_Balance!E55*1000*Fuel!K34)*(C185 - T.ambient)/1000000</f>
        <v>5.4205613776324643E-2</v>
      </c>
      <c r="D186" s="649" t="s">
        <v>277</v>
      </c>
    </row>
    <row r="187" spans="2:8" ht="13.5" thickBot="1" x14ac:dyDescent="0.25">
      <c r="B187" s="789"/>
      <c r="C187" s="743"/>
      <c r="D187" s="744"/>
    </row>
    <row r="193" spans="2:15" x14ac:dyDescent="0.2">
      <c r="B193" s="1388" t="s">
        <v>360</v>
      </c>
      <c r="C193" s="1388"/>
      <c r="D193" s="1388"/>
      <c r="E193" s="1388"/>
      <c r="F193" s="1388"/>
      <c r="G193" s="1388"/>
      <c r="H193" s="1388"/>
      <c r="I193" s="1388"/>
      <c r="J193" s="1388"/>
      <c r="K193" s="1388"/>
      <c r="L193" s="1388"/>
      <c r="M193" s="1388"/>
      <c r="N193" s="1388"/>
      <c r="O193" s="1388"/>
    </row>
    <row r="196" spans="2:15" ht="15" x14ac:dyDescent="0.25">
      <c r="B196" s="523" t="s">
        <v>961</v>
      </c>
      <c r="E196" s="709"/>
      <c r="F196" s="807"/>
      <c r="G196" s="807"/>
    </row>
    <row r="198" spans="2:15" x14ac:dyDescent="0.2">
      <c r="C198" s="808" t="s">
        <v>101</v>
      </c>
      <c r="D198" s="809" t="s">
        <v>482</v>
      </c>
      <c r="E198" s="809" t="s">
        <v>277</v>
      </c>
      <c r="F198" s="809" t="s">
        <v>37</v>
      </c>
      <c r="G198" s="810" t="s">
        <v>309</v>
      </c>
      <c r="H198" s="811" t="s">
        <v>504</v>
      </c>
    </row>
    <row r="199" spans="2:15" x14ac:dyDescent="0.2">
      <c r="C199" s="812">
        <v>1</v>
      </c>
      <c r="D199" s="698">
        <v>9.1870899307344892E-2</v>
      </c>
      <c r="E199" s="698">
        <f>$D199*3.6</f>
        <v>0.33073523750644163</v>
      </c>
      <c r="F199" s="709">
        <v>8</v>
      </c>
      <c r="G199" s="813">
        <f>$D199*3.6*100/$F199</f>
        <v>4.1341904688305204</v>
      </c>
      <c r="H199" s="814">
        <v>100</v>
      </c>
    </row>
    <row r="200" spans="2:15" x14ac:dyDescent="0.2">
      <c r="B200" s="815" t="s">
        <v>525</v>
      </c>
      <c r="C200" s="812">
        <v>2</v>
      </c>
      <c r="D200" s="698">
        <v>0.18374179861468978</v>
      </c>
      <c r="E200" s="698">
        <f>$D200*3.6</f>
        <v>0.66147047501288325</v>
      </c>
      <c r="F200" s="709">
        <v>8</v>
      </c>
      <c r="G200" s="813">
        <f>$D200*3.6*100/$F200</f>
        <v>8.2683809376610409</v>
      </c>
      <c r="H200" s="814">
        <v>100</v>
      </c>
    </row>
    <row r="201" spans="2:15" x14ac:dyDescent="0.2">
      <c r="B201" s="805"/>
      <c r="C201" s="812">
        <v>3</v>
      </c>
      <c r="D201" s="698">
        <f>C201*D199</f>
        <v>0.27561269792203469</v>
      </c>
      <c r="E201" s="698">
        <f>$D201*3.6</f>
        <v>0.99220571251932488</v>
      </c>
      <c r="F201" s="709">
        <v>8</v>
      </c>
      <c r="G201" s="813">
        <f>$D201*3.6*100/$F201</f>
        <v>12.40257140649156</v>
      </c>
      <c r="H201" s="814">
        <v>100</v>
      </c>
    </row>
    <row r="202" spans="2:15" x14ac:dyDescent="0.2">
      <c r="B202" s="805"/>
      <c r="C202" s="816">
        <v>200</v>
      </c>
      <c r="D202" s="817">
        <f>C202*D199</f>
        <v>18.374179861468978</v>
      </c>
      <c r="E202" s="817">
        <f>$D202*3.6</f>
        <v>66.147047501288327</v>
      </c>
      <c r="F202" s="818">
        <v>8</v>
      </c>
      <c r="G202" s="819">
        <f>$D202*3.6*100/$F202</f>
        <v>826.83809376610407</v>
      </c>
      <c r="H202" s="814">
        <v>100</v>
      </c>
    </row>
    <row r="203" spans="2:15" x14ac:dyDescent="0.2">
      <c r="B203" s="678" t="s">
        <v>588</v>
      </c>
      <c r="C203" s="820">
        <v>201</v>
      </c>
      <c r="D203" s="821">
        <f>D202+'2.Melting&amp;Fining'!F30*(C203-C202)</f>
        <v>18.772579861468977</v>
      </c>
      <c r="E203" s="821">
        <f>$D203*3.6</f>
        <v>67.581287501288315</v>
      </c>
      <c r="F203" s="822">
        <f>E203*100/G203</f>
        <v>8.1593076028509</v>
      </c>
      <c r="G203" s="823">
        <f>G202+'2.Melting&amp;Fining'!F30*3.6*(C203-C202)</f>
        <v>828.27233376610411</v>
      </c>
      <c r="H203" s="824">
        <f>H202*(C203/C202)</f>
        <v>100.49999999999999</v>
      </c>
    </row>
    <row r="204" spans="2:15" x14ac:dyDescent="0.2">
      <c r="B204" s="678" t="s">
        <v>589</v>
      </c>
      <c r="C204" s="825">
        <v>250</v>
      </c>
      <c r="D204" s="826">
        <f>D202+'2.Melting&amp;Fining'!F30*(C204-C202)</f>
        <v>38.294179861468976</v>
      </c>
      <c r="E204" s="827">
        <f>D204*3.6</f>
        <v>137.85904750128833</v>
      </c>
      <c r="F204" s="828">
        <f>E204*100/G204</f>
        <v>15.342388638954787</v>
      </c>
      <c r="G204" s="829">
        <f>G202+'2.Melting&amp;Fining'!F30*3.6*(C204-C202)</f>
        <v>898.55009376610406</v>
      </c>
      <c r="H204" s="824">
        <f>H202*(C204/C202)</f>
        <v>125</v>
      </c>
    </row>
    <row r="205" spans="2:15" x14ac:dyDescent="0.2">
      <c r="B205" s="805" t="s">
        <v>958</v>
      </c>
      <c r="C205" s="830">
        <f>C202+C209</f>
        <v>250</v>
      </c>
      <c r="D205" s="831">
        <f>D202+C209*C208</f>
        <v>38.294179861468976</v>
      </c>
      <c r="E205" s="832"/>
      <c r="F205" s="833">
        <f>(D205*3.6)*100/G205</f>
        <v>15.342388638954787</v>
      </c>
      <c r="G205" s="834">
        <f>G202+C208*3.6*C209</f>
        <v>898.55009376610406</v>
      </c>
      <c r="H205" s="824">
        <f>H202*(C205/C202)  * VLOOKUP(C207,  Fuel!E218:'Fuel'!F256, 2, TRUE)/100</f>
        <v>125</v>
      </c>
    </row>
    <row r="206" spans="2:15" x14ac:dyDescent="0.2">
      <c r="D206" s="741"/>
      <c r="F206" s="301"/>
    </row>
    <row r="207" spans="2:15" x14ac:dyDescent="0.2">
      <c r="B207" s="805" t="s">
        <v>596</v>
      </c>
      <c r="C207" s="835">
        <v>20.95</v>
      </c>
      <c r="D207" s="301" t="s">
        <v>37</v>
      </c>
      <c r="E207" s="301"/>
      <c r="F207" s="301"/>
      <c r="G207" s="301"/>
      <c r="H207" s="301"/>
    </row>
    <row r="208" spans="2:15" x14ac:dyDescent="0.2">
      <c r="B208" s="805" t="s">
        <v>953</v>
      </c>
      <c r="C208" s="835">
        <f>Boost_to_Pull</f>
        <v>0.39840000000000003</v>
      </c>
      <c r="D208" s="301" t="s">
        <v>524</v>
      </c>
    </row>
    <row r="209" spans="2:14" x14ac:dyDescent="0.2">
      <c r="B209" s="797" t="s">
        <v>594</v>
      </c>
      <c r="C209" s="836">
        <v>50</v>
      </c>
      <c r="D209" s="419" t="s">
        <v>101</v>
      </c>
    </row>
    <row r="212" spans="2:14" x14ac:dyDescent="0.2">
      <c r="B212" s="644"/>
    </row>
    <row r="213" spans="2:14" ht="15" x14ac:dyDescent="0.25">
      <c r="B213" s="1225" t="s">
        <v>962</v>
      </c>
    </row>
    <row r="214" spans="2:14" x14ac:dyDescent="0.2">
      <c r="B214" s="634"/>
      <c r="C214" s="678"/>
      <c r="D214" s="679"/>
    </row>
    <row r="215" spans="2:14" x14ac:dyDescent="0.2">
      <c r="B215" s="681"/>
      <c r="C215" s="678"/>
      <c r="H215" s="636" t="s">
        <v>630</v>
      </c>
    </row>
    <row r="216" spans="2:14" x14ac:dyDescent="0.2">
      <c r="B216" s="681"/>
      <c r="G216" s="636"/>
    </row>
    <row r="217" spans="2:14" x14ac:dyDescent="0.2">
      <c r="B217" s="682"/>
      <c r="H217" s="683" t="s">
        <v>176</v>
      </c>
      <c r="I217" s="684">
        <v>300</v>
      </c>
    </row>
    <row r="218" spans="2:14" x14ac:dyDescent="0.2">
      <c r="B218" s="662"/>
      <c r="H218" s="683" t="s">
        <v>608</v>
      </c>
      <c r="I218" s="687">
        <f>24*3.6/1000</f>
        <v>8.6400000000000005E-2</v>
      </c>
    </row>
    <row r="219" spans="2:14" x14ac:dyDescent="0.2">
      <c r="B219" s="662"/>
      <c r="H219" s="688" t="s">
        <v>619</v>
      </c>
      <c r="I219" s="689">
        <f>K237/SUM(K231:K234)</f>
        <v>0.61006695168185843</v>
      </c>
    </row>
    <row r="220" spans="2:14" x14ac:dyDescent="0.2">
      <c r="B220" s="644"/>
    </row>
    <row r="221" spans="2:14" x14ac:dyDescent="0.2">
      <c r="B221" s="701"/>
    </row>
    <row r="222" spans="2:14" x14ac:dyDescent="0.2">
      <c r="B222" s="701"/>
      <c r="H222" s="876"/>
      <c r="I222" s="877" t="s">
        <v>37</v>
      </c>
      <c r="J222" s="877" t="s">
        <v>600</v>
      </c>
      <c r="K222" s="877" t="s">
        <v>277</v>
      </c>
      <c r="L222" s="878" t="s">
        <v>135</v>
      </c>
      <c r="M222" s="879" t="s">
        <v>612</v>
      </c>
      <c r="N222" s="639"/>
    </row>
    <row r="223" spans="2:14" x14ac:dyDescent="0.2">
      <c r="B223" s="682"/>
      <c r="H223" s="695" t="s">
        <v>90</v>
      </c>
      <c r="I223" s="696">
        <f>SUM(I224:I225)</f>
        <v>100</v>
      </c>
      <c r="J223" s="302">
        <f>SUM(J224:J225)</f>
        <v>13981</v>
      </c>
      <c r="K223" s="697">
        <f>J223*KW_GJ</f>
        <v>1207.9584</v>
      </c>
      <c r="L223" s="698">
        <f>K223/$I$217</f>
        <v>4.0265279999999999</v>
      </c>
      <c r="M223" s="699">
        <f>D1_Furnace!C68</f>
        <v>4.2910593384344615</v>
      </c>
    </row>
    <row r="224" spans="2:14" x14ac:dyDescent="0.2">
      <c r="B224" s="644"/>
      <c r="H224" s="702" t="s">
        <v>87</v>
      </c>
      <c r="I224" s="696">
        <f>J224*100/SUM(J224:J225)</f>
        <v>5.3644231456977325</v>
      </c>
      <c r="J224" s="302">
        <v>750</v>
      </c>
      <c r="K224" s="697">
        <f>J224*KW_GJ</f>
        <v>64.8</v>
      </c>
      <c r="L224" s="698">
        <f>K224/$I$217</f>
        <v>0.216</v>
      </c>
      <c r="M224" s="699">
        <f>C69*3.6</f>
        <v>0.34328474707475692</v>
      </c>
    </row>
    <row r="225" spans="2:15" x14ac:dyDescent="0.2">
      <c r="B225" s="644"/>
      <c r="H225" s="703" t="s">
        <v>3</v>
      </c>
      <c r="I225" s="704">
        <f>J225*100/SUM(J224:J225)</f>
        <v>94.635576854302272</v>
      </c>
      <c r="J225" s="705">
        <v>13231</v>
      </c>
      <c r="K225" s="706">
        <f>J225*KW_GJ</f>
        <v>1143.1584</v>
      </c>
      <c r="L225" s="707">
        <f>K225/$I$217</f>
        <v>3.8105280000000001</v>
      </c>
      <c r="M225" s="708">
        <f>C67</f>
        <v>3.9477745913597047</v>
      </c>
    </row>
    <row r="226" spans="2:15" x14ac:dyDescent="0.2">
      <c r="B226" s="644"/>
      <c r="H226" s="301"/>
      <c r="I226" s="696"/>
      <c r="J226" s="301"/>
      <c r="K226" s="675"/>
      <c r="L226" s="698"/>
      <c r="M226" s="709"/>
    </row>
    <row r="227" spans="2:15" x14ac:dyDescent="0.2">
      <c r="B227" s="644"/>
      <c r="H227" s="711" t="s">
        <v>601</v>
      </c>
      <c r="I227" s="712">
        <f>K227*100/(K223+K237)</f>
        <v>27.40438173041218</v>
      </c>
      <c r="J227" s="713">
        <v>5904</v>
      </c>
      <c r="K227" s="714">
        <f>J227*KW_GJ</f>
        <v>510.10560000000004</v>
      </c>
      <c r="L227" s="715">
        <f>K227/$I$217</f>
        <v>1.7003520000000001</v>
      </c>
      <c r="M227" s="716">
        <f>Energy_Balance!C63</f>
        <v>0.90476294073518382</v>
      </c>
    </row>
    <row r="228" spans="2:15" x14ac:dyDescent="0.2">
      <c r="B228" s="673"/>
      <c r="C228" s="639"/>
      <c r="D228" s="639"/>
      <c r="E228" s="639"/>
      <c r="F228" s="639"/>
      <c r="G228" s="639"/>
      <c r="H228" s="702" t="s">
        <v>602</v>
      </c>
      <c r="I228" s="696"/>
      <c r="J228" s="302">
        <v>803</v>
      </c>
      <c r="K228" s="697">
        <f>J228*KW_GJ</f>
        <v>69.379199999999997</v>
      </c>
      <c r="L228" s="698">
        <f>K228/$I$217</f>
        <v>0.231264</v>
      </c>
      <c r="M228" s="699">
        <f>-Energy_Balance!C53</f>
        <v>0.62550232954974161</v>
      </c>
    </row>
    <row r="229" spans="2:15" x14ac:dyDescent="0.2">
      <c r="B229" s="875"/>
      <c r="C229" s="635"/>
      <c r="D229" s="635"/>
      <c r="E229" s="635"/>
      <c r="F229" s="635"/>
      <c r="G229" s="635"/>
      <c r="H229" s="717" t="s">
        <v>603</v>
      </c>
      <c r="I229" s="718">
        <f>K229*100/(K223+K237)</f>
        <v>11.613442257705161</v>
      </c>
      <c r="J229" s="719">
        <v>2502</v>
      </c>
      <c r="K229" s="720">
        <f>J229*KW_GJ</f>
        <v>216.17280000000002</v>
      </c>
      <c r="L229" s="721">
        <f>K229/$I$217</f>
        <v>0.72057600000000011</v>
      </c>
      <c r="M229" s="722">
        <f>Heat_Balance!D11*(D1_Furnace!C68+D1_Furnace!C24)/100</f>
        <v>1.9873801337604926</v>
      </c>
      <c r="N229" s="676"/>
      <c r="O229" s="730"/>
    </row>
    <row r="230" spans="2:15" x14ac:dyDescent="0.2">
      <c r="B230" s="730"/>
      <c r="N230" s="676"/>
      <c r="O230" s="730"/>
    </row>
    <row r="231" spans="2:15" x14ac:dyDescent="0.2">
      <c r="B231" s="682"/>
      <c r="H231" s="881" t="s">
        <v>604</v>
      </c>
      <c r="I231" s="882"/>
      <c r="J231" s="883">
        <v>387</v>
      </c>
      <c r="K231" s="884">
        <f>J231*KW_GJ</f>
        <v>33.436800000000005</v>
      </c>
      <c r="L231" s="885">
        <f>K231/$I$217</f>
        <v>0.11145600000000001</v>
      </c>
      <c r="M231" s="886">
        <f>C22</f>
        <v>5.6995588841441771</v>
      </c>
      <c r="N231" s="635"/>
      <c r="O231" s="1032"/>
    </row>
    <row r="232" spans="2:15" x14ac:dyDescent="0.2">
      <c r="B232" s="644"/>
      <c r="H232" s="725" t="s">
        <v>605</v>
      </c>
      <c r="I232" s="726"/>
      <c r="J232" s="727">
        <v>300</v>
      </c>
      <c r="K232" s="728">
        <f>J232*KW_GJ</f>
        <v>25.92</v>
      </c>
      <c r="L232" s="729">
        <f>K232/$I$217</f>
        <v>8.6400000000000005E-2</v>
      </c>
      <c r="M232" s="869"/>
      <c r="N232" s="639"/>
      <c r="O232" s="1032"/>
    </row>
    <row r="233" spans="2:15" x14ac:dyDescent="0.2">
      <c r="B233" s="730"/>
      <c r="H233" s="731" t="s">
        <v>23</v>
      </c>
      <c r="I233" s="726"/>
      <c r="J233" s="732">
        <v>926</v>
      </c>
      <c r="K233" s="733">
        <f>J233*KW_GJ</f>
        <v>80.006399999999999</v>
      </c>
      <c r="L233" s="734">
        <f>K233/$I$217</f>
        <v>0.26668799999999998</v>
      </c>
      <c r="M233" s="869"/>
      <c r="O233" s="1032"/>
    </row>
    <row r="234" spans="2:15" x14ac:dyDescent="0.2">
      <c r="B234" s="730"/>
      <c r="H234" s="735" t="s">
        <v>606</v>
      </c>
      <c r="I234" s="736"/>
      <c r="J234" s="737">
        <v>10784</v>
      </c>
      <c r="K234" s="738">
        <f>J234*KW_GJ</f>
        <v>931.73760000000004</v>
      </c>
      <c r="L234" s="739">
        <f>K234/$I$217</f>
        <v>3.1057920000000001</v>
      </c>
      <c r="M234" s="870"/>
      <c r="O234" s="1032"/>
    </row>
    <row r="235" spans="2:15" x14ac:dyDescent="0.2">
      <c r="B235" s="730"/>
      <c r="J235" s="419">
        <f>SUM(J231:J234)</f>
        <v>12397</v>
      </c>
      <c r="L235" s="676">
        <f>SUM(L231:L234)</f>
        <v>3.5703360000000002</v>
      </c>
      <c r="N235" s="741"/>
      <c r="O235" s="1032"/>
    </row>
    <row r="236" spans="2:15" x14ac:dyDescent="0.2">
      <c r="B236" s="730"/>
      <c r="H236" s="745" t="s">
        <v>610</v>
      </c>
      <c r="I236" s="746"/>
      <c r="J236" s="747">
        <v>3943</v>
      </c>
      <c r="K236" s="748">
        <f>J236*KW_GJ</f>
        <v>340.67520000000002</v>
      </c>
      <c r="L236" s="749">
        <f>K236/$I$217</f>
        <v>1.1355840000000001</v>
      </c>
      <c r="M236" s="948">
        <f>M231-M237-M238</f>
        <v>1.4200413957365146</v>
      </c>
      <c r="O236" s="1033"/>
    </row>
    <row r="237" spans="2:15" x14ac:dyDescent="0.2">
      <c r="B237" s="730"/>
      <c r="H237" s="695" t="s">
        <v>607</v>
      </c>
      <c r="I237" s="696"/>
      <c r="J237" s="302">
        <v>7563</v>
      </c>
      <c r="K237" s="697">
        <f>J237*KW_GJ</f>
        <v>653.44320000000005</v>
      </c>
      <c r="L237" s="698">
        <f>K237/$I$217</f>
        <v>2.1781440000000001</v>
      </c>
      <c r="M237" s="750">
        <f>M231*Heat_Balance!D30/100</f>
        <v>3.9896912189009242</v>
      </c>
      <c r="O237" s="1032"/>
    </row>
    <row r="238" spans="2:15" x14ac:dyDescent="0.2">
      <c r="B238" s="730"/>
      <c r="H238" s="751" t="s">
        <v>609</v>
      </c>
      <c r="I238" s="752">
        <f>L238*100/(L223+L237)</f>
        <v>4.6045302636464918</v>
      </c>
      <c r="J238" s="753">
        <v>992</v>
      </c>
      <c r="K238" s="754">
        <f>J238*KW_GJ</f>
        <v>85.708800000000011</v>
      </c>
      <c r="L238" s="755">
        <f>K238/$I$217</f>
        <v>0.28569600000000006</v>
      </c>
      <c r="M238" s="756">
        <f>Heat_Balance!D10*(C68+C24)/100</f>
        <v>0.28982626950673851</v>
      </c>
      <c r="N238" s="757">
        <f>M238/M231</f>
        <v>5.0850649216559095E-2</v>
      </c>
      <c r="O238" s="1032"/>
    </row>
    <row r="239" spans="2:15" x14ac:dyDescent="0.2">
      <c r="B239" s="766"/>
      <c r="I239" s="759"/>
      <c r="L239" s="676"/>
      <c r="M239" s="1181" t="s">
        <v>623</v>
      </c>
      <c r="O239" s="1032"/>
    </row>
    <row r="240" spans="2:15" x14ac:dyDescent="0.2">
      <c r="B240" s="766"/>
      <c r="L240" s="676"/>
      <c r="O240" s="1032"/>
    </row>
    <row r="241" spans="2:15" x14ac:dyDescent="0.2">
      <c r="B241" s="644"/>
      <c r="C241" s="301"/>
      <c r="D241" s="301"/>
      <c r="E241" s="301"/>
      <c r="F241" s="301"/>
      <c r="G241" s="301"/>
      <c r="H241" s="745" t="s">
        <v>621</v>
      </c>
      <c r="I241" s="746"/>
      <c r="J241" s="747"/>
      <c r="K241" s="748"/>
      <c r="L241" s="749"/>
      <c r="M241" s="762">
        <f>M236-M242-M243</f>
        <v>0.56801655829460573</v>
      </c>
      <c r="O241" s="741"/>
    </row>
    <row r="242" spans="2:15" x14ac:dyDescent="0.2">
      <c r="B242" s="644"/>
      <c r="C242" s="650"/>
      <c r="D242" s="650"/>
      <c r="E242" s="650"/>
      <c r="F242" s="650"/>
      <c r="G242" s="650"/>
      <c r="H242" s="695" t="s">
        <v>620</v>
      </c>
      <c r="I242" s="696"/>
      <c r="J242" s="302"/>
      <c r="K242" s="697"/>
      <c r="L242" s="698"/>
      <c r="M242" s="767">
        <f>M236*Heat_Balance!C79/100</f>
        <v>0.78102276765508305</v>
      </c>
      <c r="O242" s="741"/>
    </row>
    <row r="243" spans="2:15" x14ac:dyDescent="0.2">
      <c r="B243" s="644"/>
      <c r="H243" s="751" t="s">
        <v>609</v>
      </c>
      <c r="I243" s="752"/>
      <c r="J243" s="753"/>
      <c r="K243" s="754"/>
      <c r="L243" s="755"/>
      <c r="M243" s="770">
        <f>0.05*M236</f>
        <v>7.1002069786825731E-2</v>
      </c>
      <c r="N243" s="771">
        <v>0.05</v>
      </c>
      <c r="O243" s="741"/>
    </row>
    <row r="244" spans="2:15" x14ac:dyDescent="0.2">
      <c r="B244" s="644"/>
      <c r="H244" s="301"/>
      <c r="I244" s="301"/>
      <c r="J244" s="301"/>
      <c r="K244" s="301"/>
      <c r="L244" s="301"/>
      <c r="M244" s="1181" t="s">
        <v>622</v>
      </c>
    </row>
    <row r="245" spans="2:15" x14ac:dyDescent="0.2">
      <c r="B245" s="644"/>
      <c r="H245" s="650"/>
      <c r="I245" s="650"/>
      <c r="J245" s="650"/>
      <c r="K245" s="650"/>
      <c r="L245" s="650"/>
      <c r="M245" s="650"/>
      <c r="N245" s="650"/>
    </row>
    <row r="246" spans="2:15" x14ac:dyDescent="0.2">
      <c r="B246" s="644"/>
      <c r="I246" s="650"/>
      <c r="J246" s="650"/>
      <c r="K246" s="650"/>
      <c r="L246" s="650"/>
      <c r="M246" s="650"/>
      <c r="N246" s="650"/>
    </row>
    <row r="247" spans="2:15" x14ac:dyDescent="0.2">
      <c r="B247" s="644"/>
      <c r="J247" s="776"/>
      <c r="K247" s="777" t="s">
        <v>603</v>
      </c>
      <c r="L247" s="778">
        <f>I229</f>
        <v>11.613442257705161</v>
      </c>
      <c r="M247" s="779">
        <f>Heat_Balance!D11</f>
        <v>24</v>
      </c>
      <c r="N247" s="301"/>
    </row>
    <row r="248" spans="2:15" x14ac:dyDescent="0.2">
      <c r="B248" s="644"/>
      <c r="C248" s="652"/>
      <c r="J248" s="776" t="s">
        <v>614</v>
      </c>
      <c r="K248" s="781" t="s">
        <v>609</v>
      </c>
      <c r="L248" s="775">
        <f>I238</f>
        <v>4.6045302636464918</v>
      </c>
      <c r="M248" s="782">
        <f>Heat_Balance!D10</f>
        <v>3.5</v>
      </c>
    </row>
    <row r="249" spans="2:15" x14ac:dyDescent="0.2">
      <c r="C249" s="652"/>
      <c r="I249" s="666"/>
      <c r="K249" s="784" t="s">
        <v>611</v>
      </c>
      <c r="L249" s="785">
        <f>L247+L248</f>
        <v>16.217972521351655</v>
      </c>
      <c r="M249" s="786">
        <f>SUM(M247:M248)</f>
        <v>27.5</v>
      </c>
      <c r="N249" s="301"/>
    </row>
    <row r="250" spans="2:15" x14ac:dyDescent="0.2">
      <c r="C250" s="652"/>
      <c r="I250" s="666"/>
      <c r="K250" s="787"/>
      <c r="L250" s="775"/>
      <c r="M250" s="788"/>
      <c r="N250" s="301"/>
    </row>
    <row r="251" spans="2:15" x14ac:dyDescent="0.2">
      <c r="C251" s="652"/>
      <c r="D251" s="644"/>
      <c r="I251" s="675"/>
      <c r="N251" s="650"/>
    </row>
    <row r="252" spans="2:15" x14ac:dyDescent="0.2">
      <c r="B252" s="644"/>
      <c r="C252" s="652"/>
      <c r="D252" s="644"/>
      <c r="I252" s="791"/>
      <c r="K252" s="784" t="s">
        <v>301</v>
      </c>
      <c r="L252" s="792">
        <f>L223+L237</f>
        <v>6.2046720000000004</v>
      </c>
      <c r="M252" s="793">
        <f>M223+M237</f>
        <v>8.2807505573353861</v>
      </c>
    </row>
    <row r="253" spans="2:15" x14ac:dyDescent="0.2">
      <c r="B253" s="644"/>
      <c r="C253" s="652"/>
      <c r="D253" s="644"/>
    </row>
    <row r="257" spans="2:8" ht="15" x14ac:dyDescent="0.25">
      <c r="B257" s="1225" t="s">
        <v>960</v>
      </c>
    </row>
    <row r="258" spans="2:8" x14ac:dyDescent="0.2">
      <c r="B258" s="891" t="s">
        <v>894</v>
      </c>
    </row>
    <row r="260" spans="2:8" x14ac:dyDescent="0.2">
      <c r="B260" s="1404" t="s">
        <v>893</v>
      </c>
      <c r="C260" s="1401" t="s">
        <v>891</v>
      </c>
      <c r="D260" s="1402"/>
      <c r="E260" s="1403"/>
      <c r="F260" s="1401" t="s">
        <v>892</v>
      </c>
      <c r="G260" s="1402"/>
      <c r="H260" s="1403"/>
    </row>
    <row r="261" spans="2:8" ht="25.5" x14ac:dyDescent="0.2">
      <c r="B261" s="1405"/>
      <c r="C261" s="1360" t="s">
        <v>1092</v>
      </c>
      <c r="D261" s="1361" t="s">
        <v>1093</v>
      </c>
      <c r="E261" s="1362" t="s">
        <v>884</v>
      </c>
      <c r="F261" s="1361" t="s">
        <v>1094</v>
      </c>
      <c r="G261" s="1361" t="s">
        <v>1095</v>
      </c>
      <c r="H261" s="1363" t="s">
        <v>885</v>
      </c>
    </row>
    <row r="262" spans="2:8" x14ac:dyDescent="0.2">
      <c r="B262" s="1121" t="s">
        <v>886</v>
      </c>
      <c r="C262" s="1113">
        <f>(C67-G31)*100/Pack_to_melt</f>
        <v>0.79837882915852809</v>
      </c>
      <c r="D262" s="780">
        <f>(C68/0.8)*100/Pack_to_melt</f>
        <v>5.9598046367145292</v>
      </c>
      <c r="E262" s="1114">
        <f>C262*100/D262</f>
        <v>13.396057049256765</v>
      </c>
      <c r="F262" s="675">
        <f>(C71-G43)*100/Pack_to_melt</f>
        <v>48.561560551874997</v>
      </c>
      <c r="G262" s="796">
        <f>(C71/0.88)*100/Pack_to_melt</f>
        <v>303.18714843717765</v>
      </c>
      <c r="H262" s="1116">
        <f>F262*100/G262</f>
        <v>16.017024732806995</v>
      </c>
    </row>
    <row r="263" spans="2:8" x14ac:dyDescent="0.2">
      <c r="B263" s="1121" t="s">
        <v>887</v>
      </c>
      <c r="C263" s="1113">
        <f>(C67-K31)*100/Pack_to_melt</f>
        <v>-1.1856035889097778</v>
      </c>
      <c r="D263" s="780">
        <f>(C68/0.8)*100/Pack_to_melt</f>
        <v>5.9598046367145292</v>
      </c>
      <c r="E263" s="1114">
        <f>C263*100/D263</f>
        <v>-19.89332975121425</v>
      </c>
      <c r="F263" s="675">
        <f>(C71-K43)*100/Pack_to_melt</f>
        <v>-72.114588176198112</v>
      </c>
      <c r="G263" s="796">
        <f>(C71/0.88)*100/Pack_to_melt</f>
        <v>303.18714843717765</v>
      </c>
      <c r="H263" s="1116">
        <f>F263*100/G263</f>
        <v>-23.785502963408334</v>
      </c>
    </row>
    <row r="264" spans="2:8" x14ac:dyDescent="0.2">
      <c r="B264" s="1121" t="s">
        <v>888</v>
      </c>
      <c r="C264" s="1113">
        <f>(C67-C147)*100/Pack_to_melt</f>
        <v>0.42944934414727542</v>
      </c>
      <c r="D264" s="780">
        <f>(C68/0.8)*100/Pack_to_melt</f>
        <v>5.9598046367145292</v>
      </c>
      <c r="E264" s="1114">
        <f>C264*100/D264</f>
        <v>7.205762106726012</v>
      </c>
      <c r="F264" s="675">
        <f>(C71-C151)*100/Pack_to_melt</f>
        <v>26.121346869569809</v>
      </c>
      <c r="G264" s="796">
        <f>(G154/0.88)*100/Pack_to_melt</f>
        <v>248.36854045976668</v>
      </c>
      <c r="H264" s="1116">
        <f>F264*100/G264</f>
        <v>10.517172110934565</v>
      </c>
    </row>
    <row r="265" spans="2:8" x14ac:dyDescent="0.2">
      <c r="B265" s="1121" t="s">
        <v>889</v>
      </c>
      <c r="C265" s="1113">
        <f>(C67-G150)*100/Pack_to_melt</f>
        <v>0.79309836193569261</v>
      </c>
      <c r="D265" s="780">
        <f>(C68/0.8)*100/Pack_to_melt</f>
        <v>5.9598046367145292</v>
      </c>
      <c r="E265" s="1114">
        <f>C265*100/D265</f>
        <v>13.307455701650401</v>
      </c>
      <c r="F265" s="675">
        <f>(C71-G154)*100/Pack_to_melt</f>
        <v>48.240375020121647</v>
      </c>
      <c r="G265" s="796">
        <f>(G154/0.88)*100/Pack_to_melt</f>
        <v>248.36854045976668</v>
      </c>
      <c r="H265" s="1116">
        <f>F265*100/G265</f>
        <v>19.422900714728854</v>
      </c>
    </row>
    <row r="266" spans="2:8" x14ac:dyDescent="0.2">
      <c r="B266" s="1122" t="s">
        <v>890</v>
      </c>
      <c r="C266" s="1115">
        <f>(C67-0)*100/Pack_to_melt</f>
        <v>4.386416212621894</v>
      </c>
      <c r="D266" s="1044">
        <f>(C68/0.8)*100/Pack_to_melt</f>
        <v>5.9598046367145292</v>
      </c>
      <c r="E266" s="1117">
        <f>C266*100/D266</f>
        <v>73.600000000000009</v>
      </c>
      <c r="F266" s="1118">
        <f>(C71-C167)*100/Pack_to_melt</f>
        <v>226.80408862887694</v>
      </c>
      <c r="G266" s="1119">
        <f>(G154/0.88)*100/Pack_to_melt</f>
        <v>248.36854045976668</v>
      </c>
      <c r="H266" s="1120">
        <f>F266*100/G266</f>
        <v>91.317559063249007</v>
      </c>
    </row>
    <row r="289" spans="2:2" x14ac:dyDescent="0.2">
      <c r="B289" s="636"/>
    </row>
    <row r="290" spans="2:2" x14ac:dyDescent="0.2">
      <c r="B290" s="636"/>
    </row>
  </sheetData>
  <mergeCells count="35">
    <mergeCell ref="B172:D172"/>
    <mergeCell ref="C260:E260"/>
    <mergeCell ref="F260:H260"/>
    <mergeCell ref="B260:B261"/>
    <mergeCell ref="J54:L54"/>
    <mergeCell ref="J62:L62"/>
    <mergeCell ref="F135:H135"/>
    <mergeCell ref="F78:H78"/>
    <mergeCell ref="F104:H104"/>
    <mergeCell ref="F125:H125"/>
    <mergeCell ref="B107:D107"/>
    <mergeCell ref="B117:D117"/>
    <mergeCell ref="F113:H113"/>
    <mergeCell ref="F162:I162"/>
    <mergeCell ref="F29:H29"/>
    <mergeCell ref="B48:D48"/>
    <mergeCell ref="F48:H48"/>
    <mergeCell ref="B54:D54"/>
    <mergeCell ref="F54:H54"/>
    <mergeCell ref="B13:D13"/>
    <mergeCell ref="B193:O193"/>
    <mergeCell ref="B181:D181"/>
    <mergeCell ref="F62:H62"/>
    <mergeCell ref="F66:H66"/>
    <mergeCell ref="B66:D66"/>
    <mergeCell ref="B159:D159"/>
    <mergeCell ref="B98:D98"/>
    <mergeCell ref="B78:D78"/>
    <mergeCell ref="B128:D128"/>
    <mergeCell ref="B135:D135"/>
    <mergeCell ref="J66:L66"/>
    <mergeCell ref="B62:D62"/>
    <mergeCell ref="J48:L48"/>
    <mergeCell ref="J29:L29"/>
    <mergeCell ref="B29:D29"/>
  </mergeCells>
  <conditionalFormatting sqref="C33:C37 C55:C60 G55:G57 K55:K57 G60 K60 C50:C52">
    <cfRule type="expression" dxfId="221" priority="510">
      <formula>O2_substitute&gt;80</formula>
    </cfRule>
  </conditionalFormatting>
  <conditionalFormatting sqref="C49">
    <cfRule type="containsText" dxfId="220" priority="212" operator="containsText" text="Limit exceeded">
      <formula>NOT(ISERROR(SEARCH("Limit exceeded",C49)))</formula>
    </cfRule>
    <cfRule type="expression" dxfId="219" priority="509">
      <formula>O2_substitute&gt;80</formula>
    </cfRule>
  </conditionalFormatting>
  <conditionalFormatting sqref="C44:C46">
    <cfRule type="expression" dxfId="218" priority="446">
      <formula>O2_substitute&gt;80</formula>
    </cfRule>
  </conditionalFormatting>
  <conditionalFormatting sqref="C38">
    <cfRule type="expression" dxfId="217" priority="470">
      <formula>O2_substitute&gt;80</formula>
    </cfRule>
  </conditionalFormatting>
  <conditionalFormatting sqref="C39:C41">
    <cfRule type="expression" dxfId="216" priority="452">
      <formula>O2_substitute&gt;80</formula>
    </cfRule>
  </conditionalFormatting>
  <conditionalFormatting sqref="C43">
    <cfRule type="expression" dxfId="215" priority="447">
      <formula>O2_substitute&gt;80</formula>
    </cfRule>
  </conditionalFormatting>
  <conditionalFormatting sqref="C43:C46 C55:C60 G43:G46 K43:K46 G55:G57 K55:K57 G35 K35 G60 K60 C33:C41 G39:G40 K39:K40 C50:C52">
    <cfRule type="expression" dxfId="214" priority="442">
      <formula>Excess_air&gt;=32</formula>
    </cfRule>
  </conditionalFormatting>
  <conditionalFormatting sqref="C31:C32">
    <cfRule type="expression" dxfId="213" priority="415">
      <formula>O2_substitute&gt;80</formula>
    </cfRule>
  </conditionalFormatting>
  <conditionalFormatting sqref="C31:C32">
    <cfRule type="expression" dxfId="212" priority="414">
      <formula>Excess_air&gt;=32</formula>
    </cfRule>
  </conditionalFormatting>
  <conditionalFormatting sqref="K39:K40">
    <cfRule type="expression" dxfId="211" priority="388">
      <formula>O2_substitute&gt;80</formula>
    </cfRule>
  </conditionalFormatting>
  <conditionalFormatting sqref="C31:C32">
    <cfRule type="expression" dxfId="210" priority="416">
      <formula>O2_substitute&gt;80</formula>
    </cfRule>
  </conditionalFormatting>
  <conditionalFormatting sqref="C63">
    <cfRule type="expression" dxfId="209" priority="334">
      <formula>O2_substitute&gt;80</formula>
    </cfRule>
  </conditionalFormatting>
  <conditionalFormatting sqref="G50">
    <cfRule type="expression" dxfId="208" priority="350">
      <formula>O2_substitute&gt;80</formula>
    </cfRule>
  </conditionalFormatting>
  <conditionalFormatting sqref="C63">
    <cfRule type="expression" dxfId="207" priority="333">
      <formula>O2_substitute&gt;80</formula>
    </cfRule>
  </conditionalFormatting>
  <conditionalFormatting sqref="C43:C46 C55:C60 G43:G46 K43:K46 G55:G57 K55:K57 G35 K35 G60 K60 C31:C41 G39:G40 K39:K40 C50:C52">
    <cfRule type="expression" dxfId="206" priority="400">
      <formula>O2_enrich&gt;20</formula>
    </cfRule>
  </conditionalFormatting>
  <conditionalFormatting sqref="G43">
    <cfRule type="expression" dxfId="205" priority="399">
      <formula>O2_substitute&gt;80</formula>
    </cfRule>
  </conditionalFormatting>
  <conditionalFormatting sqref="G39:G40">
    <cfRule type="expression" dxfId="204" priority="398">
      <formula>O2_substitute&gt;80</formula>
    </cfRule>
  </conditionalFormatting>
  <conditionalFormatting sqref="G35">
    <cfRule type="expression" dxfId="203" priority="397">
      <formula>O2_substitute&gt;80</formula>
    </cfRule>
  </conditionalFormatting>
  <conditionalFormatting sqref="G44">
    <cfRule type="expression" dxfId="202" priority="396">
      <formula>O2_substitute&gt;80</formula>
    </cfRule>
  </conditionalFormatting>
  <conditionalFormatting sqref="G45:G46">
    <cfRule type="expression" dxfId="201" priority="395">
      <formula>O2_substitute&gt;80</formula>
    </cfRule>
  </conditionalFormatting>
  <conditionalFormatting sqref="G33:G34">
    <cfRule type="expression" dxfId="200" priority="393">
      <formula>O2_substitute&gt;80</formula>
    </cfRule>
  </conditionalFormatting>
  <conditionalFormatting sqref="G33:G34">
    <cfRule type="expression" dxfId="199" priority="392">
      <formula>O2_substitute&gt;80</formula>
    </cfRule>
  </conditionalFormatting>
  <conditionalFormatting sqref="G33:G34">
    <cfRule type="expression" dxfId="198" priority="391">
      <formula>Excess_air&gt;=32</formula>
    </cfRule>
  </conditionalFormatting>
  <conditionalFormatting sqref="G33:G34">
    <cfRule type="expression" dxfId="197" priority="390">
      <formula>O2_enrich&gt;20</formula>
    </cfRule>
  </conditionalFormatting>
  <conditionalFormatting sqref="K43">
    <cfRule type="expression" dxfId="196" priority="389">
      <formula>O2_substitute&gt;80</formula>
    </cfRule>
  </conditionalFormatting>
  <conditionalFormatting sqref="K35">
    <cfRule type="expression" dxfId="195" priority="387">
      <formula>O2_substitute&gt;80</formula>
    </cfRule>
  </conditionalFormatting>
  <conditionalFormatting sqref="K44">
    <cfRule type="expression" dxfId="194" priority="386">
      <formula>O2_substitute&gt;80</formula>
    </cfRule>
  </conditionalFormatting>
  <conditionalFormatting sqref="K45:K46">
    <cfRule type="expression" dxfId="193" priority="385">
      <formula>O2_substitute&gt;80</formula>
    </cfRule>
  </conditionalFormatting>
  <conditionalFormatting sqref="K33:K34">
    <cfRule type="expression" dxfId="192" priority="383">
      <formula>O2_substitute&gt;80</formula>
    </cfRule>
  </conditionalFormatting>
  <conditionalFormatting sqref="K33:K34">
    <cfRule type="expression" dxfId="191" priority="382">
      <formula>O2_substitute&gt;80</formula>
    </cfRule>
  </conditionalFormatting>
  <conditionalFormatting sqref="K33:K34">
    <cfRule type="expression" dxfId="190" priority="381">
      <formula>Excess_air&gt;=32</formula>
    </cfRule>
  </conditionalFormatting>
  <conditionalFormatting sqref="K33:K34">
    <cfRule type="expression" dxfId="189" priority="380">
      <formula>O2_enrich&gt;20</formula>
    </cfRule>
  </conditionalFormatting>
  <conditionalFormatting sqref="G31">
    <cfRule type="expression" dxfId="188" priority="379">
      <formula>O2_substitute&gt;80</formula>
    </cfRule>
  </conditionalFormatting>
  <conditionalFormatting sqref="G31">
    <cfRule type="expression" dxfId="187" priority="378">
      <formula>O2_substitute&gt;80</formula>
    </cfRule>
  </conditionalFormatting>
  <conditionalFormatting sqref="G31">
    <cfRule type="expression" dxfId="186" priority="377">
      <formula>Excess_air&gt;=32</formula>
    </cfRule>
  </conditionalFormatting>
  <conditionalFormatting sqref="G31">
    <cfRule type="expression" dxfId="185" priority="376">
      <formula>O2_enrich&gt;20</formula>
    </cfRule>
  </conditionalFormatting>
  <conditionalFormatting sqref="K31">
    <cfRule type="expression" dxfId="184" priority="375">
      <formula>O2_substitute&gt;80</formula>
    </cfRule>
  </conditionalFormatting>
  <conditionalFormatting sqref="K31">
    <cfRule type="expression" dxfId="183" priority="374">
      <formula>O2_substitute&gt;80</formula>
    </cfRule>
  </conditionalFormatting>
  <conditionalFormatting sqref="K31">
    <cfRule type="expression" dxfId="182" priority="373">
      <formula>Excess_air&gt;=32</formula>
    </cfRule>
  </conditionalFormatting>
  <conditionalFormatting sqref="K31">
    <cfRule type="expression" dxfId="181" priority="372">
      <formula>O2_enrich&gt;20</formula>
    </cfRule>
  </conditionalFormatting>
  <conditionalFormatting sqref="K50">
    <cfRule type="expression" dxfId="180" priority="341">
      <formula>O2_substitute&gt;80</formula>
    </cfRule>
  </conditionalFormatting>
  <conditionalFormatting sqref="K50">
    <cfRule type="expression" dxfId="179" priority="340">
      <formula>Excess_air&gt;=32</formula>
    </cfRule>
  </conditionalFormatting>
  <conditionalFormatting sqref="K63">
    <cfRule type="expression" dxfId="178" priority="317">
      <formula>O2_substitute&gt;80</formula>
    </cfRule>
  </conditionalFormatting>
  <conditionalFormatting sqref="K63">
    <cfRule type="expression" dxfId="177" priority="316">
      <formula>Excess_air&gt;=32</formula>
    </cfRule>
  </conditionalFormatting>
  <conditionalFormatting sqref="K63">
    <cfRule type="expression" dxfId="176" priority="315">
      <formula>O2_enrich&gt;20</formula>
    </cfRule>
  </conditionalFormatting>
  <conditionalFormatting sqref="G63">
    <cfRule type="expression" dxfId="175" priority="322">
      <formula>O2_substitute&gt;80</formula>
    </cfRule>
  </conditionalFormatting>
  <conditionalFormatting sqref="G63">
    <cfRule type="expression" dxfId="174" priority="321">
      <formula>O2_substitute&gt;80</formula>
    </cfRule>
  </conditionalFormatting>
  <conditionalFormatting sqref="G63">
    <cfRule type="expression" dxfId="173" priority="320">
      <formula>Excess_air&gt;=32</formula>
    </cfRule>
  </conditionalFormatting>
  <conditionalFormatting sqref="G63">
    <cfRule type="expression" dxfId="172" priority="319">
      <formula>O2_enrich&gt;20</formula>
    </cfRule>
  </conditionalFormatting>
  <conditionalFormatting sqref="G50">
    <cfRule type="expression" dxfId="171" priority="349">
      <formula>O2_substitute&gt;80</formula>
    </cfRule>
  </conditionalFormatting>
  <conditionalFormatting sqref="G50">
    <cfRule type="expression" dxfId="170" priority="348">
      <formula>Excess_air&gt;=32</formula>
    </cfRule>
  </conditionalFormatting>
  <conditionalFormatting sqref="G50">
    <cfRule type="expression" dxfId="169" priority="347">
      <formula>O2_enrich&gt;20</formula>
    </cfRule>
  </conditionalFormatting>
  <conditionalFormatting sqref="K50">
    <cfRule type="expression" dxfId="168" priority="342">
      <formula>O2_substitute&gt;80</formula>
    </cfRule>
  </conditionalFormatting>
  <conditionalFormatting sqref="K50">
    <cfRule type="expression" dxfId="167" priority="339">
      <formula>O2_enrich&gt;20</formula>
    </cfRule>
  </conditionalFormatting>
  <conditionalFormatting sqref="C63">
    <cfRule type="expression" dxfId="166" priority="332">
      <formula>Excess_air&gt;=32</formula>
    </cfRule>
  </conditionalFormatting>
  <conditionalFormatting sqref="C63">
    <cfRule type="expression" dxfId="165" priority="331">
      <formula>O2_enrich&gt;20</formula>
    </cfRule>
  </conditionalFormatting>
  <conditionalFormatting sqref="K63">
    <cfRule type="expression" dxfId="164" priority="318">
      <formula>O2_substitute&gt;80</formula>
    </cfRule>
  </conditionalFormatting>
  <conditionalFormatting sqref="G45:G46">
    <cfRule type="expression" dxfId="163" priority="267">
      <formula>O2_substitute&gt;80</formula>
    </cfRule>
  </conditionalFormatting>
  <conditionalFormatting sqref="K44">
    <cfRule type="expression" dxfId="162" priority="268">
      <formula>O2_substitute&gt;80</formula>
    </cfRule>
  </conditionalFormatting>
  <conditionalFormatting sqref="K45:K46">
    <cfRule type="expression" dxfId="161" priority="266">
      <formula>O2_substitute&gt;80</formula>
    </cfRule>
  </conditionalFormatting>
  <conditionalFormatting sqref="K32">
    <cfRule type="expression" dxfId="160" priority="293">
      <formula>O2_substitute&gt;80</formula>
    </cfRule>
  </conditionalFormatting>
  <conditionalFormatting sqref="K32">
    <cfRule type="expression" dxfId="159" priority="292">
      <formula>Excess_air&gt;=32</formula>
    </cfRule>
  </conditionalFormatting>
  <conditionalFormatting sqref="K32">
    <cfRule type="expression" dxfId="158" priority="294">
      <formula>O2_substitute&gt;80</formula>
    </cfRule>
  </conditionalFormatting>
  <conditionalFormatting sqref="K32">
    <cfRule type="expression" dxfId="157" priority="291">
      <formula>O2_enrich&gt;20</formula>
    </cfRule>
  </conditionalFormatting>
  <conditionalFormatting sqref="G32">
    <cfRule type="expression" dxfId="156" priority="289">
      <formula>O2_substitute&gt;80</formula>
    </cfRule>
  </conditionalFormatting>
  <conditionalFormatting sqref="G32">
    <cfRule type="expression" dxfId="155" priority="288">
      <formula>Excess_air&gt;=32</formula>
    </cfRule>
  </conditionalFormatting>
  <conditionalFormatting sqref="G32">
    <cfRule type="expression" dxfId="154" priority="290">
      <formula>O2_substitute&gt;80</formula>
    </cfRule>
  </conditionalFormatting>
  <conditionalFormatting sqref="G32">
    <cfRule type="expression" dxfId="153" priority="287">
      <formula>O2_enrich&gt;20</formula>
    </cfRule>
  </conditionalFormatting>
  <conditionalFormatting sqref="G36">
    <cfRule type="expression" dxfId="152" priority="286">
      <formula>O2_substitute&gt;80</formula>
    </cfRule>
  </conditionalFormatting>
  <conditionalFormatting sqref="G36">
    <cfRule type="expression" dxfId="151" priority="285">
      <formula>Excess_air&gt;=32</formula>
    </cfRule>
  </conditionalFormatting>
  <conditionalFormatting sqref="G36">
    <cfRule type="expression" dxfId="150" priority="284">
      <formula>O2_enrich&gt;20</formula>
    </cfRule>
  </conditionalFormatting>
  <conditionalFormatting sqref="K36">
    <cfRule type="expression" dxfId="149" priority="283">
      <formula>O2_substitute&gt;80</formula>
    </cfRule>
  </conditionalFormatting>
  <conditionalFormatting sqref="K36">
    <cfRule type="expression" dxfId="148" priority="282">
      <formula>Excess_air&gt;=32</formula>
    </cfRule>
  </conditionalFormatting>
  <conditionalFormatting sqref="K36">
    <cfRule type="expression" dxfId="147" priority="281">
      <formula>O2_enrich&gt;20</formula>
    </cfRule>
  </conditionalFormatting>
  <conditionalFormatting sqref="G38">
    <cfRule type="expression" dxfId="146" priority="280">
      <formula>O2_substitute&gt;80</formula>
    </cfRule>
  </conditionalFormatting>
  <conditionalFormatting sqref="G38">
    <cfRule type="expression" dxfId="145" priority="279">
      <formula>Excess_air&gt;=32</formula>
    </cfRule>
  </conditionalFormatting>
  <conditionalFormatting sqref="G38">
    <cfRule type="expression" dxfId="144" priority="278">
      <formula>O2_enrich&gt;20</formula>
    </cfRule>
  </conditionalFormatting>
  <conditionalFormatting sqref="K38">
    <cfRule type="expression" dxfId="143" priority="277">
      <formula>O2_substitute&gt;80</formula>
    </cfRule>
  </conditionalFormatting>
  <conditionalFormatting sqref="K38">
    <cfRule type="expression" dxfId="142" priority="276">
      <formula>Excess_air&gt;=32</formula>
    </cfRule>
  </conditionalFormatting>
  <conditionalFormatting sqref="K38">
    <cfRule type="expression" dxfId="141" priority="275">
      <formula>O2_enrich&gt;20</formula>
    </cfRule>
  </conditionalFormatting>
  <conditionalFormatting sqref="G39:G40">
    <cfRule type="expression" dxfId="140" priority="274">
      <formula>O2_substitute&gt;80</formula>
    </cfRule>
  </conditionalFormatting>
  <conditionalFormatting sqref="K39:K40">
    <cfRule type="expression" dxfId="139" priority="273">
      <formula>O2_substitute&gt;80</formula>
    </cfRule>
  </conditionalFormatting>
  <conditionalFormatting sqref="K39:K40">
    <cfRule type="expression" dxfId="138" priority="272">
      <formula>O2_substitute&gt;80</formula>
    </cfRule>
  </conditionalFormatting>
  <conditionalFormatting sqref="G43">
    <cfRule type="expression" dxfId="137" priority="271">
      <formula>O2_substitute&gt;80</formula>
    </cfRule>
  </conditionalFormatting>
  <conditionalFormatting sqref="K43">
    <cfRule type="expression" dxfId="136" priority="270">
      <formula>O2_substitute&gt;80</formula>
    </cfRule>
  </conditionalFormatting>
  <conditionalFormatting sqref="G44">
    <cfRule type="expression" dxfId="135" priority="269">
      <formula>O2_substitute&gt;80</formula>
    </cfRule>
  </conditionalFormatting>
  <conditionalFormatting sqref="G51:G52">
    <cfRule type="expression" dxfId="134" priority="264">
      <formula>O2_substitute&gt;80</formula>
    </cfRule>
  </conditionalFormatting>
  <conditionalFormatting sqref="G51:G52">
    <cfRule type="expression" dxfId="133" priority="263">
      <formula>O2_substitute&gt;80</formula>
    </cfRule>
  </conditionalFormatting>
  <conditionalFormatting sqref="G51:G52">
    <cfRule type="expression" dxfId="132" priority="262">
      <formula>Excess_air&gt;=32</formula>
    </cfRule>
  </conditionalFormatting>
  <conditionalFormatting sqref="G51:G52">
    <cfRule type="expression" dxfId="131" priority="261">
      <formula>O2_enrich&gt;20</formula>
    </cfRule>
  </conditionalFormatting>
  <conditionalFormatting sqref="K51:K52">
    <cfRule type="expression" dxfId="130" priority="260">
      <formula>O2_substitute&gt;80</formula>
    </cfRule>
  </conditionalFormatting>
  <conditionalFormatting sqref="K51:K52">
    <cfRule type="expression" dxfId="129" priority="259">
      <formula>O2_substitute&gt;80</formula>
    </cfRule>
  </conditionalFormatting>
  <conditionalFormatting sqref="K51:K52">
    <cfRule type="expression" dxfId="128" priority="258">
      <formula>Excess_air&gt;=32</formula>
    </cfRule>
  </conditionalFormatting>
  <conditionalFormatting sqref="K51:K52">
    <cfRule type="expression" dxfId="127" priority="257">
      <formula>O2_enrich&gt;20</formula>
    </cfRule>
  </conditionalFormatting>
  <conditionalFormatting sqref="C17:C19">
    <cfRule type="containsText" dxfId="126" priority="250" operator="containsText" text="Not Allowed">
      <formula>NOT(ISERROR(SEARCH("Not Allowed",C17)))</formula>
    </cfRule>
  </conditionalFormatting>
  <conditionalFormatting sqref="C20:C26">
    <cfRule type="expression" dxfId="125" priority="247">
      <formula>Flag1="Not Allowed"</formula>
    </cfRule>
  </conditionalFormatting>
  <conditionalFormatting sqref="G35">
    <cfRule type="expression" dxfId="124" priority="231">
      <formula>O2_substitute&gt;80</formula>
    </cfRule>
  </conditionalFormatting>
  <conditionalFormatting sqref="K35">
    <cfRule type="expression" dxfId="123" priority="230">
      <formula>O2_substitute&gt;80</formula>
    </cfRule>
  </conditionalFormatting>
  <conditionalFormatting sqref="C26">
    <cfRule type="expression" dxfId="122" priority="228">
      <formula>Flag1="Not Allowed"</formula>
    </cfRule>
  </conditionalFormatting>
  <conditionalFormatting sqref="G70">
    <cfRule type="expression" dxfId="121" priority="222">
      <formula>Flag1="Not Allowed"</formula>
    </cfRule>
  </conditionalFormatting>
  <conditionalFormatting sqref="K70">
    <cfRule type="expression" dxfId="120" priority="221">
      <formula>Flag1="Not Allowed"</formula>
    </cfRule>
  </conditionalFormatting>
  <conditionalFormatting sqref="K49">
    <cfRule type="expression" dxfId="119" priority="215">
      <formula>O2_substitute&gt;80</formula>
    </cfRule>
  </conditionalFormatting>
  <conditionalFormatting sqref="K49">
    <cfRule type="expression" dxfId="118" priority="214">
      <formula>Excess_air&gt;=32</formula>
    </cfRule>
  </conditionalFormatting>
  <conditionalFormatting sqref="K49">
    <cfRule type="expression" dxfId="117" priority="216">
      <formula>O2_substitute&gt;80</formula>
    </cfRule>
  </conditionalFormatting>
  <conditionalFormatting sqref="K49">
    <cfRule type="expression" dxfId="116" priority="213">
      <formula>O2_enrich&gt;20</formula>
    </cfRule>
  </conditionalFormatting>
  <conditionalFormatting sqref="G49">
    <cfRule type="containsText" dxfId="115" priority="210" operator="containsText" text="Limit exceeded">
      <formula>NOT(ISERROR(SEARCH("Limit exceeded",G49)))</formula>
    </cfRule>
    <cfRule type="expression" dxfId="114" priority="211">
      <formula>O2_substitute&gt;80</formula>
    </cfRule>
  </conditionalFormatting>
  <conditionalFormatting sqref="C30">
    <cfRule type="containsText" dxfId="113" priority="208" operator="containsText" text="Limit exceeded">
      <formula>NOT(ISERROR(SEARCH("Limit exceeded",C30)))</formula>
    </cfRule>
    <cfRule type="expression" dxfId="112" priority="209">
      <formula>O2_substitute&gt;80</formula>
    </cfRule>
  </conditionalFormatting>
  <conditionalFormatting sqref="G30">
    <cfRule type="containsText" dxfId="111" priority="206" operator="containsText" text="Limit exceeded">
      <formula>NOT(ISERROR(SEARCH("Limit exceeded",G30)))</formula>
    </cfRule>
    <cfRule type="expression" dxfId="110" priority="207">
      <formula>O2_substitute&gt;80</formula>
    </cfRule>
  </conditionalFormatting>
  <conditionalFormatting sqref="K30">
    <cfRule type="containsText" dxfId="109" priority="204" operator="containsText" text="Limit exceeded">
      <formula>NOT(ISERROR(SEARCH("Limit exceeded",K30)))</formula>
    </cfRule>
    <cfRule type="expression" dxfId="108" priority="205">
      <formula>O2_substitute&gt;80</formula>
    </cfRule>
  </conditionalFormatting>
  <conditionalFormatting sqref="G59">
    <cfRule type="expression" dxfId="107" priority="203">
      <formula>O2_substitute&gt;80</formula>
    </cfRule>
  </conditionalFormatting>
  <conditionalFormatting sqref="G59">
    <cfRule type="expression" dxfId="106" priority="202">
      <formula>Excess_air&gt;=32</formula>
    </cfRule>
  </conditionalFormatting>
  <conditionalFormatting sqref="G59">
    <cfRule type="expression" dxfId="105" priority="201">
      <formula>O2_enrich&gt;20</formula>
    </cfRule>
  </conditionalFormatting>
  <conditionalFormatting sqref="K59">
    <cfRule type="expression" dxfId="104" priority="200">
      <formula>O2_substitute&gt;80</formula>
    </cfRule>
  </conditionalFormatting>
  <conditionalFormatting sqref="K59">
    <cfRule type="expression" dxfId="103" priority="199">
      <formula>Excess_air&gt;=32</formula>
    </cfRule>
  </conditionalFormatting>
  <conditionalFormatting sqref="K59">
    <cfRule type="expression" dxfId="102" priority="198">
      <formula>O2_enrich&gt;20</formula>
    </cfRule>
  </conditionalFormatting>
  <conditionalFormatting sqref="G40">
    <cfRule type="expression" dxfId="101" priority="193">
      <formula>O2_substitute&gt;80</formula>
    </cfRule>
  </conditionalFormatting>
  <conditionalFormatting sqref="G40">
    <cfRule type="expression" dxfId="100" priority="192">
      <formula>O2_substitute&gt;80</formula>
    </cfRule>
  </conditionalFormatting>
  <conditionalFormatting sqref="G40">
    <cfRule type="expression" dxfId="99" priority="191">
      <formula>O2_substitute&gt;80</formula>
    </cfRule>
  </conditionalFormatting>
  <conditionalFormatting sqref="C40:C41">
    <cfRule type="expression" dxfId="98" priority="190">
      <formula>O2_substitute&gt;80</formula>
    </cfRule>
  </conditionalFormatting>
  <conditionalFormatting sqref="C40:C41">
    <cfRule type="expression" dxfId="97" priority="189">
      <formula>O2_substitute&gt;80</formula>
    </cfRule>
  </conditionalFormatting>
  <conditionalFormatting sqref="C40:C41">
    <cfRule type="expression" dxfId="96" priority="188">
      <formula>O2_substitute&gt;80</formula>
    </cfRule>
  </conditionalFormatting>
  <conditionalFormatting sqref="C40:C41">
    <cfRule type="expression" dxfId="95" priority="187">
      <formula>O2_substitute&gt;80</formula>
    </cfRule>
  </conditionalFormatting>
  <conditionalFormatting sqref="C40:C41">
    <cfRule type="expression" dxfId="94" priority="186">
      <formula>O2_substitute&gt;80</formula>
    </cfRule>
  </conditionalFormatting>
  <conditionalFormatting sqref="G40">
    <cfRule type="expression" dxfId="93" priority="185">
      <formula>O2_substitute&gt;80</formula>
    </cfRule>
  </conditionalFormatting>
  <conditionalFormatting sqref="G40">
    <cfRule type="expression" dxfId="92" priority="184">
      <formula>O2_substitute&gt;80</formula>
    </cfRule>
  </conditionalFormatting>
  <conditionalFormatting sqref="G40">
    <cfRule type="expression" dxfId="91" priority="183">
      <formula>O2_substitute&gt;80</formula>
    </cfRule>
  </conditionalFormatting>
  <conditionalFormatting sqref="G40">
    <cfRule type="expression" dxfId="90" priority="182">
      <formula>O2_substitute&gt;80</formula>
    </cfRule>
  </conditionalFormatting>
  <conditionalFormatting sqref="G40">
    <cfRule type="expression" dxfId="89" priority="181">
      <formula>O2_substitute&gt;80</formula>
    </cfRule>
  </conditionalFormatting>
  <conditionalFormatting sqref="G40">
    <cfRule type="expression" dxfId="88" priority="180">
      <formula>O2_substitute&gt;80</formula>
    </cfRule>
  </conditionalFormatting>
  <conditionalFormatting sqref="K39">
    <cfRule type="expression" dxfId="87" priority="179">
      <formula>O2_substitute&gt;80</formula>
    </cfRule>
  </conditionalFormatting>
  <conditionalFormatting sqref="K39">
    <cfRule type="expression" dxfId="86" priority="178">
      <formula>O2_substitute&gt;80</formula>
    </cfRule>
  </conditionalFormatting>
  <conditionalFormatting sqref="K39">
    <cfRule type="expression" dxfId="85" priority="177">
      <formula>O2_substitute&gt;80</formula>
    </cfRule>
  </conditionalFormatting>
  <conditionalFormatting sqref="K39">
    <cfRule type="expression" dxfId="84" priority="176">
      <formula>O2_substitute&gt;80</formula>
    </cfRule>
  </conditionalFormatting>
  <conditionalFormatting sqref="K39">
    <cfRule type="expression" dxfId="83" priority="175">
      <formula>O2_substitute&gt;80</formula>
    </cfRule>
  </conditionalFormatting>
  <conditionalFormatting sqref="K39">
    <cfRule type="expression" dxfId="82" priority="174">
      <formula>O2_substitute&gt;80</formula>
    </cfRule>
  </conditionalFormatting>
  <conditionalFormatting sqref="K39">
    <cfRule type="expression" dxfId="81" priority="173">
      <formula>O2_substitute&gt;80</formula>
    </cfRule>
  </conditionalFormatting>
  <conditionalFormatting sqref="K39">
    <cfRule type="expression" dxfId="80" priority="172">
      <formula>O2_substitute&gt;80</formula>
    </cfRule>
  </conditionalFormatting>
  <conditionalFormatting sqref="K39">
    <cfRule type="expression" dxfId="79" priority="171">
      <formula>O2_substitute&gt;80</formula>
    </cfRule>
  </conditionalFormatting>
  <conditionalFormatting sqref="K39">
    <cfRule type="expression" dxfId="78" priority="170">
      <formula>O2_substitute&gt;80</formula>
    </cfRule>
  </conditionalFormatting>
  <conditionalFormatting sqref="K39">
    <cfRule type="expression" dxfId="77" priority="169">
      <formula>O2_substitute&gt;80</formula>
    </cfRule>
  </conditionalFormatting>
  <conditionalFormatting sqref="K40">
    <cfRule type="expression" dxfId="76" priority="168">
      <formula>O2_substitute&gt;80</formula>
    </cfRule>
  </conditionalFormatting>
  <conditionalFormatting sqref="K40">
    <cfRule type="expression" dxfId="75" priority="167">
      <formula>O2_substitute&gt;80</formula>
    </cfRule>
  </conditionalFormatting>
  <conditionalFormatting sqref="K40">
    <cfRule type="expression" dxfId="74" priority="166">
      <formula>O2_substitute&gt;80</formula>
    </cfRule>
  </conditionalFormatting>
  <conditionalFormatting sqref="K40">
    <cfRule type="expression" dxfId="73" priority="165">
      <formula>O2_substitute&gt;80</formula>
    </cfRule>
  </conditionalFormatting>
  <conditionalFormatting sqref="K40">
    <cfRule type="expression" dxfId="72" priority="164">
      <formula>O2_substitute&gt;80</formula>
    </cfRule>
  </conditionalFormatting>
  <conditionalFormatting sqref="K40">
    <cfRule type="expression" dxfId="71" priority="163">
      <formula>O2_substitute&gt;80</formula>
    </cfRule>
  </conditionalFormatting>
  <conditionalFormatting sqref="K40">
    <cfRule type="expression" dxfId="70" priority="162">
      <formula>O2_substitute&gt;80</formula>
    </cfRule>
  </conditionalFormatting>
  <conditionalFormatting sqref="K40">
    <cfRule type="expression" dxfId="69" priority="161">
      <formula>O2_substitute&gt;80</formula>
    </cfRule>
  </conditionalFormatting>
  <conditionalFormatting sqref="K40">
    <cfRule type="expression" dxfId="68" priority="160">
      <formula>O2_substitute&gt;80</formula>
    </cfRule>
  </conditionalFormatting>
  <conditionalFormatting sqref="K40">
    <cfRule type="expression" dxfId="67" priority="159">
      <formula>O2_substitute&gt;80</formula>
    </cfRule>
  </conditionalFormatting>
  <conditionalFormatting sqref="K40">
    <cfRule type="expression" dxfId="66" priority="158">
      <formula>O2_substitute&gt;80</formula>
    </cfRule>
  </conditionalFormatting>
  <conditionalFormatting sqref="K39">
    <cfRule type="expression" dxfId="65" priority="157">
      <formula>O2_substitute&gt;80</formula>
    </cfRule>
  </conditionalFormatting>
  <conditionalFormatting sqref="K39">
    <cfRule type="expression" dxfId="64" priority="156">
      <formula>O2_substitute&gt;80</formula>
    </cfRule>
  </conditionalFormatting>
  <conditionalFormatting sqref="C39">
    <cfRule type="expression" dxfId="63" priority="155">
      <formula>O2_substitute&gt;80</formula>
    </cfRule>
  </conditionalFormatting>
  <conditionalFormatting sqref="C39">
    <cfRule type="expression" dxfId="62" priority="154">
      <formula>O2_substitute&gt;80</formula>
    </cfRule>
  </conditionalFormatting>
  <conditionalFormatting sqref="G39">
    <cfRule type="expression" dxfId="61" priority="153">
      <formula>O2_substitute&gt;80</formula>
    </cfRule>
  </conditionalFormatting>
  <conditionalFormatting sqref="G39">
    <cfRule type="expression" dxfId="60" priority="152">
      <formula>O2_substitute&gt;80</formula>
    </cfRule>
  </conditionalFormatting>
  <conditionalFormatting sqref="G39">
    <cfRule type="expression" dxfId="59" priority="151">
      <formula>O2_substitute&gt;80</formula>
    </cfRule>
  </conditionalFormatting>
  <conditionalFormatting sqref="K39">
    <cfRule type="expression" dxfId="58" priority="150">
      <formula>O2_substitute&gt;80</formula>
    </cfRule>
  </conditionalFormatting>
  <conditionalFormatting sqref="K39">
    <cfRule type="expression" dxfId="57" priority="149">
      <formula>O2_substitute&gt;80</formula>
    </cfRule>
  </conditionalFormatting>
  <conditionalFormatting sqref="K39">
    <cfRule type="expression" dxfId="56" priority="148">
      <formula>O2_substitute&gt;80</formula>
    </cfRule>
  </conditionalFormatting>
  <conditionalFormatting sqref="G41">
    <cfRule type="expression" dxfId="55" priority="147">
      <formula>O2_substitute&gt;80</formula>
    </cfRule>
  </conditionalFormatting>
  <conditionalFormatting sqref="G41">
    <cfRule type="expression" dxfId="54" priority="146">
      <formula>Excess_air&gt;=32</formula>
    </cfRule>
  </conditionalFormatting>
  <conditionalFormatting sqref="G41">
    <cfRule type="expression" dxfId="53" priority="145">
      <formula>O2_enrich&gt;20</formula>
    </cfRule>
  </conditionalFormatting>
  <conditionalFormatting sqref="G41">
    <cfRule type="expression" dxfId="52" priority="144">
      <formula>O2_substitute&gt;80</formula>
    </cfRule>
  </conditionalFormatting>
  <conditionalFormatting sqref="G41">
    <cfRule type="expression" dxfId="51" priority="143">
      <formula>O2_substitute&gt;80</formula>
    </cfRule>
  </conditionalFormatting>
  <conditionalFormatting sqref="G41">
    <cfRule type="expression" dxfId="50" priority="142">
      <formula>O2_substitute&gt;80</formula>
    </cfRule>
  </conditionalFormatting>
  <conditionalFormatting sqref="G41">
    <cfRule type="expression" dxfId="49" priority="141">
      <formula>O2_substitute&gt;80</formula>
    </cfRule>
  </conditionalFormatting>
  <conditionalFormatting sqref="G41">
    <cfRule type="expression" dxfId="48" priority="140">
      <formula>O2_substitute&gt;80</formula>
    </cfRule>
  </conditionalFormatting>
  <conditionalFormatting sqref="K41">
    <cfRule type="expression" dxfId="47" priority="139">
      <formula>O2_substitute&gt;80</formula>
    </cfRule>
  </conditionalFormatting>
  <conditionalFormatting sqref="K41">
    <cfRule type="expression" dxfId="46" priority="138">
      <formula>Excess_air&gt;=32</formula>
    </cfRule>
  </conditionalFormatting>
  <conditionalFormatting sqref="K41">
    <cfRule type="expression" dxfId="45" priority="137">
      <formula>O2_enrich&gt;20</formula>
    </cfRule>
  </conditionalFormatting>
  <conditionalFormatting sqref="K41">
    <cfRule type="expression" dxfId="44" priority="136">
      <formula>O2_substitute&gt;80</formula>
    </cfRule>
  </conditionalFormatting>
  <conditionalFormatting sqref="K41">
    <cfRule type="expression" dxfId="43" priority="135">
      <formula>O2_substitute&gt;80</formula>
    </cfRule>
  </conditionalFormatting>
  <conditionalFormatting sqref="K41">
    <cfRule type="expression" dxfId="42" priority="134">
      <formula>O2_substitute&gt;80</formula>
    </cfRule>
  </conditionalFormatting>
  <conditionalFormatting sqref="K41">
    <cfRule type="expression" dxfId="41" priority="133">
      <formula>O2_substitute&gt;80</formula>
    </cfRule>
  </conditionalFormatting>
  <conditionalFormatting sqref="K41">
    <cfRule type="expression" dxfId="40" priority="132">
      <formula>O2_substitute&gt;80</formula>
    </cfRule>
  </conditionalFormatting>
  <conditionalFormatting sqref="C136">
    <cfRule type="expression" dxfId="39" priority="102">
      <formula>"Fuel_Use!$AH$90=""""Not Allowed"""""</formula>
    </cfRule>
  </conditionalFormatting>
  <conditionalFormatting sqref="G37">
    <cfRule type="expression" dxfId="38" priority="87">
      <formula>O2_substitute&gt;80</formula>
    </cfRule>
  </conditionalFormatting>
  <conditionalFormatting sqref="G37">
    <cfRule type="expression" dxfId="37" priority="86">
      <formula>Excess_air&gt;=32</formula>
    </cfRule>
  </conditionalFormatting>
  <conditionalFormatting sqref="G37">
    <cfRule type="expression" dxfId="36" priority="85">
      <formula>O2_enrich&gt;20</formula>
    </cfRule>
  </conditionalFormatting>
  <conditionalFormatting sqref="K37">
    <cfRule type="expression" dxfId="35" priority="84">
      <formula>O2_substitute&gt;80</formula>
    </cfRule>
  </conditionalFormatting>
  <conditionalFormatting sqref="K37">
    <cfRule type="expression" dxfId="34" priority="83">
      <formula>Excess_air&gt;=32</formula>
    </cfRule>
  </conditionalFormatting>
  <conditionalFormatting sqref="K37">
    <cfRule type="expression" dxfId="33" priority="82">
      <formula>O2_enrich&gt;20</formula>
    </cfRule>
  </conditionalFormatting>
  <conditionalFormatting sqref="G58">
    <cfRule type="expression" dxfId="32" priority="22">
      <formula>O2_substitute&gt;80</formula>
    </cfRule>
  </conditionalFormatting>
  <conditionalFormatting sqref="G58">
    <cfRule type="expression" dxfId="31" priority="21">
      <formula>Excess_air&gt;=32</formula>
    </cfRule>
  </conditionalFormatting>
  <conditionalFormatting sqref="G58">
    <cfRule type="expression" dxfId="30" priority="20">
      <formula>O2_enrich&gt;20</formula>
    </cfRule>
  </conditionalFormatting>
  <conditionalFormatting sqref="K58">
    <cfRule type="expression" dxfId="29" priority="19">
      <formula>O2_substitute&gt;80</formula>
    </cfRule>
  </conditionalFormatting>
  <conditionalFormatting sqref="K58">
    <cfRule type="expression" dxfId="28" priority="18">
      <formula>Excess_air&gt;=32</formula>
    </cfRule>
  </conditionalFormatting>
  <conditionalFormatting sqref="K58">
    <cfRule type="expression" dxfId="27" priority="17">
      <formula>O2_enrich&gt;20</formula>
    </cfRule>
  </conditionalFormatting>
  <conditionalFormatting sqref="C173">
    <cfRule type="expression" dxfId="26" priority="15">
      <formula>"Fuel_Use!$AH$90=""""Not Allowed"""""</formula>
    </cfRule>
  </conditionalFormatting>
  <conditionalFormatting sqref="C14">
    <cfRule type="expression" dxfId="25" priority="14">
      <formula>"Fuel_Use!$AH$90=""""Not Allowed"""""</formula>
    </cfRule>
  </conditionalFormatting>
  <conditionalFormatting sqref="G137">
    <cfRule type="expression" dxfId="24" priority="13">
      <formula>"Fuel_Use!$AH$90=""""Not Allowed"""""</formula>
    </cfRule>
  </conditionalFormatting>
  <conditionalFormatting sqref="C137">
    <cfRule type="expression" dxfId="23" priority="12">
      <formula>"Fuel_Use!$AH$90=""""Not Allowed"""""</formula>
    </cfRule>
  </conditionalFormatting>
  <conditionalFormatting sqref="G136">
    <cfRule type="expression" dxfId="22" priority="11">
      <formula>"Fuel_Use!$AH$90=""""Not Allowed"""""</formula>
    </cfRule>
  </conditionalFormatting>
  <conditionalFormatting sqref="C174">
    <cfRule type="expression" dxfId="21" priority="3">
      <formula>OR($C$174="Too low Qflue", $C$174="Not applicable")</formula>
    </cfRule>
  </conditionalFormatting>
  <conditionalFormatting sqref="C175:C178">
    <cfRule type="expression" dxfId="20" priority="2">
      <formula>OR($C$174="Too low Qflue", $C$174="Not applicable")</formula>
    </cfRule>
  </conditionalFormatting>
  <conditionalFormatting sqref="C118">
    <cfRule type="expression" dxfId="19" priority="1">
      <formula>"Fuel_Use!$AH$90=""""Not Allowed"""""</formula>
    </cfRule>
  </conditionalFormatting>
  <pageMargins left="0.7" right="0.7" top="0.75" bottom="0.75" header="0.3" footer="0.3"/>
  <pageSetup orientation="portrait" horizontalDpi="1200" verticalDpi="1200" r:id="rId1"/>
  <customProperties>
    <customPr name="EpmWorksheetKeyString_GUID" r:id="rId2"/>
  </customProperties>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2">
    <tabColor theme="3" tint="0.79998168889431442"/>
  </sheetPr>
  <dimension ref="A1:BA170"/>
  <sheetViews>
    <sheetView showGridLines="0" zoomScale="80" zoomScaleNormal="80" workbookViewId="0">
      <selection activeCell="F130" sqref="F130"/>
    </sheetView>
  </sheetViews>
  <sheetFormatPr defaultColWidth="9.140625" defaultRowHeight="12.75" x14ac:dyDescent="0.2"/>
  <cols>
    <col min="1" max="1" width="13.140625" style="419" customWidth="1"/>
    <col min="2" max="2" width="19.5703125" style="419" customWidth="1"/>
    <col min="3" max="3" width="14.85546875" style="419" customWidth="1"/>
    <col min="4" max="4" width="18.7109375" style="419" customWidth="1"/>
    <col min="5" max="6" width="20.28515625" style="419" customWidth="1"/>
    <col min="7" max="7" width="19" style="419" customWidth="1"/>
    <col min="8" max="8" width="21" style="419" customWidth="1"/>
    <col min="9" max="9" width="21.7109375" style="419" customWidth="1"/>
    <col min="10" max="10" width="19.28515625" style="419" customWidth="1"/>
    <col min="11" max="11" width="19.5703125" style="419" customWidth="1"/>
    <col min="12" max="12" width="19.7109375" style="419" customWidth="1"/>
    <col min="13" max="14" width="19" style="419" customWidth="1"/>
    <col min="15" max="15" width="20.42578125" style="419" customWidth="1"/>
    <col min="16" max="16" width="19.42578125" style="419" customWidth="1"/>
    <col min="17" max="19" width="19" style="419" customWidth="1"/>
    <col min="20" max="16384" width="9.140625" style="419"/>
  </cols>
  <sheetData>
    <row r="1" spans="1:17" x14ac:dyDescent="0.2">
      <c r="G1" s="805"/>
      <c r="O1" s="301"/>
      <c r="P1" s="301"/>
      <c r="Q1" s="301"/>
    </row>
    <row r="2" spans="1:17" ht="18.75" x14ac:dyDescent="0.3">
      <c r="B2" s="892" t="s">
        <v>725</v>
      </c>
      <c r="C2" s="837"/>
      <c r="D2" s="837"/>
      <c r="E2" s="837"/>
      <c r="F2" s="837"/>
      <c r="K2" s="595"/>
      <c r="L2" s="584"/>
      <c r="N2" s="301"/>
      <c r="O2" s="301"/>
      <c r="P2" s="301"/>
      <c r="Q2" s="301"/>
    </row>
    <row r="3" spans="1:17" x14ac:dyDescent="0.2">
      <c r="B3" s="419" t="s">
        <v>679</v>
      </c>
      <c r="M3" s="675"/>
      <c r="N3" s="301"/>
      <c r="O3" s="301"/>
      <c r="P3" s="301"/>
      <c r="Q3" s="301"/>
    </row>
    <row r="4" spans="1:17" x14ac:dyDescent="0.2">
      <c r="M4" s="675"/>
      <c r="N4" s="301"/>
      <c r="O4" s="301"/>
      <c r="P4" s="301"/>
      <c r="Q4" s="301"/>
    </row>
    <row r="5" spans="1:17" x14ac:dyDescent="0.2">
      <c r="B5" s="896" t="s">
        <v>565</v>
      </c>
      <c r="C5" s="897"/>
      <c r="D5" s="897"/>
      <c r="E5" s="898"/>
      <c r="F5" s="899"/>
      <c r="G5" s="838"/>
      <c r="I5" s="781" t="s">
        <v>18</v>
      </c>
    </row>
    <row r="6" spans="1:17" x14ac:dyDescent="0.2">
      <c r="B6" s="900" t="s">
        <v>347</v>
      </c>
      <c r="C6" s="851"/>
      <c r="D6" s="652">
        <v>0.89500000000000002</v>
      </c>
      <c r="E6" s="652" t="s">
        <v>355</v>
      </c>
      <c r="F6" s="850"/>
      <c r="G6" s="301"/>
      <c r="I6" s="840" t="s">
        <v>820</v>
      </c>
    </row>
    <row r="7" spans="1:17" ht="15" x14ac:dyDescent="0.25">
      <c r="B7" s="900" t="s">
        <v>648</v>
      </c>
      <c r="C7" s="851"/>
      <c r="D7" s="780">
        <v>0.57020000000000004</v>
      </c>
      <c r="E7" s="301" t="s">
        <v>355</v>
      </c>
      <c r="F7" s="901"/>
      <c r="G7"/>
      <c r="I7" s="840"/>
    </row>
    <row r="8" spans="1:17" x14ac:dyDescent="0.2">
      <c r="A8" s="682"/>
      <c r="B8" s="900" t="s">
        <v>304</v>
      </c>
      <c r="C8" s="851"/>
      <c r="D8" s="730">
        <f>Ratio_NG/100</f>
        <v>0.92</v>
      </c>
      <c r="E8" s="301" t="s">
        <v>355</v>
      </c>
      <c r="F8" s="1109"/>
      <c r="G8" s="724"/>
      <c r="I8" s="840"/>
    </row>
    <row r="9" spans="1:17" x14ac:dyDescent="0.2">
      <c r="A9" s="682"/>
      <c r="B9" s="900" t="s">
        <v>680</v>
      </c>
      <c r="C9" s="851"/>
      <c r="D9" s="663">
        <v>0.48494635868996899</v>
      </c>
      <c r="E9" s="301" t="s">
        <v>678</v>
      </c>
      <c r="F9" s="901"/>
      <c r="G9" s="724"/>
      <c r="I9" s="840"/>
    </row>
    <row r="10" spans="1:17" x14ac:dyDescent="0.2">
      <c r="A10" s="682"/>
      <c r="B10" s="900" t="s">
        <v>616</v>
      </c>
      <c r="C10" s="851"/>
      <c r="D10" s="873">
        <f>3.5*Losses_factor</f>
        <v>3.5</v>
      </c>
      <c r="E10" s="301" t="s">
        <v>918</v>
      </c>
      <c r="F10" s="902"/>
      <c r="G10" s="852"/>
      <c r="I10" s="840" t="s">
        <v>649</v>
      </c>
    </row>
    <row r="11" spans="1:17" x14ac:dyDescent="0.2">
      <c r="A11" s="682"/>
      <c r="B11" s="900" t="s">
        <v>615</v>
      </c>
      <c r="C11" s="851"/>
      <c r="D11" s="873">
        <f>24*Losses_factor</f>
        <v>24</v>
      </c>
      <c r="E11" s="301" t="s">
        <v>918</v>
      </c>
      <c r="F11" s="902"/>
      <c r="G11" s="852"/>
      <c r="I11" s="840" t="s">
        <v>821</v>
      </c>
    </row>
    <row r="12" spans="1:17" x14ac:dyDescent="0.2">
      <c r="A12" s="682"/>
      <c r="B12" s="903"/>
      <c r="C12" s="853"/>
      <c r="D12" s="301"/>
      <c r="E12" s="584"/>
      <c r="F12" s="902"/>
      <c r="G12" s="854"/>
      <c r="I12" s="847"/>
    </row>
    <row r="13" spans="1:17" x14ac:dyDescent="0.2">
      <c r="A13" s="682"/>
      <c r="B13" s="904" t="s">
        <v>626</v>
      </c>
      <c r="C13" s="855"/>
      <c r="D13" s="855">
        <v>1.89097317378156</v>
      </c>
      <c r="E13" s="761" t="s">
        <v>569</v>
      </c>
      <c r="F13" s="850"/>
      <c r="G13" s="856"/>
      <c r="I13" s="1042"/>
      <c r="J13" s="805"/>
    </row>
    <row r="14" spans="1:17" x14ac:dyDescent="0.2">
      <c r="A14" s="682"/>
      <c r="B14" s="840" t="s">
        <v>591</v>
      </c>
      <c r="C14" s="301"/>
      <c r="D14" s="675">
        <v>0.974341729710267</v>
      </c>
      <c r="E14" s="301" t="s">
        <v>570</v>
      </c>
      <c r="F14" s="905"/>
      <c r="G14" s="635"/>
      <c r="I14" s="840"/>
    </row>
    <row r="15" spans="1:17" x14ac:dyDescent="0.2">
      <c r="A15" s="682"/>
      <c r="B15" s="900" t="s">
        <v>797</v>
      </c>
      <c r="C15" s="851"/>
      <c r="D15" s="796">
        <f>Fuel!R99/Fuel!R59</f>
        <v>343.49724336200956</v>
      </c>
      <c r="E15" s="301" t="s">
        <v>359</v>
      </c>
      <c r="F15" s="906"/>
      <c r="G15" s="724"/>
      <c r="I15" s="857"/>
      <c r="J15" s="805"/>
    </row>
    <row r="16" spans="1:17" x14ac:dyDescent="0.2">
      <c r="A16" s="682"/>
      <c r="B16" s="900" t="s">
        <v>795</v>
      </c>
      <c r="C16" s="851"/>
      <c r="D16" s="796">
        <f>Fuel!Y110/Fuel!R59</f>
        <v>374.62364073650042</v>
      </c>
      <c r="E16" s="301" t="s">
        <v>358</v>
      </c>
      <c r="F16" s="906"/>
      <c r="G16" s="635"/>
      <c r="I16" s="857"/>
    </row>
    <row r="17" spans="1:15" x14ac:dyDescent="0.2">
      <c r="A17" s="682"/>
      <c r="B17" s="900" t="s">
        <v>796</v>
      </c>
      <c r="C17" s="851"/>
      <c r="D17" s="796">
        <f>(Fuel!AV110 + Fuel!AY110)/Fuel!AT59</f>
        <v>111.08765520042613</v>
      </c>
      <c r="E17" s="301" t="s">
        <v>358</v>
      </c>
      <c r="F17" s="906"/>
      <c r="G17" s="635"/>
      <c r="I17" s="857"/>
      <c r="J17" s="805"/>
    </row>
    <row r="18" spans="1:15" x14ac:dyDescent="0.2">
      <c r="A18" s="682"/>
      <c r="B18" s="840"/>
      <c r="C18" s="675"/>
      <c r="D18" s="301"/>
      <c r="E18" s="301"/>
      <c r="F18" s="905"/>
      <c r="G18" s="635"/>
      <c r="I18" s="840"/>
    </row>
    <row r="19" spans="1:15" x14ac:dyDescent="0.2">
      <c r="A19" s="682"/>
      <c r="B19" s="840"/>
      <c r="C19" s="858" t="s">
        <v>650</v>
      </c>
      <c r="D19" s="859">
        <f>Energy_Balance!C81  /  (D6-D7*D6-(D10+Heat_Balance!D11)/100)</f>
        <v>8.2807505573353861</v>
      </c>
      <c r="E19" s="860" t="s">
        <v>135</v>
      </c>
      <c r="F19" s="905"/>
      <c r="G19" s="635"/>
      <c r="I19" s="781" t="s">
        <v>651</v>
      </c>
      <c r="J19" s="301"/>
      <c r="K19" s="301"/>
      <c r="L19" s="301"/>
      <c r="M19" s="301"/>
      <c r="N19" s="301"/>
    </row>
    <row r="20" spans="1:15" x14ac:dyDescent="0.2">
      <c r="A20" s="682"/>
      <c r="B20" s="840"/>
      <c r="C20" s="861" t="s">
        <v>652</v>
      </c>
      <c r="D20" s="763">
        <f>D19*Heat_Balance!D8</f>
        <v>7.6182905127485556</v>
      </c>
      <c r="E20" s="862" t="s">
        <v>135</v>
      </c>
      <c r="F20" s="905"/>
      <c r="I20" s="857"/>
      <c r="J20" s="419" t="s">
        <v>801</v>
      </c>
      <c r="K20" s="301"/>
      <c r="L20" s="301"/>
      <c r="M20" s="301"/>
      <c r="N20" s="301"/>
    </row>
    <row r="21" spans="1:15" x14ac:dyDescent="0.2">
      <c r="A21" s="682"/>
      <c r="B21" s="840"/>
      <c r="C21" s="863" t="s">
        <v>653</v>
      </c>
      <c r="D21" s="864">
        <f>D19*(1-Heat_Balance!D8)/3.6</f>
        <v>0.18401667905189739</v>
      </c>
      <c r="E21" s="865" t="s">
        <v>300</v>
      </c>
      <c r="F21" s="905"/>
      <c r="G21" s="676"/>
      <c r="I21" s="840"/>
    </row>
    <row r="22" spans="1:15" x14ac:dyDescent="0.2">
      <c r="A22" s="682"/>
      <c r="B22" s="907"/>
      <c r="C22" s="908"/>
      <c r="D22" s="705"/>
      <c r="E22" s="705"/>
      <c r="F22" s="909"/>
      <c r="G22" s="866"/>
      <c r="I22" s="840"/>
    </row>
    <row r="23" spans="1:15" x14ac:dyDescent="0.2">
      <c r="A23" s="682"/>
      <c r="I23" s="840"/>
    </row>
    <row r="24" spans="1:15" x14ac:dyDescent="0.2">
      <c r="B24" s="896" t="s">
        <v>675</v>
      </c>
      <c r="C24" s="897"/>
      <c r="D24" s="897"/>
      <c r="E24" s="897"/>
      <c r="F24" s="849"/>
      <c r="I24" s="840"/>
      <c r="M24" s="675"/>
      <c r="N24" s="301"/>
      <c r="O24" s="301"/>
    </row>
    <row r="25" spans="1:15" x14ac:dyDescent="0.2">
      <c r="B25" s="917"/>
      <c r="C25" s="911"/>
      <c r="D25" s="911"/>
      <c r="E25" s="911"/>
      <c r="F25" s="915"/>
      <c r="I25" s="840" t="s">
        <v>824</v>
      </c>
      <c r="M25" s="675"/>
      <c r="N25" s="301"/>
      <c r="O25" s="301"/>
    </row>
    <row r="26" spans="1:15" x14ac:dyDescent="0.2">
      <c r="B26" s="840"/>
      <c r="C26" s="301"/>
      <c r="D26" s="301"/>
      <c r="E26" s="301"/>
      <c r="F26" s="850"/>
      <c r="G26" s="676"/>
      <c r="I26" s="840" t="s">
        <v>823</v>
      </c>
      <c r="J26" s="301"/>
      <c r="K26" s="301"/>
      <c r="L26" s="301"/>
      <c r="M26" s="301"/>
      <c r="N26" s="301"/>
      <c r="O26" s="301"/>
    </row>
    <row r="27" spans="1:15" x14ac:dyDescent="0.2">
      <c r="B27" s="916" t="s">
        <v>318</v>
      </c>
      <c r="C27" s="301"/>
      <c r="D27" s="301"/>
      <c r="E27" s="838"/>
      <c r="F27" s="924"/>
      <c r="G27" s="838"/>
      <c r="I27" s="840"/>
    </row>
    <row r="28" spans="1:15" x14ac:dyDescent="0.2">
      <c r="B28" s="840" t="s">
        <v>642</v>
      </c>
      <c r="C28" s="301"/>
      <c r="D28" s="686">
        <f>IF(OR(O2_substitute&gt;80,  OR(Excess_air&gt;=32, O2_enrich&gt;20)), "Limit exceeded", Fuel!F142)</f>
        <v>1557.320170437551</v>
      </c>
      <c r="E28" s="838" t="s">
        <v>28</v>
      </c>
      <c r="F28" s="925"/>
      <c r="G28" s="838"/>
      <c r="I28" s="840" t="s">
        <v>625</v>
      </c>
    </row>
    <row r="29" spans="1:15" x14ac:dyDescent="0.2">
      <c r="B29" s="840" t="s">
        <v>643</v>
      </c>
      <c r="C29" s="301"/>
      <c r="D29" s="654">
        <f>Fuel!E142</f>
        <v>5.6995588841441771</v>
      </c>
      <c r="E29" s="838" t="s">
        <v>277</v>
      </c>
      <c r="F29" s="925"/>
      <c r="G29" s="838"/>
      <c r="I29" s="840"/>
    </row>
    <row r="30" spans="1:15" x14ac:dyDescent="0.2">
      <c r="B30" s="840" t="s">
        <v>313</v>
      </c>
      <c r="C30" s="301"/>
      <c r="D30" s="841">
        <f>70*Effic_factor</f>
        <v>70</v>
      </c>
      <c r="E30" s="838" t="s">
        <v>37</v>
      </c>
      <c r="F30" s="925"/>
      <c r="I30" s="840"/>
    </row>
    <row r="31" spans="1:15" x14ac:dyDescent="0.2">
      <c r="B31" s="840" t="s">
        <v>635</v>
      </c>
      <c r="C31" s="301"/>
      <c r="D31" s="894">
        <f>D29*D30/100</f>
        <v>3.9896912189009242</v>
      </c>
      <c r="E31" s="838" t="s">
        <v>277</v>
      </c>
      <c r="F31" s="925"/>
      <c r="G31" s="1308"/>
      <c r="I31" s="910" t="s">
        <v>367</v>
      </c>
      <c r="N31" s="679"/>
    </row>
    <row r="32" spans="1:15" x14ac:dyDescent="0.2">
      <c r="B32" s="918" t="s">
        <v>631</v>
      </c>
      <c r="C32" s="301"/>
      <c r="D32" s="839">
        <f>D31/(Fuel!F114/1000) + T.ambient</f>
        <v>1384.9626136077975</v>
      </c>
      <c r="E32" s="838" t="s">
        <v>28</v>
      </c>
      <c r="F32" s="926"/>
      <c r="G32" s="1308"/>
      <c r="I32" s="840"/>
      <c r="N32" s="679"/>
    </row>
    <row r="33" spans="1:14" x14ac:dyDescent="0.2">
      <c r="B33" s="840" t="s">
        <v>905</v>
      </c>
      <c r="C33" s="301"/>
      <c r="D33" s="839">
        <f>IF(O2_substitution&gt;=25, D32-(0.93-2*O2_substitution/10000)*D28, 0)</f>
        <v>0</v>
      </c>
      <c r="E33" s="301" t="s">
        <v>28</v>
      </c>
      <c r="F33" s="927"/>
      <c r="G33" s="842"/>
      <c r="I33" s="840"/>
      <c r="N33" s="679"/>
    </row>
    <row r="34" spans="1:14" x14ac:dyDescent="0.2">
      <c r="B34" s="918" t="s">
        <v>907</v>
      </c>
      <c r="C34" s="301"/>
      <c r="D34" s="839">
        <f>D32-D33</f>
        <v>1384.9626136077975</v>
      </c>
      <c r="E34" s="301" t="s">
        <v>28</v>
      </c>
      <c r="F34" s="927"/>
      <c r="G34" s="842"/>
      <c r="I34" s="840"/>
      <c r="N34" s="679"/>
    </row>
    <row r="35" spans="1:14" x14ac:dyDescent="0.2">
      <c r="B35" s="840" t="s">
        <v>906</v>
      </c>
      <c r="C35" s="301"/>
      <c r="D35" s="894">
        <f>(Fuel!F114/1000)*(D34 - T.ambient)</f>
        <v>3.9896912189009242</v>
      </c>
      <c r="E35" s="838" t="s">
        <v>277</v>
      </c>
      <c r="F35" s="927"/>
      <c r="G35" s="842"/>
      <c r="I35" s="1005"/>
      <c r="N35" s="679"/>
    </row>
    <row r="36" spans="1:14" x14ac:dyDescent="0.2">
      <c r="B36" s="840" t="s">
        <v>644</v>
      </c>
      <c r="C36" s="301"/>
      <c r="D36" s="654">
        <f>IF(O2_substitute&lt;90, D10*(D35+D1_Furnace!C30)/100, D10*(D35+D1_Furnace!C79)/100)</f>
        <v>0.28982626950673857</v>
      </c>
      <c r="E36" s="838" t="s">
        <v>277</v>
      </c>
      <c r="F36" s="850"/>
      <c r="G36" s="842"/>
      <c r="I36" s="1005"/>
      <c r="N36" s="679"/>
    </row>
    <row r="37" spans="1:14" x14ac:dyDescent="0.2">
      <c r="B37" s="840" t="s">
        <v>645</v>
      </c>
      <c r="C37" s="301"/>
      <c r="D37" s="1111">
        <f>D29-D35-D36</f>
        <v>1.4200413957365143</v>
      </c>
      <c r="E37" s="838" t="s">
        <v>277</v>
      </c>
      <c r="F37" s="850"/>
      <c r="G37" s="842"/>
      <c r="I37" s="1005"/>
      <c r="N37" s="679"/>
    </row>
    <row r="38" spans="1:14" x14ac:dyDescent="0.2">
      <c r="B38" s="840" t="s">
        <v>646</v>
      </c>
      <c r="C38" s="301"/>
      <c r="D38" s="839">
        <f>T.ambient + D37*1000/Fuel!D115</f>
        <v>454.06866614991287</v>
      </c>
      <c r="E38" s="838" t="s">
        <v>28</v>
      </c>
      <c r="F38" s="919"/>
      <c r="G38" s="842"/>
      <c r="I38" s="840" t="s">
        <v>825</v>
      </c>
      <c r="N38" s="679"/>
    </row>
    <row r="39" spans="1:14" x14ac:dyDescent="0.2">
      <c r="B39" s="920"/>
      <c r="C39" s="705"/>
      <c r="D39" s="928"/>
      <c r="E39" s="929"/>
      <c r="F39" s="930"/>
      <c r="G39" s="838"/>
      <c r="I39" s="840" t="s">
        <v>826</v>
      </c>
    </row>
    <row r="40" spans="1:14" x14ac:dyDescent="0.2">
      <c r="A40" s="682"/>
      <c r="B40" s="301"/>
      <c r="C40" s="1022"/>
      <c r="D40" s="839"/>
      <c r="E40" s="838"/>
      <c r="F40" s="895"/>
      <c r="G40" s="838"/>
      <c r="I40" s="840"/>
    </row>
    <row r="41" spans="1:14" x14ac:dyDescent="0.2">
      <c r="A41" s="682"/>
      <c r="B41" s="896" t="s">
        <v>786</v>
      </c>
      <c r="C41" s="897"/>
      <c r="D41" s="914"/>
      <c r="E41" s="898"/>
      <c r="F41" s="1300"/>
      <c r="G41" s="899"/>
      <c r="I41" s="840"/>
    </row>
    <row r="42" spans="1:14" x14ac:dyDescent="0.2">
      <c r="A42" s="682"/>
      <c r="B42" s="1299"/>
      <c r="C42" s="301"/>
      <c r="D42" s="1045" t="s">
        <v>1038</v>
      </c>
      <c r="E42" s="1045" t="s">
        <v>934</v>
      </c>
      <c r="F42" s="1303" t="s">
        <v>13</v>
      </c>
      <c r="G42" s="924"/>
      <c r="I42" s="840"/>
    </row>
    <row r="43" spans="1:14" x14ac:dyDescent="0.2">
      <c r="A43" s="682"/>
      <c r="B43" s="1024" t="s">
        <v>808</v>
      </c>
      <c r="C43" s="301"/>
      <c r="D43" s="839">
        <f>D1_Furnace!C145</f>
        <v>1603.2319925647178</v>
      </c>
      <c r="E43" s="1058">
        <f>T.ambient + D1_Furnace!G144*1000/Syngas!E84</f>
        <v>609.21052631578959</v>
      </c>
      <c r="F43" s="838" t="s">
        <v>28</v>
      </c>
      <c r="G43" s="924"/>
      <c r="I43" s="840"/>
    </row>
    <row r="44" spans="1:14" x14ac:dyDescent="0.2">
      <c r="A44" s="682"/>
      <c r="B44" s="918" t="s">
        <v>794</v>
      </c>
      <c r="C44" s="301"/>
      <c r="D44" s="654">
        <f>(Fuel!BA110*D1_Furnace!C80/Fuel!AT59)   * (Fuel!K29*Fuel!BB104/100 + Fuel!K30*Fuel!BB105/100+Fuel!K33*Fuel!BB106/100+Fuel!K31*Fuel!BB107/100+Fuel!K32*Fuel!BB108/100+Fuel!K34*Fuel!BB109/100)/1000</f>
        <v>0.62279873700408106</v>
      </c>
      <c r="E44" s="676">
        <f>(Fuel!BA110*D1_Furnace!C80/Fuel!AT59)   * (Fuel!K29*Fuel!BB104/100 + Fuel!K30*Fuel!BB105/100+Fuel!K33*Fuel!BB106/100+Fuel!K31*Fuel!BB107/100+Fuel!K32*Fuel!BB108/100+Fuel!K34*Fuel!BB109/100)/1000</f>
        <v>0.62279873700408106</v>
      </c>
      <c r="F44" s="845" t="s">
        <v>442</v>
      </c>
      <c r="G44" s="924"/>
      <c r="I44" s="1148"/>
    </row>
    <row r="45" spans="1:14" x14ac:dyDescent="0.2">
      <c r="A45" s="682"/>
      <c r="B45" s="1025" t="s">
        <v>335</v>
      </c>
      <c r="C45" s="301"/>
      <c r="D45" s="780">
        <f>D44*(D43-T.ambient)/1000</f>
        <v>0.98292089166874053</v>
      </c>
      <c r="E45" s="780">
        <f>E44*(E43-T.ambient)/1000</f>
        <v>0.36384557793396322</v>
      </c>
      <c r="F45" s="301" t="s">
        <v>277</v>
      </c>
      <c r="G45" s="924"/>
      <c r="I45" s="840"/>
    </row>
    <row r="46" spans="1:14" x14ac:dyDescent="0.2">
      <c r="A46" s="682"/>
      <c r="B46" s="1025" t="s">
        <v>787</v>
      </c>
      <c r="C46" s="301"/>
      <c r="D46" s="841">
        <f>47*Effic_factor</f>
        <v>47</v>
      </c>
      <c r="E46" s="841">
        <f>55*Effic_factor</f>
        <v>55</v>
      </c>
      <c r="F46" s="838" t="s">
        <v>37</v>
      </c>
      <c r="G46" s="924"/>
      <c r="I46" s="1149"/>
    </row>
    <row r="47" spans="1:14" x14ac:dyDescent="0.2">
      <c r="A47" s="682"/>
      <c r="B47" s="1025" t="s">
        <v>635</v>
      </c>
      <c r="C47" s="301"/>
      <c r="D47" s="774">
        <f>D45*D46/100</f>
        <v>0.46197281908430804</v>
      </c>
      <c r="E47" s="774">
        <f>E45*E46/100</f>
        <v>0.20011506786367977</v>
      </c>
      <c r="F47" s="301" t="s">
        <v>277</v>
      </c>
      <c r="G47" s="924"/>
      <c r="I47" s="840"/>
    </row>
    <row r="48" spans="1:14" x14ac:dyDescent="0.2">
      <c r="A48" s="682"/>
      <c r="B48" s="840" t="s">
        <v>789</v>
      </c>
      <c r="C48" s="301"/>
      <c r="D48" s="774">
        <f>D10*(D47 + D1_Furnace!C80)/100</f>
        <v>0.14081350502490128</v>
      </c>
      <c r="E48" s="676">
        <f>D10*(E47 + D1_Furnace!G85)/100</f>
        <v>0.12019353967184415</v>
      </c>
      <c r="F48" s="301" t="s">
        <v>277</v>
      </c>
      <c r="G48" s="924"/>
      <c r="I48" s="840"/>
    </row>
    <row r="49" spans="1:14" x14ac:dyDescent="0.2">
      <c r="A49" s="682"/>
      <c r="B49" s="840" t="s">
        <v>790</v>
      </c>
      <c r="C49" s="301"/>
      <c r="D49" s="774">
        <f>D45-D47-D48</f>
        <v>0.38013456755953112</v>
      </c>
      <c r="E49" s="774">
        <f>E45-E47-E48</f>
        <v>4.353697039843929E-2</v>
      </c>
      <c r="F49" s="301" t="s">
        <v>277</v>
      </c>
      <c r="G49" s="924"/>
      <c r="I49" s="840"/>
    </row>
    <row r="50" spans="1:14" x14ac:dyDescent="0.2">
      <c r="A50" s="682"/>
      <c r="B50" s="918" t="s">
        <v>631</v>
      </c>
      <c r="C50" s="301"/>
      <c r="D50" s="1023">
        <f>D47*1000/Fuel!E114 + T.ambient</f>
        <v>188.07708740280563</v>
      </c>
      <c r="E50" s="1304">
        <f>E47*1000/Fuel!E114 + T.ambient</f>
        <v>95.640914496461079</v>
      </c>
      <c r="F50" s="838" t="s">
        <v>28</v>
      </c>
      <c r="G50" s="924"/>
      <c r="I50" s="840"/>
    </row>
    <row r="51" spans="1:14" x14ac:dyDescent="0.2">
      <c r="A51" s="682"/>
      <c r="B51" s="840"/>
      <c r="C51" s="301"/>
      <c r="D51" s="301"/>
      <c r="F51" s="301"/>
      <c r="G51" s="924"/>
      <c r="I51" s="840"/>
    </row>
    <row r="52" spans="1:14" x14ac:dyDescent="0.2">
      <c r="A52" s="682"/>
      <c r="B52" s="840" t="s">
        <v>793</v>
      </c>
      <c r="C52" s="301"/>
      <c r="D52" s="769">
        <f>12</f>
        <v>12</v>
      </c>
      <c r="E52" s="769">
        <f>12</f>
        <v>12</v>
      </c>
      <c r="F52" s="301" t="s">
        <v>355</v>
      </c>
      <c r="G52" s="924"/>
      <c r="I52" s="840"/>
    </row>
    <row r="53" spans="1:14" x14ac:dyDescent="0.2">
      <c r="A53" s="682"/>
      <c r="B53" s="1006" t="s">
        <v>785</v>
      </c>
      <c r="C53" s="730"/>
      <c r="D53" s="730">
        <f>1.5*D52*Losses_factor</f>
        <v>18</v>
      </c>
      <c r="E53" s="730">
        <f>1.5*E52*Losses_factor</f>
        <v>18</v>
      </c>
      <c r="F53" s="845" t="s">
        <v>37</v>
      </c>
      <c r="G53" s="924"/>
      <c r="I53" s="840"/>
    </row>
    <row r="54" spans="1:14" x14ac:dyDescent="0.2">
      <c r="A54" s="682"/>
      <c r="B54" s="1006" t="s">
        <v>791</v>
      </c>
      <c r="C54" s="730"/>
      <c r="D54" s="730">
        <f>55*Effic_factor</f>
        <v>55</v>
      </c>
      <c r="E54" s="419">
        <f>65*Effic_factor</f>
        <v>65</v>
      </c>
      <c r="F54" s="845" t="s">
        <v>37</v>
      </c>
      <c r="G54" s="924"/>
      <c r="I54" s="840"/>
      <c r="J54" s="301"/>
      <c r="K54" s="301"/>
      <c r="L54" s="301"/>
    </row>
    <row r="55" spans="1:14" x14ac:dyDescent="0.2">
      <c r="A55" s="682"/>
      <c r="B55" s="840"/>
      <c r="C55" s="301"/>
      <c r="D55" s="301"/>
      <c r="F55" s="301"/>
      <c r="G55" s="924"/>
      <c r="I55" s="840"/>
      <c r="K55" s="301"/>
      <c r="L55" s="301"/>
      <c r="N55" s="933"/>
    </row>
    <row r="56" spans="1:14" x14ac:dyDescent="0.2">
      <c r="A56" s="682"/>
      <c r="B56" s="1026" t="s">
        <v>818</v>
      </c>
      <c r="C56" s="301"/>
      <c r="D56" s="301"/>
      <c r="F56" s="301"/>
      <c r="G56" s="924"/>
      <c r="I56" s="840"/>
      <c r="J56" s="797"/>
      <c r="K56" s="1032"/>
      <c r="L56" s="730"/>
      <c r="M56" s="730"/>
    </row>
    <row r="57" spans="1:14" x14ac:dyDescent="0.2">
      <c r="A57" s="682"/>
      <c r="B57" s="918" t="s">
        <v>781</v>
      </c>
      <c r="C57" s="652"/>
      <c r="D57" s="1003">
        <f>(Fuel!BB59*Fuel!J24 + Fuel!BB60*Fuel!J25 + Fuel!BB61*Fuel!J26 + Fuel!BB62*Fuel!J27 + Fuel!BB63*Fuel!J28 + Fuel!BB64*Fuel!J29 + Fuel!BB65*Fuel!J30 + Fuel!BB66*Fuel!J31) /1000</f>
        <v>0.19094508284111106</v>
      </c>
      <c r="E57" s="1047">
        <f>(Fuel!BC59*Fuel!J24 + Fuel!BC60*Fuel!J25 + Fuel!BC61*Fuel!J26 + Fuel!BC62*Fuel!J27 + Fuel!BC63*Fuel!J28 + Fuel!BC64*Fuel!J29 + Fuel!BC65*Fuel!J30 + Fuel!BC66*Fuel!J31) /1000</f>
        <v>0.17339704816336171</v>
      </c>
      <c r="F57" s="845" t="s">
        <v>442</v>
      </c>
      <c r="G57" s="924"/>
      <c r="I57" s="840"/>
      <c r="J57" s="730"/>
      <c r="K57" s="730"/>
      <c r="L57" s="730"/>
      <c r="M57" s="730"/>
    </row>
    <row r="58" spans="1:14" x14ac:dyDescent="0.2">
      <c r="A58" s="682"/>
      <c r="B58" s="1006" t="s">
        <v>627</v>
      </c>
      <c r="C58" s="652"/>
      <c r="D58" s="1038">
        <f>(D47*D54/100)*0.3</f>
        <v>7.6225515148910822E-2</v>
      </c>
      <c r="E58" s="1038">
        <f>(E47*E54/100)*0.3</f>
        <v>3.9022438233417556E-2</v>
      </c>
      <c r="F58" s="845" t="s">
        <v>277</v>
      </c>
      <c r="G58" s="924"/>
      <c r="I58" s="840"/>
      <c r="J58" s="797"/>
      <c r="K58" s="1032"/>
      <c r="L58" s="730"/>
      <c r="M58" s="730"/>
    </row>
    <row r="59" spans="1:14" x14ac:dyDescent="0.2">
      <c r="A59" s="682"/>
      <c r="B59" s="1290" t="s">
        <v>647</v>
      </c>
      <c r="C59" s="730"/>
      <c r="D59" s="1039">
        <f>D58*1000/D57 + T.ambient</f>
        <v>424.20124684404408</v>
      </c>
      <c r="E59" s="1039">
        <f>E58*1000/E57 + T.ambient</f>
        <v>250.04672741979746</v>
      </c>
      <c r="F59" s="845" t="s">
        <v>28</v>
      </c>
      <c r="G59" s="1302"/>
      <c r="I59" s="840"/>
      <c r="J59" s="730"/>
      <c r="K59" s="730"/>
      <c r="L59" s="730"/>
      <c r="M59" s="730"/>
    </row>
    <row r="60" spans="1:14" x14ac:dyDescent="0.2">
      <c r="A60" s="682"/>
      <c r="B60" s="1027" t="s">
        <v>819</v>
      </c>
      <c r="C60" s="301"/>
      <c r="D60" s="1040"/>
      <c r="F60" s="301"/>
      <c r="G60" s="924"/>
      <c r="I60" s="840"/>
      <c r="J60" s="730"/>
      <c r="K60" s="730"/>
      <c r="L60" s="730"/>
      <c r="M60" s="730"/>
    </row>
    <row r="61" spans="1:14" x14ac:dyDescent="0.2">
      <c r="A61" s="682"/>
      <c r="B61" s="1006" t="s">
        <v>512</v>
      </c>
      <c r="C61" s="652"/>
      <c r="D61" s="1003">
        <f>D1_Furnace!C131*Fuel!K30*Fuel!C13/1000</f>
        <v>0.29348912987440445</v>
      </c>
      <c r="E61" s="1047">
        <f>D1_Furnace!G128*Fuel!K30*Fuel!C13/1000</f>
        <v>0.2665171997678612</v>
      </c>
      <c r="F61" s="845" t="s">
        <v>442</v>
      </c>
      <c r="G61" s="924"/>
      <c r="I61" s="840"/>
      <c r="J61" s="805"/>
      <c r="K61" s="666"/>
    </row>
    <row r="62" spans="1:14" x14ac:dyDescent="0.2">
      <c r="A62" s="682"/>
      <c r="B62" s="1006" t="s">
        <v>655</v>
      </c>
      <c r="C62" s="652"/>
      <c r="D62" s="1038">
        <f xml:space="preserve"> (D47*D54/100) *0.7</f>
        <v>0.17785953534745857</v>
      </c>
      <c r="E62" s="1038">
        <f xml:space="preserve"> (E47*E54/100) *0.7</f>
        <v>9.1052355877974292E-2</v>
      </c>
      <c r="F62" s="845" t="s">
        <v>277</v>
      </c>
      <c r="G62" s="924"/>
      <c r="I62" s="840"/>
      <c r="J62" s="805"/>
      <c r="K62" s="666"/>
      <c r="L62" s="639"/>
    </row>
    <row r="63" spans="1:14" x14ac:dyDescent="0.2">
      <c r="A63" s="682"/>
      <c r="B63" s="1290" t="s">
        <v>656</v>
      </c>
      <c r="C63" s="730"/>
      <c r="D63" s="686">
        <f>D62*1000/D61+ T.ambient</f>
        <v>631.01745428722234</v>
      </c>
      <c r="E63" s="686">
        <f>E62*1000/E61+ T.ambient</f>
        <v>366.63782283950786</v>
      </c>
      <c r="F63" s="845" t="s">
        <v>28</v>
      </c>
      <c r="G63" s="924"/>
      <c r="I63" s="840"/>
    </row>
    <row r="64" spans="1:14" x14ac:dyDescent="0.2">
      <c r="A64" s="682"/>
      <c r="B64" s="1290"/>
      <c r="C64" s="730"/>
      <c r="D64" s="686"/>
      <c r="F64" s="845"/>
      <c r="G64" s="924"/>
      <c r="I64" s="1007"/>
      <c r="M64" s="635"/>
    </row>
    <row r="65" spans="1:21" x14ac:dyDescent="0.2">
      <c r="A65" s="682"/>
      <c r="B65" s="1006"/>
      <c r="C65" s="1028" t="s">
        <v>773</v>
      </c>
      <c r="D65" s="1029">
        <f>IF(D63&lt;500,   VLOOKUP(D59,F114:G126,2,TRUE),     VLOOKUP(D59,H114:I126,2,TRUE))</f>
        <v>10.9</v>
      </c>
      <c r="E65" s="897">
        <f>IF(E63&lt;500,   VLOOKUP(E59,F114:G126,2,TRUE),     VLOOKUP(E59,H114:I126,2,TRUE))</f>
        <v>7.1</v>
      </c>
      <c r="F65" s="860" t="s">
        <v>37</v>
      </c>
      <c r="G65" s="924"/>
      <c r="I65" s="840"/>
      <c r="M65" s="635"/>
    </row>
    <row r="66" spans="1:21" x14ac:dyDescent="0.2">
      <c r="A66" s="682"/>
      <c r="B66" s="1006"/>
      <c r="C66" s="1034" t="s">
        <v>792</v>
      </c>
      <c r="D66" s="641">
        <f xml:space="preserve"> D53*((D58+D62) + D47)/100</f>
        <v>0.12889041652452193</v>
      </c>
      <c r="E66" s="641">
        <f xml:space="preserve"> E53*((E58+E62) + E47)/100</f>
        <v>5.9434175155512886E-2</v>
      </c>
      <c r="F66" s="1035" t="s">
        <v>277</v>
      </c>
      <c r="G66" s="924"/>
      <c r="I66" s="840"/>
      <c r="M66" s="635"/>
      <c r="P66" s="301"/>
      <c r="Q66" s="301"/>
      <c r="R66" s="301"/>
      <c r="S66" s="301"/>
      <c r="T66" s="301"/>
      <c r="U66" s="301"/>
    </row>
    <row r="67" spans="1:21" x14ac:dyDescent="0.2">
      <c r="A67" s="682"/>
      <c r="B67" s="1006"/>
      <c r="C67" s="1031" t="s">
        <v>788</v>
      </c>
      <c r="D67" s="1041">
        <f>(D47-D58-D62-D66) + D49</f>
        <v>0.45913191962294786</v>
      </c>
      <c r="E67" s="1041">
        <f>(E47-E58-E62-E66) + E49</f>
        <v>5.414306899521433E-2</v>
      </c>
      <c r="F67" s="1030" t="s">
        <v>277</v>
      </c>
      <c r="G67" s="924"/>
      <c r="I67" s="840"/>
      <c r="M67" s="635"/>
      <c r="P67" s="301"/>
      <c r="Q67" s="301"/>
      <c r="R67" s="301"/>
      <c r="S67" s="301"/>
      <c r="T67" s="301"/>
      <c r="U67" s="301"/>
    </row>
    <row r="68" spans="1:21" x14ac:dyDescent="0.2">
      <c r="A68" s="682"/>
      <c r="B68" s="1017"/>
      <c r="C68" s="923"/>
      <c r="D68" s="923"/>
      <c r="E68" s="923"/>
      <c r="F68" s="1301"/>
      <c r="G68" s="1293"/>
      <c r="I68" s="840"/>
      <c r="M68" s="635"/>
      <c r="P68" s="301"/>
      <c r="Q68" s="301"/>
      <c r="R68" s="301"/>
      <c r="S68" s="301"/>
      <c r="T68" s="301"/>
      <c r="U68" s="301"/>
    </row>
    <row r="69" spans="1:21" x14ac:dyDescent="0.2">
      <c r="A69" s="682"/>
      <c r="B69" s="730"/>
      <c r="C69" s="730"/>
      <c r="D69" s="730"/>
      <c r="E69" s="730"/>
      <c r="F69" s="662"/>
      <c r="G69" s="838"/>
      <c r="I69" s="847"/>
      <c r="M69" s="635"/>
      <c r="P69" s="301"/>
      <c r="Q69" s="301"/>
      <c r="R69" s="301"/>
      <c r="S69" s="301"/>
      <c r="T69" s="301"/>
      <c r="U69" s="301"/>
    </row>
    <row r="70" spans="1:21" x14ac:dyDescent="0.2">
      <c r="A70" s="682"/>
      <c r="G70" s="838"/>
      <c r="I70" s="843"/>
    </row>
    <row r="71" spans="1:21" ht="14.45" customHeight="1" x14ac:dyDescent="0.2">
      <c r="A71" s="682"/>
      <c r="B71" s="896" t="s">
        <v>674</v>
      </c>
      <c r="C71" s="897"/>
      <c r="D71" s="1409" t="s">
        <v>1045</v>
      </c>
      <c r="E71" s="1409" t="s">
        <v>1044</v>
      </c>
      <c r="F71" s="897"/>
      <c r="G71" s="899"/>
      <c r="I71" s="843"/>
    </row>
    <row r="72" spans="1:21" x14ac:dyDescent="0.2">
      <c r="A72" s="682"/>
      <c r="B72" s="840"/>
      <c r="C72" s="1045" t="s">
        <v>1039</v>
      </c>
      <c r="D72" s="1410"/>
      <c r="E72" s="1410"/>
      <c r="F72" s="1045" t="s">
        <v>934</v>
      </c>
      <c r="G72" s="1294" t="s">
        <v>13</v>
      </c>
      <c r="I72" s="843"/>
    </row>
    <row r="73" spans="1:21" x14ac:dyDescent="0.2">
      <c r="A73" s="682"/>
      <c r="B73" s="840" t="s">
        <v>335</v>
      </c>
      <c r="C73" s="783">
        <f>IF(AND(FlagBatch_3="y", D1_Furnace!C186&gt;=1.2*Melt), D1_Furnace!C186, IF(O2_substitute&gt;=90, IF(FlagBatch="y", IF(NG_O2_preheat="y", Heat_Balance!D67, D1_Furnace!C81), IF(FlagBatch_2="y", IF(NG_O2_preheat_2="y", D67,D1_Furnace!G86), "Not applicable")), IF(O2_substitute&lt;=85, Heat_Balance!D37, "Not applicable")))</f>
        <v>1.4200413957365143</v>
      </c>
      <c r="D73" s="763">
        <f>D1_Furnace!C81</f>
        <v>1.8200757308508375</v>
      </c>
      <c r="E73" s="774">
        <f>Heat_Balance!D67</f>
        <v>0.45913191962294786</v>
      </c>
      <c r="F73" s="763">
        <f>D1_Furnace!G86</f>
        <v>0.72778860749381102</v>
      </c>
      <c r="G73" s="924" t="s">
        <v>277</v>
      </c>
      <c r="I73" s="840"/>
      <c r="M73" s="806"/>
    </row>
    <row r="74" spans="1:21" x14ac:dyDescent="0.2">
      <c r="A74" s="682"/>
      <c r="B74" s="840" t="s">
        <v>814</v>
      </c>
      <c r="C74" s="686">
        <f>IF(C73="Not applicable", "Not applicable", IF(O2_substitute&lt;=85, T.ambient + C73*1000/Fuel!D115, T.ambient + C73*1000/Fuel!G115))</f>
        <v>454.06866614991287</v>
      </c>
      <c r="D74" s="1291">
        <f>IF(D73="Not applicable", "Not applicable", T.ambient +D73*1000/Fuel!AX116)</f>
        <v>1476.9734331595405</v>
      </c>
      <c r="E74" s="1291">
        <f>IF(E73="Not applicable", "Not applicable", T.ambient +E73*1000/Fuel!AX116)</f>
        <v>391.27451171848861</v>
      </c>
      <c r="F74" s="1291">
        <f>IF(F73="Not applicable", "Not applicable", T.ambient +F73*1000/Fuel!AX116)</f>
        <v>605.59656811268871</v>
      </c>
      <c r="G74" s="1292" t="s">
        <v>28</v>
      </c>
      <c r="I74" s="840"/>
      <c r="M74" s="806"/>
    </row>
    <row r="75" spans="1:21" x14ac:dyDescent="0.2">
      <c r="A75" s="682"/>
      <c r="B75" s="840" t="s">
        <v>822</v>
      </c>
      <c r="C75" s="686" t="str">
        <f>"Not applicable"</f>
        <v>Not applicable</v>
      </c>
      <c r="D75" s="1291">
        <v>900</v>
      </c>
      <c r="E75" s="302" t="str">
        <f>"Not applicable"</f>
        <v>Not applicable</v>
      </c>
      <c r="F75" s="302" t="s">
        <v>1047</v>
      </c>
      <c r="G75" s="1292" t="s">
        <v>28</v>
      </c>
      <c r="H75" s="676"/>
      <c r="I75" s="840"/>
      <c r="K75" s="650"/>
      <c r="L75" s="650"/>
      <c r="M75" s="844"/>
    </row>
    <row r="76" spans="1:21" x14ac:dyDescent="0.2">
      <c r="A76" s="682"/>
      <c r="B76" s="840" t="s">
        <v>813</v>
      </c>
      <c r="C76" s="686" t="str">
        <f>IF(C75="Not applicable", "Not applicable", C74-C75)</f>
        <v>Not applicable</v>
      </c>
      <c r="D76" s="1291">
        <f>IF(D75="Not applicable", "Not applicable", D74-D75)</f>
        <v>576.97343315954049</v>
      </c>
      <c r="E76" s="1291" t="str">
        <f>IF(E75="Not applicable", "Not applicable", E74-E75)</f>
        <v>Not applicable</v>
      </c>
      <c r="F76" s="302" t="str">
        <f>IF(F75="Not applicable", "Not applicable", F74-F75)</f>
        <v>Not applicable</v>
      </c>
      <c r="G76" s="1292" t="s">
        <v>28</v>
      </c>
      <c r="I76" s="840"/>
      <c r="L76" s="730"/>
      <c r="M76" s="730"/>
      <c r="N76" s="730"/>
    </row>
    <row r="77" spans="1:21" x14ac:dyDescent="0.2">
      <c r="A77" s="682"/>
      <c r="B77" s="840" t="s">
        <v>673</v>
      </c>
      <c r="C77" s="763" t="str">
        <f>IF(C76="Not applicable", "Not applicable", Fuel!E116*(C76-T.ambient)/1000)</f>
        <v>Not applicable</v>
      </c>
      <c r="D77" s="763">
        <f>IF(D76="Not applicable", "Not applicable", Fuel!AV117*(D76-T.ambient)/1000)</f>
        <v>0.62748587289341673</v>
      </c>
      <c r="E77" s="763" t="str">
        <f>IF(E76="Not applicable", "Not applicable", Fuel!AV117*(E76-T.ambient)/1000)</f>
        <v>Not applicable</v>
      </c>
      <c r="F77" s="302" t="str">
        <f>IF(F76="Not applicable", "Not applicable", Fuel!AV117*(F76-T.ambient)/1000)</f>
        <v>Not applicable</v>
      </c>
      <c r="G77" s="1295" t="s">
        <v>277</v>
      </c>
      <c r="I77" s="840"/>
      <c r="J77" s="1046"/>
      <c r="L77" s="730"/>
      <c r="M77" s="730"/>
      <c r="N77" s="730"/>
    </row>
    <row r="78" spans="1:21" x14ac:dyDescent="0.2">
      <c r="A78" s="682"/>
      <c r="B78" s="840"/>
      <c r="C78" s="301"/>
      <c r="D78" s="774"/>
      <c r="E78" s="301"/>
      <c r="F78" s="302"/>
      <c r="G78" s="1295"/>
      <c r="I78" s="840"/>
      <c r="K78" s="730"/>
      <c r="L78" s="846"/>
      <c r="M78" s="787"/>
      <c r="N78" s="730"/>
    </row>
    <row r="79" spans="1:21" x14ac:dyDescent="0.2">
      <c r="A79" s="682"/>
      <c r="B79" s="840" t="s">
        <v>312</v>
      </c>
      <c r="C79" s="841">
        <f>55*Effic_factor</f>
        <v>55</v>
      </c>
      <c r="D79" s="1306">
        <f>C79</f>
        <v>55</v>
      </c>
      <c r="E79" s="1306">
        <f>C79</f>
        <v>55</v>
      </c>
      <c r="F79" s="1307">
        <f>C79</f>
        <v>55</v>
      </c>
      <c r="G79" s="924" t="s">
        <v>37</v>
      </c>
      <c r="I79" s="840"/>
      <c r="J79" s="1056"/>
      <c r="K79" s="730"/>
      <c r="M79" s="730"/>
    </row>
    <row r="80" spans="1:21" x14ac:dyDescent="0.2">
      <c r="A80" s="682"/>
      <c r="B80" s="840" t="s">
        <v>636</v>
      </c>
      <c r="C80" s="1038">
        <f>IF(C73="Not applicable", "Not applicable", IF(C77&lt;&gt;"Not applicable", C77*C79/100,  C73*C79/100))</f>
        <v>0.78102276765508294</v>
      </c>
      <c r="D80" s="763">
        <f>IF(D73="Not applicable", "Not applicable", IF(D77&lt;&gt;"Not applicable", D77*D79/100,  D73*D79/100))</f>
        <v>0.34511723009137918</v>
      </c>
      <c r="E80" s="763">
        <f>IF(E73="Not applicable", "Not applicable", IF(E77&lt;&gt;"Not applicable", E77*E79/100,  E73*E79/100))</f>
        <v>0.25252255579262134</v>
      </c>
      <c r="F80" s="763">
        <f>IF(F73="Not applicable", "Not applicable", IF(F77&lt;&gt;"Not applicable", F77*F79/100,  F73*F79/100))</f>
        <v>0.40028373412159612</v>
      </c>
      <c r="G80" s="924" t="s">
        <v>277</v>
      </c>
      <c r="I80" s="840"/>
      <c r="J80" s="1056"/>
      <c r="K80" s="730"/>
      <c r="M80" s="730"/>
    </row>
    <row r="81" spans="1:20" x14ac:dyDescent="0.2">
      <c r="A81" s="682"/>
      <c r="B81" s="1290" t="s">
        <v>632</v>
      </c>
      <c r="C81" s="1068">
        <f>IF(O2_substitute&lt;=85, C80/(Fuel!D115/1000)+T.ambient, IF(C73="Not applicable", "Not applicable", C80/(Fuel!F115/1000)+T.ambient))</f>
        <v>260.98776638245209</v>
      </c>
      <c r="D81" s="1296">
        <f>IF(D73="Not applicable", "Not applicable", D80/(Fuel!AW116/1000)+T.ambient)</f>
        <v>310.17022225397193</v>
      </c>
      <c r="E81" s="1305">
        <f>IF(E73="Not applicable", "Not applicable", E80/(Fuel!AW116/1000)+T.ambient)</f>
        <v>233.6592817763858</v>
      </c>
      <c r="F81" s="1296">
        <f>IF(F73="Not applicable", "Not applicable", F80/(Fuel!AW116/1000)+T.ambient)</f>
        <v>355.75428136080404</v>
      </c>
      <c r="G81" s="1292" t="s">
        <v>28</v>
      </c>
      <c r="I81" s="840"/>
      <c r="J81" s="1056"/>
      <c r="P81" s="650"/>
    </row>
    <row r="82" spans="1:20" x14ac:dyDescent="0.2">
      <c r="A82" s="682"/>
      <c r="B82" s="1290" t="s">
        <v>773</v>
      </c>
      <c r="C82" s="692">
        <f>IF(C73="Not applicable", "Not applicable", VLOOKUP(C81,H114:I126,2,TRUE) )</f>
        <v>8</v>
      </c>
      <c r="D82" s="697">
        <f>IF(D73="Not applicable", "Not applicable", VLOOKUP(D81,H114:I126,2,TRUE) )</f>
        <v>9.1</v>
      </c>
      <c r="E82" s="675">
        <f>IF(E73="Not applicable", "Not applicable", VLOOKUP(E81,H114:I126,2,TRUE) )</f>
        <v>6.8</v>
      </c>
      <c r="F82" s="697">
        <f>IF(F73="Not applicable", "Not applicable", VLOOKUP(F81,H114:I126,2,TRUE) )</f>
        <v>10</v>
      </c>
      <c r="G82" s="1292" t="s">
        <v>37</v>
      </c>
      <c r="I82" s="840"/>
      <c r="J82" s="1056"/>
      <c r="K82" s="301"/>
      <c r="L82" s="848"/>
      <c r="M82" s="730"/>
      <c r="P82" s="650"/>
    </row>
    <row r="83" spans="1:20" x14ac:dyDescent="0.2">
      <c r="A83" s="682"/>
      <c r="B83" s="840"/>
      <c r="C83" s="301"/>
      <c r="D83" s="763"/>
      <c r="E83" s="301"/>
      <c r="F83" s="302"/>
      <c r="G83" s="1292"/>
      <c r="I83" s="840"/>
      <c r="J83" s="1056"/>
      <c r="K83" s="301"/>
      <c r="L83" s="848"/>
      <c r="M83" s="730"/>
      <c r="P83" s="650"/>
    </row>
    <row r="84" spans="1:20" x14ac:dyDescent="0.2">
      <c r="A84" s="682"/>
      <c r="B84" s="840" t="s">
        <v>645</v>
      </c>
      <c r="C84" s="1046">
        <f>IF(C73="Not applicable", "Not applicable", IF(C77&lt;&gt;"Not applicable", C77-C80, C73-C80 ))</f>
        <v>0.63901862808143139</v>
      </c>
      <c r="D84" s="763">
        <f>IF(D73="Not applicable", "Not applicable", IF(D77&lt;&gt;"Not applicable", D77-D80, D73-D80 ))</f>
        <v>0.28236864280203755</v>
      </c>
      <c r="E84" s="763">
        <f>IF(E73="Not applicable", "Not applicable", IF(E77&lt;&gt;"Not applicable", E77-E80, E73-E80 ))</f>
        <v>0.20660936383032652</v>
      </c>
      <c r="F84" s="763">
        <f>IF(F73="Not applicable", "Not applicable", IF(F77&lt;&gt;"Not applicable", F77-F80, F73-F80 ))</f>
        <v>0.3275048733722149</v>
      </c>
      <c r="G84" s="1292" t="s">
        <v>277</v>
      </c>
      <c r="I84" s="840"/>
      <c r="J84" s="1056"/>
      <c r="K84" s="301"/>
      <c r="M84" s="730"/>
      <c r="P84" s="650"/>
      <c r="T84" s="636"/>
    </row>
    <row r="85" spans="1:20" x14ac:dyDescent="0.2">
      <c r="A85" s="682"/>
      <c r="B85" s="840" t="s">
        <v>646</v>
      </c>
      <c r="C85" s="1068">
        <f>IF(O2_substitute&lt;=85, T.ambient + C84*1000/Fuel!D115, IF(C73="Not applicable", "Not applicable", T.ambient + C84*1000/Fuel!D115))</f>
        <v>218.08089976746078</v>
      </c>
      <c r="D85" s="1296">
        <f>IF(D73="Not applicable", "Not applicable", T.ambient + D84*1000/Fuel!AU116)</f>
        <v>290.53526282115001</v>
      </c>
      <c r="E85" s="1305">
        <f>IF(E73="Not applicable", "Not applicable", T.ambient + E84*1000/Fuel!AU116)</f>
        <v>219.29236611254655</v>
      </c>
      <c r="F85" s="1296">
        <f>IF(F73="Not applicable", "Not applicable", T.ambient + F84*1000/Fuel!AU116)</f>
        <v>332.98070126741078</v>
      </c>
      <c r="G85" s="924" t="s">
        <v>28</v>
      </c>
      <c r="I85" s="840"/>
    </row>
    <row r="86" spans="1:20" x14ac:dyDescent="0.2">
      <c r="A86" s="682"/>
      <c r="B86" s="920"/>
      <c r="C86" s="922"/>
      <c r="D86" s="1297"/>
      <c r="E86" s="705"/>
      <c r="F86" s="1298"/>
      <c r="G86" s="1293"/>
      <c r="I86" s="840"/>
    </row>
    <row r="87" spans="1:20" x14ac:dyDescent="0.2">
      <c r="A87" s="681"/>
      <c r="I87" s="301"/>
    </row>
    <row r="88" spans="1:20" x14ac:dyDescent="0.2">
      <c r="A88" s="681"/>
      <c r="I88" s="301"/>
    </row>
    <row r="89" spans="1:20" x14ac:dyDescent="0.2">
      <c r="A89" s="681"/>
      <c r="I89" s="301"/>
    </row>
    <row r="90" spans="1:20" x14ac:dyDescent="0.2">
      <c r="A90" s="681"/>
      <c r="I90" s="301"/>
    </row>
    <row r="91" spans="1:20" x14ac:dyDescent="0.2">
      <c r="A91" s="681"/>
      <c r="I91" s="301"/>
    </row>
    <row r="92" spans="1:20" x14ac:dyDescent="0.2">
      <c r="A92" s="681"/>
      <c r="I92" s="301"/>
    </row>
    <row r="93" spans="1:20" x14ac:dyDescent="0.2">
      <c r="A93" s="681"/>
      <c r="I93" s="301"/>
    </row>
    <row r="94" spans="1:20" x14ac:dyDescent="0.2">
      <c r="A94" s="681"/>
      <c r="I94" s="301"/>
    </row>
    <row r="95" spans="1:20" x14ac:dyDescent="0.2">
      <c r="A95" s="681"/>
      <c r="I95" s="301"/>
    </row>
    <row r="96" spans="1:20" x14ac:dyDescent="0.2">
      <c r="A96" s="681"/>
      <c r="I96" s="301"/>
    </row>
    <row r="97" spans="1:15" x14ac:dyDescent="0.2">
      <c r="A97" s="681"/>
      <c r="I97" s="301"/>
    </row>
    <row r="98" spans="1:15" x14ac:dyDescent="0.2">
      <c r="A98" s="681"/>
      <c r="I98" s="301"/>
    </row>
    <row r="99" spans="1:15" x14ac:dyDescent="0.2">
      <c r="A99" s="681"/>
      <c r="I99" s="301"/>
    </row>
    <row r="100" spans="1:15" x14ac:dyDescent="0.2">
      <c r="A100" s="681"/>
      <c r="I100" s="301"/>
    </row>
    <row r="101" spans="1:15" x14ac:dyDescent="0.2">
      <c r="A101" s="681"/>
      <c r="I101" s="301"/>
    </row>
    <row r="102" spans="1:15" x14ac:dyDescent="0.2">
      <c r="H102" s="301"/>
    </row>
    <row r="105" spans="1:15" ht="15" customHeight="1" x14ac:dyDescent="0.2">
      <c r="A105" s="681"/>
    </row>
    <row r="106" spans="1:15" ht="15" customHeight="1" x14ac:dyDescent="0.2">
      <c r="A106" s="730"/>
    </row>
    <row r="107" spans="1:15" ht="18.75" x14ac:dyDescent="0.3">
      <c r="A107" s="730"/>
      <c r="B107" s="1384" t="s">
        <v>360</v>
      </c>
      <c r="C107" s="1384"/>
      <c r="D107" s="1384"/>
      <c r="E107" s="1384"/>
      <c r="F107" s="1384"/>
      <c r="G107" s="1384"/>
      <c r="H107" s="1384"/>
      <c r="I107" s="1384"/>
      <c r="J107" s="1384"/>
      <c r="K107" s="1384"/>
      <c r="L107" s="1384"/>
      <c r="M107" s="1384"/>
      <c r="N107" s="1384"/>
      <c r="O107" s="1384"/>
    </row>
    <row r="108" spans="1:15" x14ac:dyDescent="0.2">
      <c r="A108" s="730"/>
    </row>
    <row r="109" spans="1:15" x14ac:dyDescent="0.2">
      <c r="A109" s="730"/>
    </row>
    <row r="110" spans="1:15" x14ac:dyDescent="0.2">
      <c r="A110" s="730"/>
      <c r="B110" s="891" t="s">
        <v>963</v>
      </c>
    </row>
    <row r="111" spans="1:15" x14ac:dyDescent="0.2">
      <c r="A111" s="730"/>
    </row>
    <row r="112" spans="1:15" x14ac:dyDescent="0.2">
      <c r="A112" s="730"/>
      <c r="H112" s="805"/>
    </row>
    <row r="113" spans="1:9" ht="13.5" thickBot="1" x14ac:dyDescent="0.25">
      <c r="A113" s="681"/>
      <c r="F113" s="1009" t="s">
        <v>776</v>
      </c>
      <c r="G113" s="1010" t="s">
        <v>774</v>
      </c>
      <c r="H113" s="1009" t="s">
        <v>776</v>
      </c>
      <c r="I113" s="1011" t="s">
        <v>775</v>
      </c>
    </row>
    <row r="114" spans="1:9" x14ac:dyDescent="0.2">
      <c r="A114" s="681"/>
      <c r="F114" s="1012">
        <v>25</v>
      </c>
      <c r="G114" s="709">
        <v>0</v>
      </c>
      <c r="H114" s="1012">
        <v>25</v>
      </c>
      <c r="I114" s="1013">
        <v>0</v>
      </c>
    </row>
    <row r="115" spans="1:9" x14ac:dyDescent="0.2">
      <c r="A115" s="681"/>
      <c r="F115" s="1012">
        <v>50</v>
      </c>
      <c r="G115" s="709">
        <v>1.7</v>
      </c>
      <c r="H115" s="1012">
        <v>50</v>
      </c>
      <c r="I115" s="1013">
        <v>2.1</v>
      </c>
    </row>
    <row r="116" spans="1:9" x14ac:dyDescent="0.2">
      <c r="A116" s="681"/>
      <c r="F116" s="1012">
        <v>100</v>
      </c>
      <c r="G116" s="709">
        <v>3.4</v>
      </c>
      <c r="H116" s="1012">
        <v>100</v>
      </c>
      <c r="I116" s="1013">
        <v>4</v>
      </c>
    </row>
    <row r="117" spans="1:9" x14ac:dyDescent="0.2">
      <c r="A117" s="681"/>
      <c r="F117" s="1012">
        <v>150</v>
      </c>
      <c r="G117" s="709">
        <v>4.8</v>
      </c>
      <c r="H117" s="1012">
        <v>150</v>
      </c>
      <c r="I117" s="1013">
        <v>5.5</v>
      </c>
    </row>
    <row r="118" spans="1:9" x14ac:dyDescent="0.2">
      <c r="A118" s="681"/>
      <c r="B118" s="301"/>
      <c r="C118" s="301"/>
      <c r="D118" s="301"/>
      <c r="F118" s="1012">
        <v>200</v>
      </c>
      <c r="G118" s="709">
        <v>6</v>
      </c>
      <c r="H118" s="1012">
        <v>200</v>
      </c>
      <c r="I118" s="1013">
        <v>6.8</v>
      </c>
    </row>
    <row r="119" spans="1:9" x14ac:dyDescent="0.2">
      <c r="A119" s="681"/>
      <c r="B119" s="301"/>
      <c r="C119" s="301"/>
      <c r="D119" s="301"/>
      <c r="F119" s="1012">
        <v>250</v>
      </c>
      <c r="G119" s="709">
        <v>7.1</v>
      </c>
      <c r="H119" s="1012">
        <v>250</v>
      </c>
      <c r="I119" s="1013">
        <v>8</v>
      </c>
    </row>
    <row r="120" spans="1:9" x14ac:dyDescent="0.2">
      <c r="A120" s="681"/>
      <c r="B120" s="301"/>
      <c r="C120" s="301"/>
      <c r="D120" s="301"/>
      <c r="F120" s="1012">
        <v>300</v>
      </c>
      <c r="G120" s="709">
        <v>8.1</v>
      </c>
      <c r="H120" s="1012">
        <v>300</v>
      </c>
      <c r="I120" s="1013">
        <v>9.1</v>
      </c>
    </row>
    <row r="121" spans="1:9" x14ac:dyDescent="0.2">
      <c r="A121" s="681"/>
      <c r="F121" s="1012">
        <v>350</v>
      </c>
      <c r="G121" s="709">
        <v>9</v>
      </c>
      <c r="H121" s="1012">
        <v>350</v>
      </c>
      <c r="I121" s="1013">
        <v>10</v>
      </c>
    </row>
    <row r="122" spans="1:9" x14ac:dyDescent="0.2">
      <c r="A122" s="681"/>
      <c r="F122" s="1012">
        <v>400</v>
      </c>
      <c r="G122" s="709">
        <v>9.8000000000000007</v>
      </c>
      <c r="H122" s="1012">
        <v>400</v>
      </c>
      <c r="I122" s="1013">
        <v>10.9</v>
      </c>
    </row>
    <row r="123" spans="1:9" x14ac:dyDescent="0.2">
      <c r="A123" s="681"/>
      <c r="F123" s="1012">
        <v>450</v>
      </c>
      <c r="G123" s="709">
        <v>10.5</v>
      </c>
      <c r="H123" s="1012">
        <v>450</v>
      </c>
      <c r="I123" s="1013">
        <v>11.6</v>
      </c>
    </row>
    <row r="124" spans="1:9" x14ac:dyDescent="0.2">
      <c r="F124" s="1012">
        <v>500</v>
      </c>
      <c r="G124" s="709">
        <v>11.1</v>
      </c>
      <c r="H124" s="1012">
        <v>500</v>
      </c>
      <c r="I124" s="1013">
        <v>12.2</v>
      </c>
    </row>
    <row r="125" spans="1:9" x14ac:dyDescent="0.2">
      <c r="F125" s="1012">
        <v>550</v>
      </c>
      <c r="G125" s="709">
        <v>11.6</v>
      </c>
      <c r="H125" s="1012">
        <v>550</v>
      </c>
      <c r="I125" s="1013">
        <v>12.7</v>
      </c>
    </row>
    <row r="126" spans="1:9" x14ac:dyDescent="0.2">
      <c r="F126" s="1014">
        <v>600</v>
      </c>
      <c r="G126" s="1015">
        <v>12</v>
      </c>
      <c r="H126" s="1014">
        <v>600</v>
      </c>
      <c r="I126" s="1016">
        <v>13.2</v>
      </c>
    </row>
    <row r="128" spans="1:9" x14ac:dyDescent="0.2">
      <c r="C128" s="676"/>
    </row>
    <row r="130" spans="2:21" ht="15" x14ac:dyDescent="0.25">
      <c r="K130" s="19" t="s">
        <v>784</v>
      </c>
    </row>
    <row r="131" spans="2:21" ht="15" x14ac:dyDescent="0.25">
      <c r="K131" s="19" t="s">
        <v>782</v>
      </c>
    </row>
    <row r="132" spans="2:21" x14ac:dyDescent="0.2">
      <c r="C132" s="932"/>
      <c r="K132" s="419" t="s">
        <v>783</v>
      </c>
    </row>
    <row r="134" spans="2:21" x14ac:dyDescent="0.2">
      <c r="Q134" s="301"/>
      <c r="R134" s="301"/>
      <c r="S134" s="301"/>
      <c r="T134" s="301"/>
      <c r="U134" s="301"/>
    </row>
    <row r="135" spans="2:21" x14ac:dyDescent="0.2">
      <c r="B135" s="891" t="s">
        <v>964</v>
      </c>
      <c r="Q135" s="301"/>
      <c r="R135" s="301"/>
      <c r="S135" s="301"/>
      <c r="T135" s="301"/>
      <c r="U135" s="301"/>
    </row>
    <row r="136" spans="2:21" x14ac:dyDescent="0.2">
      <c r="Q136" s="301"/>
      <c r="R136" s="301"/>
      <c r="S136" s="301"/>
      <c r="T136" s="301"/>
      <c r="U136" s="301"/>
    </row>
    <row r="137" spans="2:21" ht="13.5" thickBot="1" x14ac:dyDescent="0.25">
      <c r="F137" s="1009" t="s">
        <v>817</v>
      </c>
      <c r="G137" s="1011" t="s">
        <v>815</v>
      </c>
      <c r="H137" s="1009" t="s">
        <v>817</v>
      </c>
      <c r="I137" s="1011" t="s">
        <v>816</v>
      </c>
      <c r="Q137" s="301"/>
      <c r="R137" s="301"/>
      <c r="S137" s="301"/>
      <c r="T137" s="301"/>
      <c r="U137" s="301"/>
    </row>
    <row r="138" spans="2:21" x14ac:dyDescent="0.2">
      <c r="F138" s="1059">
        <v>251.85000000000002</v>
      </c>
      <c r="G138" s="1065">
        <v>5.4</v>
      </c>
      <c r="H138" s="1059">
        <v>251.85000000000002</v>
      </c>
      <c r="I138" s="1065">
        <v>4.5</v>
      </c>
      <c r="M138" s="1058"/>
      <c r="Q138" s="301"/>
      <c r="R138" s="301"/>
      <c r="S138" s="301"/>
      <c r="T138" s="301"/>
      <c r="U138" s="301"/>
    </row>
    <row r="139" spans="2:21" x14ac:dyDescent="0.2">
      <c r="F139" s="1059">
        <v>264.35000000000002</v>
      </c>
      <c r="G139" s="1065">
        <f t="shared" ref="G139:G151" si="0">$G$154*F139+$G$155</f>
        <v>5.7</v>
      </c>
      <c r="H139" s="1059">
        <v>264.35000000000002</v>
      </c>
      <c r="I139" s="1065">
        <f t="shared" ref="I139:I151" si="1">$I$154*H139+$I$155</f>
        <v>6.25</v>
      </c>
      <c r="K139" s="1058"/>
      <c r="M139" s="1058"/>
      <c r="Q139" s="301"/>
      <c r="R139" s="301"/>
      <c r="S139" s="301"/>
      <c r="T139" s="301"/>
      <c r="U139" s="301"/>
    </row>
    <row r="140" spans="2:21" x14ac:dyDescent="0.2">
      <c r="F140" s="1059">
        <v>276.85000000000002</v>
      </c>
      <c r="G140" s="1065">
        <f t="shared" si="0"/>
        <v>6.0000000000000009</v>
      </c>
      <c r="H140" s="1069">
        <v>276.85000000000002</v>
      </c>
      <c r="I140" s="1070">
        <f t="shared" si="1"/>
        <v>8</v>
      </c>
      <c r="M140" s="1058"/>
      <c r="Q140" s="301"/>
      <c r="R140" s="301"/>
      <c r="S140" s="301"/>
      <c r="T140" s="301"/>
      <c r="U140" s="301"/>
    </row>
    <row r="141" spans="2:21" x14ac:dyDescent="0.2">
      <c r="F141" s="1059">
        <v>289.35000000000002</v>
      </c>
      <c r="G141" s="1065">
        <f t="shared" si="0"/>
        <v>6.3000000000000007</v>
      </c>
      <c r="H141" s="1059">
        <v>289.35000000000002</v>
      </c>
      <c r="I141" s="1065">
        <f t="shared" si="1"/>
        <v>9.75</v>
      </c>
      <c r="M141" s="1058"/>
      <c r="Q141" s="301"/>
      <c r="R141" s="301"/>
      <c r="S141" s="301"/>
      <c r="T141" s="301"/>
      <c r="U141" s="301"/>
    </row>
    <row r="142" spans="2:21" x14ac:dyDescent="0.2">
      <c r="F142" s="1059">
        <v>301.85000000000002</v>
      </c>
      <c r="G142" s="1065">
        <f t="shared" si="0"/>
        <v>6.6000000000000005</v>
      </c>
      <c r="H142" s="1059">
        <v>301.85000000000002</v>
      </c>
      <c r="I142" s="1065">
        <f t="shared" si="1"/>
        <v>11.5</v>
      </c>
      <c r="M142" s="1058"/>
      <c r="Q142" s="301"/>
      <c r="R142" s="301"/>
      <c r="S142" s="301"/>
      <c r="T142" s="301"/>
      <c r="U142" s="301"/>
    </row>
    <row r="143" spans="2:21" x14ac:dyDescent="0.2">
      <c r="F143" s="1059">
        <v>314.35000000000002</v>
      </c>
      <c r="G143" s="1065">
        <f t="shared" si="0"/>
        <v>6.9</v>
      </c>
      <c r="H143" s="1059">
        <v>314.35000000000002</v>
      </c>
      <c r="I143" s="1065">
        <f t="shared" si="1"/>
        <v>13.25</v>
      </c>
      <c r="M143" s="1058"/>
      <c r="Q143" s="301"/>
      <c r="R143" s="301"/>
      <c r="S143" s="301"/>
      <c r="T143" s="301"/>
      <c r="U143" s="301"/>
    </row>
    <row r="144" spans="2:21" x14ac:dyDescent="0.2">
      <c r="F144" s="1059">
        <v>326.85000000000002</v>
      </c>
      <c r="G144" s="1065">
        <f t="shared" si="0"/>
        <v>7.2</v>
      </c>
      <c r="H144" s="1069">
        <v>326.85000000000002</v>
      </c>
      <c r="I144" s="1070">
        <f t="shared" si="1"/>
        <v>15</v>
      </c>
      <c r="M144" s="1058"/>
      <c r="Q144" s="301"/>
      <c r="R144" s="301"/>
      <c r="S144" s="301"/>
      <c r="T144" s="301"/>
      <c r="U144" s="301"/>
    </row>
    <row r="145" spans="6:21" x14ac:dyDescent="0.2">
      <c r="F145" s="1059">
        <v>339.35</v>
      </c>
      <c r="G145" s="1065">
        <f t="shared" si="0"/>
        <v>7.5</v>
      </c>
      <c r="H145" s="1059">
        <v>339.35</v>
      </c>
      <c r="I145" s="1065">
        <f t="shared" si="1"/>
        <v>16.75</v>
      </c>
      <c r="M145" s="1058"/>
      <c r="Q145" s="301"/>
      <c r="R145" s="301"/>
      <c r="S145" s="301"/>
      <c r="T145" s="301"/>
      <c r="U145" s="301"/>
    </row>
    <row r="146" spans="6:21" x14ac:dyDescent="0.2">
      <c r="F146" s="1059">
        <v>351.85</v>
      </c>
      <c r="G146" s="1065">
        <f t="shared" si="0"/>
        <v>7.8000000000000007</v>
      </c>
      <c r="H146" s="1059">
        <v>351.85</v>
      </c>
      <c r="I146" s="1065">
        <f t="shared" si="1"/>
        <v>18.5</v>
      </c>
      <c r="Q146" s="301"/>
      <c r="R146" s="301"/>
      <c r="S146" s="301"/>
      <c r="T146" s="301"/>
      <c r="U146" s="301"/>
    </row>
    <row r="147" spans="6:21" x14ac:dyDescent="0.2">
      <c r="F147" s="1059">
        <v>364.35</v>
      </c>
      <c r="G147" s="1065">
        <f t="shared" si="0"/>
        <v>8.1</v>
      </c>
      <c r="H147" s="1059">
        <v>364.35</v>
      </c>
      <c r="I147" s="1065">
        <f t="shared" si="1"/>
        <v>20.25</v>
      </c>
      <c r="Q147" s="301"/>
      <c r="R147" s="301"/>
      <c r="S147" s="301"/>
      <c r="T147" s="301"/>
      <c r="U147" s="301"/>
    </row>
    <row r="148" spans="6:21" x14ac:dyDescent="0.2">
      <c r="F148" s="1059">
        <v>376.85</v>
      </c>
      <c r="G148" s="1065">
        <f t="shared" si="0"/>
        <v>8.4</v>
      </c>
      <c r="H148" s="1059">
        <v>376.85</v>
      </c>
      <c r="I148" s="1065">
        <f t="shared" si="1"/>
        <v>22</v>
      </c>
      <c r="Q148" s="301"/>
      <c r="R148" s="301"/>
      <c r="S148" s="301"/>
      <c r="T148" s="301"/>
      <c r="U148" s="301"/>
    </row>
    <row r="149" spans="6:21" x14ac:dyDescent="0.2">
      <c r="F149" s="1059">
        <v>389.35</v>
      </c>
      <c r="G149" s="1065">
        <f t="shared" si="0"/>
        <v>8.7000000000000011</v>
      </c>
      <c r="H149" s="1059">
        <v>389.35</v>
      </c>
      <c r="I149" s="1065">
        <f t="shared" si="1"/>
        <v>23.75</v>
      </c>
      <c r="Q149" s="301"/>
      <c r="R149" s="301"/>
      <c r="S149" s="301"/>
      <c r="T149" s="301"/>
      <c r="U149" s="301"/>
    </row>
    <row r="150" spans="6:21" x14ac:dyDescent="0.2">
      <c r="F150" s="1059">
        <v>401.85</v>
      </c>
      <c r="G150" s="1065">
        <f t="shared" si="0"/>
        <v>9</v>
      </c>
      <c r="H150" s="1059">
        <v>401.85</v>
      </c>
      <c r="I150" s="1065">
        <f t="shared" si="1"/>
        <v>25.5</v>
      </c>
      <c r="Q150" s="301"/>
      <c r="R150" s="301"/>
      <c r="S150" s="301"/>
      <c r="T150" s="301"/>
      <c r="U150" s="301"/>
    </row>
    <row r="151" spans="6:21" x14ac:dyDescent="0.2">
      <c r="F151" s="1059">
        <v>414.35</v>
      </c>
      <c r="G151" s="1065">
        <f t="shared" si="0"/>
        <v>9.3000000000000007</v>
      </c>
      <c r="H151" s="1059">
        <v>414.35</v>
      </c>
      <c r="I151" s="1065">
        <f t="shared" si="1"/>
        <v>27.25</v>
      </c>
      <c r="Q151" s="301"/>
      <c r="R151" s="301"/>
      <c r="S151" s="301"/>
      <c r="T151" s="301"/>
      <c r="U151" s="301"/>
    </row>
    <row r="152" spans="6:21" x14ac:dyDescent="0.2">
      <c r="F152" s="1060">
        <v>426.85</v>
      </c>
      <c r="G152" s="1066">
        <v>9.6</v>
      </c>
      <c r="H152" s="1060">
        <v>426.85</v>
      </c>
      <c r="I152" s="1066">
        <v>29</v>
      </c>
      <c r="Q152" s="301"/>
      <c r="R152" s="301"/>
      <c r="S152" s="301"/>
      <c r="T152" s="301"/>
      <c r="U152" s="301"/>
    </row>
    <row r="153" spans="6:21" x14ac:dyDescent="0.2">
      <c r="F153" s="1064"/>
      <c r="G153" s="709"/>
      <c r="H153" s="1064"/>
      <c r="I153" s="709"/>
      <c r="Q153" s="301"/>
      <c r="R153" s="301"/>
      <c r="S153" s="301"/>
      <c r="T153" s="301"/>
      <c r="U153" s="301"/>
    </row>
    <row r="154" spans="6:21" x14ac:dyDescent="0.2">
      <c r="F154" s="1063" t="s">
        <v>165</v>
      </c>
      <c r="G154" s="1061">
        <f>(G152-G138)/(F152- F138)</f>
        <v>2.3999999999999997E-2</v>
      </c>
      <c r="H154" s="1063" t="s">
        <v>165</v>
      </c>
      <c r="I154" s="1061">
        <f>(I152-I138)/(H152 - H138)</f>
        <v>0.14000000000000001</v>
      </c>
    </row>
    <row r="155" spans="6:21" x14ac:dyDescent="0.2">
      <c r="F155" s="1014" t="s">
        <v>205</v>
      </c>
      <c r="G155" s="1062">
        <f>G138-F138*G154</f>
        <v>-0.6443999999999992</v>
      </c>
      <c r="H155" s="1014" t="s">
        <v>205</v>
      </c>
      <c r="I155" s="1016">
        <f>I138-H138*I154</f>
        <v>-30.759000000000007</v>
      </c>
    </row>
    <row r="156" spans="6:21" x14ac:dyDescent="0.2">
      <c r="G156" s="1064"/>
      <c r="H156" s="709"/>
      <c r="I156" s="1064"/>
      <c r="J156" s="709"/>
    </row>
    <row r="157" spans="6:21" x14ac:dyDescent="0.2">
      <c r="G157" s="1064"/>
      <c r="H157" s="709"/>
      <c r="I157" s="1064"/>
      <c r="J157" s="709"/>
    </row>
    <row r="158" spans="6:21" x14ac:dyDescent="0.2">
      <c r="G158" s="1064"/>
      <c r="H158" s="709"/>
      <c r="I158" s="1064"/>
      <c r="J158" s="709"/>
    </row>
    <row r="162" spans="9:53" x14ac:dyDescent="0.2">
      <c r="I162" s="814"/>
    </row>
    <row r="168" spans="9:53" x14ac:dyDescent="0.2">
      <c r="R168" s="301"/>
      <c r="S168" s="301"/>
      <c r="AB168" s="730"/>
      <c r="AC168" s="730"/>
      <c r="AD168" s="730"/>
      <c r="AE168" s="730"/>
      <c r="AF168" s="730"/>
      <c r="AG168" s="730"/>
      <c r="AH168" s="730"/>
      <c r="AI168" s="730"/>
      <c r="AJ168" s="730"/>
      <c r="AK168" s="730"/>
      <c r="AL168" s="730"/>
      <c r="AT168" s="730"/>
      <c r="AU168" s="730"/>
      <c r="AV168" s="730"/>
      <c r="AW168" s="730"/>
      <c r="AX168" s="730"/>
      <c r="AY168" s="730"/>
      <c r="AZ168" s="730"/>
      <c r="BA168" s="730"/>
    </row>
    <row r="169" spans="9:53" x14ac:dyDescent="0.2">
      <c r="R169" s="301"/>
      <c r="S169" s="301"/>
      <c r="X169" s="741"/>
      <c r="AB169" s="730"/>
      <c r="AC169" s="730"/>
      <c r="AD169" s="730"/>
      <c r="AE169" s="644"/>
      <c r="AF169" s="644"/>
      <c r="AG169" s="644"/>
      <c r="AH169" s="730"/>
      <c r="AI169" s="730"/>
      <c r="AJ169" s="730"/>
      <c r="AK169" s="730"/>
      <c r="AL169" s="730"/>
      <c r="AT169" s="730"/>
      <c r="AU169" s="730"/>
      <c r="AV169" s="730"/>
      <c r="AW169" s="730"/>
      <c r="AX169" s="730"/>
      <c r="AY169" s="730"/>
      <c r="AZ169" s="730"/>
      <c r="BA169" s="730"/>
    </row>
    <row r="170" spans="9:53" x14ac:dyDescent="0.2">
      <c r="S170" s="301"/>
      <c r="AB170" s="730"/>
      <c r="AC170" s="730"/>
      <c r="AD170" s="730"/>
      <c r="AE170" s="867"/>
      <c r="AF170" s="868"/>
      <c r="AG170" s="634"/>
      <c r="AH170" s="730"/>
      <c r="AI170" s="730"/>
      <c r="AJ170" s="730"/>
      <c r="AK170" s="730"/>
      <c r="AL170" s="730"/>
      <c r="AT170" s="730"/>
      <c r="AU170" s="730"/>
      <c r="AV170" s="730"/>
      <c r="AW170" s="730"/>
      <c r="AX170" s="730"/>
      <c r="AY170" s="730"/>
      <c r="AZ170" s="730"/>
      <c r="BA170" s="730"/>
    </row>
  </sheetData>
  <mergeCells count="3">
    <mergeCell ref="B107:O107"/>
    <mergeCell ref="E71:E72"/>
    <mergeCell ref="D71:D72"/>
  </mergeCells>
  <conditionalFormatting sqref="D61:D62 J77">
    <cfRule type="expression" dxfId="18" priority="41">
      <formula>OR(Excess_air&gt;=32, O2_enrich&gt;20)</formula>
    </cfRule>
  </conditionalFormatting>
  <conditionalFormatting sqref="C84">
    <cfRule type="expression" dxfId="17" priority="39">
      <formula>OR(Excess_air&gt;=32, O2_enrich&gt;20)</formula>
    </cfRule>
  </conditionalFormatting>
  <conditionalFormatting sqref="C74:C75">
    <cfRule type="expression" dxfId="16" priority="37">
      <formula>OR(Excess_air&gt;=32, O2_enrich&gt;20)</formula>
    </cfRule>
  </conditionalFormatting>
  <conditionalFormatting sqref="C85">
    <cfRule type="expression" dxfId="15" priority="35">
      <formula>OR(Excess_air&gt;=32, O2_enrich&gt;20)</formula>
    </cfRule>
  </conditionalFormatting>
  <conditionalFormatting sqref="D28">
    <cfRule type="containsText" dxfId="14" priority="31" operator="containsText" text="Limit exceeded">
      <formula>NOT(ISERROR(SEARCH("Limit exceeded",D28)))</formula>
    </cfRule>
  </conditionalFormatting>
  <conditionalFormatting sqref="C81">
    <cfRule type="expression" dxfId="13" priority="27">
      <formula>OR(Excess_air&gt;=32, O2_enrich&gt;20)</formula>
    </cfRule>
  </conditionalFormatting>
  <conditionalFormatting sqref="D10">
    <cfRule type="expression" dxfId="12" priority="23">
      <formula>OR(Excess_air&gt;=32, O2_enrich&gt;20)</formula>
    </cfRule>
  </conditionalFormatting>
  <conditionalFormatting sqref="D11">
    <cfRule type="expression" dxfId="11" priority="21">
      <formula>OR(Excess_air&gt;=32, O2_enrich&gt;20)</formula>
    </cfRule>
  </conditionalFormatting>
  <conditionalFormatting sqref="D59">
    <cfRule type="expression" dxfId="10" priority="19">
      <formula>OR(Excess_air&gt;=32, O2_enrich&gt;20)</formula>
    </cfRule>
  </conditionalFormatting>
  <conditionalFormatting sqref="D29 D31:D38">
    <cfRule type="expression" dxfId="9" priority="14">
      <formula>$D$28="Limit exceeded"</formula>
    </cfRule>
  </conditionalFormatting>
  <conditionalFormatting sqref="C76">
    <cfRule type="expression" dxfId="8" priority="13">
      <formula>OR(Excess_air&gt;=32, O2_enrich&gt;20)</formula>
    </cfRule>
  </conditionalFormatting>
  <conditionalFormatting sqref="C82">
    <cfRule type="expression" dxfId="7" priority="4">
      <formula>OR(Excess_air&gt;=32, O2_enrich&gt;20)</formula>
    </cfRule>
  </conditionalFormatting>
  <conditionalFormatting sqref="E59">
    <cfRule type="expression" dxfId="6" priority="2">
      <formula>OR(Excess_air&gt;=32, O2_enrich&gt;20)</formula>
    </cfRule>
  </conditionalFormatting>
  <conditionalFormatting sqref="E62">
    <cfRule type="expression" dxfId="5" priority="1">
      <formula>OR(Excess_air&gt;=32, O2_enrich&gt;20)</formula>
    </cfRule>
  </conditionalFormatting>
  <hyperlinks>
    <hyperlink ref="I31" r:id="rId1"/>
    <hyperlink ref="K131" r:id="rId2"/>
    <hyperlink ref="K130" r:id="rId3"/>
  </hyperlinks>
  <pageMargins left="0.7" right="0.7" top="0.75" bottom="0.75" header="0.3" footer="0.3"/>
  <pageSetup orientation="portrait" r:id="rId4"/>
  <customProperties>
    <customPr name="EpmWorksheetKeyString_GUID" r:id="rId5"/>
  </customProperties>
  <drawing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8"/>
  <dimension ref="B1:P107"/>
  <sheetViews>
    <sheetView showGridLines="0" topLeftCell="A43" zoomScale="90" zoomScaleNormal="90" workbookViewId="0">
      <selection activeCell="I60" sqref="I60"/>
    </sheetView>
  </sheetViews>
  <sheetFormatPr defaultRowHeight="15" x14ac:dyDescent="0.25"/>
  <cols>
    <col min="1" max="1" width="9" customWidth="1"/>
    <col min="2" max="2" width="5.28515625" customWidth="1"/>
    <col min="3" max="3" width="13.42578125" customWidth="1"/>
    <col min="4" max="4" width="18.28515625" customWidth="1"/>
    <col min="5" max="5" width="16.140625" customWidth="1"/>
    <col min="6" max="6" width="12" style="8" customWidth="1"/>
    <col min="7" max="7" width="13" style="8" customWidth="1"/>
    <col min="8" max="8" width="13" customWidth="1"/>
    <col min="9" max="10" width="13.28515625" customWidth="1"/>
    <col min="11" max="12" width="12.7109375" customWidth="1"/>
    <col min="13" max="13" width="12.140625" customWidth="1"/>
  </cols>
  <sheetData>
    <row r="1" spans="2:14" ht="15.75" thickBot="1" x14ac:dyDescent="0.3"/>
    <row r="2" spans="2:14" x14ac:dyDescent="0.25">
      <c r="B2" s="447"/>
      <c r="C2" s="441" t="s">
        <v>11</v>
      </c>
      <c r="D2" s="441"/>
      <c r="E2" s="441"/>
      <c r="F2" s="442" t="s">
        <v>12</v>
      </c>
      <c r="G2" s="443" t="s">
        <v>13</v>
      </c>
      <c r="H2" s="6"/>
      <c r="I2" s="25" t="s">
        <v>18</v>
      </c>
    </row>
    <row r="3" spans="2:14" ht="15" customHeight="1" x14ac:dyDescent="0.25">
      <c r="B3" s="1421" t="s">
        <v>550</v>
      </c>
      <c r="C3" s="10" t="s">
        <v>539</v>
      </c>
      <c r="D3" s="10"/>
      <c r="E3" s="10"/>
      <c r="F3" s="323">
        <v>1.425</v>
      </c>
      <c r="G3" s="309" t="s">
        <v>14</v>
      </c>
      <c r="I3" s="28" t="s">
        <v>1005</v>
      </c>
    </row>
    <row r="4" spans="2:14" x14ac:dyDescent="0.25">
      <c r="B4" s="1421"/>
      <c r="C4" s="10" t="s">
        <v>540</v>
      </c>
      <c r="D4" s="10"/>
      <c r="E4" s="10"/>
      <c r="F4" s="11">
        <v>78</v>
      </c>
      <c r="G4" s="309" t="s">
        <v>37</v>
      </c>
      <c r="I4" s="28"/>
    </row>
    <row r="5" spans="2:14" x14ac:dyDescent="0.25">
      <c r="B5" s="1421"/>
      <c r="C5" s="10" t="s">
        <v>969</v>
      </c>
      <c r="D5" s="10"/>
      <c r="E5" s="10"/>
      <c r="F5" s="323">
        <f>(F4/100)*F3</f>
        <v>1.1115000000000002</v>
      </c>
      <c r="G5" s="309" t="s">
        <v>14</v>
      </c>
      <c r="I5" s="28" t="s">
        <v>1006</v>
      </c>
    </row>
    <row r="6" spans="2:14" x14ac:dyDescent="0.25">
      <c r="B6" s="1421"/>
      <c r="C6" s="10" t="s">
        <v>1001</v>
      </c>
      <c r="D6" s="10"/>
      <c r="E6" s="10"/>
      <c r="F6" s="1195">
        <v>280</v>
      </c>
      <c r="G6" s="309" t="s">
        <v>951</v>
      </c>
      <c r="I6" s="28" t="s">
        <v>1007</v>
      </c>
    </row>
    <row r="7" spans="2:14" x14ac:dyDescent="0.25">
      <c r="B7" s="1421"/>
      <c r="C7" s="10" t="s">
        <v>1002</v>
      </c>
      <c r="D7" s="10"/>
      <c r="E7" s="10"/>
      <c r="F7" s="482">
        <f>F6*1000/365</f>
        <v>767.1232876712329</v>
      </c>
      <c r="G7" s="309" t="s">
        <v>541</v>
      </c>
      <c r="I7" s="28"/>
    </row>
    <row r="8" spans="2:14" x14ac:dyDescent="0.25">
      <c r="B8" s="1421"/>
      <c r="C8" s="10" t="s">
        <v>1003</v>
      </c>
      <c r="D8" s="10"/>
      <c r="E8" s="10"/>
      <c r="F8" s="482">
        <f>F7/3</f>
        <v>255.70776255707764</v>
      </c>
      <c r="G8" s="309" t="s">
        <v>542</v>
      </c>
      <c r="I8" s="28"/>
    </row>
    <row r="9" spans="2:14" x14ac:dyDescent="0.25">
      <c r="B9" s="1214"/>
      <c r="C9" s="18" t="s">
        <v>1004</v>
      </c>
      <c r="D9" s="10"/>
      <c r="E9" s="10"/>
      <c r="F9" s="1195">
        <v>80</v>
      </c>
      <c r="G9" s="309" t="s">
        <v>952</v>
      </c>
      <c r="I9" s="28" t="s">
        <v>1008</v>
      </c>
    </row>
    <row r="10" spans="2:14" x14ac:dyDescent="0.25">
      <c r="B10" s="13"/>
      <c r="C10" s="10"/>
      <c r="D10" s="10"/>
      <c r="E10" s="10"/>
      <c r="F10" s="11"/>
      <c r="G10" s="309"/>
      <c r="I10" s="28"/>
    </row>
    <row r="11" spans="2:14" x14ac:dyDescent="0.25">
      <c r="B11" s="13"/>
      <c r="C11" s="18" t="s">
        <v>15</v>
      </c>
      <c r="D11" s="18"/>
      <c r="E11" s="10"/>
      <c r="F11" s="11">
        <v>550</v>
      </c>
      <c r="G11" s="444" t="s">
        <v>16</v>
      </c>
      <c r="H11" s="52"/>
      <c r="I11" s="28"/>
      <c r="J11" s="52"/>
      <c r="K11" s="53"/>
      <c r="L11" s="53"/>
      <c r="M11" s="18"/>
      <c r="N11" s="10"/>
    </row>
    <row r="12" spans="2:14" x14ac:dyDescent="0.25">
      <c r="B12" s="13"/>
      <c r="C12" s="10" t="s">
        <v>99</v>
      </c>
      <c r="D12" s="10"/>
      <c r="E12" s="10"/>
      <c r="F12" s="11">
        <v>410</v>
      </c>
      <c r="G12" s="444" t="s">
        <v>16</v>
      </c>
      <c r="I12" s="28" t="s">
        <v>110</v>
      </c>
    </row>
    <row r="13" spans="2:14" x14ac:dyDescent="0.25">
      <c r="B13" s="13"/>
      <c r="C13" s="10" t="s">
        <v>17</v>
      </c>
      <c r="D13" s="10"/>
      <c r="E13" s="10"/>
      <c r="F13" s="11">
        <v>492</v>
      </c>
      <c r="G13" s="444" t="s">
        <v>16</v>
      </c>
      <c r="I13" s="28"/>
    </row>
    <row r="14" spans="2:14" x14ac:dyDescent="0.25">
      <c r="B14" s="13"/>
      <c r="C14" s="10" t="s">
        <v>19</v>
      </c>
      <c r="D14" s="10"/>
      <c r="E14" s="10"/>
      <c r="F14" s="509">
        <f>F12*100/F13</f>
        <v>83.333333333333329</v>
      </c>
      <c r="G14" s="444" t="s">
        <v>37</v>
      </c>
      <c r="I14" s="28" t="s">
        <v>136</v>
      </c>
    </row>
    <row r="15" spans="2:14" x14ac:dyDescent="0.25">
      <c r="B15" s="13"/>
      <c r="C15" s="10" t="s">
        <v>107</v>
      </c>
      <c r="D15" s="10"/>
      <c r="E15" s="10"/>
      <c r="F15" s="17">
        <v>1.2</v>
      </c>
      <c r="G15" s="444" t="s">
        <v>101</v>
      </c>
      <c r="I15" s="28" t="s">
        <v>106</v>
      </c>
    </row>
    <row r="16" spans="2:14" x14ac:dyDescent="0.25">
      <c r="B16" s="13"/>
      <c r="C16" s="10" t="s">
        <v>108</v>
      </c>
      <c r="D16" s="10"/>
      <c r="E16" s="10"/>
      <c r="F16" s="1106">
        <v>90</v>
      </c>
      <c r="G16" s="444" t="s">
        <v>37</v>
      </c>
      <c r="H16" s="17"/>
      <c r="I16" s="28" t="s">
        <v>720</v>
      </c>
    </row>
    <row r="17" spans="2:12" x14ac:dyDescent="0.25">
      <c r="B17" s="13"/>
      <c r="C17" s="10" t="s">
        <v>134</v>
      </c>
      <c r="D17" s="10"/>
      <c r="E17" s="10"/>
      <c r="F17" s="11">
        <f>100-Pack_to_melt</f>
        <v>10</v>
      </c>
      <c r="G17" s="444" t="s">
        <v>37</v>
      </c>
      <c r="I17" s="28"/>
    </row>
    <row r="18" spans="2:12" x14ac:dyDescent="0.25">
      <c r="B18" s="13"/>
      <c r="C18" s="10" t="s">
        <v>88</v>
      </c>
      <c r="D18" s="10"/>
      <c r="E18" s="10"/>
      <c r="F18" s="445">
        <f>Mass_Balance!E10</f>
        <v>76</v>
      </c>
      <c r="G18" s="444" t="s">
        <v>37</v>
      </c>
      <c r="I18" s="28"/>
    </row>
    <row r="19" spans="2:12" x14ac:dyDescent="0.25">
      <c r="B19" s="13"/>
      <c r="C19" s="10" t="s">
        <v>149</v>
      </c>
      <c r="D19" s="10"/>
      <c r="E19" s="10"/>
      <c r="F19" s="11">
        <f>IF(F18-F17&lt;0, 0, F18-F17)</f>
        <v>66</v>
      </c>
      <c r="G19" s="444" t="s">
        <v>37</v>
      </c>
      <c r="I19" s="28"/>
    </row>
    <row r="20" spans="2:12" x14ac:dyDescent="0.25">
      <c r="B20" s="13"/>
      <c r="C20" s="10" t="s">
        <v>877</v>
      </c>
      <c r="D20" s="10"/>
      <c r="E20" s="10"/>
      <c r="F20" s="95">
        <v>0.19500000000000001</v>
      </c>
      <c r="G20" s="87" t="s">
        <v>60</v>
      </c>
      <c r="I20" s="28"/>
    </row>
    <row r="21" spans="2:12" s="10" customFormat="1" ht="15.75" thickBot="1" x14ac:dyDescent="0.3">
      <c r="B21" s="239"/>
      <c r="C21" s="433"/>
      <c r="D21" s="85"/>
      <c r="E21" s="85"/>
      <c r="F21" s="266"/>
      <c r="G21" s="517"/>
      <c r="I21" s="28"/>
    </row>
    <row r="22" spans="2:12" x14ac:dyDescent="0.25">
      <c r="I22" s="28"/>
    </row>
    <row r="23" spans="2:12" x14ac:dyDescent="0.25">
      <c r="I23" s="28"/>
    </row>
    <row r="24" spans="2:12" x14ac:dyDescent="0.25">
      <c r="H24" s="10"/>
      <c r="I24" s="111" t="s">
        <v>142</v>
      </c>
      <c r="J24" s="19" t="s">
        <v>170</v>
      </c>
    </row>
    <row r="25" spans="2:12" x14ac:dyDescent="0.25">
      <c r="H25" s="10"/>
      <c r="I25" s="28"/>
    </row>
    <row r="26" spans="2:12" x14ac:dyDescent="0.25">
      <c r="H26" s="10"/>
      <c r="I26" s="29" t="s">
        <v>164</v>
      </c>
      <c r="J26" s="19" t="s">
        <v>162</v>
      </c>
    </row>
    <row r="27" spans="2:12" x14ac:dyDescent="0.25">
      <c r="H27" s="10"/>
      <c r="I27" s="29" t="s">
        <v>160</v>
      </c>
      <c r="J27" s="19" t="s">
        <v>161</v>
      </c>
    </row>
    <row r="28" spans="2:12" ht="15" customHeight="1" x14ac:dyDescent="0.25">
      <c r="H28" s="10"/>
      <c r="I28" s="29" t="s">
        <v>163</v>
      </c>
      <c r="J28" s="19" t="s">
        <v>162</v>
      </c>
      <c r="K28" s="69"/>
      <c r="L28" s="69"/>
    </row>
    <row r="29" spans="2:12" x14ac:dyDescent="0.25">
      <c r="I29" s="67" t="s">
        <v>174</v>
      </c>
      <c r="J29" s="19" t="s">
        <v>173</v>
      </c>
    </row>
    <row r="30" spans="2:12" x14ac:dyDescent="0.25">
      <c r="I30" s="28" t="s">
        <v>144</v>
      </c>
    </row>
    <row r="31" spans="2:12" x14ac:dyDescent="0.25">
      <c r="I31" s="949" t="s">
        <v>711</v>
      </c>
      <c r="J31" s="69"/>
    </row>
    <row r="32" spans="2:12" x14ac:dyDescent="0.25">
      <c r="I32" s="28"/>
    </row>
    <row r="33" spans="2:16" x14ac:dyDescent="0.25">
      <c r="I33" s="28" t="s">
        <v>143</v>
      </c>
    </row>
    <row r="34" spans="2:16" x14ac:dyDescent="0.25">
      <c r="I34" s="559" t="s">
        <v>145</v>
      </c>
    </row>
    <row r="35" spans="2:16" x14ac:dyDescent="0.25">
      <c r="I35" s="28"/>
      <c r="J35" s="10"/>
    </row>
    <row r="36" spans="2:16" x14ac:dyDescent="0.25">
      <c r="I36" s="560" t="s">
        <v>526</v>
      </c>
    </row>
    <row r="41" spans="2:16" ht="18.75" x14ac:dyDescent="0.3">
      <c r="B41" s="1384" t="s">
        <v>360</v>
      </c>
      <c r="C41" s="1384"/>
      <c r="D41" s="1384"/>
      <c r="E41" s="1384"/>
      <c r="F41" s="1384"/>
      <c r="G41" s="1384"/>
      <c r="H41" s="1384"/>
      <c r="I41" s="1384"/>
      <c r="J41" s="1384"/>
      <c r="K41" s="1384"/>
      <c r="L41" s="1384"/>
      <c r="M41" s="1384"/>
      <c r="N41" s="1384"/>
      <c r="O41" s="1384"/>
    </row>
    <row r="44" spans="2:16" x14ac:dyDescent="0.25">
      <c r="B44" s="1354" t="s">
        <v>1085</v>
      </c>
    </row>
    <row r="46" spans="2:16" x14ac:dyDescent="0.25">
      <c r="D46" s="1084" t="s">
        <v>975</v>
      </c>
      <c r="E46" s="573"/>
      <c r="G46"/>
    </row>
    <row r="47" spans="2:16" ht="30" customHeight="1" x14ac:dyDescent="0.25">
      <c r="B47" s="1417" t="s">
        <v>836</v>
      </c>
      <c r="C47" s="1418"/>
      <c r="D47" s="1357" t="s">
        <v>37</v>
      </c>
      <c r="E47" s="1358" t="s">
        <v>1091</v>
      </c>
      <c r="F47" s="1359" t="s">
        <v>1090</v>
      </c>
      <c r="G47" s="1359" t="s">
        <v>1089</v>
      </c>
      <c r="H47" s="1358" t="s">
        <v>1088</v>
      </c>
      <c r="I47" s="1359" t="s">
        <v>1087</v>
      </c>
      <c r="J47" s="1358" t="s">
        <v>1086</v>
      </c>
    </row>
    <row r="48" spans="2:16" x14ac:dyDescent="0.25">
      <c r="B48" s="1419" t="s">
        <v>835</v>
      </c>
      <c r="C48" s="1420"/>
      <c r="D48" s="561">
        <v>0.9</v>
      </c>
      <c r="E48" s="487">
        <f>(D48*$E55/100)</f>
        <v>4.8274417557387699E-2</v>
      </c>
      <c r="F48" s="1230" t="s">
        <v>21</v>
      </c>
      <c r="G48" s="220">
        <f t="shared" ref="G48:G54" si="0">H48*3.6</f>
        <v>4.8274417557387699E-2</v>
      </c>
      <c r="H48" s="1242">
        <f>E48/3.6</f>
        <v>1.3409560432607694E-2</v>
      </c>
      <c r="I48" s="402">
        <f>$H48*'2.Melting&amp;Fining'!$F$38*1000</f>
        <v>6.7047802163038472</v>
      </c>
      <c r="J48" s="1231" t="s">
        <v>21</v>
      </c>
      <c r="L48" s="1322" t="s">
        <v>336</v>
      </c>
      <c r="M48" s="404">
        <v>1</v>
      </c>
      <c r="N48" s="32" t="s">
        <v>1079</v>
      </c>
      <c r="O48" s="32"/>
      <c r="P48" s="41"/>
    </row>
    <row r="49" spans="2:16" x14ac:dyDescent="0.25">
      <c r="B49" s="107" t="s">
        <v>832</v>
      </c>
      <c r="C49" s="1240"/>
      <c r="D49" s="561">
        <v>80</v>
      </c>
      <c r="E49" s="1352">
        <f>D1_Furnace!C68</f>
        <v>4.2910593384344615</v>
      </c>
      <c r="F49" s="220">
        <f>E49-G49</f>
        <v>3.9477745913597047</v>
      </c>
      <c r="G49" s="220">
        <f t="shared" si="0"/>
        <v>0.34328474707475676</v>
      </c>
      <c r="H49" s="1242">
        <f>E49*(1-Ratio_NG/100)/3.6</f>
        <v>9.5356874187432425E-2</v>
      </c>
      <c r="I49" s="402">
        <f>$H49*'2.Melting&amp;Fining'!$F$38*1000</f>
        <v>47.678437093716212</v>
      </c>
      <c r="J49" s="1081">
        <f>(F49*1000/Fuel!$C$43)*Heat_Balance!$D$14*Fuel!$C$14</f>
        <v>240.12422156224468</v>
      </c>
      <c r="L49" s="82" t="s">
        <v>878</v>
      </c>
      <c r="M49" s="1265">
        <f>Pack_to_melt/100</f>
        <v>0.9</v>
      </c>
      <c r="N49" s="10" t="s">
        <v>977</v>
      </c>
      <c r="O49" s="10"/>
      <c r="P49" s="40"/>
    </row>
    <row r="50" spans="2:16" x14ac:dyDescent="0.25">
      <c r="B50" s="1419" t="s">
        <v>833</v>
      </c>
      <c r="C50" s="1420"/>
      <c r="D50" s="561">
        <v>8.6</v>
      </c>
      <c r="E50" s="1243">
        <f>(D50*$E55/100)</f>
        <v>0.46128887888170461</v>
      </c>
      <c r="F50" s="222">
        <f>E50-G50</f>
        <v>0.36903110310536369</v>
      </c>
      <c r="G50" s="220">
        <f t="shared" si="0"/>
        <v>9.2257775776340922E-2</v>
      </c>
      <c r="H50" s="1242">
        <f>E50*0.2/3.6</f>
        <v>2.5627159937872478E-2</v>
      </c>
      <c r="I50" s="402">
        <f>$H50*'2.Melting&amp;Fining'!$F$38*1000</f>
        <v>12.813579968936239</v>
      </c>
      <c r="J50" s="1081">
        <f>(F50*1000/Fuel!$C$43)*Heat_Balance!$D$14*Fuel!$C$14</f>
        <v>22.446394624296783</v>
      </c>
      <c r="L50" s="28"/>
      <c r="M50" s="229">
        <f>M48/M49</f>
        <v>1.1111111111111112</v>
      </c>
      <c r="N50" s="10" t="s">
        <v>872</v>
      </c>
      <c r="O50" s="10"/>
      <c r="P50" s="40"/>
    </row>
    <row r="51" spans="2:16" x14ac:dyDescent="0.25">
      <c r="B51" s="1419" t="s">
        <v>838</v>
      </c>
      <c r="C51" s="1420"/>
      <c r="D51" s="561">
        <v>5.4</v>
      </c>
      <c r="E51" s="1243">
        <f>(D51*$E55/100)</f>
        <v>0.28964650534432618</v>
      </c>
      <c r="F51" s="53" t="s">
        <v>21</v>
      </c>
      <c r="G51" s="220">
        <f t="shared" si="0"/>
        <v>0.28964650534432618</v>
      </c>
      <c r="H51" s="1242">
        <f>E51/3.6</f>
        <v>8.0457362595646162E-2</v>
      </c>
      <c r="I51" s="402">
        <f>$H51*'2.Melting&amp;Fining'!$F$38*1000</f>
        <v>40.22868129782308</v>
      </c>
      <c r="J51" s="1231" t="s">
        <v>21</v>
      </c>
      <c r="L51" s="28"/>
      <c r="M51" s="1265"/>
      <c r="N51" s="10"/>
      <c r="O51" s="10"/>
      <c r="P51" s="40"/>
    </row>
    <row r="52" spans="2:16" x14ac:dyDescent="0.25">
      <c r="B52" s="1419" t="s">
        <v>24</v>
      </c>
      <c r="C52" s="1420"/>
      <c r="D52" s="561">
        <v>4.3</v>
      </c>
      <c r="E52" s="1243">
        <f>(D52*$E55/100)</f>
        <v>0.23064443944085231</v>
      </c>
      <c r="F52" s="220">
        <f>E52-G52</f>
        <v>0.17298332958063922</v>
      </c>
      <c r="G52" s="220">
        <f t="shared" si="0"/>
        <v>5.7661109860213076E-2</v>
      </c>
      <c r="H52" s="1242">
        <f>E52*0.25/3.6</f>
        <v>1.6016974961170299E-2</v>
      </c>
      <c r="I52" s="402">
        <f>$H52*'2.Melting&amp;Fining'!$F$38*1000</f>
        <v>8.0084874805851491</v>
      </c>
      <c r="J52" s="1081">
        <f>(F52*1000/Fuel!$C$43)*Heat_Balance!$D$14*Fuel!$C$14</f>
        <v>10.521747480139116</v>
      </c>
      <c r="L52" s="29"/>
      <c r="M52" s="1265">
        <v>220</v>
      </c>
      <c r="N52" s="10" t="s">
        <v>130</v>
      </c>
      <c r="O52" s="10"/>
      <c r="P52" s="40"/>
    </row>
    <row r="53" spans="2:16" x14ac:dyDescent="0.25">
      <c r="B53" s="1413" t="s">
        <v>834</v>
      </c>
      <c r="C53" s="1414"/>
      <c r="D53" s="561">
        <v>0.3</v>
      </c>
      <c r="E53" s="1243">
        <f>(D53*$E55/100)</f>
        <v>1.6091472519129232E-2</v>
      </c>
      <c r="F53" s="1230" t="s">
        <v>21</v>
      </c>
      <c r="G53" s="220">
        <f t="shared" si="0"/>
        <v>1.6091472519129232E-2</v>
      </c>
      <c r="H53" s="1242">
        <f>E53/3.6</f>
        <v>4.4698534775358973E-3</v>
      </c>
      <c r="I53" s="402">
        <f>$H53*'2.Melting&amp;Fining'!$F$38*1000</f>
        <v>2.2349267387679488</v>
      </c>
      <c r="J53" s="1231" t="s">
        <v>21</v>
      </c>
      <c r="L53" s="1105"/>
      <c r="M53" s="229">
        <f>M52*M50</f>
        <v>244.44444444444446</v>
      </c>
      <c r="N53" s="10" t="s">
        <v>133</v>
      </c>
      <c r="O53" s="10"/>
      <c r="P53" s="40"/>
    </row>
    <row r="54" spans="2:16" ht="15.75" thickBot="1" x14ac:dyDescent="0.3">
      <c r="B54" s="1415" t="s">
        <v>846</v>
      </c>
      <c r="C54" s="1416"/>
      <c r="D54" s="1244">
        <v>0.5</v>
      </c>
      <c r="E54" s="1245">
        <f>(D54*$E55/100)</f>
        <v>2.6819120865215384E-2</v>
      </c>
      <c r="F54" s="1194" t="s">
        <v>21</v>
      </c>
      <c r="G54" s="1246">
        <f t="shared" si="0"/>
        <v>2.6819120865215384E-2</v>
      </c>
      <c r="H54" s="1247">
        <f>E54/3.6</f>
        <v>7.4497557958931619E-3</v>
      </c>
      <c r="I54" s="1248">
        <f>$H54*'2.Melting&amp;Fining'!$F$38*1000</f>
        <v>3.7248778979465809</v>
      </c>
      <c r="J54" s="1249" t="s">
        <v>21</v>
      </c>
      <c r="L54" s="57"/>
      <c r="M54" s="1340">
        <f>M53/M48</f>
        <v>244.44444444444446</v>
      </c>
      <c r="N54" s="34" t="s">
        <v>178</v>
      </c>
      <c r="O54" s="34"/>
      <c r="P54" s="58"/>
    </row>
    <row r="55" spans="2:16" x14ac:dyDescent="0.25">
      <c r="B55" s="1411" t="s">
        <v>837</v>
      </c>
      <c r="C55" s="1412"/>
      <c r="D55" s="1241">
        <f>SUM(D48:D54)</f>
        <v>100</v>
      </c>
      <c r="E55" s="1355">
        <f>E49*100/D49</f>
        <v>5.3638241730430769</v>
      </c>
      <c r="F55" s="488">
        <f>F49+F50+F52</f>
        <v>4.4897890240457077</v>
      </c>
      <c r="G55" s="488">
        <f>SUM(G48:G54)</f>
        <v>0.87403514899736934</v>
      </c>
      <c r="H55" s="1250">
        <f>SUM(H48:H54)</f>
        <v>0.24278754138815814</v>
      </c>
      <c r="I55" s="1078">
        <f>SUM(I48:I54)</f>
        <v>121.39377069407905</v>
      </c>
      <c r="J55" s="1356">
        <f>SUM(J49:J52)</f>
        <v>273.09236366668063</v>
      </c>
    </row>
    <row r="56" spans="2:16" x14ac:dyDescent="0.25">
      <c r="B56" s="10"/>
      <c r="C56" s="9"/>
      <c r="F56"/>
      <c r="G56" s="624"/>
      <c r="I56" s="1018"/>
      <c r="J56" s="483"/>
    </row>
    <row r="57" spans="2:16" x14ac:dyDescent="0.25">
      <c r="B57" s="10"/>
      <c r="C57" s="9"/>
      <c r="F57"/>
      <c r="G57" s="88"/>
      <c r="I57" s="39"/>
      <c r="J57" s="1251"/>
    </row>
    <row r="58" spans="2:16" x14ac:dyDescent="0.25">
      <c r="B58" s="10"/>
      <c r="C58" s="9"/>
      <c r="D58" s="1084" t="s">
        <v>976</v>
      </c>
      <c r="E58" s="573"/>
      <c r="G58"/>
      <c r="K58" s="8"/>
    </row>
    <row r="59" spans="2:16" ht="28.5" customHeight="1" x14ac:dyDescent="0.25">
      <c r="B59" s="1417" t="s">
        <v>836</v>
      </c>
      <c r="C59" s="1418"/>
      <c r="D59" s="1357" t="s">
        <v>37</v>
      </c>
      <c r="E59" s="1358" t="s">
        <v>1091</v>
      </c>
      <c r="F59" s="1359" t="s">
        <v>1090</v>
      </c>
      <c r="G59" s="1359" t="s">
        <v>1089</v>
      </c>
      <c r="H59" s="1358" t="s">
        <v>1088</v>
      </c>
      <c r="I59" s="1359" t="s">
        <v>1087</v>
      </c>
      <c r="J59" s="1358" t="s">
        <v>1086</v>
      </c>
      <c r="K59" s="1089"/>
    </row>
    <row r="60" spans="2:16" x14ac:dyDescent="0.25">
      <c r="B60" s="1419" t="s">
        <v>835</v>
      </c>
      <c r="C60" s="1420"/>
      <c r="D60" s="561">
        <v>0.9</v>
      </c>
      <c r="E60" s="1242">
        <f>($D60*$E$67/100)</f>
        <v>5.3638241730430761E-2</v>
      </c>
      <c r="F60" s="53" t="s">
        <v>21</v>
      </c>
      <c r="G60" s="222">
        <f t="shared" ref="G60:G66" si="1">H60*3.6</f>
        <v>5.3638241730430761E-2</v>
      </c>
      <c r="H60" s="1242">
        <f>E60/3.6</f>
        <v>1.4899511591786322E-2</v>
      </c>
      <c r="I60" s="1252">
        <f>$H60*'2.Melting&amp;Fining'!$F$38*1000</f>
        <v>7.4497557958931608</v>
      </c>
      <c r="J60" s="219" t="s">
        <v>21</v>
      </c>
      <c r="K60" s="1088"/>
    </row>
    <row r="61" spans="2:16" x14ac:dyDescent="0.25">
      <c r="B61" s="107" t="s">
        <v>832</v>
      </c>
      <c r="C61" s="1240"/>
      <c r="D61" s="561">
        <v>80</v>
      </c>
      <c r="E61" s="1253">
        <f>E49/0.9</f>
        <v>4.7678437093716237</v>
      </c>
      <c r="F61" s="222">
        <f>E61-G61</f>
        <v>4.386416212621894</v>
      </c>
      <c r="G61" s="222">
        <f>H61*3.6</f>
        <v>0.3814274967497297</v>
      </c>
      <c r="H61" s="1242">
        <f>E61*(1-Ratio_NG/100)/3.6</f>
        <v>0.10595208243048047</v>
      </c>
      <c r="I61" s="1252">
        <f>$H61*'2.Melting&amp;Fining'!$F$38*1000</f>
        <v>52.976041215240237</v>
      </c>
      <c r="J61" s="1082">
        <f>(F61*1000/Fuel!$C$43)*Heat_Balance!$D$14*Fuel!$C$14</f>
        <v>266.80469062471633</v>
      </c>
      <c r="K61" s="623">
        <f>F61*100/F67</f>
        <v>87.927841825458472</v>
      </c>
      <c r="L61" s="1088" t="s">
        <v>848</v>
      </c>
    </row>
    <row r="62" spans="2:16" x14ac:dyDescent="0.25">
      <c r="B62" s="1419" t="s">
        <v>833</v>
      </c>
      <c r="C62" s="1420"/>
      <c r="D62" s="561">
        <v>8.6</v>
      </c>
      <c r="E62" s="1353">
        <f>(D62*$E67/100)</f>
        <v>0.51254319875744947</v>
      </c>
      <c r="F62" s="222">
        <f>E62-G62</f>
        <v>0.41003455900595959</v>
      </c>
      <c r="G62" s="222">
        <f t="shared" si="1"/>
        <v>0.1025086397514899</v>
      </c>
      <c r="H62" s="1242">
        <f>E62*0.2/3.6</f>
        <v>2.8474622153191638E-2</v>
      </c>
      <c r="I62" s="1252">
        <f>$H62*'2.Melting&amp;Fining'!$F$38*1000</f>
        <v>14.23731107659582</v>
      </c>
      <c r="J62" s="1082">
        <f>(F62*1000/Fuel!$C$43)*Heat_Balance!$D$14*Fuel!$C$14</f>
        <v>24.940438471440867</v>
      </c>
      <c r="K62" s="623">
        <f>F62*100/F67</f>
        <v>8.2193417358580732</v>
      </c>
      <c r="L62" s="1088" t="s">
        <v>847</v>
      </c>
    </row>
    <row r="63" spans="2:16" x14ac:dyDescent="0.25">
      <c r="B63" s="1419" t="s">
        <v>838</v>
      </c>
      <c r="C63" s="1420"/>
      <c r="D63" s="561">
        <v>5.4</v>
      </c>
      <c r="E63" s="1242">
        <f>(D63*$E67/100)</f>
        <v>0.32182945038258459</v>
      </c>
      <c r="F63" s="53" t="s">
        <v>21</v>
      </c>
      <c r="G63" s="222">
        <f t="shared" si="1"/>
        <v>0.32182945038258459</v>
      </c>
      <c r="H63" s="1242">
        <f>E63/3.6</f>
        <v>8.9397069550717939E-2</v>
      </c>
      <c r="I63" s="1252">
        <f>$H63*'2.Melting&amp;Fining'!$F$38*1000</f>
        <v>44.698534775358972</v>
      </c>
      <c r="J63" s="219"/>
      <c r="K63" s="6"/>
      <c r="L63" s="1088" t="s">
        <v>849</v>
      </c>
    </row>
    <row r="64" spans="2:16" x14ac:dyDescent="0.25">
      <c r="B64" s="1419" t="s">
        <v>24</v>
      </c>
      <c r="C64" s="1420"/>
      <c r="D64" s="561">
        <v>4.3</v>
      </c>
      <c r="E64" s="1254">
        <f>(D64*$E67/100)</f>
        <v>0.25627159937872473</v>
      </c>
      <c r="F64" s="222">
        <f>E64-G64</f>
        <v>0.19220369953404354</v>
      </c>
      <c r="G64" s="222">
        <f t="shared" si="1"/>
        <v>6.4067899844681184E-2</v>
      </c>
      <c r="H64" s="1242">
        <f>E64*0.25/3.6</f>
        <v>1.7796638845744773E-2</v>
      </c>
      <c r="I64" s="1252">
        <f>$H64*'2.Melting&amp;Fining'!$F$38*1000</f>
        <v>8.8983194228723868</v>
      </c>
      <c r="J64" s="1082">
        <f>(F64*1000/Fuel!$C$43)*Heat_Balance!$D$14*Fuel!$C$14</f>
        <v>11.690830533487905</v>
      </c>
      <c r="K64" s="1090">
        <f>F64*100/F67</f>
        <v>3.8528164386834716</v>
      </c>
      <c r="L64" s="1088" t="s">
        <v>850</v>
      </c>
    </row>
    <row r="65" spans="2:11" x14ac:dyDescent="0.25">
      <c r="B65" s="1413" t="s">
        <v>834</v>
      </c>
      <c r="C65" s="1414"/>
      <c r="D65" s="561">
        <v>0.3</v>
      </c>
      <c r="E65" s="1254">
        <f>(D65*$E67/100)</f>
        <v>1.7879413910143586E-2</v>
      </c>
      <c r="F65" s="53" t="s">
        <v>21</v>
      </c>
      <c r="G65" s="222">
        <f t="shared" si="1"/>
        <v>1.7879413910143586E-2</v>
      </c>
      <c r="H65" s="1242">
        <f>E65/3.6</f>
        <v>4.9665038639287737E-3</v>
      </c>
      <c r="I65" s="1252">
        <f>$H65*'2.Melting&amp;Fining'!$F$38*1000</f>
        <v>2.4832519319643866</v>
      </c>
      <c r="J65" s="219" t="s">
        <v>21</v>
      </c>
    </row>
    <row r="66" spans="2:11" ht="15.75" thickBot="1" x14ac:dyDescent="0.3">
      <c r="B66" s="1415" t="s">
        <v>846</v>
      </c>
      <c r="C66" s="1416"/>
      <c r="D66" s="1244">
        <v>0.5</v>
      </c>
      <c r="E66" s="1255">
        <f>(D66*$E67/100)</f>
        <v>2.9799023183572648E-2</v>
      </c>
      <c r="F66" s="1256" t="s">
        <v>21</v>
      </c>
      <c r="G66" s="1257">
        <f t="shared" si="1"/>
        <v>2.9799023183572651E-2</v>
      </c>
      <c r="H66" s="1247">
        <f>E66/3.6</f>
        <v>8.2775064398812916E-3</v>
      </c>
      <c r="I66" s="1258">
        <f>$H66*'2.Melting&amp;Fining'!$F$38*1000</f>
        <v>4.1387532199406456</v>
      </c>
      <c r="J66" s="1259" t="s">
        <v>21</v>
      </c>
    </row>
    <row r="67" spans="2:11" x14ac:dyDescent="0.25">
      <c r="B67" s="1411" t="s">
        <v>837</v>
      </c>
      <c r="C67" s="1412"/>
      <c r="D67" s="1241">
        <f>SUM(D60:D66)</f>
        <v>100</v>
      </c>
      <c r="E67" s="1355">
        <f>E61*100/D61</f>
        <v>5.9598046367145292</v>
      </c>
      <c r="F67" s="488">
        <f>F61+F62+F64</f>
        <v>4.9886544711618965</v>
      </c>
      <c r="G67" s="488">
        <f>SUM(G60:G66)</f>
        <v>0.97115016555263234</v>
      </c>
      <c r="H67" s="1250">
        <f>SUM(H60:H66)</f>
        <v>0.26976393487573119</v>
      </c>
      <c r="I67" s="1078">
        <f>SUM(I60:I66)</f>
        <v>134.8819674378656</v>
      </c>
      <c r="J67" s="1356">
        <f>SUM(J61:J64)</f>
        <v>303.43595962964508</v>
      </c>
    </row>
    <row r="68" spans="2:11" x14ac:dyDescent="0.25">
      <c r="D68" s="39"/>
      <c r="E68" s="39"/>
      <c r="F68" s="39"/>
      <c r="G68" s="1260"/>
      <c r="H68" s="39"/>
      <c r="I68" s="1018"/>
      <c r="J68" s="483"/>
      <c r="K68" s="88"/>
    </row>
    <row r="69" spans="2:11" x14ac:dyDescent="0.25">
      <c r="D69" s="39"/>
      <c r="E69" s="39"/>
      <c r="F69" s="1261"/>
      <c r="G69" s="1019"/>
      <c r="H69" s="39"/>
      <c r="I69" s="39"/>
      <c r="J69" s="1251"/>
    </row>
    <row r="70" spans="2:11" x14ac:dyDescent="0.25">
      <c r="G70" s="1351"/>
      <c r="J70" s="88"/>
    </row>
    <row r="89" spans="3:13" x14ac:dyDescent="0.25">
      <c r="C89" s="1226" t="s">
        <v>968</v>
      </c>
      <c r="D89" s="10"/>
      <c r="E89" s="10"/>
      <c r="F89" s="10"/>
      <c r="G89" s="10"/>
      <c r="H89" s="10"/>
      <c r="I89" s="10"/>
      <c r="J89" s="10"/>
      <c r="K89" s="10"/>
      <c r="L89" s="10"/>
      <c r="M89" s="10"/>
    </row>
    <row r="90" spans="3:13" x14ac:dyDescent="0.25">
      <c r="C90" s="10"/>
      <c r="D90" s="10"/>
      <c r="E90" s="10"/>
      <c r="F90" s="10"/>
      <c r="G90" s="10"/>
      <c r="H90" s="10"/>
      <c r="I90" s="10"/>
      <c r="J90" s="10"/>
      <c r="K90" s="10"/>
      <c r="L90" s="10"/>
      <c r="M90" s="10"/>
    </row>
    <row r="91" spans="3:13" x14ac:dyDescent="0.25">
      <c r="C91" s="1238" t="s">
        <v>556</v>
      </c>
      <c r="D91" s="1239" t="s">
        <v>555</v>
      </c>
      <c r="E91" s="10"/>
      <c r="F91" s="10"/>
      <c r="G91" s="10"/>
      <c r="H91" s="10"/>
      <c r="I91" s="10"/>
      <c r="J91" s="10"/>
      <c r="K91" s="10"/>
      <c r="L91" s="10"/>
      <c r="M91" s="10"/>
    </row>
    <row r="92" spans="3:13" x14ac:dyDescent="0.25">
      <c r="C92" s="28">
        <v>1940</v>
      </c>
      <c r="D92" s="40">
        <v>12.9</v>
      </c>
      <c r="E92" s="10"/>
      <c r="F92" s="10"/>
      <c r="G92" s="10"/>
      <c r="H92" s="10"/>
      <c r="I92" s="10"/>
      <c r="J92" s="10"/>
      <c r="K92" s="10"/>
      <c r="L92" s="10"/>
      <c r="M92" s="10"/>
    </row>
    <row r="93" spans="3:13" x14ac:dyDescent="0.25">
      <c r="C93" s="28">
        <v>1950</v>
      </c>
      <c r="D93" s="40">
        <v>12.9</v>
      </c>
      <c r="E93" s="10"/>
      <c r="F93" s="10"/>
      <c r="G93" s="10"/>
      <c r="H93" s="10"/>
      <c r="I93" s="10"/>
      <c r="J93" s="10"/>
      <c r="K93" s="10"/>
      <c r="L93" s="10"/>
      <c r="M93" s="10"/>
    </row>
    <row r="94" spans="3:13" x14ac:dyDescent="0.25">
      <c r="C94" s="28">
        <v>1955</v>
      </c>
      <c r="D94" s="40">
        <v>11.8</v>
      </c>
      <c r="E94" s="10"/>
      <c r="F94" s="10"/>
      <c r="G94" s="10"/>
      <c r="H94" s="10"/>
      <c r="I94" s="10"/>
      <c r="J94" s="10"/>
      <c r="K94" s="10"/>
      <c r="L94" s="10"/>
      <c r="M94" s="10"/>
    </row>
    <row r="95" spans="3:13" x14ac:dyDescent="0.25">
      <c r="C95" s="28">
        <v>1960</v>
      </c>
      <c r="D95" s="40">
        <v>10.4</v>
      </c>
      <c r="E95" s="10"/>
      <c r="F95" s="10"/>
      <c r="G95" s="10"/>
      <c r="H95" s="10"/>
      <c r="I95" s="10"/>
      <c r="J95" s="10"/>
      <c r="K95" s="10"/>
      <c r="L95" s="10"/>
      <c r="M95" s="10"/>
    </row>
    <row r="96" spans="3:13" x14ac:dyDescent="0.25">
      <c r="C96" s="27">
        <v>1965</v>
      </c>
      <c r="D96" s="64">
        <v>9.8000000000000007</v>
      </c>
      <c r="E96" s="10"/>
      <c r="F96" s="10"/>
      <c r="G96" s="10"/>
      <c r="H96" s="10"/>
      <c r="I96" s="10"/>
      <c r="J96" s="10"/>
      <c r="K96" s="10"/>
      <c r="L96" s="10"/>
      <c r="M96" s="10"/>
    </row>
    <row r="97" spans="3:13" x14ac:dyDescent="0.25">
      <c r="C97" s="28">
        <v>1970</v>
      </c>
      <c r="D97" s="40">
        <v>8.8000000000000007</v>
      </c>
      <c r="E97" s="10"/>
      <c r="F97" s="10"/>
      <c r="G97" s="10"/>
      <c r="H97" s="10"/>
      <c r="I97" s="10"/>
      <c r="J97" s="10"/>
      <c r="K97" s="10"/>
      <c r="L97" s="10"/>
      <c r="M97" s="10"/>
    </row>
    <row r="98" spans="3:13" x14ac:dyDescent="0.25">
      <c r="C98" s="28">
        <v>1975</v>
      </c>
      <c r="D98" s="64">
        <v>8.5</v>
      </c>
      <c r="E98" s="10"/>
      <c r="F98" s="10"/>
      <c r="G98" s="10"/>
      <c r="H98" s="10"/>
      <c r="I98" s="10"/>
      <c r="J98" s="10"/>
      <c r="K98" s="10"/>
      <c r="L98" s="10"/>
      <c r="M98" s="10"/>
    </row>
    <row r="99" spans="3:13" x14ac:dyDescent="0.25">
      <c r="C99" s="28">
        <v>1980</v>
      </c>
      <c r="D99" s="64">
        <v>7.3</v>
      </c>
      <c r="E99" s="10"/>
      <c r="F99" s="10"/>
      <c r="G99" s="10"/>
      <c r="H99" s="10"/>
      <c r="I99" s="10"/>
      <c r="J99" s="10"/>
      <c r="K99" s="10"/>
      <c r="L99" s="10"/>
      <c r="M99" s="10"/>
    </row>
    <row r="100" spans="3:13" x14ac:dyDescent="0.25">
      <c r="C100" s="27">
        <v>1985</v>
      </c>
      <c r="D100" s="64">
        <v>6.9</v>
      </c>
      <c r="E100" s="10"/>
      <c r="F100" s="10"/>
      <c r="G100" s="10"/>
      <c r="H100" s="10"/>
      <c r="I100" s="10"/>
      <c r="J100" s="10"/>
      <c r="K100" s="10"/>
      <c r="L100" s="10"/>
      <c r="M100" s="10"/>
    </row>
    <row r="101" spans="3:13" x14ac:dyDescent="0.25">
      <c r="C101" s="28">
        <v>1990</v>
      </c>
      <c r="D101" s="64">
        <v>6</v>
      </c>
      <c r="E101" s="10"/>
      <c r="F101" s="10"/>
      <c r="G101" s="10"/>
      <c r="H101" s="10"/>
      <c r="I101" s="10"/>
      <c r="J101" s="10"/>
      <c r="K101" s="10"/>
      <c r="L101" s="10"/>
      <c r="M101" s="10"/>
    </row>
    <row r="102" spans="3:13" x14ac:dyDescent="0.25">
      <c r="C102" s="28">
        <v>1995</v>
      </c>
      <c r="D102" s="64">
        <v>5.3</v>
      </c>
      <c r="E102" s="10"/>
      <c r="F102" s="10"/>
      <c r="G102" s="10"/>
      <c r="H102" s="10"/>
      <c r="I102" s="10"/>
      <c r="J102" s="10"/>
      <c r="K102" s="10"/>
      <c r="L102" s="10"/>
      <c r="M102" s="10"/>
    </row>
    <row r="103" spans="3:13" x14ac:dyDescent="0.25">
      <c r="C103" s="28">
        <v>2005</v>
      </c>
      <c r="D103" s="64">
        <v>4.8</v>
      </c>
      <c r="E103" s="10"/>
      <c r="F103" s="10"/>
      <c r="G103" s="10"/>
      <c r="H103" s="10"/>
      <c r="I103" s="10"/>
      <c r="J103" s="10"/>
      <c r="K103" s="10"/>
      <c r="L103" s="10"/>
      <c r="M103" s="10"/>
    </row>
    <row r="104" spans="3:13" x14ac:dyDescent="0.25">
      <c r="C104" s="28">
        <v>2010</v>
      </c>
      <c r="D104" s="64">
        <v>4.5</v>
      </c>
      <c r="E104" s="10"/>
      <c r="F104" s="10"/>
      <c r="G104" s="10"/>
      <c r="H104" s="10"/>
      <c r="I104" s="10"/>
      <c r="J104" s="10"/>
      <c r="K104" s="10"/>
      <c r="L104" s="10"/>
      <c r="M104" s="10"/>
    </row>
    <row r="105" spans="3:13" x14ac:dyDescent="0.25">
      <c r="C105" s="28">
        <v>2015</v>
      </c>
      <c r="D105" s="64">
        <v>4.7</v>
      </c>
      <c r="E105" s="10"/>
      <c r="F105" s="10"/>
      <c r="G105" s="10"/>
      <c r="H105" s="10"/>
      <c r="I105" s="10"/>
      <c r="J105" s="10"/>
      <c r="K105" s="10"/>
      <c r="L105" s="10"/>
      <c r="M105" s="10"/>
    </row>
    <row r="106" spans="3:13" x14ac:dyDescent="0.25">
      <c r="C106" s="57">
        <v>2020</v>
      </c>
      <c r="D106" s="132">
        <v>4.7</v>
      </c>
      <c r="E106" s="10"/>
      <c r="F106" s="10"/>
      <c r="G106" s="10"/>
      <c r="H106" s="10"/>
      <c r="I106" s="10"/>
      <c r="J106" s="10"/>
      <c r="K106" s="10"/>
      <c r="L106" s="10"/>
      <c r="M106" s="10"/>
    </row>
    <row r="107" spans="3:13" x14ac:dyDescent="0.25">
      <c r="C107" s="10"/>
      <c r="D107" s="10"/>
      <c r="E107" s="10"/>
      <c r="F107" s="10"/>
      <c r="G107" s="10"/>
      <c r="H107" s="10"/>
      <c r="I107" s="10"/>
      <c r="J107" s="10"/>
      <c r="K107" s="10"/>
      <c r="L107" s="10"/>
      <c r="M107" s="10"/>
    </row>
  </sheetData>
  <mergeCells count="18">
    <mergeCell ref="B3:B8"/>
    <mergeCell ref="B41:O41"/>
    <mergeCell ref="B53:C53"/>
    <mergeCell ref="B54:C54"/>
    <mergeCell ref="B60:C60"/>
    <mergeCell ref="B47:C47"/>
    <mergeCell ref="B48:C48"/>
    <mergeCell ref="B50:C50"/>
    <mergeCell ref="B51:C51"/>
    <mergeCell ref="B52:C52"/>
    <mergeCell ref="B67:C67"/>
    <mergeCell ref="B55:C55"/>
    <mergeCell ref="B65:C65"/>
    <mergeCell ref="B66:C66"/>
    <mergeCell ref="B59:C59"/>
    <mergeCell ref="B64:C64"/>
    <mergeCell ref="B62:C62"/>
    <mergeCell ref="B63:C63"/>
  </mergeCells>
  <hyperlinks>
    <hyperlink ref="J27" r:id="rId1"/>
    <hyperlink ref="J28" r:id="rId2"/>
    <hyperlink ref="J26" r:id="rId3"/>
    <hyperlink ref="J24" r:id="rId4"/>
    <hyperlink ref="J29" r:id="rId5"/>
  </hyperlinks>
  <pageMargins left="0.7" right="0.7" top="0.75" bottom="0.75" header="0.3" footer="0.3"/>
  <pageSetup orientation="portrait" r:id="rId6"/>
  <customProperties>
    <customPr name="EpmWorksheetKeyString_GUID" r:id="rId7"/>
  </customProperties>
  <drawing r:id="rId8"/>
  <legacy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9"/>
  <dimension ref="B1:AC43"/>
  <sheetViews>
    <sheetView showGridLines="0" topLeftCell="A7" zoomScale="90" zoomScaleNormal="90" workbookViewId="0">
      <selection activeCell="J39" sqref="J39"/>
    </sheetView>
  </sheetViews>
  <sheetFormatPr defaultRowHeight="15" x14ac:dyDescent="0.25"/>
  <cols>
    <col min="2" max="2" width="5.85546875" customWidth="1"/>
    <col min="5" max="5" width="26.140625" customWidth="1"/>
    <col min="6" max="6" width="11.28515625" style="8" customWidth="1"/>
    <col min="7" max="7" width="11.7109375" style="8" customWidth="1"/>
    <col min="8" max="8" width="21.28515625" style="9" customWidth="1"/>
    <col min="10" max="10" width="6.7109375" customWidth="1"/>
    <col min="28" max="28" width="6" customWidth="1"/>
  </cols>
  <sheetData>
    <row r="1" spans="2:10" ht="15.75" thickBot="1" x14ac:dyDescent="0.3"/>
    <row r="2" spans="2:10" x14ac:dyDescent="0.25">
      <c r="B2" s="447"/>
      <c r="C2" s="441" t="s">
        <v>11</v>
      </c>
      <c r="D2" s="441"/>
      <c r="E2" s="441"/>
      <c r="F2" s="442" t="s">
        <v>12</v>
      </c>
      <c r="G2" s="458" t="s">
        <v>25</v>
      </c>
      <c r="H2" s="443" t="s">
        <v>13</v>
      </c>
      <c r="J2" s="26" t="s">
        <v>18</v>
      </c>
    </row>
    <row r="3" spans="2:10" ht="15" customHeight="1" x14ac:dyDescent="0.25">
      <c r="B3" s="1422" t="s">
        <v>75</v>
      </c>
      <c r="C3" s="10" t="s">
        <v>561</v>
      </c>
      <c r="D3" s="10"/>
      <c r="E3" s="10"/>
      <c r="F3" s="11">
        <v>25</v>
      </c>
      <c r="G3" s="11"/>
      <c r="H3" s="309" t="s">
        <v>26</v>
      </c>
      <c r="J3" s="28"/>
    </row>
    <row r="4" spans="2:10" ht="15" customHeight="1" x14ac:dyDescent="0.25">
      <c r="B4" s="1422"/>
      <c r="C4" s="10" t="s">
        <v>559</v>
      </c>
      <c r="D4" s="10"/>
      <c r="E4" s="10"/>
      <c r="F4" s="11">
        <v>273.14999999999998</v>
      </c>
      <c r="G4" s="11"/>
      <c r="H4" s="309" t="s">
        <v>28</v>
      </c>
      <c r="J4" s="28"/>
    </row>
    <row r="5" spans="2:10" ht="15" customHeight="1" x14ac:dyDescent="0.25">
      <c r="B5" s="1422"/>
      <c r="C5" s="10" t="s">
        <v>147</v>
      </c>
      <c r="D5" s="10"/>
      <c r="E5" s="10"/>
      <c r="F5" s="17">
        <v>1500</v>
      </c>
      <c r="G5" s="11" t="s">
        <v>148</v>
      </c>
      <c r="H5" s="309" t="s">
        <v>28</v>
      </c>
      <c r="J5" s="28" t="s">
        <v>267</v>
      </c>
    </row>
    <row r="6" spans="2:10" ht="15" customHeight="1" x14ac:dyDescent="0.25">
      <c r="B6" s="1422"/>
      <c r="C6" s="10" t="s">
        <v>27</v>
      </c>
      <c r="D6" s="10"/>
      <c r="E6" s="10"/>
      <c r="F6" s="11">
        <v>1723</v>
      </c>
      <c r="G6" s="11"/>
      <c r="H6" s="309" t="s">
        <v>28</v>
      </c>
      <c r="J6" s="949" t="s">
        <v>712</v>
      </c>
    </row>
    <row r="7" spans="2:10" x14ac:dyDescent="0.25">
      <c r="B7" s="1422"/>
      <c r="C7" s="10" t="s">
        <v>29</v>
      </c>
      <c r="D7" s="10"/>
      <c r="E7" s="10"/>
      <c r="F7" s="11">
        <v>825</v>
      </c>
      <c r="G7" s="11"/>
      <c r="H7" s="309" t="s">
        <v>28</v>
      </c>
      <c r="J7" s="28"/>
    </row>
    <row r="8" spans="2:10" s="10" customFormat="1" x14ac:dyDescent="0.25">
      <c r="B8" s="1422"/>
      <c r="C8" s="10" t="s">
        <v>30</v>
      </c>
      <c r="F8" s="11">
        <v>854</v>
      </c>
      <c r="G8" s="11"/>
      <c r="H8" s="309" t="s">
        <v>28</v>
      </c>
      <c r="J8" s="249" t="s">
        <v>294</v>
      </c>
    </row>
    <row r="9" spans="2:10" s="10" customFormat="1" x14ac:dyDescent="0.25">
      <c r="B9" s="1422"/>
      <c r="C9" s="10" t="s">
        <v>125</v>
      </c>
      <c r="F9" s="11">
        <v>650</v>
      </c>
      <c r="G9" s="11"/>
      <c r="H9" s="309" t="s">
        <v>28</v>
      </c>
      <c r="J9" s="259" t="s">
        <v>126</v>
      </c>
    </row>
    <row r="10" spans="2:10" s="10" customFormat="1" x14ac:dyDescent="0.25">
      <c r="B10" s="1422"/>
      <c r="C10" s="10" t="s">
        <v>94</v>
      </c>
      <c r="F10" s="11">
        <v>2072</v>
      </c>
      <c r="G10" s="11"/>
      <c r="H10" s="309" t="s">
        <v>28</v>
      </c>
      <c r="J10" s="252" t="s">
        <v>293</v>
      </c>
    </row>
    <row r="11" spans="2:10" s="10" customFormat="1" x14ac:dyDescent="0.25">
      <c r="B11" s="13"/>
      <c r="C11" s="10" t="s">
        <v>78</v>
      </c>
      <c r="F11" s="17">
        <v>1800</v>
      </c>
      <c r="G11" s="11" t="s">
        <v>86</v>
      </c>
      <c r="H11" s="309" t="s">
        <v>26</v>
      </c>
      <c r="J11" s="949" t="s">
        <v>713</v>
      </c>
    </row>
    <row r="12" spans="2:10" s="10" customFormat="1" x14ac:dyDescent="0.25">
      <c r="B12" s="13"/>
      <c r="C12" s="10" t="s">
        <v>79</v>
      </c>
      <c r="F12" s="248">
        <v>1500</v>
      </c>
      <c r="G12" s="11"/>
      <c r="H12" s="309" t="s">
        <v>26</v>
      </c>
      <c r="J12" s="949" t="s">
        <v>714</v>
      </c>
    </row>
    <row r="13" spans="2:10" s="10" customFormat="1" x14ac:dyDescent="0.25">
      <c r="B13" s="13"/>
      <c r="C13" s="18" t="s">
        <v>839</v>
      </c>
      <c r="F13" s="248">
        <v>1350</v>
      </c>
      <c r="G13" s="11" t="s">
        <v>840</v>
      </c>
      <c r="H13" s="309" t="s">
        <v>26</v>
      </c>
      <c r="J13" s="949"/>
    </row>
    <row r="14" spans="2:10" s="10" customFormat="1" x14ac:dyDescent="0.25">
      <c r="B14" s="13"/>
      <c r="C14" s="10" t="s">
        <v>281</v>
      </c>
      <c r="F14" s="248">
        <v>1100</v>
      </c>
      <c r="G14" s="11"/>
      <c r="H14" s="309" t="s">
        <v>26</v>
      </c>
      <c r="J14" s="27" t="s">
        <v>283</v>
      </c>
    </row>
    <row r="15" spans="2:10" s="10" customFormat="1" x14ac:dyDescent="0.25">
      <c r="B15" s="13"/>
      <c r="C15" s="10" t="s">
        <v>284</v>
      </c>
      <c r="F15" s="17" t="s">
        <v>21</v>
      </c>
      <c r="G15" s="11" t="s">
        <v>285</v>
      </c>
      <c r="H15" s="309" t="s">
        <v>28</v>
      </c>
      <c r="J15" s="27" t="s">
        <v>286</v>
      </c>
    </row>
    <row r="16" spans="2:10" s="10" customFormat="1" x14ac:dyDescent="0.25">
      <c r="B16" s="13"/>
      <c r="C16" s="10" t="s">
        <v>103</v>
      </c>
      <c r="F16" s="11">
        <v>325</v>
      </c>
      <c r="G16" s="11" t="s">
        <v>104</v>
      </c>
      <c r="H16" s="309" t="s">
        <v>105</v>
      </c>
      <c r="J16" s="27" t="s">
        <v>106</v>
      </c>
    </row>
    <row r="17" spans="2:29" s="10" customFormat="1" x14ac:dyDescent="0.25">
      <c r="B17" s="13"/>
      <c r="C17" s="14" t="s">
        <v>32</v>
      </c>
      <c r="D17" s="15"/>
      <c r="E17" s="15"/>
      <c r="F17" s="16">
        <v>300</v>
      </c>
      <c r="G17" s="16"/>
      <c r="H17" s="448" t="s">
        <v>28</v>
      </c>
      <c r="J17" s="30" t="s">
        <v>82</v>
      </c>
    </row>
    <row r="18" spans="2:29" s="10" customFormat="1" x14ac:dyDescent="0.25">
      <c r="B18" s="13"/>
      <c r="C18" s="10" t="s">
        <v>33</v>
      </c>
      <c r="F18" s="17">
        <v>1250</v>
      </c>
      <c r="G18" s="11"/>
      <c r="H18" s="309" t="s">
        <v>28</v>
      </c>
      <c r="J18" s="28" t="s">
        <v>715</v>
      </c>
    </row>
    <row r="19" spans="2:29" s="10" customFormat="1" x14ac:dyDescent="0.25">
      <c r="B19" s="13"/>
      <c r="C19" s="10" t="s">
        <v>74</v>
      </c>
      <c r="F19" s="11">
        <v>1350</v>
      </c>
      <c r="G19" s="11"/>
      <c r="H19" s="309" t="s">
        <v>28</v>
      </c>
      <c r="J19" s="28" t="s">
        <v>73</v>
      </c>
    </row>
    <row r="20" spans="2:29" x14ac:dyDescent="0.25">
      <c r="B20" s="13"/>
      <c r="C20" s="10" t="s">
        <v>96</v>
      </c>
      <c r="D20" s="10"/>
      <c r="E20" s="10"/>
      <c r="F20" s="11">
        <v>1550</v>
      </c>
      <c r="G20" s="11"/>
      <c r="H20" s="309" t="s">
        <v>28</v>
      </c>
      <c r="J20" s="27" t="s">
        <v>34</v>
      </c>
    </row>
    <row r="21" spans="2:29" x14ac:dyDescent="0.25">
      <c r="B21" s="13"/>
      <c r="C21" s="10" t="s">
        <v>91</v>
      </c>
      <c r="D21" s="10"/>
      <c r="E21" s="10"/>
      <c r="F21" s="11">
        <v>0.3</v>
      </c>
      <c r="G21" s="11"/>
      <c r="H21" s="309" t="s">
        <v>67</v>
      </c>
      <c r="J21" s="27" t="s">
        <v>92</v>
      </c>
    </row>
    <row r="22" spans="2:29" ht="15.75" thickBot="1" x14ac:dyDescent="0.3">
      <c r="B22" s="239"/>
      <c r="C22" s="85"/>
      <c r="D22" s="85"/>
      <c r="E22" s="85"/>
      <c r="F22" s="266"/>
      <c r="G22" s="266"/>
      <c r="H22" s="449"/>
      <c r="J22" s="28"/>
    </row>
    <row r="23" spans="2:29" ht="15.75" thickBot="1" x14ac:dyDescent="0.3">
      <c r="B23" s="9"/>
      <c r="C23" s="9"/>
      <c r="D23" s="9"/>
      <c r="E23" s="23"/>
      <c r="G23" s="24"/>
      <c r="H23" s="23"/>
      <c r="I23" s="20"/>
      <c r="J23" s="27"/>
      <c r="K23" s="20"/>
      <c r="L23" s="20"/>
      <c r="M23" s="20"/>
      <c r="N23" s="20"/>
      <c r="O23" s="20"/>
    </row>
    <row r="24" spans="2:29" x14ac:dyDescent="0.25">
      <c r="B24" s="447"/>
      <c r="C24" s="441" t="s">
        <v>35</v>
      </c>
      <c r="D24" s="12"/>
      <c r="E24" s="12"/>
      <c r="F24" s="446"/>
      <c r="G24" s="446"/>
      <c r="H24" s="450"/>
      <c r="J24" s="28"/>
    </row>
    <row r="25" spans="2:29" x14ac:dyDescent="0.25">
      <c r="B25" s="13"/>
      <c r="C25" s="10" t="s">
        <v>36</v>
      </c>
      <c r="D25" s="10"/>
      <c r="E25" s="10"/>
      <c r="F25" s="248">
        <v>3.3</v>
      </c>
      <c r="G25" s="451" t="s">
        <v>280</v>
      </c>
      <c r="H25" s="309" t="s">
        <v>37</v>
      </c>
      <c r="J25" s="28" t="s">
        <v>279</v>
      </c>
    </row>
    <row r="26" spans="2:29" x14ac:dyDescent="0.25">
      <c r="B26" s="13"/>
      <c r="C26" s="10" t="s">
        <v>80</v>
      </c>
      <c r="D26" s="10"/>
      <c r="E26" s="10"/>
      <c r="F26" s="10">
        <v>8</v>
      </c>
      <c r="G26" s="11"/>
      <c r="H26" s="309" t="s">
        <v>69</v>
      </c>
      <c r="J26" s="28" t="s">
        <v>111</v>
      </c>
    </row>
    <row r="27" spans="2:29" x14ac:dyDescent="0.25">
      <c r="B27" s="452"/>
      <c r="C27" s="453" t="s">
        <v>38</v>
      </c>
      <c r="D27" s="453"/>
      <c r="E27" s="453"/>
      <c r="F27" s="454">
        <v>1.75</v>
      </c>
      <c r="G27" s="454" t="s">
        <v>39</v>
      </c>
      <c r="H27" s="455" t="s">
        <v>22</v>
      </c>
      <c r="J27" s="887" t="s">
        <v>664</v>
      </c>
    </row>
    <row r="28" spans="2:29" x14ac:dyDescent="0.25">
      <c r="B28" s="13"/>
      <c r="C28" s="10" t="s">
        <v>40</v>
      </c>
      <c r="D28" s="10"/>
      <c r="E28" s="10"/>
      <c r="F28" s="17">
        <v>3.5</v>
      </c>
      <c r="G28" s="17" t="s">
        <v>41</v>
      </c>
      <c r="H28" s="269" t="s">
        <v>22</v>
      </c>
      <c r="J28" s="258" t="s">
        <v>83</v>
      </c>
    </row>
    <row r="29" spans="2:29" x14ac:dyDescent="0.25">
      <c r="B29" s="13"/>
      <c r="C29" s="10" t="s">
        <v>42</v>
      </c>
      <c r="D29" s="10"/>
      <c r="E29" s="10"/>
      <c r="F29" s="17">
        <v>2.85</v>
      </c>
      <c r="G29" s="11" t="s">
        <v>84</v>
      </c>
      <c r="H29" s="309" t="s">
        <v>22</v>
      </c>
      <c r="J29" s="28" t="s">
        <v>85</v>
      </c>
    </row>
    <row r="30" spans="2:29" x14ac:dyDescent="0.25">
      <c r="B30" s="13"/>
      <c r="C30" s="18" t="s">
        <v>595</v>
      </c>
      <c r="D30" s="10"/>
      <c r="E30" s="10"/>
      <c r="F30" s="631">
        <f>IF(Type = 1, 16.6*24, IF(Type = 2, 16.4*24, IF(Type = 3, 16.2*24)))/1000</f>
        <v>0.39840000000000003</v>
      </c>
      <c r="G30" s="11"/>
      <c r="H30" s="309" t="s">
        <v>300</v>
      </c>
      <c r="J30" s="28" t="s">
        <v>613</v>
      </c>
      <c r="AC30" s="19" t="s">
        <v>599</v>
      </c>
    </row>
    <row r="31" spans="2:29" ht="15.75" thickBot="1" x14ac:dyDescent="0.3">
      <c r="B31" s="239"/>
      <c r="C31" s="85" t="s">
        <v>95</v>
      </c>
      <c r="D31" s="85"/>
      <c r="E31" s="85"/>
      <c r="F31" s="950">
        <f>100 - (Fuel!M104/2) - (Fuel!F142/20)</f>
        <v>22.131147581075183</v>
      </c>
      <c r="G31" s="266"/>
      <c r="H31" s="449" t="s">
        <v>37</v>
      </c>
      <c r="J31" s="949" t="s">
        <v>717</v>
      </c>
    </row>
    <row r="32" spans="2:29" ht="15.75" thickBot="1" x14ac:dyDescent="0.3">
      <c r="J32" s="28"/>
    </row>
    <row r="33" spans="2:17" x14ac:dyDescent="0.25">
      <c r="B33" s="447"/>
      <c r="C33" s="441" t="s">
        <v>43</v>
      </c>
      <c r="D33" s="12"/>
      <c r="E33" s="12"/>
      <c r="F33" s="446"/>
      <c r="G33" s="446"/>
      <c r="H33" s="450"/>
      <c r="J33" s="28"/>
    </row>
    <row r="34" spans="2:17" x14ac:dyDescent="0.25">
      <c r="B34" s="13"/>
      <c r="C34" s="10" t="s">
        <v>718</v>
      </c>
      <c r="D34" s="10"/>
      <c r="E34" s="10"/>
      <c r="F34" s="11">
        <v>300</v>
      </c>
      <c r="G34" s="11" t="s">
        <v>100</v>
      </c>
      <c r="H34" s="309" t="s">
        <v>44</v>
      </c>
      <c r="J34" s="28"/>
    </row>
    <row r="35" spans="2:17" ht="15" customHeight="1" x14ac:dyDescent="0.25">
      <c r="B35" s="456"/>
      <c r="C35" s="10" t="s">
        <v>47</v>
      </c>
      <c r="D35" s="10"/>
      <c r="E35" s="10"/>
      <c r="F35" s="11">
        <v>1500</v>
      </c>
      <c r="G35" s="11" t="s">
        <v>719</v>
      </c>
      <c r="H35" s="309" t="s">
        <v>28</v>
      </c>
      <c r="J35" s="28"/>
    </row>
    <row r="36" spans="2:17" ht="15" customHeight="1" x14ac:dyDescent="0.25">
      <c r="B36" s="456"/>
      <c r="C36" s="10" t="s">
        <v>48</v>
      </c>
      <c r="D36" s="10"/>
      <c r="E36" s="10"/>
      <c r="F36" s="11">
        <v>20</v>
      </c>
      <c r="G36" s="11"/>
      <c r="H36" s="309" t="s">
        <v>49</v>
      </c>
      <c r="J36" s="28"/>
      <c r="Q36" s="114"/>
    </row>
    <row r="37" spans="2:17" x14ac:dyDescent="0.25">
      <c r="B37" s="456"/>
      <c r="C37" s="10" t="s">
        <v>50</v>
      </c>
      <c r="D37" s="10"/>
      <c r="E37" s="10"/>
      <c r="F37" s="11">
        <v>2.5</v>
      </c>
      <c r="G37" s="11"/>
      <c r="H37" s="309" t="s">
        <v>51</v>
      </c>
      <c r="J37" s="28"/>
    </row>
    <row r="38" spans="2:17" x14ac:dyDescent="0.25">
      <c r="B38" s="456"/>
      <c r="C38" s="10" t="s">
        <v>311</v>
      </c>
      <c r="D38" s="10"/>
      <c r="E38" s="10"/>
      <c r="F38" s="248">
        <f>Global!D11</f>
        <v>0.5</v>
      </c>
      <c r="G38" s="11"/>
      <c r="H38" s="309" t="s">
        <v>310</v>
      </c>
      <c r="J38" s="28" t="s">
        <v>716</v>
      </c>
    </row>
    <row r="39" spans="2:17" x14ac:dyDescent="0.25">
      <c r="B39" s="456"/>
      <c r="C39" s="10" t="s">
        <v>45</v>
      </c>
      <c r="D39" s="10"/>
      <c r="E39" s="10"/>
      <c r="F39" s="11">
        <v>315</v>
      </c>
      <c r="G39" s="11"/>
      <c r="H39" s="309" t="s">
        <v>46</v>
      </c>
      <c r="J39" s="28" t="s">
        <v>131</v>
      </c>
    </row>
    <row r="40" spans="2:17" ht="15.75" thickBot="1" x14ac:dyDescent="0.3">
      <c r="B40" s="457"/>
      <c r="C40" s="85" t="s">
        <v>102</v>
      </c>
      <c r="D40" s="85"/>
      <c r="E40" s="85"/>
      <c r="F40" s="951">
        <f>D1_Furnace!C44*100/(D1_Furnace!C43+D1_Furnace!C44)</f>
        <v>16.566364367992509</v>
      </c>
      <c r="G40" s="266"/>
      <c r="H40" s="449" t="s">
        <v>37</v>
      </c>
      <c r="I40" s="10"/>
      <c r="J40" s="28"/>
    </row>
    <row r="41" spans="2:17" x14ac:dyDescent="0.25">
      <c r="B41" s="72"/>
      <c r="C41" s="10"/>
    </row>
    <row r="42" spans="2:17" x14ac:dyDescent="0.25">
      <c r="J42" s="10"/>
    </row>
    <row r="43" spans="2:17" x14ac:dyDescent="0.25">
      <c r="J43" s="10"/>
    </row>
  </sheetData>
  <mergeCells count="1">
    <mergeCell ref="B3:B10"/>
  </mergeCells>
  <hyperlinks>
    <hyperlink ref="J17" r:id="rId1"/>
    <hyperlink ref="AC30" r:id="rId2"/>
  </hyperlinks>
  <pageMargins left="0.7" right="0.7" top="0.75" bottom="0.75" header="0.3" footer="0.3"/>
  <pageSetup orientation="portrait" r:id="rId3"/>
  <customProperties>
    <customPr name="EpmWorksheetKeyString_GUID" r:id="rId4"/>
  </customPropertie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0">
    <tabColor rgb="FFB8CCE4"/>
  </sheetPr>
  <dimension ref="A2:AE94"/>
  <sheetViews>
    <sheetView showGridLines="0" zoomScale="78" zoomScaleNormal="78" workbookViewId="0">
      <selection activeCell="E9" sqref="E9"/>
    </sheetView>
  </sheetViews>
  <sheetFormatPr defaultRowHeight="15" x14ac:dyDescent="0.25"/>
  <cols>
    <col min="1" max="1" width="19" customWidth="1"/>
    <col min="2" max="2" width="15.5703125" customWidth="1"/>
    <col min="3" max="3" width="14" customWidth="1"/>
    <col min="4" max="4" width="14.85546875" customWidth="1"/>
    <col min="5" max="5" width="14.5703125" customWidth="1"/>
    <col min="6" max="6" width="14.140625" customWidth="1"/>
    <col min="7" max="7" width="12.28515625" customWidth="1"/>
    <col min="8" max="8" width="13.28515625" customWidth="1"/>
    <col min="9" max="9" width="15.7109375" customWidth="1"/>
    <col min="10" max="10" width="14.5703125" customWidth="1"/>
    <col min="11" max="12" width="13.28515625" customWidth="1"/>
    <col min="13" max="13" width="13" customWidth="1"/>
    <col min="14" max="14" width="14.85546875" customWidth="1"/>
    <col min="15" max="15" width="12.85546875" customWidth="1"/>
    <col min="16" max="16" width="11" customWidth="1"/>
    <col min="17" max="17" width="16.42578125" customWidth="1"/>
    <col min="18" max="18" width="15.140625" customWidth="1"/>
    <col min="19" max="19" width="14.5703125" customWidth="1"/>
    <col min="20" max="21" width="13.85546875" customWidth="1"/>
    <col min="22" max="22" width="13.42578125" customWidth="1"/>
    <col min="23" max="23" width="16.7109375" customWidth="1"/>
    <col min="24" max="24" width="11.42578125" customWidth="1"/>
    <col min="25" max="25" width="11.85546875" customWidth="1"/>
    <col min="26" max="26" width="13.5703125" customWidth="1"/>
    <col min="27" max="27" width="13" customWidth="1"/>
    <col min="28" max="28" width="11.5703125" customWidth="1"/>
    <col min="29" max="29" width="17.85546875" customWidth="1"/>
    <col min="30" max="30" width="10.140625" customWidth="1"/>
    <col min="31" max="31" width="10.28515625" customWidth="1"/>
    <col min="32" max="32" width="13.7109375" customWidth="1"/>
    <col min="33" max="33" width="13.28515625" customWidth="1"/>
    <col min="34" max="34" width="11.7109375" customWidth="1"/>
    <col min="35" max="35" width="16.85546875" customWidth="1"/>
    <col min="36" max="36" width="10.85546875" customWidth="1"/>
    <col min="37" max="37" width="10" customWidth="1"/>
    <col min="38" max="38" width="13.5703125" customWidth="1"/>
    <col min="39" max="39" width="15.28515625" customWidth="1"/>
    <col min="40" max="40" width="12" customWidth="1"/>
    <col min="41" max="41" width="16.85546875" customWidth="1"/>
    <col min="42" max="42" width="10.7109375" customWidth="1"/>
    <col min="44" max="44" width="13.42578125" customWidth="1"/>
    <col min="45" max="45" width="13.5703125" customWidth="1"/>
    <col min="46" max="46" width="11.85546875" customWidth="1"/>
    <col min="47" max="47" width="17.28515625" customWidth="1"/>
    <col min="48" max="48" width="9.85546875" bestFit="1" customWidth="1"/>
    <col min="50" max="50" width="13.42578125" customWidth="1"/>
    <col min="51" max="51" width="11.7109375" customWidth="1"/>
    <col min="52" max="52" width="12.140625" customWidth="1"/>
    <col min="53" max="53" width="12.7109375" customWidth="1"/>
    <col min="58" max="58" width="12.42578125" customWidth="1"/>
  </cols>
  <sheetData>
    <row r="2" spans="2:27" ht="18.75" x14ac:dyDescent="0.3">
      <c r="B2" s="892" t="s">
        <v>723</v>
      </c>
      <c r="C2" s="837"/>
      <c r="D2" s="837"/>
      <c r="E2" s="837"/>
      <c r="F2" s="892"/>
      <c r="G2" s="892"/>
      <c r="I2" s="38" t="s">
        <v>158</v>
      </c>
      <c r="J2" s="56" t="s">
        <v>55</v>
      </c>
      <c r="K2" s="41"/>
      <c r="L2" s="38" t="s">
        <v>158</v>
      </c>
      <c r="M2" s="121" t="s">
        <v>55</v>
      </c>
      <c r="N2" s="122"/>
    </row>
    <row r="3" spans="2:27" x14ac:dyDescent="0.25">
      <c r="E3" s="88"/>
      <c r="I3" s="28" t="s">
        <v>155</v>
      </c>
      <c r="J3" s="61">
        <v>15.999000000000001</v>
      </c>
      <c r="K3" s="40" t="s">
        <v>168</v>
      </c>
      <c r="L3" s="28" t="s">
        <v>59</v>
      </c>
      <c r="M3" s="144">
        <f>(J7+2*J3)/1000</f>
        <v>6.0083499999999998E-2</v>
      </c>
      <c r="N3" s="40" t="s">
        <v>61</v>
      </c>
      <c r="P3" s="35"/>
      <c r="Q3" s="18"/>
      <c r="R3" s="18"/>
      <c r="S3" s="18"/>
      <c r="T3" s="35"/>
      <c r="U3" s="18"/>
      <c r="V3" s="18"/>
      <c r="W3" s="18"/>
      <c r="X3" s="35"/>
      <c r="Y3" s="18"/>
      <c r="Z3" s="18"/>
      <c r="AA3" s="18"/>
    </row>
    <row r="4" spans="2:27" x14ac:dyDescent="0.25">
      <c r="C4" s="207"/>
      <c r="E4" s="88"/>
      <c r="I4" s="28" t="s">
        <v>151</v>
      </c>
      <c r="J4" s="61">
        <v>12.0107</v>
      </c>
      <c r="K4" s="40" t="s">
        <v>168</v>
      </c>
      <c r="L4" s="28" t="s">
        <v>118</v>
      </c>
      <c r="M4" s="144">
        <f>(J5+J9+2*J4+6*J3)/1000</f>
        <v>0.18439840000000002</v>
      </c>
      <c r="N4" s="40" t="s">
        <v>61</v>
      </c>
      <c r="P4" s="18"/>
      <c r="Q4" s="18"/>
      <c r="R4" s="18"/>
      <c r="S4" s="18"/>
      <c r="T4" s="18"/>
      <c r="U4" s="18"/>
      <c r="V4" s="18"/>
      <c r="W4" s="18"/>
      <c r="X4" s="18"/>
      <c r="Y4" s="18"/>
      <c r="Z4" s="18"/>
      <c r="AA4" s="18"/>
    </row>
    <row r="5" spans="2:27" x14ac:dyDescent="0.25">
      <c r="I5" s="28" t="s">
        <v>152</v>
      </c>
      <c r="J5" s="61">
        <v>40.078000000000003</v>
      </c>
      <c r="K5" s="40" t="s">
        <v>168</v>
      </c>
      <c r="L5" s="28" t="s">
        <v>64</v>
      </c>
      <c r="M5" s="144">
        <f>(J5+J4+3*J3)/1000</f>
        <v>0.1000857</v>
      </c>
      <c r="N5" s="40" t="s">
        <v>61</v>
      </c>
      <c r="P5" s="18"/>
      <c r="Q5" s="18"/>
      <c r="R5" s="18"/>
      <c r="S5" s="18"/>
      <c r="T5" s="18"/>
      <c r="U5" s="18"/>
      <c r="V5" s="18"/>
      <c r="W5" s="18"/>
      <c r="X5" s="18"/>
      <c r="Y5" s="18"/>
      <c r="Z5" s="18"/>
      <c r="AA5" s="18"/>
    </row>
    <row r="6" spans="2:27" ht="15.75" thickBot="1" x14ac:dyDescent="0.3">
      <c r="I6" s="28" t="s">
        <v>156</v>
      </c>
      <c r="J6" s="61">
        <v>22.989768999999999</v>
      </c>
      <c r="K6" s="40" t="s">
        <v>168</v>
      </c>
      <c r="L6" s="28" t="s">
        <v>65</v>
      </c>
      <c r="M6" s="144">
        <f>(J6*2+J4+J3*3)/1000</f>
        <v>0.105987238</v>
      </c>
      <c r="N6" s="40" t="s">
        <v>61</v>
      </c>
      <c r="P6" s="18"/>
      <c r="Q6" s="18"/>
      <c r="R6" s="18"/>
      <c r="S6" s="18"/>
      <c r="T6" s="18"/>
      <c r="U6" s="18"/>
      <c r="V6" s="18"/>
      <c r="W6" s="18"/>
      <c r="X6" s="18"/>
      <c r="Y6" s="18"/>
      <c r="Z6" s="18"/>
      <c r="AA6" s="18"/>
    </row>
    <row r="7" spans="2:27" x14ac:dyDescent="0.25">
      <c r="B7" s="170" t="s">
        <v>218</v>
      </c>
      <c r="C7" s="12"/>
      <c r="D7" s="12"/>
      <c r="E7" s="1098">
        <f>Global!I10</f>
        <v>1</v>
      </c>
      <c r="F7" s="12" t="s">
        <v>564</v>
      </c>
      <c r="G7" s="161"/>
      <c r="I7" s="28" t="s">
        <v>153</v>
      </c>
      <c r="J7" s="61">
        <v>28.0855</v>
      </c>
      <c r="K7" s="40" t="s">
        <v>168</v>
      </c>
      <c r="L7" s="28" t="s">
        <v>122</v>
      </c>
      <c r="M7" s="144">
        <f>(J6*2+J3)/1000</f>
        <v>6.1978538E-2</v>
      </c>
      <c r="N7" s="40" t="s">
        <v>61</v>
      </c>
      <c r="P7" s="18"/>
      <c r="Q7" s="18"/>
      <c r="R7" s="18"/>
      <c r="S7" s="18"/>
      <c r="T7" s="18"/>
      <c r="U7" s="18"/>
      <c r="V7" s="18"/>
      <c r="W7" s="18"/>
      <c r="X7" s="18"/>
      <c r="Y7" s="18"/>
      <c r="Z7" s="18"/>
      <c r="AA7" s="18"/>
    </row>
    <row r="8" spans="2:27" x14ac:dyDescent="0.25">
      <c r="B8" s="630" t="s">
        <v>592</v>
      </c>
      <c r="C8" s="80"/>
      <c r="D8" s="10"/>
      <c r="E8" s="1318">
        <f>1</f>
        <v>1</v>
      </c>
      <c r="F8" s="10" t="s">
        <v>593</v>
      </c>
      <c r="G8" s="87"/>
      <c r="I8" s="28" t="s">
        <v>157</v>
      </c>
      <c r="J8" s="61">
        <v>26.981539000000001</v>
      </c>
      <c r="K8" s="40" t="s">
        <v>168</v>
      </c>
      <c r="L8" s="160" t="s">
        <v>93</v>
      </c>
      <c r="M8" s="144">
        <f>(2*J8+3*J3)/1000</f>
        <v>0.10196007800000001</v>
      </c>
      <c r="N8" s="40" t="s">
        <v>61</v>
      </c>
      <c r="P8" s="18"/>
      <c r="Q8" s="18"/>
      <c r="R8" s="18"/>
      <c r="S8" s="18"/>
      <c r="T8" s="18"/>
      <c r="U8" s="197"/>
      <c r="V8" s="18"/>
      <c r="W8" s="18"/>
      <c r="X8" s="18"/>
      <c r="Y8" s="18"/>
      <c r="Z8" s="18"/>
      <c r="AA8" s="18"/>
    </row>
    <row r="9" spans="2:27" x14ac:dyDescent="0.25">
      <c r="B9" s="622" t="s">
        <v>598</v>
      </c>
      <c r="C9" s="80"/>
      <c r="D9" s="10"/>
      <c r="E9" s="1099">
        <f>Extra_pull</f>
        <v>0</v>
      </c>
      <c r="F9" s="10" t="s">
        <v>593</v>
      </c>
      <c r="G9" s="87"/>
      <c r="I9" s="28" t="s">
        <v>154</v>
      </c>
      <c r="J9" s="61">
        <v>24.305</v>
      </c>
      <c r="K9" s="40" t="s">
        <v>168</v>
      </c>
      <c r="L9" s="28" t="s">
        <v>119</v>
      </c>
      <c r="M9" s="144">
        <f>(J9+J3)/1000</f>
        <v>4.0304E-2</v>
      </c>
      <c r="N9" s="40" t="s">
        <v>61</v>
      </c>
      <c r="Q9" s="18"/>
      <c r="R9" s="18"/>
      <c r="S9" s="18"/>
      <c r="T9" s="18"/>
      <c r="U9" s="18"/>
      <c r="V9" s="18"/>
      <c r="W9" s="18"/>
      <c r="X9" s="18"/>
      <c r="Y9" s="18"/>
      <c r="Z9" s="18"/>
      <c r="AA9" s="18"/>
    </row>
    <row r="10" spans="2:27" ht="15.75" thickBot="1" x14ac:dyDescent="0.3">
      <c r="B10" s="1052" t="s">
        <v>362</v>
      </c>
      <c r="C10" s="84"/>
      <c r="D10" s="85"/>
      <c r="E10" s="1100">
        <f>76*Global!D9</f>
        <v>76</v>
      </c>
      <c r="F10" s="85" t="s">
        <v>37</v>
      </c>
      <c r="G10" s="54"/>
      <c r="I10" s="28" t="s">
        <v>169</v>
      </c>
      <c r="J10" s="61">
        <v>9.0121819999999992</v>
      </c>
      <c r="K10" s="40" t="s">
        <v>168</v>
      </c>
      <c r="L10" s="28" t="s">
        <v>98</v>
      </c>
      <c r="M10" s="144">
        <f>(J4+2*J3)/1000</f>
        <v>4.4008700000000005E-2</v>
      </c>
      <c r="N10" s="40" t="s">
        <v>61</v>
      </c>
      <c r="Q10" s="18"/>
      <c r="R10" s="18"/>
      <c r="S10" s="18"/>
      <c r="T10" s="18"/>
      <c r="U10" s="18"/>
      <c r="V10" s="18"/>
      <c r="W10" s="18"/>
      <c r="X10" s="18"/>
      <c r="Y10" s="18"/>
      <c r="Z10" s="18"/>
      <c r="AA10" s="18"/>
    </row>
    <row r="11" spans="2:27" x14ac:dyDescent="0.25">
      <c r="H11" s="7"/>
      <c r="I11" s="28" t="s">
        <v>185</v>
      </c>
      <c r="J11" s="10">
        <v>32.064999999999998</v>
      </c>
      <c r="K11" s="40" t="s">
        <v>168</v>
      </c>
      <c r="L11" s="28" t="s">
        <v>97</v>
      </c>
      <c r="M11" s="144">
        <f>(J5+J3)/1000</f>
        <v>5.6077000000000002E-2</v>
      </c>
      <c r="N11" s="40" t="s">
        <v>61</v>
      </c>
      <c r="P11" s="140"/>
      <c r="Q11" s="18"/>
      <c r="R11" s="18"/>
      <c r="S11" s="18"/>
      <c r="T11" s="18"/>
      <c r="U11" s="18"/>
      <c r="V11" s="18"/>
      <c r="W11" s="18"/>
      <c r="X11" s="18"/>
      <c r="Y11" s="18"/>
      <c r="Z11" s="18"/>
      <c r="AA11" s="18"/>
    </row>
    <row r="12" spans="2:27" x14ac:dyDescent="0.25">
      <c r="B12" s="46"/>
      <c r="H12" s="102"/>
      <c r="I12" s="27" t="s">
        <v>305</v>
      </c>
      <c r="J12" s="81">
        <v>1.0079400000000001</v>
      </c>
      <c r="K12" s="64" t="s">
        <v>168</v>
      </c>
      <c r="L12" s="27" t="s">
        <v>184</v>
      </c>
      <c r="M12" s="306">
        <f>(2*J6+J11+4*J3)/1000</f>
        <v>0.14204053799999999</v>
      </c>
      <c r="N12" s="64" t="s">
        <v>61</v>
      </c>
    </row>
    <row r="13" spans="2:27" x14ac:dyDescent="0.25">
      <c r="B13" s="46"/>
      <c r="H13" s="102"/>
      <c r="I13" s="27" t="s">
        <v>326</v>
      </c>
      <c r="J13" s="81">
        <v>14.0067</v>
      </c>
      <c r="K13" s="64" t="s">
        <v>168</v>
      </c>
      <c r="L13" s="27" t="s">
        <v>138</v>
      </c>
      <c r="M13" s="306">
        <f>(2*Mass_Balance!J3)/1000</f>
        <v>3.1997999999999999E-2</v>
      </c>
      <c r="N13" s="64" t="s">
        <v>61</v>
      </c>
    </row>
    <row r="14" spans="2:27" x14ac:dyDescent="0.25">
      <c r="I14" s="93" t="s">
        <v>321</v>
      </c>
      <c r="J14" s="138">
        <f>39.948</f>
        <v>39.948</v>
      </c>
      <c r="K14" s="132" t="s">
        <v>168</v>
      </c>
      <c r="L14" s="93" t="s">
        <v>320</v>
      </c>
      <c r="M14" s="308">
        <f xml:space="preserve"> (2*Mass_Balance!J13)/1000</f>
        <v>2.8013400000000001E-2</v>
      </c>
      <c r="N14" s="132" t="s">
        <v>61</v>
      </c>
    </row>
    <row r="15" spans="2:27" x14ac:dyDescent="0.25">
      <c r="B15" s="307"/>
      <c r="C15" s="80"/>
      <c r="D15" s="10"/>
      <c r="E15" s="73"/>
      <c r="F15" s="10"/>
      <c r="G15" s="10"/>
    </row>
    <row r="16" spans="2:27" x14ac:dyDescent="0.25">
      <c r="H16" s="102"/>
    </row>
    <row r="17" spans="1:26" ht="15.75" x14ac:dyDescent="0.25">
      <c r="B17" s="162" t="s">
        <v>227</v>
      </c>
      <c r="C17" s="1424" t="s">
        <v>123</v>
      </c>
      <c r="D17" s="1425"/>
      <c r="E17" s="1425"/>
      <c r="F17" s="1426"/>
      <c r="G17" s="1424" t="s">
        <v>124</v>
      </c>
      <c r="H17" s="1425"/>
      <c r="I17" s="1425"/>
      <c r="J17" s="1426"/>
      <c r="K17" s="1424" t="s">
        <v>721</v>
      </c>
      <c r="L17" s="1425"/>
      <c r="M17" s="1425"/>
      <c r="N17" s="1426"/>
    </row>
    <row r="18" spans="1:26" ht="30.75" customHeight="1" x14ac:dyDescent="0.25">
      <c r="B18" s="181" t="s">
        <v>229</v>
      </c>
      <c r="C18" s="128" t="s">
        <v>186</v>
      </c>
      <c r="D18" s="62" t="s">
        <v>194</v>
      </c>
      <c r="E18" s="62" t="s">
        <v>60</v>
      </c>
      <c r="F18" s="146" t="s">
        <v>259</v>
      </c>
      <c r="G18" s="128" t="s">
        <v>186</v>
      </c>
      <c r="H18" s="62" t="s">
        <v>194</v>
      </c>
      <c r="I18" s="62" t="s">
        <v>60</v>
      </c>
      <c r="J18" s="146" t="s">
        <v>259</v>
      </c>
      <c r="K18" s="128" t="s">
        <v>186</v>
      </c>
      <c r="L18" s="62" t="s">
        <v>194</v>
      </c>
      <c r="M18" s="62" t="s">
        <v>60</v>
      </c>
      <c r="N18" s="146" t="s">
        <v>259</v>
      </c>
    </row>
    <row r="19" spans="1:26" x14ac:dyDescent="0.25">
      <c r="A19" s="105"/>
      <c r="B19" s="182" t="s">
        <v>59</v>
      </c>
      <c r="C19" s="147">
        <v>72.296000000000006</v>
      </c>
      <c r="D19" s="96">
        <f>C19*$C$24</f>
        <v>73.066116871829081</v>
      </c>
      <c r="E19" s="96">
        <f>Mass_Balance!$E$8*1000*D19/100</f>
        <v>730.66116871829081</v>
      </c>
      <c r="F19" s="156">
        <f>D19/M3</f>
        <v>1216.0762417607011</v>
      </c>
      <c r="G19" s="10">
        <v>72.433000000000007</v>
      </c>
      <c r="H19" s="96">
        <f>G19*$G$24</f>
        <v>73.389262084967115</v>
      </c>
      <c r="I19" s="96">
        <f>Mass_Balance!$E$8*1000*$H19/100</f>
        <v>733.89262084967106</v>
      </c>
      <c r="J19" s="156">
        <f>H19/$M3</f>
        <v>1221.4545105555953</v>
      </c>
      <c r="K19" s="28">
        <v>72.206000000000003</v>
      </c>
      <c r="L19" s="96">
        <f>K19*$K$24</f>
        <v>73.313026703218597</v>
      </c>
      <c r="M19" s="96">
        <f>Mass_Balance!$E$8*1000*$L19/100</f>
        <v>733.130267032186</v>
      </c>
      <c r="N19" s="156">
        <f>L19/$M3</f>
        <v>1220.1856866397363</v>
      </c>
    </row>
    <row r="20" spans="1:26" x14ac:dyDescent="0.25">
      <c r="A20" s="105"/>
      <c r="B20" s="183" t="s">
        <v>122</v>
      </c>
      <c r="C20" s="147">
        <v>12.581</v>
      </c>
      <c r="D20" s="96">
        <f>C20*$C$24</f>
        <v>12.715016271501627</v>
      </c>
      <c r="E20" s="96">
        <f>Mass_Balance!$E$8*1000*D20/100</f>
        <v>127.15016271501626</v>
      </c>
      <c r="F20" s="156">
        <f>D20/M7</f>
        <v>205.15192325933256</v>
      </c>
      <c r="G20" s="10">
        <v>12.196999999999999</v>
      </c>
      <c r="H20" s="96">
        <f>G20*$G$24</f>
        <v>12.35802506661803</v>
      </c>
      <c r="I20" s="96">
        <f>Mass_Balance!$E$8*1000*$H20/100</f>
        <v>123.58025066618029</v>
      </c>
      <c r="J20" s="156">
        <f>H20/$M7</f>
        <v>199.39200673978516</v>
      </c>
      <c r="K20" s="28">
        <v>12.544</v>
      </c>
      <c r="L20" s="96">
        <f>K20*$K$24</f>
        <v>12.7363184079602</v>
      </c>
      <c r="M20" s="96">
        <f>Mass_Balance!$E$8*1000*$L20/100</f>
        <v>127.36318407960199</v>
      </c>
      <c r="N20" s="156">
        <f>L20/$M7</f>
        <v>205.4956250817049</v>
      </c>
      <c r="W20" s="18"/>
      <c r="X20" s="53"/>
      <c r="Y20" s="18"/>
      <c r="Z20" s="18"/>
    </row>
    <row r="21" spans="1:26" x14ac:dyDescent="0.25">
      <c r="A21" s="105"/>
      <c r="B21" s="183" t="s">
        <v>97</v>
      </c>
      <c r="C21" s="147">
        <v>9.7530000000000001</v>
      </c>
      <c r="D21" s="96">
        <f>C21*$C$24</f>
        <v>9.8568916378630771</v>
      </c>
      <c r="E21" s="96">
        <f>Mass_Balance!$E$8*1000*D21/100</f>
        <v>98.56891637863076</v>
      </c>
      <c r="F21" s="156">
        <f>D21/M11</f>
        <v>175.77423253496224</v>
      </c>
      <c r="G21" s="10">
        <v>9.7789999999999999</v>
      </c>
      <c r="H21" s="96">
        <f>G21*$G$24</f>
        <v>9.9081025765727411</v>
      </c>
      <c r="I21" s="96">
        <f>Mass_Balance!$E$8*1000*$H21/100</f>
        <v>99.081025765727404</v>
      </c>
      <c r="J21" s="156">
        <f>H21/$M11</f>
        <v>176.68745789847426</v>
      </c>
      <c r="K21" s="28">
        <v>9.8520000000000003</v>
      </c>
      <c r="L21" s="96">
        <f>K21*$K$24</f>
        <v>10.00304599451721</v>
      </c>
      <c r="M21" s="96">
        <f>Mass_Balance!$E$8*1000*$L21/100</f>
        <v>100.0304599451721</v>
      </c>
      <c r="N21" s="156">
        <f>L21/$M11</f>
        <v>178.38054807705851</v>
      </c>
      <c r="T21" s="164"/>
      <c r="W21" s="18"/>
      <c r="X21" s="53"/>
      <c r="Y21" s="18"/>
      <c r="Z21" s="18"/>
    </row>
    <row r="22" spans="1:26" x14ac:dyDescent="0.25">
      <c r="A22" s="105"/>
      <c r="B22" s="183" t="s">
        <v>119</v>
      </c>
      <c r="C22" s="147">
        <v>2.806</v>
      </c>
      <c r="D22" s="96">
        <f>C22*$C$24</f>
        <v>2.8358902835890283</v>
      </c>
      <c r="E22" s="96">
        <f>Mass_Balance!$E$8*1000*D22/100</f>
        <v>28.35890283589028</v>
      </c>
      <c r="F22" s="156">
        <f>D22/M9</f>
        <v>70.362502073963583</v>
      </c>
      <c r="G22" s="18">
        <v>2.7330000000000001</v>
      </c>
      <c r="H22" s="96">
        <f>G22*$G$24</f>
        <v>2.7690811270859292</v>
      </c>
      <c r="I22" s="96">
        <f>Mass_Balance!$E$8*1000*$H22/100</f>
        <v>27.690811270859296</v>
      </c>
      <c r="J22" s="156">
        <f>H22/$M9</f>
        <v>68.7048711563599</v>
      </c>
      <c r="K22" s="28">
        <v>1.996</v>
      </c>
      <c r="L22" s="96">
        <f>K22*$K$24</f>
        <v>2.0266016854502995</v>
      </c>
      <c r="M22" s="96">
        <f>Mass_Balance!$E$8*1000*$L22/100</f>
        <v>20.266016854502997</v>
      </c>
      <c r="N22" s="156">
        <f>L22/$M9</f>
        <v>50.282892155872851</v>
      </c>
      <c r="T22" s="164"/>
      <c r="W22" s="18"/>
      <c r="X22" s="53"/>
      <c r="Y22" s="18"/>
      <c r="Z22" s="18"/>
    </row>
    <row r="23" spans="1:26" x14ac:dyDescent="0.25">
      <c r="A23" s="105"/>
      <c r="B23" s="184" t="s">
        <v>93</v>
      </c>
      <c r="C23" s="148">
        <v>1.51</v>
      </c>
      <c r="D23" s="98">
        <f>C23*$C$24</f>
        <v>1.526084935217189</v>
      </c>
      <c r="E23" s="98">
        <f>Mass_Balance!$E$8*1000*D23/100</f>
        <v>15.26084935217189</v>
      </c>
      <c r="F23" s="157">
        <f>D23/M8</f>
        <v>14.967475164320577</v>
      </c>
      <c r="G23" s="34">
        <v>1.5549999999999999</v>
      </c>
      <c r="H23" s="98">
        <f>G23*$G$24</f>
        <v>1.5755291447561726</v>
      </c>
      <c r="I23" s="98">
        <f>Mass_Balance!$E$8*1000*$H23/100</f>
        <v>15.755291447561726</v>
      </c>
      <c r="J23" s="157">
        <f>H23/$M8</f>
        <v>15.452412117183476</v>
      </c>
      <c r="K23" s="57">
        <v>1.8919999999999999</v>
      </c>
      <c r="L23" s="98">
        <f>K23*$K$24</f>
        <v>1.9210072088536907</v>
      </c>
      <c r="M23" s="98">
        <f>Mass_Balance!$E$8*1000*$L23/100</f>
        <v>19.210072088536904</v>
      </c>
      <c r="N23" s="157">
        <f>L23/$M8</f>
        <v>18.840778141163156</v>
      </c>
      <c r="T23" s="10"/>
      <c r="U23" s="10"/>
      <c r="W23" s="18"/>
      <c r="X23" s="53"/>
      <c r="Y23" s="18"/>
      <c r="Z23" s="18"/>
    </row>
    <row r="24" spans="1:26" x14ac:dyDescent="0.25">
      <c r="A24" s="105"/>
      <c r="B24" s="185" t="s">
        <v>193</v>
      </c>
      <c r="C24" s="98">
        <f>100/SUM(C19:C23)</f>
        <v>1.0106522749782709</v>
      </c>
      <c r="D24" s="98">
        <f>SUM(D19:D23)</f>
        <v>99.999999999999986</v>
      </c>
      <c r="E24" s="98">
        <f>SUM(E19:E23)</f>
        <v>1000</v>
      </c>
      <c r="F24" s="476">
        <f>SUM(F19:F23)</f>
        <v>1682.33237479328</v>
      </c>
      <c r="G24" s="152">
        <f>100/SUM(G19:G23)</f>
        <v>1.0132020223512364</v>
      </c>
      <c r="H24" s="151">
        <f>SUM(H19:H23)</f>
        <v>99.999999999999986</v>
      </c>
      <c r="I24" s="153">
        <f>SUM(I19:I23)</f>
        <v>999.99999999999977</v>
      </c>
      <c r="J24" s="159">
        <f>SUM(J19:J23)</f>
        <v>1681.6912584673983</v>
      </c>
      <c r="K24" s="152">
        <f>100/SUM(K19:K23)</f>
        <v>1.015331505736623</v>
      </c>
      <c r="L24" s="151">
        <f>SUM(L19:L23)</f>
        <v>100</v>
      </c>
      <c r="M24" s="151">
        <f>SUM(M19:M23)</f>
        <v>1000</v>
      </c>
      <c r="N24" s="159">
        <f>SUM(N19:N23)</f>
        <v>1673.1855300955358</v>
      </c>
      <c r="T24" s="10"/>
      <c r="U24" s="10"/>
      <c r="W24" s="18"/>
      <c r="X24" s="53"/>
      <c r="Y24" s="18"/>
      <c r="Z24" s="18"/>
    </row>
    <row r="25" spans="1:26" x14ac:dyDescent="0.25">
      <c r="A25" s="105"/>
      <c r="D25" s="18"/>
      <c r="E25" s="46"/>
      <c r="W25" s="18"/>
      <c r="X25" s="18"/>
      <c r="Y25" s="18"/>
      <c r="Z25" s="18"/>
    </row>
    <row r="26" spans="1:26" x14ac:dyDescent="0.25">
      <c r="B26" s="78"/>
      <c r="Q26" t="s">
        <v>123</v>
      </c>
      <c r="R26" t="s">
        <v>124</v>
      </c>
      <c r="S26" t="s">
        <v>866</v>
      </c>
    </row>
    <row r="27" spans="1:26" ht="15.75" x14ac:dyDescent="0.25">
      <c r="B27" s="162" t="s">
        <v>228</v>
      </c>
      <c r="C27" s="1428" t="s">
        <v>123</v>
      </c>
      <c r="D27" s="1428"/>
      <c r="E27" s="1428"/>
      <c r="F27" s="1429"/>
      <c r="G27" s="1428" t="s">
        <v>124</v>
      </c>
      <c r="H27" s="1428"/>
      <c r="I27" s="1428"/>
      <c r="J27" s="1429"/>
      <c r="K27" s="1430" t="s">
        <v>721</v>
      </c>
      <c r="L27" s="1428"/>
      <c r="M27" s="1428"/>
      <c r="N27" s="1429"/>
      <c r="Q27" s="1072" t="s">
        <v>186</v>
      </c>
      <c r="R27" s="1072" t="s">
        <v>186</v>
      </c>
      <c r="S27" s="1072" t="s">
        <v>186</v>
      </c>
    </row>
    <row r="28" spans="1:26" ht="31.5" x14ac:dyDescent="0.25">
      <c r="B28" s="181" t="s">
        <v>230</v>
      </c>
      <c r="C28" s="128" t="s">
        <v>186</v>
      </c>
      <c r="D28" s="62" t="s">
        <v>194</v>
      </c>
      <c r="E28" s="62" t="s">
        <v>60</v>
      </c>
      <c r="F28" s="146" t="s">
        <v>259</v>
      </c>
      <c r="G28" s="128" t="s">
        <v>186</v>
      </c>
      <c r="H28" s="62" t="s">
        <v>194</v>
      </c>
      <c r="I28" s="62" t="s">
        <v>60</v>
      </c>
      <c r="J28" s="146" t="s">
        <v>259</v>
      </c>
      <c r="K28" s="128" t="s">
        <v>186</v>
      </c>
      <c r="L28" s="133" t="s">
        <v>194</v>
      </c>
      <c r="M28" s="62" t="s">
        <v>60</v>
      </c>
      <c r="N28" s="146" t="s">
        <v>259</v>
      </c>
      <c r="P28" s="182" t="s">
        <v>59</v>
      </c>
      <c r="Q28" s="1091">
        <f>D29*(100-Cullet)/100</f>
        <v>14.946308005572821</v>
      </c>
      <c r="R28" s="1091">
        <f>H29*(100-Cullet)/100</f>
        <v>14.875913870806208</v>
      </c>
      <c r="S28" s="1091">
        <f>L29*(100-Cullet)/100</f>
        <v>15.109915131442767</v>
      </c>
    </row>
    <row r="29" spans="1:26" x14ac:dyDescent="0.25">
      <c r="B29" s="182" t="s">
        <v>59</v>
      </c>
      <c r="C29" s="147">
        <v>58.11</v>
      </c>
      <c r="D29" s="96">
        <f>C29*$C$34</f>
        <v>62.276283356553421</v>
      </c>
      <c r="E29" s="96">
        <f>Mass_Balance!$E$8*1000*$D29/$D$34</f>
        <v>622.76283356553438</v>
      </c>
      <c r="F29" s="96">
        <f>D29/M3</f>
        <v>1036.4955995664936</v>
      </c>
      <c r="G29" s="147">
        <v>61.89</v>
      </c>
      <c r="H29" s="96">
        <f>G29*$G$34</f>
        <v>61.982974461692528</v>
      </c>
      <c r="I29" s="96">
        <f>Mass_Balance!$E$8*1000*$H29/100</f>
        <v>619.82974461692527</v>
      </c>
      <c r="J29" s="96">
        <f>H29/M3</f>
        <v>1031.6139116678046</v>
      </c>
      <c r="K29" s="147">
        <v>60.83</v>
      </c>
      <c r="L29" s="96">
        <f>K29*$K$34</f>
        <v>62.957979714344866</v>
      </c>
      <c r="M29" s="96">
        <f>Mass_Balance!$E$8*1000*$L29/100</f>
        <v>629.57979714344867</v>
      </c>
      <c r="N29" s="156">
        <f>L29/M3</f>
        <v>1047.8414159352378</v>
      </c>
      <c r="P29" s="183" t="s">
        <v>65</v>
      </c>
      <c r="Q29" s="1073">
        <f>D30*(100-Cullet)/100</f>
        <v>4.4213910620512271</v>
      </c>
      <c r="R29" s="1073">
        <f>H30*(100-Cullet)/100</f>
        <v>4.0284426639959934</v>
      </c>
      <c r="S29" s="1073">
        <f>L30*(100-Cullet)/100</f>
        <v>4.5332229352101026</v>
      </c>
    </row>
    <row r="30" spans="1:26" x14ac:dyDescent="0.25">
      <c r="B30" s="183" t="s">
        <v>65</v>
      </c>
      <c r="C30" s="147">
        <v>17.190000000000001</v>
      </c>
      <c r="D30" s="96">
        <f>C30*$C$34</f>
        <v>18.422462758546779</v>
      </c>
      <c r="E30" s="96">
        <f>Mass_Balance!$E$8*1000*$D30/$D$34</f>
        <v>184.2246275854678</v>
      </c>
      <c r="F30" s="96">
        <f>D30/M6</f>
        <v>173.81774547749586</v>
      </c>
      <c r="G30" s="147">
        <v>16.760000000000002</v>
      </c>
      <c r="H30" s="96">
        <f>G30*$G$34</f>
        <v>16.785177766649973</v>
      </c>
      <c r="I30" s="96">
        <f>Mass_Balance!$E$8*1000*$H30/100</f>
        <v>167.85177766649974</v>
      </c>
      <c r="J30" s="96">
        <f>H30/M6</f>
        <v>158.36980077403257</v>
      </c>
      <c r="K30" s="147">
        <v>18.25</v>
      </c>
      <c r="L30" s="96">
        <f>K30*$K$34</f>
        <v>18.88842889670876</v>
      </c>
      <c r="M30" s="96">
        <f>Mass_Balance!$E$8*1000*$L30/100</f>
        <v>188.8842889670876</v>
      </c>
      <c r="N30" s="156">
        <f>L30/M6</f>
        <v>178.2141817556257</v>
      </c>
      <c r="P30" s="183" t="s">
        <v>64</v>
      </c>
      <c r="Q30" s="1073">
        <f>D31*(100-Cullet)/100</f>
        <v>1.8673239738506056</v>
      </c>
      <c r="R30" s="1073">
        <f>H31*(100-Cullet)/100</f>
        <v>2.3555332999499243</v>
      </c>
      <c r="S30" s="1073">
        <f>L31*(100-Cullet)/100</f>
        <v>2.7199337611260614</v>
      </c>
    </row>
    <row r="31" spans="1:26" x14ac:dyDescent="0.25">
      <c r="B31" s="183" t="s">
        <v>64</v>
      </c>
      <c r="C31" s="147">
        <v>7.26</v>
      </c>
      <c r="D31" s="96">
        <f>C31*$C$34</f>
        <v>7.7805165577108557</v>
      </c>
      <c r="E31" s="96">
        <f>Mass_Balance!$E$8*1000*$D31/$D$34</f>
        <v>77.805165577108568</v>
      </c>
      <c r="F31" s="96">
        <f>D31/M5</f>
        <v>77.738543645204615</v>
      </c>
      <c r="G31" s="147">
        <v>9.8000000000000007</v>
      </c>
      <c r="H31" s="96">
        <f>G31*$G$34</f>
        <v>9.8147220831246855</v>
      </c>
      <c r="I31" s="96">
        <f>Mass_Balance!$E$8*1000*$H31/100</f>
        <v>98.147220831246855</v>
      </c>
      <c r="J31" s="96">
        <f>H31/M5</f>
        <v>98.063180685399473</v>
      </c>
      <c r="K31" s="147">
        <v>10.95</v>
      </c>
      <c r="L31" s="96">
        <f>K31*$K$34</f>
        <v>11.333057338025256</v>
      </c>
      <c r="M31" s="96">
        <f>Mass_Balance!$E$8*1000*$L31/100</f>
        <v>113.33057338025256</v>
      </c>
      <c r="N31" s="156">
        <f>L31/M5</f>
        <v>113.23353224312021</v>
      </c>
      <c r="P31" s="183" t="s">
        <v>118</v>
      </c>
      <c r="Q31" s="1073">
        <f>D32*(100-Cullet)/100</f>
        <v>2.6157968063444432</v>
      </c>
      <c r="R31" s="1073">
        <f>H32*(100-Cullet)/100</f>
        <v>2.6655983975963937</v>
      </c>
      <c r="S31" s="1073">
        <f>L32*(100-Cullet)/100</f>
        <v>1.5152142413578971</v>
      </c>
    </row>
    <row r="32" spans="1:26" x14ac:dyDescent="0.25">
      <c r="B32" s="183" t="s">
        <v>118</v>
      </c>
      <c r="C32" s="147">
        <v>10.17</v>
      </c>
      <c r="D32" s="96">
        <f>C32*$C$34</f>
        <v>10.899153359768514</v>
      </c>
      <c r="E32" s="96">
        <f>Mass_Balance!$E$8*1000*$D32/$D$34</f>
        <v>108.99153359768515</v>
      </c>
      <c r="F32" s="96">
        <f>D32/M4</f>
        <v>59.106550597882155</v>
      </c>
      <c r="G32" s="147">
        <v>11.09</v>
      </c>
      <c r="H32" s="96">
        <f>G32*$G$34</f>
        <v>11.106659989984975</v>
      </c>
      <c r="I32" s="96">
        <f>Mass_Balance!$E$8*1000*$H32/100</f>
        <v>111.06659989984975</v>
      </c>
      <c r="J32" s="96">
        <f>H32/M4</f>
        <v>60.23186746731519</v>
      </c>
      <c r="K32" s="147">
        <v>6.1</v>
      </c>
      <c r="L32" s="96">
        <f>K32*$K$34</f>
        <v>6.3133926723245715</v>
      </c>
      <c r="M32" s="96">
        <f>Mass_Balance!$E$8*1000*$L32/100</f>
        <v>63.133926723245715</v>
      </c>
      <c r="N32" s="156">
        <f>L32/M4</f>
        <v>34.237784451082931</v>
      </c>
      <c r="P32" s="183" t="s">
        <v>184</v>
      </c>
      <c r="Q32" s="1073">
        <f>D33*(100-Cullet)/100</f>
        <v>0.14918015218090233</v>
      </c>
      <c r="R32" s="1073">
        <f>H33*(100-Cullet)/100</f>
        <v>7.4511767651477212E-2</v>
      </c>
      <c r="S32" s="1073">
        <f>L33*(100-Cullet)/100</f>
        <v>0.12171393086317535</v>
      </c>
    </row>
    <row r="33" spans="2:22" x14ac:dyDescent="0.25">
      <c r="B33" s="183" t="s">
        <v>184</v>
      </c>
      <c r="C33" s="148">
        <v>0.57999999999999996</v>
      </c>
      <c r="D33" s="98">
        <f>C33*$C$34</f>
        <v>0.62158396742042643</v>
      </c>
      <c r="E33" s="96">
        <f>Mass_Balance!$E$8*1000*$D33/$D$34</f>
        <v>6.2158396742042656</v>
      </c>
      <c r="F33" s="98">
        <f>D33/M12</f>
        <v>4.3761025984034676</v>
      </c>
      <c r="G33" s="148">
        <v>0.31</v>
      </c>
      <c r="H33" s="98">
        <f>G33*$G$34</f>
        <v>0.31046569854782169</v>
      </c>
      <c r="I33" s="98">
        <f>Mass_Balance!$E$8*1000*$H33/100</f>
        <v>3.1046569854782171</v>
      </c>
      <c r="J33" s="98">
        <f>H33/M12</f>
        <v>2.1857541721492333</v>
      </c>
      <c r="K33" s="148">
        <v>0.49</v>
      </c>
      <c r="L33" s="98">
        <f>K33*$K$34</f>
        <v>0.50714137859656394</v>
      </c>
      <c r="M33" s="98">
        <f>Mass_Balance!$E$8*1000*$L33/100</f>
        <v>5.071413785965639</v>
      </c>
      <c r="N33" s="157">
        <f>L33/M12</f>
        <v>3.570398885679833</v>
      </c>
      <c r="P33" s="185" t="s">
        <v>20</v>
      </c>
      <c r="Q33" s="1074">
        <f>Cullet</f>
        <v>76</v>
      </c>
      <c r="R33" s="1074">
        <f>Cullet</f>
        <v>76</v>
      </c>
      <c r="S33" s="1074">
        <f>Cullet</f>
        <v>76</v>
      </c>
    </row>
    <row r="34" spans="2:22" x14ac:dyDescent="0.25">
      <c r="B34" s="186" t="s">
        <v>193</v>
      </c>
      <c r="C34" s="151">
        <f>100/SUM(C29:C33)</f>
        <v>1.0716964955524595</v>
      </c>
      <c r="D34" s="153">
        <f>SUM(D29:D33)</f>
        <v>99.999999999999986</v>
      </c>
      <c r="E34" s="151">
        <f>Mass_Balance!$E$8*1000*$D34/100</f>
        <v>999.99999999999989</v>
      </c>
      <c r="F34" s="151">
        <f>SUM(F29:F33)</f>
        <v>1351.5345418854799</v>
      </c>
      <c r="G34" s="152">
        <f>100/SUM(G29:G33)</f>
        <v>1.0015022533800699</v>
      </c>
      <c r="H34" s="153">
        <f>SUM(H29:H33)</f>
        <v>99.999999999999972</v>
      </c>
      <c r="I34" s="151">
        <f>SUM(I29:I33)</f>
        <v>999.99999999999977</v>
      </c>
      <c r="J34" s="151">
        <f>SUM(J29:J33)</f>
        <v>1350.4645147667011</v>
      </c>
      <c r="K34" s="152">
        <f>100/SUM(K29:K33)</f>
        <v>1.0349824052991101</v>
      </c>
      <c r="L34" s="153">
        <f>SUM(L29:L33)</f>
        <v>100</v>
      </c>
      <c r="M34" s="151">
        <f>SUM(M29:M33)</f>
        <v>1000.0000000000002</v>
      </c>
      <c r="N34" s="159">
        <f>SUM(N29:N33)</f>
        <v>1377.0973132707466</v>
      </c>
      <c r="Q34" s="88">
        <f>SUM(Q28:Q33)</f>
        <v>100</v>
      </c>
      <c r="R34" s="88">
        <f>SUM(R28:R33)</f>
        <v>100</v>
      </c>
      <c r="S34" s="88">
        <f>SUM(S28:S33)</f>
        <v>100</v>
      </c>
    </row>
    <row r="36" spans="2:22" x14ac:dyDescent="0.25">
      <c r="E36" s="286"/>
      <c r="Q36" s="267">
        <f>Q28*1152/100</f>
        <v>172.18146822419891</v>
      </c>
      <c r="R36" s="267">
        <f>R28*1152/100</f>
        <v>171.37052779168752</v>
      </c>
      <c r="S36" s="267">
        <f t="shared" ref="S36" si="0">S28*1152/100</f>
        <v>174.06622231422068</v>
      </c>
    </row>
    <row r="37" spans="2:22" x14ac:dyDescent="0.25">
      <c r="P37" s="11"/>
      <c r="Q37" s="267">
        <f t="shared" ref="Q37:S40" si="1">Q29*1152/100</f>
        <v>50.934425034830134</v>
      </c>
      <c r="R37" s="267">
        <f t="shared" si="1"/>
        <v>46.407659489233851</v>
      </c>
      <c r="S37" s="267">
        <f t="shared" si="1"/>
        <v>52.222728213620385</v>
      </c>
      <c r="T37" s="18"/>
      <c r="U37" s="18"/>
      <c r="V37" s="10"/>
    </row>
    <row r="38" spans="2:22" x14ac:dyDescent="0.25">
      <c r="B38" s="165" t="s">
        <v>220</v>
      </c>
      <c r="C38" s="166"/>
      <c r="D38" s="166"/>
      <c r="E38" s="166"/>
      <c r="F38" s="166"/>
      <c r="G38" s="167"/>
      <c r="I38" s="165" t="s">
        <v>221</v>
      </c>
      <c r="J38" s="166"/>
      <c r="K38" s="166"/>
      <c r="L38" s="166"/>
      <c r="M38" s="166"/>
      <c r="N38" s="167"/>
      <c r="Q38" s="267">
        <f t="shared" si="1"/>
        <v>21.511572178758975</v>
      </c>
      <c r="R38" s="267">
        <f t="shared" si="1"/>
        <v>27.135743615423131</v>
      </c>
      <c r="S38" s="267">
        <f t="shared" si="1"/>
        <v>31.333636928172226</v>
      </c>
    </row>
    <row r="39" spans="2:22" x14ac:dyDescent="0.25">
      <c r="B39" s="29" t="s">
        <v>216</v>
      </c>
      <c r="C39" s="10">
        <f>Mass_Balance!E10/100</f>
        <v>0.76</v>
      </c>
      <c r="D39" s="10" t="s">
        <v>224</v>
      </c>
      <c r="E39" s="10"/>
      <c r="F39" s="28"/>
      <c r="G39" s="40"/>
      <c r="I39" s="29" t="s">
        <v>120</v>
      </c>
      <c r="J39" s="94">
        <f>Mass_Balance!E8/ (C39 + (1-C39) * (1 - (C40/C41)))</f>
        <v>1.0367435663745614</v>
      </c>
      <c r="K39" s="1423" t="s">
        <v>132</v>
      </c>
      <c r="L39" s="1427"/>
      <c r="M39" s="163" t="s">
        <v>231</v>
      </c>
      <c r="N39" s="155"/>
      <c r="P39" s="267"/>
      <c r="Q39" s="267">
        <f t="shared" si="1"/>
        <v>30.133979209087983</v>
      </c>
      <c r="R39" s="267">
        <f t="shared" si="1"/>
        <v>30.707693540310455</v>
      </c>
      <c r="S39" s="267">
        <f t="shared" si="1"/>
        <v>17.455268060442975</v>
      </c>
    </row>
    <row r="40" spans="2:22" ht="15" customHeight="1" x14ac:dyDescent="0.25">
      <c r="B40" s="29" t="s">
        <v>205</v>
      </c>
      <c r="C40" s="61">
        <f>IF(E7=1,  ( D19  / D29 ) -1, IF(E7=2,  ( H19 / H29 ) -1, IF(E7=3,  ( L19 / L29 ) -1))) * Mass_Balance!E8</f>
        <v>0.1732575056462522</v>
      </c>
      <c r="D40" s="10" t="s">
        <v>266</v>
      </c>
      <c r="E40" s="10"/>
      <c r="F40" s="67" t="s">
        <v>234</v>
      </c>
      <c r="G40" s="40"/>
      <c r="I40" s="28"/>
      <c r="M40" s="28"/>
      <c r="N40" s="40"/>
      <c r="Q40" s="267">
        <f t="shared" si="1"/>
        <v>1.718555353123995</v>
      </c>
      <c r="R40" s="267">
        <f t="shared" si="1"/>
        <v>0.85837556334501752</v>
      </c>
      <c r="S40" s="267">
        <f t="shared" si="1"/>
        <v>1.40214448354378</v>
      </c>
    </row>
    <row r="41" spans="2:22" x14ac:dyDescent="0.25">
      <c r="B41" s="29" t="s">
        <v>204</v>
      </c>
      <c r="C41" s="61">
        <f>1*Mass_Balance!E8+C40</f>
        <v>1.1732575056462522</v>
      </c>
      <c r="D41" s="10" t="s">
        <v>215</v>
      </c>
      <c r="E41" s="10"/>
      <c r="F41" s="82"/>
      <c r="G41" s="40"/>
      <c r="I41" s="29" t="s">
        <v>20</v>
      </c>
      <c r="J41" s="178">
        <f>(J39-E54)*C39</f>
        <v>0.76</v>
      </c>
      <c r="K41" s="1423" t="s">
        <v>316</v>
      </c>
      <c r="L41" s="1423"/>
      <c r="M41" s="28" t="s">
        <v>273</v>
      </c>
      <c r="N41" s="40"/>
      <c r="P41" s="267"/>
      <c r="Q41" s="267">
        <f>$J$41*1000</f>
        <v>760</v>
      </c>
      <c r="R41" s="267">
        <f t="shared" ref="R41:S41" si="2">$J$41*1000</f>
        <v>760</v>
      </c>
      <c r="S41" s="267">
        <f t="shared" si="2"/>
        <v>760</v>
      </c>
      <c r="V41" s="18"/>
    </row>
    <row r="42" spans="2:22" x14ac:dyDescent="0.25">
      <c r="B42" s="499"/>
      <c r="C42" s="497"/>
      <c r="D42" s="497"/>
      <c r="E42" s="498"/>
      <c r="F42" s="28"/>
      <c r="G42" s="40"/>
      <c r="I42" s="29" t="s">
        <v>134</v>
      </c>
      <c r="J42" s="61">
        <f>Mass_Balance!E8*'1.Batch_Preparation'!F17/100</f>
        <v>0.1</v>
      </c>
      <c r="K42" s="179" t="s">
        <v>316</v>
      </c>
      <c r="L42" s="179"/>
      <c r="M42" s="240" t="s">
        <v>274</v>
      </c>
      <c r="N42" s="40"/>
      <c r="P42" s="267"/>
      <c r="Q42" s="1093">
        <f>SUM(Q36:Q41)</f>
        <v>1036.48</v>
      </c>
      <c r="R42" s="1093">
        <f t="shared" ref="R42:S42" si="3">SUM(R36:R41)</f>
        <v>1036.48</v>
      </c>
      <c r="S42" s="1093">
        <f t="shared" si="3"/>
        <v>1036.48</v>
      </c>
      <c r="V42" s="18"/>
    </row>
    <row r="43" spans="2:22" x14ac:dyDescent="0.25">
      <c r="B43" s="171" t="s">
        <v>177</v>
      </c>
      <c r="C43" s="83">
        <f>F50/1000</f>
        <v>2.8034626076152138E-3</v>
      </c>
      <c r="D43" s="44" t="s">
        <v>222</v>
      </c>
      <c r="E43" s="44"/>
      <c r="F43" s="28"/>
      <c r="G43" s="40"/>
      <c r="I43" s="29" t="s">
        <v>149</v>
      </c>
      <c r="J43" s="61">
        <f>Mass_Balance!E8*'1.Batch_Preparation'!F19/100</f>
        <v>0.66</v>
      </c>
      <c r="K43" s="268" t="s">
        <v>316</v>
      </c>
      <c r="L43" s="61"/>
      <c r="M43" s="163"/>
      <c r="O43" s="177"/>
      <c r="P43" s="267"/>
      <c r="V43" s="18"/>
    </row>
    <row r="44" spans="2:22" x14ac:dyDescent="0.25">
      <c r="B44" s="29" t="s">
        <v>138</v>
      </c>
      <c r="C44" s="61">
        <f>F51/1000</f>
        <v>7.0013265471857082E-4</v>
      </c>
      <c r="D44" s="43" t="s">
        <v>223</v>
      </c>
      <c r="E44" s="10"/>
      <c r="F44" s="28"/>
      <c r="G44" s="40"/>
      <c r="I44" s="29" t="s">
        <v>315</v>
      </c>
      <c r="J44" s="61">
        <f>(J42+J43)-J41</f>
        <v>0</v>
      </c>
      <c r="K44" s="268" t="s">
        <v>316</v>
      </c>
      <c r="L44" s="61"/>
      <c r="M44" s="163" t="s">
        <v>270</v>
      </c>
      <c r="O44" s="177"/>
      <c r="P44" s="94"/>
      <c r="Q44" s="267">
        <f t="shared" ref="Q44:S49" si="4">Q36/0.9</f>
        <v>191.31274247133211</v>
      </c>
      <c r="R44" s="267">
        <f t="shared" si="4"/>
        <v>190.41169754631946</v>
      </c>
      <c r="S44" s="267">
        <f t="shared" si="4"/>
        <v>193.4069136824674</v>
      </c>
      <c r="V44" s="18"/>
    </row>
    <row r="45" spans="2:22" x14ac:dyDescent="0.25">
      <c r="B45" s="70" t="s">
        <v>98</v>
      </c>
      <c r="C45" s="173">
        <f>C40-C43-C44</f>
        <v>0.1697539103839184</v>
      </c>
      <c r="D45" s="492" t="s">
        <v>130</v>
      </c>
      <c r="E45" s="491"/>
      <c r="F45" s="57"/>
      <c r="G45" s="58"/>
      <c r="I45" s="29"/>
      <c r="M45" s="163" t="s">
        <v>271</v>
      </c>
      <c r="O45" s="177"/>
      <c r="Q45" s="267">
        <f t="shared" si="4"/>
        <v>56.593805594255706</v>
      </c>
      <c r="R45" s="267">
        <f t="shared" si="4"/>
        <v>51.564066099148718</v>
      </c>
      <c r="S45" s="267">
        <f t="shared" si="4"/>
        <v>58.025253570689316</v>
      </c>
      <c r="V45" s="18"/>
    </row>
    <row r="46" spans="2:22" x14ac:dyDescent="0.25">
      <c r="B46" s="11"/>
      <c r="C46" s="61"/>
      <c r="D46" s="10"/>
      <c r="E46" s="10"/>
      <c r="F46" s="10"/>
      <c r="G46" s="18"/>
      <c r="H46" s="77"/>
      <c r="I46" s="86" t="s">
        <v>59</v>
      </c>
      <c r="J46" s="172">
        <f>IF($E$7=1, ($D29/$D$34), IF($E$7=2, ($H29/$H$34), IF($E$7=3,($L29/$L$34))))  * (1-$C$39) * Mass_Balance!$E$8</f>
        <v>0.14946308005572823</v>
      </c>
      <c r="K46" s="172" t="s">
        <v>101</v>
      </c>
      <c r="L46" s="172"/>
      <c r="M46" s="163" t="s">
        <v>314</v>
      </c>
      <c r="N46" s="180"/>
      <c r="Q46" s="267">
        <f t="shared" si="4"/>
        <v>23.901746865287748</v>
      </c>
      <c r="R46" s="267">
        <f t="shared" si="4"/>
        <v>30.150826239359034</v>
      </c>
      <c r="S46" s="267">
        <f t="shared" si="4"/>
        <v>34.815152142413581</v>
      </c>
      <c r="V46" s="18"/>
    </row>
    <row r="47" spans="2:22" ht="18" x14ac:dyDescent="0.35">
      <c r="B47" s="168" t="s">
        <v>217</v>
      </c>
      <c r="C47" s="169"/>
      <c r="D47" s="169"/>
      <c r="E47" s="169"/>
      <c r="F47" s="149"/>
      <c r="G47" s="150"/>
      <c r="H47" s="77"/>
      <c r="I47" s="29" t="s">
        <v>65</v>
      </c>
      <c r="J47" s="94">
        <f>IF($E$7=1, ($D30/$D$34), IF($E$7=2, ($H30/$H$34), IF($E$7=3,($L30/$L$34))))  * (1-$C$39) * Mass_Balance!$E$8</f>
        <v>4.4213910620512276E-2</v>
      </c>
      <c r="K47" s="10" t="s">
        <v>101</v>
      </c>
      <c r="M47" s="163" t="s">
        <v>272</v>
      </c>
      <c r="N47" s="40"/>
      <c r="P47" s="18"/>
      <c r="Q47" s="267">
        <f t="shared" si="4"/>
        <v>33.482199121208872</v>
      </c>
      <c r="R47" s="267">
        <f t="shared" si="4"/>
        <v>34.11965948923384</v>
      </c>
      <c r="S47" s="267">
        <f t="shared" si="4"/>
        <v>19.394742289381082</v>
      </c>
      <c r="V47" s="18"/>
    </row>
    <row r="48" spans="2:22" x14ac:dyDescent="0.25">
      <c r="B48" s="27"/>
      <c r="C48" s="18"/>
      <c r="F48" s="20"/>
      <c r="G48" s="40"/>
      <c r="H48" s="77"/>
      <c r="I48" s="29" t="s">
        <v>64</v>
      </c>
      <c r="J48" s="94">
        <f>IF($E$7=1, ($D31/$D$34), IF($E$7=2, ($H31/$H$34), IF($E$7=3,($L31/$L$34))))  * (1-$C$39) * Mass_Balance!$E$8</f>
        <v>1.8673239738506056E-2</v>
      </c>
      <c r="K48" s="18" t="s">
        <v>101</v>
      </c>
      <c r="M48" s="28"/>
      <c r="N48" s="40"/>
      <c r="Q48" s="267">
        <f t="shared" si="4"/>
        <v>1.9095059479155498</v>
      </c>
      <c r="R48" s="267">
        <f t="shared" si="4"/>
        <v>0.95375062593890836</v>
      </c>
      <c r="S48" s="267">
        <f t="shared" si="4"/>
        <v>1.5579383150486443</v>
      </c>
    </row>
    <row r="49" spans="2:31" x14ac:dyDescent="0.25">
      <c r="B49" s="50" t="s">
        <v>184</v>
      </c>
      <c r="C49" s="81">
        <f>(Mass_Balance!E8*1000)*C50/100</f>
        <v>6.2158396742042648</v>
      </c>
      <c r="D49" s="10" t="s">
        <v>60</v>
      </c>
      <c r="E49" s="11" t="s">
        <v>122</v>
      </c>
      <c r="F49" s="61">
        <f>C49*(2*J6+J3)/(M12*1000)</f>
        <v>2.7122444118704805</v>
      </c>
      <c r="G49" s="143" t="s">
        <v>60</v>
      </c>
      <c r="H49" s="77"/>
      <c r="I49" s="29" t="s">
        <v>118</v>
      </c>
      <c r="J49" s="94">
        <f>IF($E$7=1, ($D32/$D$34), IF($E$7=2, ($H32/$H$34), IF($E$7=3,($L32/$L$34))))  * (1-$C$39) * Mass_Balance!$E$8</f>
        <v>2.6157968063444437E-2</v>
      </c>
      <c r="K49" s="10" t="s">
        <v>101</v>
      </c>
      <c r="M49" s="28"/>
      <c r="N49" s="40"/>
      <c r="Q49" s="267">
        <f t="shared" si="4"/>
        <v>844.44444444444446</v>
      </c>
      <c r="R49" s="267">
        <f t="shared" si="4"/>
        <v>844.44444444444446</v>
      </c>
      <c r="S49" s="267">
        <f t="shared" si="4"/>
        <v>844.44444444444446</v>
      </c>
    </row>
    <row r="50" spans="2:31" x14ac:dyDescent="0.25">
      <c r="B50" s="27"/>
      <c r="C50" s="126">
        <f>IF(E7=1, D33, IF(E7=2, H33, IF(E7=3, L33)))</f>
        <v>0.62158396742042643</v>
      </c>
      <c r="D50" t="s">
        <v>219</v>
      </c>
      <c r="E50" s="174" t="s">
        <v>177</v>
      </c>
      <c r="F50" s="81">
        <f>C49*(J11+2*J3)/(M12*1000)</f>
        <v>2.8034626076152138</v>
      </c>
      <c r="G50" s="64" t="s">
        <v>60</v>
      </c>
      <c r="H50" s="77"/>
      <c r="I50" s="29" t="s">
        <v>184</v>
      </c>
      <c r="J50" s="173">
        <f>IF($E$7=1, ($D33/$D$34), IF($E$7=2, ($H33/$H$34), IF($E$7=3,($L33/$L$34))))  * (1-$C$39) * Mass_Balance!$E$8</f>
        <v>1.4918015218090236E-3</v>
      </c>
      <c r="K50" s="18" t="s">
        <v>101</v>
      </c>
      <c r="M50" s="177"/>
      <c r="N50" s="40"/>
      <c r="O50" s="18"/>
      <c r="P50" s="35"/>
      <c r="Q50" s="1092">
        <f>SUM(Q44:Q49)</f>
        <v>1151.6444444444444</v>
      </c>
      <c r="R50" s="1092">
        <f t="shared" ref="R50:S50" si="5">SUM(R44:R49)</f>
        <v>1151.6444444444444</v>
      </c>
      <c r="S50" s="1092">
        <f t="shared" si="5"/>
        <v>1151.6444444444446</v>
      </c>
    </row>
    <row r="51" spans="2:31" x14ac:dyDescent="0.25">
      <c r="B51" s="57"/>
      <c r="C51" s="34"/>
      <c r="D51" s="34"/>
      <c r="E51" s="68" t="s">
        <v>138</v>
      </c>
      <c r="F51" s="97">
        <f>C49*((1/2)*2*J3)/(M12*1000)</f>
        <v>0.70013265471857078</v>
      </c>
      <c r="G51" s="132" t="s">
        <v>60</v>
      </c>
      <c r="H51" s="77"/>
      <c r="I51" s="495" t="s">
        <v>121</v>
      </c>
      <c r="J51" s="345">
        <f>SUM(J46:J50)</f>
        <v>0.24000000000000002</v>
      </c>
      <c r="K51" s="496" t="s">
        <v>491</v>
      </c>
      <c r="L51" s="493"/>
      <c r="M51" s="494"/>
      <c r="N51" s="132"/>
      <c r="O51" s="18"/>
      <c r="P51" s="35"/>
      <c r="Q51" s="35"/>
      <c r="AD51" s="18"/>
      <c r="AE51" s="49"/>
    </row>
    <row r="52" spans="2:31" ht="15.75" thickBot="1" x14ac:dyDescent="0.3">
      <c r="P52" s="77"/>
    </row>
    <row r="53" spans="2:31" x14ac:dyDescent="0.25">
      <c r="B53" s="535" t="s">
        <v>460</v>
      </c>
      <c r="C53" s="536"/>
      <c r="D53" s="536"/>
      <c r="E53" s="536"/>
      <c r="F53" s="536"/>
      <c r="G53" s="537"/>
      <c r="I53" s="535" t="s">
        <v>489</v>
      </c>
      <c r="J53" s="536"/>
      <c r="K53" s="536"/>
      <c r="L53" s="536"/>
      <c r="M53" s="536"/>
      <c r="N53" s="537"/>
    </row>
    <row r="54" spans="2:31" x14ac:dyDescent="0.25">
      <c r="B54" s="542" t="s">
        <v>226</v>
      </c>
      <c r="C54" s="89"/>
      <c r="D54" s="89"/>
      <c r="E54" s="244">
        <f>J39-Mass_Balance!E8</f>
        <v>3.6743566374561443E-2</v>
      </c>
      <c r="F54" s="176" t="s">
        <v>101</v>
      </c>
      <c r="G54" s="543"/>
      <c r="H54" s="47"/>
      <c r="I54" s="538" t="s">
        <v>59</v>
      </c>
      <c r="J54" s="94">
        <f>IF(J51=0, 0, $J46*($J$51+$E$54)/$J$51)</f>
        <v>0.17234560756645337</v>
      </c>
      <c r="K54" s="10" t="s">
        <v>101</v>
      </c>
      <c r="L54" s="10"/>
      <c r="M54" s="10"/>
      <c r="N54" s="87"/>
      <c r="P54" s="267"/>
    </row>
    <row r="55" spans="2:31" x14ac:dyDescent="0.25">
      <c r="B55" s="544" t="s">
        <v>225</v>
      </c>
      <c r="C55" s="241"/>
      <c r="D55" s="241"/>
      <c r="E55" s="242">
        <f>(C43/C40)*E54</f>
        <v>5.9454402288250266E-4</v>
      </c>
      <c r="F55" s="243" t="s">
        <v>101</v>
      </c>
      <c r="G55" s="545"/>
      <c r="H55" s="47"/>
      <c r="I55" s="300" t="s">
        <v>65</v>
      </c>
      <c r="J55" s="94">
        <f>IF(J51=0, 0, $J47*($J$51+$E$54)/$J$51)</f>
        <v>5.0982980452027767E-2</v>
      </c>
      <c r="K55" s="10" t="s">
        <v>101</v>
      </c>
      <c r="L55" s="10"/>
      <c r="M55" s="10"/>
      <c r="N55" s="87"/>
      <c r="P55" s="267"/>
      <c r="Q55" s="77"/>
    </row>
    <row r="56" spans="2:31" x14ac:dyDescent="0.25">
      <c r="B56" s="546" t="s">
        <v>232</v>
      </c>
      <c r="C56" s="89"/>
      <c r="D56" s="89"/>
      <c r="E56" s="175">
        <f>(C44/C43)*E55</f>
        <v>1.4848055542352308E-4</v>
      </c>
      <c r="F56" s="176" t="s">
        <v>101</v>
      </c>
      <c r="G56" s="543"/>
      <c r="H56" s="310"/>
      <c r="I56" s="300" t="s">
        <v>64</v>
      </c>
      <c r="J56" s="94">
        <f>IF(J51=0, 0, $J48*($J$51+$E$54)/$J$51)</f>
        <v>2.1532079004172287E-2</v>
      </c>
      <c r="K56" s="10" t="s">
        <v>101</v>
      </c>
      <c r="L56" s="10"/>
      <c r="M56" s="10"/>
      <c r="N56" s="87"/>
      <c r="P56" s="267"/>
    </row>
    <row r="57" spans="2:31" x14ac:dyDescent="0.25">
      <c r="B57" s="13" t="s">
        <v>128</v>
      </c>
      <c r="C57" s="10"/>
      <c r="D57" s="10"/>
      <c r="E57" s="178">
        <f>(C45/C40)*E54</f>
        <v>3.600054179625542E-2</v>
      </c>
      <c r="F57" s="10" t="s">
        <v>101</v>
      </c>
      <c r="G57" s="87"/>
      <c r="I57" s="300" t="s">
        <v>118</v>
      </c>
      <c r="J57" s="94">
        <f>IF(J51=0, 0, $J49*($J$51+$E$54)/$J$51 )</f>
        <v>3.016270571245622E-2</v>
      </c>
      <c r="K57" s="18" t="s">
        <v>101</v>
      </c>
      <c r="L57" s="10"/>
      <c r="M57" s="10"/>
      <c r="N57" s="87"/>
      <c r="P57" s="267"/>
    </row>
    <row r="58" spans="2:31" x14ac:dyDescent="0.25">
      <c r="B58" s="13"/>
      <c r="C58" s="10"/>
      <c r="D58" s="10"/>
      <c r="E58" s="10"/>
      <c r="F58" s="10"/>
      <c r="G58" s="87"/>
      <c r="H58" s="49"/>
      <c r="I58" s="300" t="s">
        <v>184</v>
      </c>
      <c r="J58" s="94">
        <f>IF(J51=0, 0, $J50*($J$51+$E$54)/$J$51)</f>
        <v>1.72019363945178E-3</v>
      </c>
      <c r="K58" s="18" t="s">
        <v>101</v>
      </c>
      <c r="L58" s="10"/>
      <c r="M58" s="10"/>
      <c r="N58" s="87"/>
      <c r="P58" s="267"/>
    </row>
    <row r="59" spans="2:31" ht="15.75" thickBot="1" x14ac:dyDescent="0.3">
      <c r="B59" s="547" t="s">
        <v>129</v>
      </c>
      <c r="C59" s="548"/>
      <c r="D59" s="548"/>
      <c r="E59" s="549">
        <f>E57/Melt</f>
        <v>3.600054179625542E-2</v>
      </c>
      <c r="F59" s="550" t="s">
        <v>130</v>
      </c>
      <c r="G59" s="551"/>
      <c r="H59" s="49"/>
      <c r="I59" s="539" t="s">
        <v>121</v>
      </c>
      <c r="J59" s="540">
        <f>SUM(J54:J58)</f>
        <v>0.27674356637456143</v>
      </c>
      <c r="K59" s="541" t="s">
        <v>490</v>
      </c>
      <c r="L59" s="515"/>
      <c r="M59" s="515"/>
      <c r="N59" s="516"/>
    </row>
    <row r="60" spans="2:31" x14ac:dyDescent="0.25">
      <c r="H60" s="10"/>
    </row>
    <row r="62" spans="2:31" x14ac:dyDescent="0.25">
      <c r="E62" s="124"/>
    </row>
    <row r="63" spans="2:31" x14ac:dyDescent="0.25">
      <c r="H63" s="77"/>
      <c r="J63" s="77"/>
    </row>
    <row r="68" spans="10:10" x14ac:dyDescent="0.25">
      <c r="J68" s="77"/>
    </row>
    <row r="93" s="10" customFormat="1" ht="16.5" customHeight="1" x14ac:dyDescent="0.25"/>
    <row r="94" s="10" customFormat="1" x14ac:dyDescent="0.25"/>
  </sheetData>
  <mergeCells count="8">
    <mergeCell ref="K41:L41"/>
    <mergeCell ref="C17:F17"/>
    <mergeCell ref="G17:J17"/>
    <mergeCell ref="K17:N17"/>
    <mergeCell ref="K39:L39"/>
    <mergeCell ref="C27:F27"/>
    <mergeCell ref="G27:J27"/>
    <mergeCell ref="K27:N27"/>
  </mergeCells>
  <pageMargins left="0.7" right="0.7" top="0.75" bottom="0.75" header="0.3" footer="0.3"/>
  <pageSetup orientation="portrait" r:id="rId1"/>
  <customProperties>
    <customPr name="EpmWorksheetKeyString_GUID" r:id="rId2"/>
  </customPropertie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1">
    <tabColor theme="3" tint="0.79998168889431442"/>
  </sheetPr>
  <dimension ref="A1:AZ115"/>
  <sheetViews>
    <sheetView showGridLines="0" topLeftCell="A55" zoomScale="80" zoomScaleNormal="80" workbookViewId="0">
      <selection activeCell="G73" sqref="G73"/>
    </sheetView>
  </sheetViews>
  <sheetFormatPr defaultRowHeight="15" x14ac:dyDescent="0.25"/>
  <cols>
    <col min="1" max="1" width="13.140625" customWidth="1"/>
    <col min="2" max="2" width="16.42578125" customWidth="1"/>
    <col min="3" max="3" width="15.28515625" customWidth="1"/>
    <col min="4" max="4" width="19" customWidth="1"/>
    <col min="5" max="5" width="20.140625" customWidth="1"/>
    <col min="6" max="6" width="17.42578125" customWidth="1"/>
    <col min="7" max="7" width="19.140625" customWidth="1"/>
    <col min="8" max="8" width="17.5703125" customWidth="1"/>
    <col min="9" max="9" width="20.7109375" customWidth="1"/>
    <col min="10" max="10" width="19.7109375" customWidth="1"/>
    <col min="11" max="11" width="15.7109375" customWidth="1"/>
    <col min="12" max="14" width="16" customWidth="1"/>
    <col min="15" max="15" width="14.42578125" customWidth="1"/>
    <col min="16" max="16" width="13.5703125" customWidth="1"/>
    <col min="17" max="17" width="12.5703125" customWidth="1"/>
    <col min="18" max="18" width="10.85546875" customWidth="1"/>
    <col min="19" max="19" width="14.28515625" customWidth="1"/>
    <col min="20" max="20" width="13.85546875" customWidth="1"/>
    <col min="21" max="21" width="14.140625" customWidth="1"/>
    <col min="22" max="22" width="11.28515625" customWidth="1"/>
    <col min="23" max="23" width="11.42578125" customWidth="1"/>
    <col min="24" max="24" width="10.85546875" customWidth="1"/>
    <col min="25" max="25" width="11.85546875" customWidth="1"/>
    <col min="26" max="26" width="12.28515625" customWidth="1"/>
    <col min="27" max="27" width="10.85546875" customWidth="1"/>
    <col min="28" max="29" width="12.140625" customWidth="1"/>
    <col min="30" max="30" width="13.28515625" customWidth="1"/>
    <col min="31" max="31" width="14.140625" customWidth="1"/>
    <col min="32" max="32" width="12.28515625" customWidth="1"/>
    <col min="33" max="33" width="10.7109375" customWidth="1"/>
    <col min="34" max="34" width="12" customWidth="1"/>
    <col min="35" max="35" width="10.42578125" bestFit="1" customWidth="1"/>
    <col min="36" max="36" width="10" customWidth="1"/>
    <col min="37" max="37" width="10.7109375" customWidth="1"/>
    <col min="38" max="38" width="11.7109375" customWidth="1"/>
    <col min="39" max="39" width="11.140625" customWidth="1"/>
    <col min="40" max="40" width="10" customWidth="1"/>
    <col min="43" max="43" width="10.85546875" customWidth="1"/>
    <col min="45" max="47" width="12.42578125" customWidth="1"/>
  </cols>
  <sheetData>
    <row r="1" spans="2:24" ht="15" customHeight="1" x14ac:dyDescent="0.25"/>
    <row r="2" spans="2:24" ht="19.5" customHeight="1" x14ac:dyDescent="0.3">
      <c r="B2" s="892" t="s">
        <v>724</v>
      </c>
      <c r="C2" s="837"/>
      <c r="D2" s="837"/>
      <c r="E2" s="837"/>
    </row>
    <row r="3" spans="2:24" ht="15" customHeight="1" x14ac:dyDescent="0.25"/>
    <row r="4" spans="2:24" ht="15" customHeight="1" x14ac:dyDescent="0.25"/>
    <row r="5" spans="2:24" ht="15" customHeight="1" x14ac:dyDescent="0.25">
      <c r="B5" s="1440" t="s">
        <v>248</v>
      </c>
      <c r="C5" s="32"/>
      <c r="D5" s="32"/>
      <c r="E5" s="32"/>
      <c r="F5" s="32"/>
      <c r="G5" s="32"/>
      <c r="H5" s="32"/>
      <c r="I5" s="404"/>
      <c r="J5" s="41"/>
      <c r="M5" s="77"/>
    </row>
    <row r="6" spans="2:24" x14ac:dyDescent="0.25">
      <c r="B6" s="1441"/>
      <c r="C6" s="18" t="s">
        <v>81</v>
      </c>
      <c r="D6" s="11"/>
      <c r="E6" s="189">
        <f>'2.Melting&amp;Fining'!F12*(1+'2.Melting&amp;Fining'!F25*(1-Mass_Balance!E10/100)/20)</f>
        <v>1559.4</v>
      </c>
      <c r="F6" s="10"/>
      <c r="G6" s="35" t="s">
        <v>732</v>
      </c>
      <c r="H6" s="10"/>
      <c r="I6" s="52"/>
      <c r="J6" s="562"/>
    </row>
    <row r="7" spans="2:24" ht="15" customHeight="1" x14ac:dyDescent="0.25">
      <c r="B7" s="28"/>
      <c r="C7" s="10"/>
      <c r="D7" s="10"/>
      <c r="E7" s="10"/>
      <c r="F7" s="10"/>
      <c r="G7" s="10"/>
      <c r="H7" s="10"/>
      <c r="I7" s="10"/>
      <c r="J7" s="562"/>
    </row>
    <row r="8" spans="2:24" x14ac:dyDescent="0.25">
      <c r="B8" s="27"/>
      <c r="C8" s="18" t="s">
        <v>731</v>
      </c>
      <c r="D8" s="18"/>
      <c r="E8" s="10"/>
      <c r="F8" s="10"/>
      <c r="G8" s="10"/>
      <c r="H8" s="10"/>
      <c r="I8" s="10"/>
      <c r="J8" s="40"/>
    </row>
    <row r="9" spans="2:24" x14ac:dyDescent="0.25">
      <c r="B9" s="27"/>
      <c r="C9" s="18" t="s">
        <v>287</v>
      </c>
      <c r="D9" s="18"/>
      <c r="E9" s="10"/>
      <c r="F9" s="10"/>
      <c r="G9" s="10"/>
      <c r="H9" s="10"/>
      <c r="I9" s="10"/>
      <c r="J9" s="40"/>
    </row>
    <row r="10" spans="2:24" x14ac:dyDescent="0.25">
      <c r="B10" s="28"/>
      <c r="C10" s="10"/>
      <c r="D10" s="10"/>
      <c r="E10" s="10"/>
      <c r="F10" s="10"/>
      <c r="G10" s="10"/>
      <c r="H10" s="10"/>
      <c r="I10" s="10"/>
      <c r="J10" s="40"/>
      <c r="L10" s="59"/>
      <c r="M10" s="130" t="s">
        <v>260</v>
      </c>
      <c r="N10" s="235" t="s">
        <v>54</v>
      </c>
    </row>
    <row r="11" spans="2:24" x14ac:dyDescent="0.25">
      <c r="B11" s="55"/>
      <c r="C11" s="18" t="s">
        <v>146</v>
      </c>
      <c r="D11" s="10"/>
      <c r="E11" s="189">
        <f>'2.Melting&amp;Fining'!F14*(1+'2.Melting&amp;Fining'!F25*(1-Mass_Balance!E10/100)/20)</f>
        <v>1143.5600000000002</v>
      </c>
      <c r="F11" s="10"/>
      <c r="G11" s="37" t="s">
        <v>733</v>
      </c>
      <c r="H11" s="35"/>
      <c r="I11" s="10"/>
      <c r="J11" s="40"/>
      <c r="L11" s="209" t="s">
        <v>261</v>
      </c>
      <c r="M11" s="231">
        <f>1000/Mass_Balance!F24</f>
        <v>0.59441286096802182</v>
      </c>
      <c r="N11" s="232" t="s">
        <v>61</v>
      </c>
    </row>
    <row r="12" spans="2:24" x14ac:dyDescent="0.25">
      <c r="B12" s="28"/>
      <c r="C12" s="10"/>
      <c r="D12" s="10"/>
      <c r="E12" s="10"/>
      <c r="F12" s="10"/>
      <c r="G12" s="10"/>
      <c r="H12" s="10"/>
      <c r="I12" s="10"/>
      <c r="J12" s="40"/>
      <c r="L12" s="107" t="s">
        <v>262</v>
      </c>
      <c r="M12" s="231">
        <f>1000/Mass_Balance!J24</f>
        <v>0.59463947080949064</v>
      </c>
      <c r="N12" s="232" t="s">
        <v>61</v>
      </c>
    </row>
    <row r="13" spans="2:24" x14ac:dyDescent="0.25">
      <c r="B13" s="93"/>
      <c r="C13" s="34" t="s">
        <v>730</v>
      </c>
      <c r="D13" s="66"/>
      <c r="E13" s="66"/>
      <c r="F13" s="34"/>
      <c r="G13" s="34"/>
      <c r="H13" s="34"/>
      <c r="I13" s="34"/>
      <c r="J13" s="58"/>
      <c r="L13" s="208" t="s">
        <v>263</v>
      </c>
      <c r="M13" s="233">
        <f>1000/Mass_Balance!N24</f>
        <v>0.59766235244868626</v>
      </c>
      <c r="N13" s="234" t="s">
        <v>61</v>
      </c>
    </row>
    <row r="14" spans="2:24" ht="15" customHeight="1" x14ac:dyDescent="0.25">
      <c r="H14" s="31"/>
      <c r="I14" s="20"/>
      <c r="J14" s="6"/>
      <c r="O14" s="112"/>
      <c r="P14" s="112"/>
      <c r="Q14" s="112"/>
      <c r="R14" s="112"/>
      <c r="S14" s="112"/>
    </row>
    <row r="15" spans="2:24" ht="15" customHeight="1" x14ac:dyDescent="0.25">
      <c r="H15" s="31"/>
      <c r="I15" s="20"/>
      <c r="J15" s="6"/>
      <c r="O15" s="112"/>
      <c r="P15" s="112"/>
      <c r="Q15" s="112"/>
      <c r="R15" s="112"/>
      <c r="S15" s="112"/>
    </row>
    <row r="16" spans="2:24" ht="15" customHeight="1" x14ac:dyDescent="0.25">
      <c r="B16" s="1442" t="s">
        <v>244</v>
      </c>
      <c r="C16" s="59"/>
      <c r="D16" s="32"/>
      <c r="E16" s="32"/>
      <c r="F16" s="1430" t="s">
        <v>238</v>
      </c>
      <c r="G16" s="1428"/>
      <c r="H16" s="1429"/>
      <c r="I16" s="1430" t="s">
        <v>239</v>
      </c>
      <c r="J16" s="1428"/>
      <c r="K16" s="1429"/>
      <c r="L16" s="1430" t="s">
        <v>722</v>
      </c>
      <c r="M16" s="1428"/>
      <c r="N16" s="1429"/>
      <c r="Q16" s="38" t="s">
        <v>18</v>
      </c>
      <c r="R16" s="32"/>
      <c r="S16" s="32"/>
      <c r="T16" s="32"/>
      <c r="U16" s="32"/>
      <c r="V16" s="32"/>
      <c r="W16" s="32"/>
      <c r="X16" s="41"/>
    </row>
    <row r="17" spans="2:31" ht="15" customHeight="1" x14ac:dyDescent="0.25">
      <c r="B17" s="1443"/>
      <c r="C17" s="25" t="s">
        <v>158</v>
      </c>
      <c r="D17" s="131" t="s">
        <v>165</v>
      </c>
      <c r="E17" s="210" t="s">
        <v>264</v>
      </c>
      <c r="F17" s="214" t="s">
        <v>268</v>
      </c>
      <c r="G17" s="131" t="s">
        <v>269</v>
      </c>
      <c r="H17" s="236" t="s">
        <v>54</v>
      </c>
      <c r="I17" s="214" t="s">
        <v>268</v>
      </c>
      <c r="J17" s="131" t="s">
        <v>269</v>
      </c>
      <c r="K17" s="236" t="s">
        <v>54</v>
      </c>
      <c r="L17" s="214" t="s">
        <v>268</v>
      </c>
      <c r="M17" s="520" t="s">
        <v>269</v>
      </c>
      <c r="N17" s="236" t="s">
        <v>54</v>
      </c>
      <c r="Q17" s="28" t="s">
        <v>258</v>
      </c>
      <c r="R17" s="10"/>
      <c r="S17" s="10"/>
      <c r="T17" s="10"/>
      <c r="U17" s="10"/>
      <c r="V17" s="10"/>
      <c r="W17" s="10"/>
      <c r="X17" s="40"/>
    </row>
    <row r="18" spans="2:31" ht="15" customHeight="1" x14ac:dyDescent="0.25">
      <c r="B18" s="1444" t="s">
        <v>249</v>
      </c>
      <c r="C18" s="28" t="s">
        <v>59</v>
      </c>
      <c r="D18" s="211">
        <v>4.6799999999999999E-4</v>
      </c>
      <c r="E18" s="212">
        <v>0.16569999999999999</v>
      </c>
      <c r="F18" s="215">
        <f>($D18*$E$11+$E18)/(0.00146*$E$11+1)</f>
        <v>0.26254371819932709</v>
      </c>
      <c r="G18" s="216">
        <f>($D18*$E$6+$F18)/(0.00146*$E$6+1)</f>
        <v>0.30284604934664228</v>
      </c>
      <c r="H18" s="136" t="s">
        <v>166</v>
      </c>
      <c r="I18" s="216">
        <f>($D18*$E$11+$E18)/(0.00146*$E$11+1)</f>
        <v>0.26254371819932709</v>
      </c>
      <c r="J18" s="216">
        <f>($D18*$E$6+$F18)/(0.00146*$E$6+1)</f>
        <v>0.30284604934664228</v>
      </c>
      <c r="K18" s="136" t="s">
        <v>166</v>
      </c>
      <c r="L18" s="215">
        <f>($D18*$E$11+$E18)/(0.00146*$E$11+1)</f>
        <v>0.26254371819932709</v>
      </c>
      <c r="M18" s="216">
        <f>($D18*$E$6+$F18)/(0.00146*$E$6+1)</f>
        <v>0.30284604934664228</v>
      </c>
      <c r="N18" s="136" t="s">
        <v>166</v>
      </c>
      <c r="Q18" s="203" t="s">
        <v>247</v>
      </c>
      <c r="R18" s="10"/>
      <c r="S18" s="10"/>
      <c r="T18" s="10"/>
      <c r="U18" s="10"/>
      <c r="V18" s="10"/>
      <c r="W18" s="10"/>
      <c r="X18" s="40"/>
    </row>
    <row r="19" spans="2:31" ht="15" customHeight="1" x14ac:dyDescent="0.25">
      <c r="B19" s="1445"/>
      <c r="C19" s="28" t="s">
        <v>122</v>
      </c>
      <c r="D19" s="211">
        <v>8.2899999999999998E-4</v>
      </c>
      <c r="E19" s="212">
        <v>0.22289999999999999</v>
      </c>
      <c r="F19" s="215">
        <f>($D19*$E$11+$E19)/(0.00146*$E$11+1)</f>
        <v>0.43860963914561507</v>
      </c>
      <c r="G19" s="216">
        <f>($D19*$E$6+$F19)/(0.00146*$E$6+1)</f>
        <v>0.52837902708486129</v>
      </c>
      <c r="H19" s="136" t="s">
        <v>166</v>
      </c>
      <c r="I19" s="216">
        <f>($D19*$E$11+$E19)/(0.00146*$E$11+1)</f>
        <v>0.43860963914561507</v>
      </c>
      <c r="J19" s="216">
        <f>($D19*$E$6+$F19)/(0.00146*$E$6+1)</f>
        <v>0.52837902708486129</v>
      </c>
      <c r="K19" s="136" t="s">
        <v>166</v>
      </c>
      <c r="L19" s="215">
        <f>($D19*$E$11+$E19)/(0.00146*$E$11+1)</f>
        <v>0.43860963914561507</v>
      </c>
      <c r="M19" s="216">
        <f>($D19*$E$6+$F19)/(0.00146*$E$6+1)</f>
        <v>0.52837902708486129</v>
      </c>
      <c r="N19" s="136" t="s">
        <v>166</v>
      </c>
      <c r="Q19" s="103" t="s">
        <v>296</v>
      </c>
      <c r="R19" s="10"/>
      <c r="S19" s="10"/>
      <c r="T19" s="10"/>
      <c r="U19" s="10"/>
      <c r="V19" s="10"/>
      <c r="W19" s="10"/>
      <c r="X19" s="40"/>
    </row>
    <row r="20" spans="2:31" ht="15" customHeight="1" x14ac:dyDescent="0.25">
      <c r="B20" s="313"/>
      <c r="C20" s="28" t="s">
        <v>97</v>
      </c>
      <c r="D20" s="211">
        <v>4.0999999999999999E-4</v>
      </c>
      <c r="E20" s="212">
        <v>0.1709</v>
      </c>
      <c r="F20" s="215">
        <f>($D20*$E$11+$E20)/(0.00146*$E$11+1)</f>
        <v>0.23964645458176917</v>
      </c>
      <c r="G20" s="216">
        <f>($D20*$E$6+$F20)/(0.00146*$E$6+1)</f>
        <v>0.26825587220094493</v>
      </c>
      <c r="H20" s="136" t="s">
        <v>166</v>
      </c>
      <c r="I20" s="216">
        <f>($D20*$E$11+$E20)/(0.00146*$E$11+1)</f>
        <v>0.23964645458176917</v>
      </c>
      <c r="J20" s="216">
        <f>($D20*$E$6+$F20)/(0.00146*$E$6+1)</f>
        <v>0.26825587220094493</v>
      </c>
      <c r="K20" s="136" t="s">
        <v>166</v>
      </c>
      <c r="L20" s="215">
        <f>($D20*$E$11+$E20)/(0.00146*$E$11+1)</f>
        <v>0.23964645458176917</v>
      </c>
      <c r="M20" s="216">
        <f>($D20*$E$6+$F20)/(0.00146*$E$6+1)</f>
        <v>0.26825587220094493</v>
      </c>
      <c r="N20" s="136" t="s">
        <v>166</v>
      </c>
      <c r="Q20" s="28" t="s">
        <v>250</v>
      </c>
      <c r="R20" s="10"/>
      <c r="S20" s="10"/>
      <c r="T20" s="10"/>
      <c r="U20" s="10"/>
      <c r="V20" s="10"/>
      <c r="W20" s="10"/>
      <c r="X20" s="40"/>
    </row>
    <row r="21" spans="2:31" ht="15" customHeight="1" x14ac:dyDescent="0.25">
      <c r="B21" s="199"/>
      <c r="C21" s="28" t="s">
        <v>119</v>
      </c>
      <c r="D21" s="211">
        <v>5.1400000000000003E-4</v>
      </c>
      <c r="E21" s="213">
        <v>0.2142</v>
      </c>
      <c r="F21" s="215">
        <f>($D21*$E$11+$E21)/(0.00146*$E$11+1)</f>
        <v>0.300416002771354</v>
      </c>
      <c r="G21" s="216">
        <f>($D21*$E$6+$F21)/(0.00146*$E$6+1)</f>
        <v>0.33629552039517341</v>
      </c>
      <c r="H21" s="136" t="s">
        <v>166</v>
      </c>
      <c r="I21" s="216">
        <f>($D21*$E$11+$E21)/(0.00146*$E$11+1)</f>
        <v>0.300416002771354</v>
      </c>
      <c r="J21" s="216">
        <f>($D21*$E$6+$F21)/(0.00146*$E$6+1)</f>
        <v>0.33629552039517341</v>
      </c>
      <c r="K21" s="136" t="s">
        <v>166</v>
      </c>
      <c r="L21" s="215">
        <f>($D21*$E$11+$E21)/(0.00146*$E$11+1)</f>
        <v>0.300416002771354</v>
      </c>
      <c r="M21" s="216">
        <f>($D21*$E$6+$F21)/(0.00146*$E$6+1)</f>
        <v>0.33629552039517341</v>
      </c>
      <c r="N21" s="136" t="s">
        <v>166</v>
      </c>
      <c r="Q21" s="28" t="s">
        <v>295</v>
      </c>
      <c r="R21" s="10"/>
      <c r="S21" s="10"/>
      <c r="T21" s="10"/>
      <c r="U21" s="10"/>
      <c r="V21" s="10"/>
      <c r="W21" s="10"/>
      <c r="X21" s="40"/>
    </row>
    <row r="22" spans="2:31" ht="15" customHeight="1" x14ac:dyDescent="0.25">
      <c r="B22" s="199"/>
      <c r="C22" s="28" t="s">
        <v>93</v>
      </c>
      <c r="D22" s="211">
        <v>4.5300000000000001E-4</v>
      </c>
      <c r="E22" s="212">
        <v>0.17649999999999999</v>
      </c>
      <c r="F22" s="215">
        <f>($D22*$E$11+$E22)/(0.00146*$E$11+1)</f>
        <v>0.26016380895757474</v>
      </c>
      <c r="G22" s="216">
        <f>($D22*$E$6+$F22)/(0.00146*$E$6+1)</f>
        <v>0.29498120957321239</v>
      </c>
      <c r="H22" s="136" t="s">
        <v>166</v>
      </c>
      <c r="I22" s="216">
        <f>($D22*$E$11+$E22)/(0.00146*$E$11+1)</f>
        <v>0.26016380895757474</v>
      </c>
      <c r="J22" s="216">
        <f>($D22*$E$6+$F22)/(0.00146*$E$6+1)</f>
        <v>0.29498120957321239</v>
      </c>
      <c r="K22" s="136" t="s">
        <v>166</v>
      </c>
      <c r="L22" s="215">
        <f>($D22*$E$11+$E22)/(0.00146*$E$11+1)</f>
        <v>0.26016380895757474</v>
      </c>
      <c r="M22" s="216">
        <f>($D22*$E$6+$F22)/(0.00146*$E$6+1)</f>
        <v>0.29498120957321239</v>
      </c>
      <c r="N22" s="136" t="s">
        <v>166</v>
      </c>
      <c r="Q22" s="252" t="s">
        <v>297</v>
      </c>
      <c r="R22" s="10"/>
      <c r="S22" s="10"/>
      <c r="T22" s="10"/>
      <c r="U22" s="10"/>
      <c r="V22" s="10"/>
      <c r="W22" s="10"/>
      <c r="X22" s="40"/>
    </row>
    <row r="23" spans="2:31" ht="15" customHeight="1" x14ac:dyDescent="0.25">
      <c r="B23" s="199"/>
      <c r="C23" s="28"/>
      <c r="D23" s="10"/>
      <c r="E23" s="10"/>
      <c r="F23" s="82"/>
      <c r="G23" s="52"/>
      <c r="H23" s="136"/>
      <c r="I23" s="52"/>
      <c r="J23" s="52"/>
      <c r="K23" s="136"/>
      <c r="L23" s="561"/>
      <c r="M23" s="53"/>
      <c r="N23" s="136"/>
      <c r="Q23" s="29" t="s">
        <v>115</v>
      </c>
      <c r="R23" s="137" t="s">
        <v>245</v>
      </c>
      <c r="S23" s="197" t="s">
        <v>240</v>
      </c>
      <c r="T23" s="10"/>
      <c r="U23" s="10"/>
      <c r="V23" s="10"/>
      <c r="W23" s="10"/>
      <c r="X23" s="40"/>
    </row>
    <row r="24" spans="2:31" ht="15" customHeight="1" x14ac:dyDescent="0.25">
      <c r="B24" s="200"/>
      <c r="C24" s="57" t="s">
        <v>546</v>
      </c>
      <c r="D24" s="34"/>
      <c r="E24" s="34"/>
      <c r="F24" s="237">
        <f>(F18*Mass_Balance!D19+F19*Mass_Balance!D20+F20*Mass_Balance!D21+F21*Mass_Balance!D22+F22*Mass_Balance!D23)/100</f>
        <v>0.28371126723533935</v>
      </c>
      <c r="G24" s="238">
        <f>(G18*Mass_Balance!D19+G19*Mass_Balance!D20+G20*Mass_Balance!D21+G21*Mass_Balance!D22+G22*Mass_Balance!D23)/100</f>
        <v>0.32894165404947873</v>
      </c>
      <c r="H24" s="218" t="s">
        <v>166</v>
      </c>
      <c r="I24" s="238">
        <f>(Mass_Balance!H19*I18+Mass_Balance!H20*I19+Mass_Balance!H21*I20+Mass_Balance!H22*I21+Mass_Balance!H23*I22)/100</f>
        <v>0.28304452259794305</v>
      </c>
      <c r="J24" s="238">
        <f>(Mass_Balance!H19*J18+Mass_Balance!H20*J19+Mass_Balance!H21*J20+Mass_Balance!H22*J21+Mass_Balance!H23*J22)/100</f>
        <v>0.3280925711831037</v>
      </c>
      <c r="K24" s="218" t="s">
        <v>166</v>
      </c>
      <c r="L24" s="555">
        <f>(Mass_Balance!L19*L18+Mass_Balance!L20*L19+Mass_Balance!L21*L20+Mass_Balance!L22*L21+Mass_Balance!L23*L22)/100</f>
        <v>0.28339941281716063</v>
      </c>
      <c r="M24" s="556">
        <f>(Mass_Balance!L19*M18+Mass_Balance!L20*M19+Mass_Balance!L21*M20+Mass_Balance!L22*M21+Mass_Balance!L23*M22)/100</f>
        <v>0.32863737958189809</v>
      </c>
      <c r="N24" s="218" t="s">
        <v>166</v>
      </c>
      <c r="Q24" s="70" t="s">
        <v>116</v>
      </c>
      <c r="R24" s="204" t="s">
        <v>246</v>
      </c>
      <c r="S24" s="205" t="s">
        <v>167</v>
      </c>
      <c r="T24" s="34"/>
      <c r="U24" s="34"/>
      <c r="V24" s="34"/>
      <c r="W24" s="34"/>
      <c r="X24" s="58"/>
    </row>
    <row r="25" spans="2:31" ht="15" customHeight="1" x14ac:dyDescent="0.25">
      <c r="D25" s="253"/>
      <c r="E25" s="213"/>
      <c r="F25" s="114"/>
      <c r="H25" s="31"/>
      <c r="I25" s="20"/>
      <c r="J25" s="6"/>
      <c r="O25" s="112"/>
      <c r="P25" s="112"/>
      <c r="Q25" s="112"/>
    </row>
    <row r="26" spans="2:31" ht="15" customHeight="1" x14ac:dyDescent="0.25">
      <c r="D26" s="253"/>
      <c r="E26" s="213"/>
      <c r="J26" s="6"/>
      <c r="O26" s="112"/>
      <c r="P26" s="112"/>
      <c r="Q26" s="112"/>
    </row>
    <row r="27" spans="2:31" x14ac:dyDescent="0.25">
      <c r="B27" s="59"/>
      <c r="C27" s="32"/>
      <c r="D27" s="32"/>
      <c r="E27" s="32"/>
      <c r="F27" s="32"/>
      <c r="G27" s="32"/>
      <c r="H27" s="158"/>
      <c r="I27" s="134"/>
      <c r="J27" s="1430" t="s">
        <v>77</v>
      </c>
      <c r="K27" s="1428"/>
      <c r="L27" s="1438" t="s">
        <v>76</v>
      </c>
      <c r="M27" s="1439"/>
      <c r="N27" s="571"/>
      <c r="Q27" s="38" t="s">
        <v>236</v>
      </c>
      <c r="R27" s="32"/>
      <c r="S27" s="32"/>
      <c r="T27" s="32"/>
      <c r="U27" s="32"/>
      <c r="V27" s="32"/>
      <c r="W27" s="32"/>
      <c r="X27" s="32"/>
      <c r="Y27" s="32"/>
      <c r="Z27" s="32"/>
      <c r="AA27" s="32"/>
      <c r="AB27" s="32"/>
      <c r="AC27" s="32"/>
      <c r="AD27" s="32"/>
      <c r="AE27" s="41"/>
    </row>
    <row r="28" spans="2:31" x14ac:dyDescent="0.25">
      <c r="B28" s="193" t="s">
        <v>127</v>
      </c>
      <c r="C28" s="37" t="s">
        <v>158</v>
      </c>
      <c r="D28" s="520" t="s">
        <v>53</v>
      </c>
      <c r="E28" s="520" t="s">
        <v>54</v>
      </c>
      <c r="F28" s="520" t="s">
        <v>55</v>
      </c>
      <c r="G28" s="520" t="s">
        <v>54</v>
      </c>
      <c r="H28" s="520" t="s">
        <v>56</v>
      </c>
      <c r="I28" s="236" t="s">
        <v>54</v>
      </c>
      <c r="J28" s="214" t="s">
        <v>57</v>
      </c>
      <c r="K28" s="520" t="s">
        <v>58</v>
      </c>
      <c r="L28" s="563" t="s">
        <v>57</v>
      </c>
      <c r="M28" s="226" t="s">
        <v>58</v>
      </c>
      <c r="N28" s="236" t="s">
        <v>54</v>
      </c>
      <c r="Q28" s="28"/>
      <c r="R28" s="10"/>
      <c r="S28" s="10"/>
      <c r="T28" s="10"/>
      <c r="U28" s="10"/>
      <c r="V28" s="10"/>
      <c r="W28" s="35"/>
      <c r="X28" s="35"/>
      <c r="Y28" s="35"/>
      <c r="Z28" s="35"/>
      <c r="AA28" s="35"/>
      <c r="AB28" s="10"/>
      <c r="AC28" s="10"/>
      <c r="AD28" s="10"/>
      <c r="AE28" s="40"/>
    </row>
    <row r="29" spans="2:31" x14ac:dyDescent="0.25">
      <c r="B29" s="193" t="s">
        <v>117</v>
      </c>
      <c r="C29" s="10" t="s">
        <v>59</v>
      </c>
      <c r="D29" s="220">
        <f>Mass_Balance!$J54*1000</f>
        <v>172.34560756645337</v>
      </c>
      <c r="E29" s="52" t="s">
        <v>140</v>
      </c>
      <c r="F29" s="216">
        <f>Mass_Balance!M3</f>
        <v>6.0083499999999998E-2</v>
      </c>
      <c r="G29" s="52" t="s">
        <v>61</v>
      </c>
      <c r="H29" s="221">
        <f t="shared" ref="H29:H34" si="0">D29/F29</f>
        <v>2868.434887555708</v>
      </c>
      <c r="I29" s="136" t="s">
        <v>141</v>
      </c>
      <c r="J29" s="227">
        <f xml:space="preserve"> (-6.076591+ 251.6755*('2.Melting&amp;Fining'!$F$3+Kelvin.Celcius)/1000 + -324.7964*(('2.Melting&amp;Fining'!$F$3+Kelvin.Celcius)/1000)^2 + 168.5604*(('2.Melting&amp;Fining'!$F$3+Kelvin.Celcius)/1000)^3)/1000</f>
        <v>4.4555648734431866E-2</v>
      </c>
      <c r="K29" s="228">
        <f xml:space="preserve"> (-6.076591+ 251.6755*(E11+Kelvin.Celcius)/1000 + -324.7964*((E11+Kelvin.Celcius)/1000)^2 + 168.5604*((E11+Kelvin.Celcius)/1000)^3)/1000</f>
        <v>0.17787646785335154</v>
      </c>
      <c r="L29" s="564">
        <f xml:space="preserve"> (58.7534+ 10.27925*(E11+Kelvin.Celcius)/1000 -0.131384*((E11+Kelvin.Celcius)/1000)^2 + 0.02521*((E11+Kelvin.Celcius)/1000)^3)/1000</f>
        <v>7.3124102673268715E-2</v>
      </c>
      <c r="M29" s="228">
        <f xml:space="preserve"> (58.7534+ 10.27925*(E6+Kelvin.Celcius)/1000 -0.131384*((E6+Kelvin.Celcius)/1000)^2 + 0.02521*((E6+Kelvin.Celcius)/1000)^3)/1000</f>
        <v>7.730456656348926E-2</v>
      </c>
      <c r="N29" s="219" t="s">
        <v>62</v>
      </c>
      <c r="Q29" s="30" t="s">
        <v>63</v>
      </c>
      <c r="R29" s="10"/>
      <c r="S29" s="10"/>
      <c r="T29" s="10"/>
      <c r="U29" s="10"/>
      <c r="V29" s="10"/>
      <c r="W29" s="10"/>
      <c r="X29" s="10"/>
      <c r="Y29" s="10"/>
      <c r="Z29" s="10"/>
      <c r="AA29" s="10"/>
      <c r="AB29" s="10"/>
      <c r="AC29" s="10"/>
      <c r="AD29" s="10"/>
      <c r="AE29" s="40"/>
    </row>
    <row r="30" spans="2:31" x14ac:dyDescent="0.25">
      <c r="B30" s="28"/>
      <c r="C30" s="10" t="s">
        <v>65</v>
      </c>
      <c r="D30" s="220">
        <f>Mass_Balance!$J55*1000</f>
        <v>50.982980452027768</v>
      </c>
      <c r="E30" s="52" t="s">
        <v>140</v>
      </c>
      <c r="F30" s="216">
        <f>Mass_Balance!M6</f>
        <v>0.105987238</v>
      </c>
      <c r="G30" s="52" t="s">
        <v>61</v>
      </c>
      <c r="H30" s="221">
        <f t="shared" si="0"/>
        <v>481.02942782628008</v>
      </c>
      <c r="I30" s="136" t="s">
        <v>141</v>
      </c>
      <c r="J30" s="215">
        <f>109.2*(10^(-3))</f>
        <v>0.10920000000000001</v>
      </c>
      <c r="K30" s="216">
        <f>121*(10^(-3))</f>
        <v>0.121</v>
      </c>
      <c r="L30" s="565">
        <v>0.1</v>
      </c>
      <c r="M30" s="198">
        <v>0.1</v>
      </c>
      <c r="N30" s="219" t="s">
        <v>62</v>
      </c>
      <c r="Q30" s="30" t="s">
        <v>66</v>
      </c>
      <c r="R30" s="10"/>
      <c r="S30" s="10"/>
      <c r="T30" s="10"/>
      <c r="U30" s="10"/>
      <c r="V30" s="10"/>
      <c r="W30" s="10"/>
      <c r="X30" s="10"/>
      <c r="Y30" s="10"/>
      <c r="Z30" s="10"/>
      <c r="AA30" s="10"/>
      <c r="AB30" s="10"/>
      <c r="AC30" s="10"/>
      <c r="AD30" s="10"/>
      <c r="AE30" s="40"/>
    </row>
    <row r="31" spans="2:31" x14ac:dyDescent="0.25">
      <c r="B31" s="28"/>
      <c r="C31" s="10" t="s">
        <v>64</v>
      </c>
      <c r="D31" s="220">
        <f>Mass_Balance!$J56*1000</f>
        <v>21.532079004172285</v>
      </c>
      <c r="E31" s="52" t="s">
        <v>140</v>
      </c>
      <c r="F31" s="216">
        <f>Mass_Balance!M5</f>
        <v>0.1000857</v>
      </c>
      <c r="G31" s="52" t="s">
        <v>61</v>
      </c>
      <c r="H31" s="221">
        <f t="shared" si="0"/>
        <v>215.13641813138426</v>
      </c>
      <c r="I31" s="136" t="s">
        <v>141</v>
      </c>
      <c r="J31" s="227">
        <f>-0.18479+(0.32322/1000)*('2.Melting&amp;Fining'!$F$3+Kelvin.Celcius)-3688.2*('2.Melting&amp;Fining'!$F$3+Kelvin.Celcius)^(-2)-((1.2974/1000)*10^(-4))*('2.Melting&amp;Fining'!$F$3+Kelvin.Celcius)^2+3.8835*('2.Melting&amp;Fining'!$F$3+Kelvin.Celcius)^(-0.5)</f>
        <v>8.3463393865225222E-2</v>
      </c>
      <c r="K31" s="216">
        <f>-0.18479+(0.32322/1000)*(E11+Kelvin.Celcius)-3688.2*(E11+Kelvin.Celcius)^(-2)-((1.2974/1000)*10^(-4))*(E11+Kelvin.Celcius)^2+3.8835*(E11+Kelvin.Celcius)^(-0.5)</f>
        <v>0.11406148218511022</v>
      </c>
      <c r="L31" s="564">
        <f xml:space="preserve"> (82.34/1000 + 4.975*(E11+Kelvin.Celcius)/100000-12.87*100*(E11+Kelvin.Celcius)^(-2))</f>
        <v>0.1521800883726393</v>
      </c>
      <c r="M31" s="228">
        <f xml:space="preserve"> (82.34/1000 + 4.975*(E6+Kelvin.Celcius)/100000-12.87*100*(E6+Kelvin.Celcius)^(-2))</f>
        <v>0.1731261259860343</v>
      </c>
      <c r="N31" s="219" t="s">
        <v>62</v>
      </c>
      <c r="Q31" s="28" t="s">
        <v>251</v>
      </c>
      <c r="R31" s="33" t="s">
        <v>252</v>
      </c>
      <c r="S31" s="10"/>
      <c r="T31" s="10"/>
      <c r="U31" s="10"/>
      <c r="V31" s="10"/>
      <c r="W31" s="10" t="s">
        <v>253</v>
      </c>
      <c r="X31" s="10"/>
      <c r="Y31" s="10"/>
      <c r="Z31" s="10"/>
      <c r="AA31" s="33" t="s">
        <v>254</v>
      </c>
      <c r="AB31" s="10"/>
      <c r="AC31" s="10"/>
      <c r="AD31" s="10"/>
      <c r="AE31" s="40"/>
    </row>
    <row r="32" spans="2:31" x14ac:dyDescent="0.25">
      <c r="B32" s="28"/>
      <c r="C32" s="10" t="s">
        <v>118</v>
      </c>
      <c r="D32" s="220">
        <f>Mass_Balance!$J57*1000</f>
        <v>30.162705712456219</v>
      </c>
      <c r="E32" s="52" t="s">
        <v>140</v>
      </c>
      <c r="F32" s="216">
        <f>Mass_Balance!M4</f>
        <v>0.18439840000000002</v>
      </c>
      <c r="G32" s="52" t="s">
        <v>61</v>
      </c>
      <c r="H32" s="221">
        <f t="shared" si="0"/>
        <v>163.57357608556373</v>
      </c>
      <c r="I32" s="136" t="s">
        <v>141</v>
      </c>
      <c r="J32" s="215">
        <f xml:space="preserve"> (547.88 - 0.16759*('2.Melting&amp;Fining'!$F$3+Kelvin.Celcius) + 2.84*(10^6)*('2.Melting&amp;Fining'!$F$3+Kelvin.Celcius)^(-2) - 6547.9*('2.Melting&amp;Fining'!$F$3+Kelvin.Celcius)^(-0.5) + 7.708*(('2.Melting&amp;Fining'!$F$3+Kelvin.Celcius)^2)*10^(-5))/1000</f>
        <v>0.15749908222238879</v>
      </c>
      <c r="K32" s="216">
        <f xml:space="preserve"> (547.88 - 0.16759*(E11+Kelvin.Celcius) + 2.84*(10^6)*(E11+Kelvin.Celcius)^(-2) - 6547.9*(E11+Kelvin.Celcius)^(-0.5) + 7.708*((E11+Kelvin.Celcius)^2)*10^(-5))/1000</f>
        <v>0.29260844202080499</v>
      </c>
      <c r="L32" s="565">
        <f>(J32+K32)/2</f>
        <v>0.22505376212159689</v>
      </c>
      <c r="M32" s="198">
        <f>(J32+K32)/2</f>
        <v>0.22505376212159689</v>
      </c>
      <c r="N32" s="219" t="s">
        <v>62</v>
      </c>
      <c r="Q32" s="28" t="s">
        <v>255</v>
      </c>
      <c r="R32" s="10"/>
      <c r="S32" s="33" t="s">
        <v>256</v>
      </c>
      <c r="T32" s="10"/>
      <c r="U32" s="10"/>
      <c r="V32" s="10"/>
      <c r="W32" s="10"/>
      <c r="X32" s="10"/>
      <c r="Y32" s="10"/>
      <c r="Z32" s="10"/>
      <c r="AA32" s="10"/>
      <c r="AB32" s="10"/>
      <c r="AC32" s="10"/>
      <c r="AD32" s="10"/>
      <c r="AE32" s="40"/>
    </row>
    <row r="33" spans="2:40" x14ac:dyDescent="0.25">
      <c r="B33" s="28"/>
      <c r="C33" s="10" t="s">
        <v>184</v>
      </c>
      <c r="D33" s="220">
        <f>Mass_Balance!$J58*1000</f>
        <v>1.7201936394517801</v>
      </c>
      <c r="E33" s="52" t="s">
        <v>140</v>
      </c>
      <c r="F33" s="216">
        <f>Mass_Balance!M12</f>
        <v>0.14204053799999999</v>
      </c>
      <c r="G33" s="52" t="s">
        <v>61</v>
      </c>
      <c r="H33" s="221">
        <f t="shared" si="0"/>
        <v>12.110582399031607</v>
      </c>
      <c r="I33" s="136" t="s">
        <v>141</v>
      </c>
      <c r="J33" s="215">
        <f xml:space="preserve"> (96.97466 + 149.5454*('2.Melting&amp;Fining'!$F$3+Kelvin.Celcius)/1000 - 44.51148 *(('2.Melting&amp;Fining'!$F$3+Kelvin.Celcius)/1000)^2 + 14.24313*(('2.Melting&amp;Fining'!$F$3+Kelvin.Celcius)/1000)^3)/1000</f>
        <v>0.13798233706104374</v>
      </c>
      <c r="K33" s="216">
        <f xml:space="preserve"> (96.97466 + 149.5454*(E11+Kelvin.Celcius)/1000 - 44.51148 *((E11+Kelvin.Celcius)/1000)^2 + 14.24313*((E11+Kelvin.Celcius)/1000)^3)/1000</f>
        <v>0.25999896560108454</v>
      </c>
      <c r="L33" s="566">
        <f xml:space="preserve"> (197.033 - 0.000028*(E11+Kelvin.Celcius)/1000 + 0.000011*((E11+Kelvin.Celcius)/1000)^2 - 0.000001*((E11+Kelvin.Celcius)/1000)^3 - 0.000006 * ((E11+Kelvin.Celcius)/1000)^4)/1000</f>
        <v>0.19703295539651419</v>
      </c>
      <c r="M33" s="216">
        <f xml:space="preserve"> (197.033 - 0.000028*(E6+Kelvin.Celcius)/1000 + 0.000011*((E6+Kelvin.Celcius)/1000)^2 - 0.000001*((E6+Kelvin.Celcius)/1000)^3 - 0.000006 * ((E6+Kelvin.Celcius)/1000)^4)/1000</f>
        <v>0.19703291180845736</v>
      </c>
      <c r="N33" s="219" t="s">
        <v>62</v>
      </c>
      <c r="Q33" s="30" t="s">
        <v>233</v>
      </c>
      <c r="R33" s="10"/>
      <c r="S33" s="10"/>
      <c r="T33" s="10"/>
      <c r="U33" s="10"/>
      <c r="V33" s="10"/>
      <c r="W33" s="10"/>
      <c r="X33" s="10"/>
      <c r="Y33" s="10"/>
      <c r="Z33" s="10"/>
      <c r="AA33" s="10"/>
      <c r="AB33" s="10"/>
      <c r="AC33" s="10"/>
      <c r="AD33" s="10"/>
      <c r="AE33" s="40"/>
    </row>
    <row r="34" spans="2:40" s="20" customFormat="1" x14ac:dyDescent="0.25">
      <c r="B34" s="206"/>
      <c r="C34" s="18" t="s">
        <v>175</v>
      </c>
      <c r="D34" s="222">
        <f>Mass_Balance!J41*1000</f>
        <v>760</v>
      </c>
      <c r="E34" s="53" t="s">
        <v>140</v>
      </c>
      <c r="F34" s="554">
        <f>IF(Mass_Balance!E7=1, Energy_Balance!M11, IF(Mass_Balance!E7=2,Energy_Balance!M12, IF(Mass_Balance!E7=3,Energy_Balance!M13)))</f>
        <v>0.59441286096802182</v>
      </c>
      <c r="G34" s="53" t="s">
        <v>61</v>
      </c>
      <c r="H34" s="223">
        <f t="shared" si="0"/>
        <v>1278.5726048428928</v>
      </c>
      <c r="I34" s="219" t="s">
        <v>141</v>
      </c>
      <c r="J34" s="1431">
        <f>IF(Mass_Balance!E7=1, F24, IF(Mass_Balance!E7=2, I24, IF(Mass_Balance!E7=3, L24)))</f>
        <v>0.28371126723533935</v>
      </c>
      <c r="K34" s="1432"/>
      <c r="L34" s="1435">
        <f>IF(Mass_Balance!E7=1, G24, IF(Mass_Balance!E7=2,J24, IF(Mass_Balance!E7=3, M24)))</f>
        <v>0.32894165404947873</v>
      </c>
      <c r="M34" s="1432"/>
      <c r="N34" s="219" t="s">
        <v>62</v>
      </c>
      <c r="Q34" s="27" t="s">
        <v>241</v>
      </c>
      <c r="R34" s="197" t="s">
        <v>242</v>
      </c>
      <c r="S34" s="18"/>
      <c r="T34" s="18"/>
      <c r="U34" s="18"/>
      <c r="V34" s="18"/>
      <c r="W34" s="18"/>
      <c r="X34" s="18"/>
      <c r="Y34" s="260" t="s">
        <v>237</v>
      </c>
      <c r="Z34" s="201"/>
      <c r="AA34" s="202"/>
      <c r="AB34" s="32"/>
      <c r="AC34" s="32"/>
      <c r="AD34" s="32"/>
      <c r="AE34" s="41"/>
      <c r="AN34" s="10"/>
    </row>
    <row r="35" spans="2:40" x14ac:dyDescent="0.25">
      <c r="B35" s="57"/>
      <c r="C35" s="190" t="s">
        <v>265</v>
      </c>
      <c r="D35" s="224">
        <f>SUM(D29:D34)</f>
        <v>1036.7435663745614</v>
      </c>
      <c r="E35" s="225" t="s">
        <v>140</v>
      </c>
      <c r="F35" s="217"/>
      <c r="G35" s="381"/>
      <c r="H35" s="381"/>
      <c r="I35" s="218"/>
      <c r="J35" s="1433">
        <f>(AVERAGE(Energy_Balance!J29:K29)*Mass_Balance!D29    + AVERAGE(Energy_Balance!J30:K30)*Mass_Balance!D30 +AVERAGE(Energy_Balance!J31:K31)*Mass_Balance!D31 +AVERAGE(Energy_Balance!J32:K32)*Mass_Balance!D32 +AVERAGE(Energy_Balance!J33:K33)*Mass_Balance!D33)*(100-Mass_Balance!E10)/10000 + Energy_Balance!J34*Mass_Balance!E10/100</f>
        <v>0.24536029719656083</v>
      </c>
      <c r="K35" s="1434"/>
      <c r="L35" s="1436">
        <f>(AVERAGE(L29:M29)*Mass_Balance!D29+AVERAGE(L30:M30)*Mass_Balance!D30+AVERAGE(L31:M31)*Mass_Balance!D31+AVERAGE(L32:M32)*Mass_Balance!D32+AVERAGE(L33:M33)*Mass_Balance!D33)*(100-Mass_Balance!E10)/10000+L34*Mass_Balance!E10/100</f>
        <v>0.27487695787296229</v>
      </c>
      <c r="M35" s="1437"/>
      <c r="N35" s="230" t="s">
        <v>62</v>
      </c>
      <c r="Q35" s="518" t="s">
        <v>298</v>
      </c>
      <c r="R35" s="519"/>
      <c r="S35" s="519" t="s">
        <v>560</v>
      </c>
      <c r="T35" s="519"/>
      <c r="U35" s="519"/>
      <c r="V35" s="519"/>
      <c r="W35" s="519"/>
      <c r="X35" s="34"/>
      <c r="Y35" s="57" t="s">
        <v>243</v>
      </c>
      <c r="Z35" s="34"/>
      <c r="AA35" s="34"/>
      <c r="AB35" s="34"/>
      <c r="AC35" s="34"/>
      <c r="AD35" s="66"/>
      <c r="AE35" s="132"/>
      <c r="AN35" s="18"/>
    </row>
    <row r="36" spans="2:40" x14ac:dyDescent="0.25">
      <c r="C36" s="37"/>
      <c r="D36" s="37"/>
      <c r="E36" s="37"/>
      <c r="H36" s="18"/>
      <c r="K36" s="79"/>
      <c r="L36" s="20"/>
      <c r="M36" s="31"/>
      <c r="N36" s="20"/>
      <c r="O36" s="20"/>
      <c r="P36" s="20"/>
      <c r="Q36" s="20"/>
      <c r="R36" s="20"/>
      <c r="S36" s="20"/>
    </row>
    <row r="37" spans="2:40" x14ac:dyDescent="0.25">
      <c r="C37" s="37"/>
      <c r="D37" s="37"/>
      <c r="E37" s="37"/>
      <c r="H37" s="18"/>
      <c r="J37" s="77"/>
      <c r="K37" s="959"/>
      <c r="L37" s="20"/>
      <c r="M37" s="31"/>
      <c r="N37" s="20"/>
      <c r="O37" s="20"/>
      <c r="P37" s="20"/>
      <c r="Q37" s="20"/>
      <c r="R37" s="20"/>
      <c r="S37" s="20"/>
    </row>
    <row r="38" spans="2:40" x14ac:dyDescent="0.25">
      <c r="C38" s="37"/>
      <c r="D38" s="37"/>
      <c r="E38" s="37"/>
      <c r="H38" s="18"/>
      <c r="J38" s="77"/>
      <c r="K38" s="959"/>
      <c r="L38" s="20"/>
      <c r="M38" s="31"/>
      <c r="N38" s="20"/>
      <c r="O38" s="20"/>
      <c r="P38" s="20"/>
      <c r="Q38" s="20"/>
      <c r="R38" s="20"/>
      <c r="S38" s="20"/>
    </row>
    <row r="39" spans="2:40" x14ac:dyDescent="0.25">
      <c r="C39" s="37"/>
      <c r="D39" s="37"/>
      <c r="E39" s="37"/>
      <c r="J39" s="77"/>
      <c r="K39" s="959"/>
      <c r="M39" s="31"/>
      <c r="N39" s="20"/>
      <c r="O39" s="20"/>
      <c r="P39" s="20"/>
      <c r="Q39" s="20"/>
      <c r="R39" s="20"/>
      <c r="S39" s="20"/>
    </row>
    <row r="40" spans="2:40" ht="18.75" x14ac:dyDescent="0.3">
      <c r="B40" s="108" t="s">
        <v>257</v>
      </c>
      <c r="C40" s="37"/>
      <c r="D40" s="37"/>
      <c r="E40" s="37"/>
      <c r="I40" s="6" t="s">
        <v>18</v>
      </c>
      <c r="J40" s="77"/>
      <c r="K40" s="959"/>
      <c r="N40" s="31"/>
      <c r="O40" s="20"/>
      <c r="P40" s="20"/>
      <c r="Q40" s="20"/>
      <c r="R40" s="20"/>
      <c r="S40" s="20"/>
      <c r="T40" s="20"/>
    </row>
    <row r="41" spans="2:40" x14ac:dyDescent="0.25">
      <c r="B41" s="10"/>
      <c r="C41" s="37"/>
      <c r="D41" s="37"/>
      <c r="E41" s="37"/>
      <c r="F41" s="490"/>
      <c r="I41" s="249" t="s">
        <v>290</v>
      </c>
      <c r="J41" s="77"/>
      <c r="K41" s="959"/>
      <c r="N41" s="31"/>
      <c r="O41" s="20"/>
      <c r="P41" s="20"/>
      <c r="Q41" s="20"/>
      <c r="R41" s="20"/>
      <c r="S41" s="20"/>
      <c r="T41" s="20"/>
    </row>
    <row r="42" spans="2:40" ht="15.75" thickBot="1" x14ac:dyDescent="0.3">
      <c r="C42" s="90"/>
      <c r="I42" s="249" t="s">
        <v>292</v>
      </c>
      <c r="J42" s="6"/>
      <c r="M42" s="31"/>
      <c r="N42" s="20"/>
      <c r="O42" s="20"/>
    </row>
    <row r="43" spans="2:40" ht="15.75" thickBot="1" x14ac:dyDescent="0.3">
      <c r="B43" s="187" t="s">
        <v>180</v>
      </c>
      <c r="C43" s="603">
        <f>((Mass_Balance!D19*67.67+Mass_Balance!D20*(-133.3)+Mass_Balance!D21*(-264)+Mass_Balance!D22*(-224.4)+Mass_Balance!D23*(-365.1))      +     (Mass_Balance!D19*(-0.0142)+Mass_Balance!D20*(-0.0266)+Mass_Balance!D21*(0.1475)+Mass_Balance!D22*(0.1241)+Mass_Balance!D23*(0.2495) )*(E11+Kelvin.Celcius))*Melt/1000</f>
        <v>0.60241012987184905</v>
      </c>
      <c r="D43" s="246" t="s">
        <v>181</v>
      </c>
      <c r="E43" s="127"/>
      <c r="F43" s="127"/>
      <c r="G43" s="245"/>
      <c r="I43" s="28" t="s">
        <v>195</v>
      </c>
      <c r="J43" t="s">
        <v>288</v>
      </c>
      <c r="M43" s="31"/>
      <c r="N43" s="20"/>
      <c r="O43" s="20"/>
    </row>
    <row r="44" spans="2:40" x14ac:dyDescent="0.25">
      <c r="B44" s="28"/>
      <c r="C44" s="604">
        <f>((Mass_Balance!H19*67.67+Mass_Balance!H20*(-133.3)+Mass_Balance!H21*(-264)+Mass_Balance!H22*(-224.4)+Mass_Balance!H23*(-365.1))      +     (Mass_Balance!H19*(-0.0142)+Mass_Balance!H20*(-0.0266)+Mass_Balance!H21*(0.1475)+Mass_Balance!H22*(0.1241)+Mass_Balance!H23*(0.2495) )*(E11+Kelvin.Celcius))*Melt/1000</f>
        <v>0.67866904319786847</v>
      </c>
      <c r="D44" s="602" t="s">
        <v>181</v>
      </c>
      <c r="E44" s="127"/>
      <c r="F44" s="18"/>
      <c r="I44" s="27" t="s">
        <v>196</v>
      </c>
      <c r="J44" s="20" t="s">
        <v>199</v>
      </c>
      <c r="M44" s="31"/>
      <c r="N44" s="18"/>
      <c r="O44" s="18"/>
    </row>
    <row r="45" spans="2:40" x14ac:dyDescent="0.25">
      <c r="B45" s="57"/>
      <c r="C45" s="605">
        <f>((Mass_Balance!L19*67.67+Mass_Balance!L20*(-133.3)+Mass_Balance!L21*(-264)+Mass_Balance!L22*(-224.4)+Mass_Balance!L23*(-365.1))         +      (Mass_Balance!L19*(-0.0142)+Mass_Balance!L20*(-0.0266)+Mass_Balance!L21*(0.1475)+Mass_Balance!L22*(0.1241)+Mass_Balance!L23*(0.2495) )*(E11+Kelvin.Celcius))*Melt/1000</f>
        <v>0.63719242940399956</v>
      </c>
      <c r="D45" s="424" t="s">
        <v>181</v>
      </c>
      <c r="E45" s="127"/>
      <c r="F45" s="18"/>
      <c r="I45" s="27" t="s">
        <v>197</v>
      </c>
      <c r="J45" s="20" t="s">
        <v>198</v>
      </c>
    </row>
    <row r="46" spans="2:40" ht="15.75" thickBot="1" x14ac:dyDescent="0.3">
      <c r="C46" s="557"/>
      <c r="I46" s="28"/>
      <c r="O46" s="10"/>
    </row>
    <row r="47" spans="2:40" ht="15.75" thickBot="1" x14ac:dyDescent="0.3">
      <c r="B47" s="187" t="s">
        <v>182</v>
      </c>
      <c r="C47" s="606">
        <f>C49 + C50 + C51</f>
        <v>1.4757734066605115</v>
      </c>
      <c r="D47" s="21" t="s">
        <v>282</v>
      </c>
      <c r="E47" s="611">
        <f>C47*Mass_Balance!C40</f>
        <v>0.25568881933707238</v>
      </c>
      <c r="F47" s="246" t="s">
        <v>135</v>
      </c>
      <c r="I47" s="28" t="s">
        <v>289</v>
      </c>
      <c r="O47" s="10"/>
    </row>
    <row r="48" spans="2:40" x14ac:dyDescent="0.25">
      <c r="C48" s="607"/>
      <c r="I48" s="28" t="s">
        <v>206</v>
      </c>
      <c r="O48" s="10"/>
      <c r="T48" s="10"/>
    </row>
    <row r="49" spans="2:15" x14ac:dyDescent="0.25">
      <c r="B49" s="59" t="s">
        <v>207</v>
      </c>
      <c r="C49" s="608">
        <f xml:space="preserve"> ((Mass_Balance!C45/Mass_Balance!C40)*1.162*((E11+Kelvin.Celcius)-296)+0.5*(10^(-3)*(Mass_Balance!C45/Mass_Balance!C40)*0.099*((E11+Kelvin.Celcius)^2-296^2))-(10^6)*(Mass_Balance!C45/Mass_Balance!C40)*0.033*((1/(E11+Kelvin.Celcius))-(1/298)))/1000</f>
        <v>1.4546987973278882</v>
      </c>
      <c r="D49" s="41" t="s">
        <v>183</v>
      </c>
      <c r="F49" s="139"/>
      <c r="I49" s="28" t="s">
        <v>291</v>
      </c>
    </row>
    <row r="50" spans="2:15" x14ac:dyDescent="0.25">
      <c r="B50" s="28" t="s">
        <v>208</v>
      </c>
      <c r="C50" s="94">
        <f xml:space="preserve"> ((Mass_Balance!C43/Mass_Balance!C40)*0.78*((E11+Kelvin.Celcius)-296)+0.5*(10^(-3)*(Mass_Balance!C43/Mass_Balance!C40)*0.074*((E11+Kelvin.Celcius)^2-296^2))-(10^6)*(Mass_Balance!C43/Mass_Balance!C40)*0.016*((1/(E11+Kelvin.Celcius))-(1/298)))/1000</f>
        <v>1.5979788902566513E-2</v>
      </c>
      <c r="D50" s="40" t="s">
        <v>183</v>
      </c>
      <c r="F50" s="139"/>
      <c r="I50" s="28"/>
    </row>
    <row r="51" spans="2:15" x14ac:dyDescent="0.25">
      <c r="B51" s="57" t="s">
        <v>209</v>
      </c>
      <c r="C51" s="173">
        <f xml:space="preserve"> ((Mass_Balance!C44/Mass_Balance!C40)*0.911*((E11+Kelvin.Celcius)-296)+0.5*(10^(-3)*(Mass_Balance!C44/Mass_Balance!C40)*0.202*((E11+Kelvin.Celcius)^2-296^2))-(10^6)*(Mass_Balance!C44/Mass_Balance!C40)*0.006*((1/(E11+Kelvin.Celcius))-(1/298)) + (1/3)*10^(-6)*(Mass_Balance!C44/Mass_Balance!C40)*0.032*((E11+Kelvin.Celcius)^3-296^3))/1000</f>
        <v>5.0948204300567375E-3</v>
      </c>
      <c r="D51" s="58" t="s">
        <v>183</v>
      </c>
      <c r="F51" s="139"/>
      <c r="I51" s="28"/>
      <c r="L51" s="20"/>
      <c r="M51" s="20"/>
    </row>
    <row r="52" spans="2:15" ht="15.75" thickBot="1" x14ac:dyDescent="0.3">
      <c r="C52" s="90"/>
      <c r="F52" s="139"/>
      <c r="I52" s="28"/>
    </row>
    <row r="53" spans="2:15" ht="15.75" thickBot="1" x14ac:dyDescent="0.3">
      <c r="B53" s="187" t="s">
        <v>275</v>
      </c>
      <c r="C53" s="609">
        <f xml:space="preserve"> (F56*(C61/100) + F57*(C60/100) + F58*(C58/100))*Melt/1000</f>
        <v>-0.62550232954974161</v>
      </c>
      <c r="D53" s="246" t="s">
        <v>181</v>
      </c>
      <c r="E53" s="250"/>
      <c r="F53" s="95"/>
      <c r="I53" s="28" t="s">
        <v>728</v>
      </c>
    </row>
    <row r="54" spans="2:15" x14ac:dyDescent="0.25">
      <c r="I54" s="28"/>
    </row>
    <row r="55" spans="2:15" x14ac:dyDescent="0.25">
      <c r="B55" s="59" t="s">
        <v>189</v>
      </c>
      <c r="C55" s="63">
        <f>IF( Mass_Balance!E7=1, 100/(Mass_Balance!D19+Mass_Balance!D20+Mass_Balance!D21),    IF( Mass_Balance!E7=2, 100/(Mass_Balance!H19+Mass_Balance!H20+Mass_Balance!H21), IF( Mass_Balance!E7=3, 100/(Mass_Balance!L19+Mass_Balance!L20+Mass_Balance!L21))))</f>
        <v>1.0456092148367326</v>
      </c>
      <c r="D55" s="32"/>
      <c r="E55" s="32"/>
      <c r="F55" s="32"/>
      <c r="G55" s="41"/>
      <c r="I55" s="28"/>
    </row>
    <row r="56" spans="2:15" x14ac:dyDescent="0.25">
      <c r="B56" s="28" t="s">
        <v>59</v>
      </c>
      <c r="C56" s="96">
        <f>IF( Mass_Balance!E7=1, Mass_Balance!D19, IF( Mass_Balance!E7=2, Mass_Balance!H19, IF( Mass_Balance!E7=3, Mass_Balance!L19)))*C55</f>
        <v>76.39860509352215</v>
      </c>
      <c r="D56" s="10" t="s">
        <v>37</v>
      </c>
      <c r="E56" s="522" t="s">
        <v>543</v>
      </c>
      <c r="F56" s="525">
        <v>152</v>
      </c>
      <c r="G56" s="40" t="s">
        <v>192</v>
      </c>
      <c r="I56" s="28"/>
      <c r="J56" s="10"/>
      <c r="K56" s="10"/>
      <c r="O56" s="10"/>
    </row>
    <row r="57" spans="2:15" x14ac:dyDescent="0.25">
      <c r="B57" s="28" t="s">
        <v>122</v>
      </c>
      <c r="C57" s="96">
        <f>IF( Mass_Balance!E7=1, Mass_Balance!D20, IF( Mass_Balance!E7=2, Mass_Balance!H20, IF( Mass_Balance!E7=3, Mass_Balance!L20)))*C55</f>
        <v>13.294938180281095</v>
      </c>
      <c r="D57" s="10" t="s">
        <v>37</v>
      </c>
      <c r="E57" s="522" t="s">
        <v>544</v>
      </c>
      <c r="F57" s="525">
        <v>-3576</v>
      </c>
      <c r="G57" s="40" t="s">
        <v>191</v>
      </c>
      <c r="I57" s="28"/>
      <c r="J57" s="10"/>
      <c r="K57" s="10"/>
      <c r="O57" s="10"/>
    </row>
    <row r="58" spans="2:15" x14ac:dyDescent="0.25">
      <c r="B58" s="28" t="s">
        <v>97</v>
      </c>
      <c r="C58" s="96">
        <f>IF( Mass_Balance!E7=1, Mass_Balance!D21, IF( Mass_Balance!E7=2, Mass_Balance!H21, IF( Mass_Balance!E7=3, Mass_Balance!L21)))*C55</f>
        <v>10.306456726196767</v>
      </c>
      <c r="D58" s="10" t="s">
        <v>37</v>
      </c>
      <c r="E58" s="522" t="s">
        <v>545</v>
      </c>
      <c r="F58" s="525">
        <f>-3303</f>
        <v>-3303</v>
      </c>
      <c r="G58" s="40" t="s">
        <v>190</v>
      </c>
      <c r="I58" s="28"/>
      <c r="J58" s="10"/>
      <c r="K58" s="10"/>
      <c r="O58" s="10"/>
    </row>
    <row r="59" spans="2:15" x14ac:dyDescent="0.25">
      <c r="B59" s="28"/>
      <c r="C59" s="96"/>
      <c r="D59" s="10"/>
      <c r="E59" s="10"/>
      <c r="F59" s="10"/>
      <c r="G59" s="40"/>
      <c r="I59" s="28"/>
      <c r="O59" s="10"/>
    </row>
    <row r="60" spans="2:15" x14ac:dyDescent="0.25">
      <c r="B60" s="28" t="s">
        <v>187</v>
      </c>
      <c r="C60" s="96">
        <f>C57-C58*(Mass_Balance!M7)/(3*Mass_Balance!M11)</f>
        <v>9.4979024386523712</v>
      </c>
      <c r="D60" s="17" t="s">
        <v>31</v>
      </c>
      <c r="E60" s="10"/>
      <c r="F60" s="10"/>
      <c r="G60" s="40"/>
      <c r="I60" s="28"/>
      <c r="O60" s="10"/>
    </row>
    <row r="61" spans="2:15" x14ac:dyDescent="0.25">
      <c r="B61" s="57" t="s">
        <v>188</v>
      </c>
      <c r="C61" s="98">
        <f>C56 - C58*(6*Mass_Balance!M3/(3*Mass_Balance!M11)) - C60*(2*Mass_Balance!M3/Mass_Balance!M7)</f>
        <v>35.897978501806875</v>
      </c>
      <c r="D61" s="34"/>
      <c r="E61" s="34"/>
      <c r="F61" s="34"/>
      <c r="G61" s="58"/>
      <c r="I61" s="28"/>
      <c r="O61" s="10"/>
    </row>
    <row r="62" spans="2:15" ht="15.75" thickBot="1" x14ac:dyDescent="0.3">
      <c r="I62" s="28"/>
      <c r="O62" s="10"/>
    </row>
    <row r="63" spans="2:15" ht="15.75" thickBot="1" x14ac:dyDescent="0.3">
      <c r="B63" s="187" t="s">
        <v>276</v>
      </c>
      <c r="C63" s="558">
        <f>Mass_Balance!C41*SUM(D65:D68)/1000</f>
        <v>0.90476294073518382</v>
      </c>
      <c r="D63" s="246" t="s">
        <v>181</v>
      </c>
      <c r="E63" s="251"/>
      <c r="F63" s="95"/>
      <c r="I63" s="28" t="s">
        <v>235</v>
      </c>
      <c r="O63" s="10"/>
    </row>
    <row r="64" spans="2:15" x14ac:dyDescent="0.25">
      <c r="I64" s="28"/>
      <c r="J64" s="39"/>
      <c r="O64" s="10"/>
    </row>
    <row r="65" spans="1:27" x14ac:dyDescent="0.25">
      <c r="B65" s="59"/>
      <c r="C65" s="36" t="s">
        <v>211</v>
      </c>
      <c r="D65" s="320">
        <f xml:space="preserve">  3040*(    IF( Mass_Balance!E7=1, Mass_Balance!E30, IF( Mass_Balance!E7=2, Mass_Balance!I30,  IF( Mass_Balance!E7=3, Mass_Balance!M30 ))) /Mass_Balance!C41)/1000</f>
        <v>477.34011090032618</v>
      </c>
      <c r="E65" s="41" t="s">
        <v>200</v>
      </c>
      <c r="G65" s="61"/>
      <c r="I65" s="48"/>
      <c r="J65" s="10"/>
      <c r="K65" s="10"/>
      <c r="O65" s="10"/>
    </row>
    <row r="66" spans="1:27" x14ac:dyDescent="0.25">
      <c r="B66" s="28"/>
      <c r="C66" s="11" t="s">
        <v>212</v>
      </c>
      <c r="D66" s="96">
        <f>1796*(  IF( Mass_Balance!E7=1, Mass_Balance!E31, IF( Mass_Balance!E7=2, Mass_Balance!I31,  IF( Mass_Balance!E7=3, Mass_Balance!M31 )))  /Mass_Balance!C41)/1000</f>
        <v>119.10264942180503</v>
      </c>
      <c r="E66" s="40" t="s">
        <v>201</v>
      </c>
      <c r="G66" s="61"/>
      <c r="I66" s="28"/>
      <c r="J66" s="10"/>
      <c r="K66" s="10"/>
      <c r="O66" s="10"/>
    </row>
    <row r="67" spans="1:27" x14ac:dyDescent="0.25">
      <c r="B67" s="28"/>
      <c r="C67" s="11" t="s">
        <v>213</v>
      </c>
      <c r="D67" s="96">
        <f xml:space="preserve"> 1649*(  IF( Mass_Balance!E7=1, Mass_Balance!E32, IF( Mass_Balance!E7=2, Mass_Balance!I32,  IF( Mass_Balance!E7=3, Mass_Balance!M32 )))/Mass_Balance!C41)/1000</f>
        <v>153.18635341146683</v>
      </c>
      <c r="E67" s="40" t="s">
        <v>203</v>
      </c>
      <c r="G67" s="61"/>
      <c r="I67" s="28"/>
      <c r="J67" s="10"/>
      <c r="K67" s="10"/>
      <c r="L67" s="18"/>
      <c r="M67" s="99"/>
      <c r="N67" s="18"/>
      <c r="O67" s="18"/>
      <c r="P67" s="18"/>
    </row>
    <row r="68" spans="1:27" x14ac:dyDescent="0.25">
      <c r="B68" s="57"/>
      <c r="C68" s="68" t="s">
        <v>214</v>
      </c>
      <c r="D68" s="98">
        <f xml:space="preserve"> 4063*(   IF( Mass_Balance!E7=1, Mass_Balance!E33, IF( Mass_Balance!E7=2, Mass_Balance!I33,  IF( Mass_Balance!E7=3, Mass_Balance!M33 )))/Mass_Balance!C41)/1000</f>
        <v>21.525501839752586</v>
      </c>
      <c r="E68" s="58" t="s">
        <v>202</v>
      </c>
      <c r="G68" s="61"/>
      <c r="I68" s="28"/>
      <c r="J68" s="10"/>
      <c r="K68" s="10"/>
    </row>
    <row r="69" spans="1:27" x14ac:dyDescent="0.25">
      <c r="G69" s="77"/>
      <c r="I69" s="27"/>
      <c r="L69" s="18"/>
      <c r="M69" s="99"/>
      <c r="N69" s="17"/>
      <c r="O69" s="76"/>
      <c r="P69" s="18"/>
    </row>
    <row r="70" spans="1:27" x14ac:dyDescent="0.25">
      <c r="I70" s="28"/>
      <c r="K70" s="18"/>
      <c r="L70" s="18"/>
      <c r="M70" s="18"/>
      <c r="N70" s="18"/>
      <c r="O70" s="18"/>
      <c r="P70" s="18"/>
    </row>
    <row r="71" spans="1:27" x14ac:dyDescent="0.25">
      <c r="B71" s="1233" t="s">
        <v>210</v>
      </c>
      <c r="C71" s="1234">
        <f>C53 + C63</f>
        <v>0.27926061118544221</v>
      </c>
      <c r="D71" s="195" t="s">
        <v>135</v>
      </c>
      <c r="I71" s="28" t="s">
        <v>729</v>
      </c>
      <c r="L71" s="17"/>
      <c r="M71" s="100"/>
      <c r="N71" s="18"/>
      <c r="O71" s="18"/>
      <c r="P71" s="18"/>
    </row>
    <row r="72" spans="1:27" x14ac:dyDescent="0.25">
      <c r="C72" s="94"/>
      <c r="E72" s="73"/>
      <c r="F72" s="18"/>
      <c r="I72" s="28"/>
      <c r="L72" s="18"/>
      <c r="M72" s="99"/>
      <c r="N72" s="81"/>
      <c r="O72" s="18"/>
      <c r="P72" s="49"/>
    </row>
    <row r="73" spans="1:27" x14ac:dyDescent="0.25">
      <c r="B73" s="1235" t="s">
        <v>278</v>
      </c>
      <c r="C73" s="345">
        <f>IF(Mass_Balance!E7=1, C43, IF(Mass_Balance!E7=2, C44, IF(Mass_Balance!E7=3, C45))) + E47 + C71</f>
        <v>1.1373595603943638</v>
      </c>
      <c r="D73" s="1236" t="s">
        <v>135</v>
      </c>
      <c r="E73" s="81"/>
      <c r="F73" s="18"/>
      <c r="I73" s="25" t="s">
        <v>299</v>
      </c>
      <c r="L73" s="17"/>
      <c r="M73" s="101"/>
      <c r="N73" s="81"/>
      <c r="O73" s="18"/>
      <c r="P73" s="18"/>
      <c r="Q73" s="18"/>
      <c r="R73" s="18"/>
      <c r="S73" s="18"/>
      <c r="T73" s="18"/>
      <c r="U73" s="18"/>
      <c r="V73" s="18"/>
      <c r="W73" s="18"/>
      <c r="X73" s="18"/>
      <c r="Y73" s="81"/>
      <c r="Z73" s="18"/>
      <c r="AA73" s="18"/>
    </row>
    <row r="74" spans="1:27" ht="15.75" thickBot="1" x14ac:dyDescent="0.3">
      <c r="C74" s="77"/>
      <c r="E74" s="18"/>
      <c r="F74" s="18"/>
      <c r="I74" s="28"/>
      <c r="L74" s="17"/>
      <c r="N74" s="81"/>
      <c r="O74" s="18"/>
      <c r="P74" s="18"/>
      <c r="Q74" s="18"/>
      <c r="R74" s="18"/>
      <c r="S74" s="18"/>
      <c r="T74" s="18"/>
      <c r="U74" s="18"/>
      <c r="V74" s="18"/>
      <c r="W74" s="18"/>
      <c r="X74" s="18"/>
      <c r="Y74" s="81"/>
      <c r="Z74" s="18"/>
      <c r="AA74" s="18"/>
    </row>
    <row r="75" spans="1:27" ht="15.75" thickBot="1" x14ac:dyDescent="0.3">
      <c r="B75" s="272" t="s">
        <v>302</v>
      </c>
      <c r="C75" s="477">
        <f>((1-Mass_Balance!C39)*(C73) + Mass_Balance!C39*(Mass_Balance!C41/Melt)*C43)/(1+(Mass_Balance!C40/Melt)*Mass_Balance!C39)</f>
        <v>0.71585947126759986</v>
      </c>
      <c r="D75" s="273" t="s">
        <v>135</v>
      </c>
      <c r="E75" s="614"/>
      <c r="F75" s="612"/>
      <c r="I75" s="103" t="s">
        <v>558</v>
      </c>
      <c r="L75" s="17"/>
      <c r="M75" s="28" t="s">
        <v>1082</v>
      </c>
      <c r="N75" s="81"/>
      <c r="O75" s="18"/>
      <c r="P75" s="18"/>
      <c r="Q75" s="18"/>
      <c r="R75" s="18"/>
      <c r="S75" s="35"/>
      <c r="T75" s="35"/>
      <c r="U75" s="18"/>
      <c r="V75" s="18"/>
      <c r="W75" s="18"/>
      <c r="X75" s="18"/>
      <c r="Y75" s="81"/>
      <c r="Z75" s="18"/>
      <c r="AA75" s="18"/>
    </row>
    <row r="76" spans="1:27" x14ac:dyDescent="0.25">
      <c r="F76" s="46"/>
      <c r="I76" s="163">
        <f>((1-Mass_Balance!C39)*(C73) + Mass_Balance!C39*Mass_Balance!J39*C43)/(1+Mass_Balance!E54*Mass_Balance!C39)</f>
        <v>0.72731014644004499</v>
      </c>
      <c r="J76" t="s">
        <v>557</v>
      </c>
      <c r="L76" s="17"/>
      <c r="M76" s="1345" t="s">
        <v>1083</v>
      </c>
      <c r="N76" s="81"/>
      <c r="O76" s="18"/>
      <c r="P76" s="18"/>
      <c r="Q76" s="18"/>
      <c r="R76" s="18"/>
      <c r="S76" s="35"/>
      <c r="T76" s="35"/>
      <c r="U76" s="18"/>
      <c r="V76" s="18"/>
      <c r="W76" s="18"/>
      <c r="X76" s="18"/>
      <c r="Y76" s="18"/>
      <c r="Z76" s="18"/>
      <c r="AA76" s="18"/>
    </row>
    <row r="77" spans="1:27" x14ac:dyDescent="0.25">
      <c r="I77" s="28"/>
      <c r="L77" s="17"/>
      <c r="M77" s="101"/>
      <c r="N77" s="81"/>
      <c r="O77" s="18"/>
      <c r="P77" s="18"/>
      <c r="Q77" s="18"/>
      <c r="R77" s="18"/>
      <c r="S77" s="18"/>
      <c r="T77" s="18"/>
      <c r="U77" s="18"/>
      <c r="V77" s="18"/>
      <c r="W77" s="18"/>
      <c r="X77" s="18"/>
      <c r="Y77" s="18"/>
      <c r="Z77" s="18"/>
      <c r="AA77" s="18"/>
    </row>
    <row r="78" spans="1:27" ht="15.75" x14ac:dyDescent="0.25">
      <c r="A78" s="261"/>
      <c r="B78" s="1237" t="s">
        <v>481</v>
      </c>
      <c r="C78" s="345">
        <f>(Melt*1000)*(T.furnace - T.melt)   *   IF( Mass_Balance!E7=1, (1/M11)*(L35), IF( Mass_Balance!E7=2, (1/M12)*(L35),  IF( Mass_Balance!E7=3, (1/M13)*(L35) ))) /1000000</f>
        <v>0.19229872310592885</v>
      </c>
      <c r="D78" s="1236" t="s">
        <v>135</v>
      </c>
      <c r="E78" s="583"/>
      <c r="F78" s="45"/>
      <c r="I78" s="254" t="s">
        <v>303</v>
      </c>
      <c r="L78" s="17"/>
      <c r="M78" s="101"/>
      <c r="N78" s="81"/>
      <c r="O78" s="18"/>
      <c r="P78" s="18"/>
      <c r="Q78" s="18"/>
      <c r="R78" s="18"/>
      <c r="S78" s="18"/>
      <c r="T78" s="18"/>
      <c r="U78" s="18"/>
      <c r="V78" s="18"/>
      <c r="W78" s="18"/>
      <c r="X78" s="18"/>
      <c r="Y78" s="18"/>
      <c r="Z78" s="18"/>
      <c r="AA78" s="18"/>
    </row>
    <row r="79" spans="1:27" x14ac:dyDescent="0.25">
      <c r="A79" s="262"/>
      <c r="C79" s="10"/>
      <c r="D79" s="10"/>
      <c r="E79" s="10"/>
      <c r="F79" s="570"/>
      <c r="I79" s="256" t="s">
        <v>317</v>
      </c>
      <c r="L79" s="18"/>
      <c r="M79" s="18"/>
      <c r="N79" s="18"/>
      <c r="O79" s="18"/>
      <c r="P79" s="18"/>
      <c r="Q79" s="17"/>
      <c r="R79" s="311"/>
      <c r="S79" s="18"/>
      <c r="T79" s="18"/>
      <c r="U79" s="18"/>
      <c r="V79" s="18"/>
      <c r="W79" s="18"/>
      <c r="X79" s="18"/>
      <c r="Y79" s="18"/>
      <c r="Z79" s="18"/>
      <c r="AA79" s="18"/>
    </row>
    <row r="80" spans="1:27" ht="15.75" thickBot="1" x14ac:dyDescent="0.3">
      <c r="B80" s="10"/>
      <c r="C80" s="10"/>
      <c r="D80" s="10"/>
      <c r="E80" s="10"/>
      <c r="F80" s="257"/>
      <c r="I80" s="28"/>
      <c r="O80" s="18"/>
      <c r="P80" s="18"/>
      <c r="Q80" s="17"/>
      <c r="R80" s="311"/>
      <c r="S80" s="18"/>
      <c r="T80" s="18"/>
      <c r="U80" s="35"/>
      <c r="V80" s="18"/>
      <c r="W80" s="18"/>
      <c r="X80" s="18"/>
      <c r="Y80" s="18"/>
      <c r="Z80" s="18"/>
      <c r="AA80" s="18"/>
    </row>
    <row r="81" spans="2:52" ht="15.75" thickBot="1" x14ac:dyDescent="0.3">
      <c r="B81" s="274" t="s">
        <v>319</v>
      </c>
      <c r="C81" s="477">
        <f>C75+C78</f>
        <v>0.90815819437352874</v>
      </c>
      <c r="D81" s="273" t="s">
        <v>135</v>
      </c>
      <c r="E81" s="77"/>
      <c r="F81" s="79"/>
      <c r="I81" s="28" t="s">
        <v>306</v>
      </c>
      <c r="O81" s="18"/>
      <c r="P81" s="18"/>
      <c r="Q81" s="18"/>
      <c r="R81" s="18"/>
      <c r="S81" s="18"/>
      <c r="T81" s="18"/>
      <c r="U81" s="35"/>
      <c r="V81" s="18"/>
      <c r="W81" s="18"/>
      <c r="X81" s="18"/>
      <c r="Y81" s="18"/>
      <c r="Z81" s="18"/>
      <c r="AA81" s="18"/>
    </row>
    <row r="82" spans="2:52" x14ac:dyDescent="0.25">
      <c r="F82" s="46"/>
      <c r="I82" s="10"/>
      <c r="O82" s="18"/>
      <c r="P82" s="18"/>
      <c r="Q82" s="18"/>
      <c r="R82" s="18"/>
      <c r="S82" s="18"/>
      <c r="T82" s="18"/>
      <c r="U82" s="18"/>
      <c r="V82" s="18"/>
      <c r="W82" s="18"/>
      <c r="X82" s="18"/>
      <c r="Y82" s="18"/>
      <c r="Z82" s="18"/>
      <c r="AA82" s="18"/>
    </row>
    <row r="83" spans="2:52" x14ac:dyDescent="0.25">
      <c r="F83" s="46"/>
      <c r="I83" s="10"/>
    </row>
    <row r="84" spans="2:52" x14ac:dyDescent="0.25">
      <c r="F84" s="10"/>
      <c r="G84" s="10"/>
      <c r="I84" s="10"/>
    </row>
    <row r="85" spans="2:52" x14ac:dyDescent="0.25">
      <c r="F85" s="10"/>
      <c r="G85" s="10"/>
      <c r="I85" s="10"/>
    </row>
    <row r="86" spans="2:52" x14ac:dyDescent="0.25">
      <c r="F86" s="10"/>
      <c r="G86" s="10"/>
      <c r="I86" s="10"/>
    </row>
    <row r="87" spans="2:52" x14ac:dyDescent="0.25">
      <c r="F87" s="10"/>
      <c r="G87" s="10"/>
      <c r="I87" s="10"/>
    </row>
    <row r="88" spans="2:52" x14ac:dyDescent="0.25">
      <c r="F88" s="10"/>
      <c r="G88" s="10"/>
      <c r="I88" s="37"/>
    </row>
    <row r="89" spans="2:52" x14ac:dyDescent="0.25">
      <c r="F89" s="109"/>
      <c r="G89" s="277"/>
      <c r="I89" s="37"/>
    </row>
    <row r="90" spans="2:52" x14ac:dyDescent="0.25">
      <c r="B90" s="17"/>
      <c r="C90" s="192"/>
      <c r="D90" s="18"/>
      <c r="E90" s="255"/>
      <c r="F90" s="18"/>
      <c r="G90" s="10"/>
      <c r="I90" s="18"/>
      <c r="J90" s="20"/>
      <c r="K90" s="10"/>
      <c r="L90" s="10"/>
      <c r="S90" s="117"/>
      <c r="T90" s="10"/>
      <c r="W90" s="10"/>
      <c r="AB90" s="18"/>
      <c r="AC90" s="18"/>
      <c r="AD90" s="18"/>
      <c r="AE90" s="18"/>
      <c r="AF90" s="18"/>
      <c r="AG90" s="18"/>
      <c r="AH90" s="18"/>
      <c r="AI90" s="18"/>
      <c r="AJ90" s="18"/>
      <c r="AK90" s="18"/>
      <c r="AR90" s="18"/>
    </row>
    <row r="91" spans="2:52" x14ac:dyDescent="0.25">
      <c r="B91" s="17"/>
      <c r="C91" s="127"/>
      <c r="D91" s="18"/>
      <c r="E91" s="127"/>
      <c r="F91" s="18"/>
      <c r="I91" s="10"/>
      <c r="K91" s="10"/>
      <c r="L91" s="10"/>
      <c r="S91" s="118"/>
      <c r="T91" s="10"/>
      <c r="AB91" s="18"/>
      <c r="AC91" s="18"/>
      <c r="AD91" s="18"/>
      <c r="AE91" s="18"/>
      <c r="AF91" s="18"/>
      <c r="AG91" s="18"/>
      <c r="AH91" s="18"/>
      <c r="AI91" s="18"/>
      <c r="AJ91" s="18"/>
      <c r="AK91" s="18"/>
      <c r="AR91" s="18"/>
    </row>
    <row r="92" spans="2:52" x14ac:dyDescent="0.25">
      <c r="B92" s="73"/>
      <c r="C92" s="127"/>
      <c r="D92" s="18"/>
      <c r="E92" s="569"/>
      <c r="F92" s="35"/>
      <c r="I92" s="10"/>
      <c r="K92" s="10"/>
      <c r="L92" s="10"/>
      <c r="S92" s="119"/>
      <c r="T92" s="10"/>
      <c r="X92" s="10"/>
      <c r="AB92" s="18"/>
      <c r="AC92" s="18"/>
      <c r="AD92" s="18"/>
      <c r="AE92" s="18"/>
      <c r="AF92" s="49"/>
      <c r="AG92" s="35"/>
      <c r="AH92" s="35"/>
      <c r="AI92" s="35"/>
      <c r="AJ92" s="35"/>
      <c r="AK92" s="18"/>
      <c r="AR92" s="18"/>
    </row>
    <row r="93" spans="2:52" x14ac:dyDescent="0.25">
      <c r="B93" s="18"/>
      <c r="C93" s="140"/>
      <c r="D93" s="18"/>
      <c r="E93" s="18"/>
      <c r="F93" s="18"/>
      <c r="I93" s="10"/>
      <c r="K93" s="10"/>
      <c r="L93" s="10"/>
      <c r="S93" s="18"/>
      <c r="T93" s="10"/>
      <c r="AB93" s="18"/>
      <c r="AC93" s="18"/>
      <c r="AD93" s="18"/>
      <c r="AE93" s="18"/>
      <c r="AF93" s="49"/>
      <c r="AG93" s="18"/>
      <c r="AH93" s="18"/>
      <c r="AI93" s="18"/>
      <c r="AJ93" s="18"/>
      <c r="AK93" s="18"/>
      <c r="AR93" s="18"/>
      <c r="AS93" s="35"/>
      <c r="AT93" s="18"/>
      <c r="AU93" s="18"/>
      <c r="AV93" s="18"/>
      <c r="AW93" s="18"/>
      <c r="AX93" s="18"/>
      <c r="AY93" s="18"/>
      <c r="AZ93" s="18"/>
    </row>
    <row r="94" spans="2:52" x14ac:dyDescent="0.25">
      <c r="B94" s="18"/>
      <c r="C94" s="18"/>
      <c r="D94" s="306"/>
      <c r="E94" s="18"/>
      <c r="F94" s="192"/>
      <c r="G94" s="20"/>
      <c r="I94" s="10"/>
      <c r="K94" s="10"/>
      <c r="S94" s="10"/>
      <c r="T94" s="10"/>
      <c r="AB94" s="18"/>
      <c r="AC94" s="18"/>
      <c r="AD94" s="18"/>
      <c r="AE94" s="18"/>
      <c r="AF94" s="49"/>
      <c r="AG94" s="18"/>
      <c r="AH94" s="18"/>
      <c r="AI94" s="18"/>
      <c r="AJ94" s="18"/>
      <c r="AK94" s="18"/>
      <c r="AS94" s="18"/>
      <c r="AT94" s="18"/>
      <c r="AU94" s="18"/>
      <c r="AV94" s="18"/>
      <c r="AW94" s="18"/>
      <c r="AX94" s="18"/>
      <c r="AY94" s="18"/>
      <c r="AZ94" s="18"/>
    </row>
    <row r="95" spans="2:52" s="20" customFormat="1" x14ac:dyDescent="0.25">
      <c r="B95" s="18"/>
      <c r="C95" s="18"/>
      <c r="D95" s="306"/>
      <c r="E95" s="18"/>
      <c r="F95" s="192"/>
      <c r="G95"/>
      <c r="I95" s="568"/>
      <c r="K95"/>
      <c r="S95" s="18"/>
      <c r="T95" s="73"/>
      <c r="V95" s="24"/>
      <c r="AB95" s="18"/>
      <c r="AC95" s="18"/>
      <c r="AD95" s="18"/>
      <c r="AE95" s="18"/>
      <c r="AF95" s="49"/>
      <c r="AG95" s="18"/>
      <c r="AH95" s="18"/>
      <c r="AI95" s="18"/>
      <c r="AJ95" s="18"/>
      <c r="AK95" s="18"/>
      <c r="AR95"/>
      <c r="AS95" s="18"/>
      <c r="AT95" s="18"/>
      <c r="AU95" s="18"/>
      <c r="AV95" s="18"/>
      <c r="AW95" s="18"/>
      <c r="AX95" s="18"/>
      <c r="AY95" s="18"/>
      <c r="AZ95" s="18"/>
    </row>
    <row r="96" spans="2:52" x14ac:dyDescent="0.25">
      <c r="B96" s="18"/>
      <c r="C96" s="18"/>
      <c r="D96" s="306"/>
      <c r="E96" s="18"/>
      <c r="F96" s="192"/>
      <c r="G96" s="20"/>
      <c r="I96" s="37"/>
      <c r="J96" s="10"/>
      <c r="K96" s="109"/>
      <c r="L96" s="10"/>
      <c r="M96" s="10"/>
      <c r="N96" s="10"/>
      <c r="O96" s="18"/>
      <c r="P96" s="10"/>
      <c r="Q96" s="10"/>
      <c r="R96" s="10"/>
      <c r="S96" s="10"/>
      <c r="T96" s="10"/>
      <c r="AB96" s="18"/>
      <c r="AC96" s="18"/>
      <c r="AD96" s="18"/>
      <c r="AE96" s="18"/>
      <c r="AF96" s="18"/>
      <c r="AG96" s="18"/>
      <c r="AH96" s="18"/>
      <c r="AI96" s="18"/>
      <c r="AJ96" s="18"/>
      <c r="AK96" s="18"/>
      <c r="AS96" s="18"/>
      <c r="AT96" s="18"/>
      <c r="AU96" s="18"/>
      <c r="AV96" s="18"/>
      <c r="AW96" s="18"/>
      <c r="AX96" s="18"/>
      <c r="AY96" s="18"/>
      <c r="AZ96" s="18"/>
    </row>
    <row r="97" spans="2:52" s="20" customFormat="1" x14ac:dyDescent="0.25">
      <c r="B97" s="18"/>
      <c r="C97" s="18"/>
      <c r="D97" s="18"/>
      <c r="E97" s="18"/>
      <c r="F97" s="18"/>
      <c r="I97" s="35"/>
      <c r="J97" s="10"/>
      <c r="K97" s="10"/>
      <c r="L97" s="10"/>
      <c r="M97" s="10"/>
      <c r="N97" s="10"/>
      <c r="O97" s="10"/>
      <c r="P97" s="10"/>
      <c r="Q97" s="10"/>
      <c r="R97" s="10"/>
      <c r="S97" s="18"/>
      <c r="T97" s="18"/>
      <c r="Y97" s="191"/>
      <c r="AB97" s="18"/>
      <c r="AC97" s="18"/>
      <c r="AD97" s="18"/>
      <c r="AE97" s="18"/>
      <c r="AF97" s="18"/>
      <c r="AG97" s="18"/>
      <c r="AH97" s="18"/>
      <c r="AI97" s="18"/>
      <c r="AJ97" s="18"/>
      <c r="AK97" s="49"/>
      <c r="AR97" s="18"/>
      <c r="AS97" s="18"/>
      <c r="AT97" s="18"/>
      <c r="AU97" s="18"/>
      <c r="AV97" s="18"/>
      <c r="AW97" s="18"/>
      <c r="AX97" s="18"/>
      <c r="AY97" s="18"/>
      <c r="AZ97" s="18"/>
    </row>
    <row r="98" spans="2:52" s="20" customFormat="1" x14ac:dyDescent="0.25">
      <c r="B98" s="18"/>
      <c r="C98" s="18"/>
      <c r="D98" s="18"/>
      <c r="E98" s="18"/>
      <c r="F98" s="18"/>
      <c r="I98" s="18"/>
      <c r="J98" s="18"/>
      <c r="K98" s="18"/>
      <c r="L98" s="18"/>
      <c r="M98" s="18"/>
      <c r="N98" s="18"/>
      <c r="O98" s="194"/>
      <c r="P98" s="10"/>
      <c r="Q98" s="10"/>
      <c r="R98" s="92"/>
      <c r="T98" s="18"/>
      <c r="AB98" s="18"/>
      <c r="AC98" s="18"/>
      <c r="AD98" s="18"/>
      <c r="AE98" s="18"/>
      <c r="AF98" s="18"/>
      <c r="AG98" s="18"/>
      <c r="AH98" s="35"/>
      <c r="AI98" s="35"/>
      <c r="AJ98" s="35"/>
      <c r="AK98" s="18"/>
      <c r="AR98" s="18"/>
      <c r="AS98" s="18"/>
      <c r="AT98" s="18"/>
      <c r="AU98" s="18"/>
      <c r="AV98" s="18"/>
      <c r="AW98" s="18"/>
      <c r="AX98" s="18"/>
      <c r="AY98" s="18"/>
      <c r="AZ98" s="18"/>
    </row>
    <row r="99" spans="2:52" x14ac:dyDescent="0.25">
      <c r="B99" s="18"/>
      <c r="C99" s="18"/>
      <c r="D99" s="18"/>
      <c r="E99" s="18"/>
      <c r="F99" s="73"/>
      <c r="I99" s="10"/>
      <c r="M99" s="8"/>
      <c r="AS99" s="17"/>
      <c r="AT99" s="35"/>
      <c r="AU99" s="35"/>
      <c r="AV99" s="18"/>
      <c r="AW99" s="18"/>
      <c r="AX99" s="18"/>
      <c r="AY99" s="18"/>
      <c r="AZ99" s="18"/>
    </row>
    <row r="100" spans="2:52" ht="15" customHeight="1" x14ac:dyDescent="0.25">
      <c r="B100" s="35"/>
      <c r="C100" s="73"/>
      <c r="D100" s="81"/>
      <c r="E100" s="18"/>
      <c r="F100" s="81"/>
      <c r="I100" s="10"/>
      <c r="M100" s="8"/>
      <c r="AX100" s="18"/>
      <c r="AY100" s="18"/>
      <c r="AZ100" s="18"/>
    </row>
    <row r="101" spans="2:52" x14ac:dyDescent="0.25">
      <c r="B101" s="35"/>
      <c r="C101" s="18"/>
      <c r="D101" s="81"/>
      <c r="E101" s="140"/>
      <c r="F101" s="18"/>
      <c r="I101" s="10"/>
      <c r="AX101" s="18"/>
      <c r="AY101" s="18"/>
      <c r="AZ101" s="18"/>
    </row>
    <row r="102" spans="2:52" x14ac:dyDescent="0.25">
      <c r="B102" s="18"/>
      <c r="C102" s="18"/>
      <c r="D102" s="18"/>
      <c r="E102" s="18"/>
      <c r="F102" s="18"/>
      <c r="I102" s="10"/>
      <c r="AX102" s="18"/>
      <c r="AY102" s="18"/>
      <c r="AZ102" s="18"/>
    </row>
    <row r="103" spans="2:52" x14ac:dyDescent="0.25">
      <c r="B103" s="18"/>
      <c r="C103" s="18"/>
      <c r="D103" s="18"/>
      <c r="E103" s="18"/>
      <c r="F103" s="18"/>
      <c r="I103" s="10"/>
      <c r="AX103" s="18"/>
      <c r="AY103" s="18"/>
      <c r="AZ103" s="18"/>
    </row>
    <row r="104" spans="2:52" x14ac:dyDescent="0.25">
      <c r="B104" s="18"/>
      <c r="C104" s="18"/>
      <c r="D104" s="18"/>
      <c r="E104" s="18"/>
      <c r="F104" s="18"/>
      <c r="I104" s="10"/>
      <c r="AX104" s="18"/>
      <c r="AY104" s="18"/>
      <c r="AZ104" s="18"/>
    </row>
    <row r="105" spans="2:52" x14ac:dyDescent="0.25">
      <c r="B105" s="18"/>
      <c r="C105" s="18"/>
      <c r="D105" s="18"/>
      <c r="E105" s="18"/>
      <c r="F105" s="18"/>
      <c r="I105" s="10"/>
      <c r="AX105" s="18"/>
      <c r="AY105" s="18"/>
      <c r="AZ105" s="18"/>
    </row>
    <row r="106" spans="2:52" x14ac:dyDescent="0.25">
      <c r="B106" s="91"/>
      <c r="C106" s="91"/>
      <c r="D106" s="91"/>
      <c r="E106" s="91"/>
      <c r="F106" s="91"/>
      <c r="I106" s="10"/>
      <c r="AX106" s="18"/>
      <c r="AY106" s="18"/>
      <c r="AZ106" s="18"/>
    </row>
    <row r="107" spans="2:52" x14ac:dyDescent="0.25">
      <c r="B107" s="18"/>
      <c r="C107" s="35"/>
      <c r="D107" s="18"/>
      <c r="E107" s="18"/>
      <c r="F107" s="18"/>
      <c r="I107" s="10"/>
      <c r="AX107" s="18"/>
      <c r="AY107" s="18"/>
      <c r="AZ107" s="18"/>
    </row>
    <row r="108" spans="2:52" x14ac:dyDescent="0.25">
      <c r="B108" s="18"/>
      <c r="C108" s="18"/>
      <c r="D108" s="81"/>
      <c r="E108" s="18"/>
      <c r="F108" s="18"/>
      <c r="I108" s="154"/>
      <c r="J108" s="10"/>
      <c r="K108" s="18"/>
      <c r="L108" s="10"/>
      <c r="M108" s="10"/>
      <c r="N108" s="109"/>
      <c r="O108" s="18"/>
      <c r="AX108" s="18"/>
      <c r="AY108" s="18"/>
      <c r="AZ108" s="18"/>
    </row>
    <row r="109" spans="2:52" x14ac:dyDescent="0.25">
      <c r="B109" s="18"/>
      <c r="C109" s="18"/>
      <c r="D109" s="81"/>
      <c r="E109" s="18"/>
      <c r="F109" s="18"/>
      <c r="G109" s="10"/>
      <c r="H109" s="568"/>
      <c r="I109" s="10"/>
      <c r="J109" s="18"/>
      <c r="K109" s="10"/>
      <c r="L109" s="10"/>
      <c r="M109" s="109"/>
      <c r="N109" s="18"/>
    </row>
    <row r="110" spans="2:52" x14ac:dyDescent="0.25">
      <c r="B110" s="18"/>
      <c r="C110" s="18"/>
      <c r="D110" s="81"/>
      <c r="E110" s="18"/>
      <c r="F110" s="18"/>
      <c r="G110" s="10"/>
      <c r="H110" s="37"/>
      <c r="I110" s="10"/>
      <c r="J110" s="18"/>
      <c r="K110" s="10"/>
      <c r="L110" s="10"/>
      <c r="M110" s="109"/>
      <c r="N110" s="18"/>
      <c r="AG110" s="79"/>
    </row>
    <row r="111" spans="2:52" x14ac:dyDescent="0.25">
      <c r="B111" s="18"/>
      <c r="C111" s="73"/>
      <c r="D111" s="135"/>
      <c r="E111" s="35"/>
      <c r="F111" s="18"/>
      <c r="G111" s="10"/>
      <c r="H111" s="37"/>
    </row>
    <row r="112" spans="2:52" x14ac:dyDescent="0.25">
      <c r="G112" s="10"/>
      <c r="H112" s="37"/>
      <c r="L112" s="20"/>
      <c r="M112" s="20"/>
      <c r="N112" s="20"/>
    </row>
    <row r="113" spans="8:14" x14ac:dyDescent="0.25">
      <c r="H113" s="37"/>
      <c r="L113" s="31"/>
      <c r="M113" s="20"/>
      <c r="N113" s="20"/>
    </row>
    <row r="114" spans="8:14" x14ac:dyDescent="0.25">
      <c r="H114" s="37"/>
      <c r="L114" s="31"/>
      <c r="M114" s="20"/>
      <c r="N114" s="20"/>
    </row>
    <row r="115" spans="8:14" x14ac:dyDescent="0.25">
      <c r="H115" s="37"/>
      <c r="L115" s="31"/>
      <c r="M115" s="20"/>
      <c r="N115" s="20"/>
    </row>
  </sheetData>
  <mergeCells count="12">
    <mergeCell ref="B5:B6"/>
    <mergeCell ref="B16:B17"/>
    <mergeCell ref="B18:B19"/>
    <mergeCell ref="F16:H16"/>
    <mergeCell ref="I16:K16"/>
    <mergeCell ref="L16:N16"/>
    <mergeCell ref="J34:K34"/>
    <mergeCell ref="J35:K35"/>
    <mergeCell ref="L34:M34"/>
    <mergeCell ref="L35:M35"/>
    <mergeCell ref="J27:K27"/>
    <mergeCell ref="L27:M27"/>
  </mergeCells>
  <hyperlinks>
    <hyperlink ref="Q29" r:id="rId1"/>
    <hyperlink ref="Q30" r:id="rId2"/>
    <hyperlink ref="Q33" r:id="rId3" location="Thermo-Condensed"/>
    <hyperlink ref="S24" r:id="rId4"/>
    <hyperlink ref="S23" r:id="rId5"/>
    <hyperlink ref="R34" r:id="rId6"/>
    <hyperlink ref="R31" r:id="rId7"/>
    <hyperlink ref="AA31" r:id="rId8"/>
    <hyperlink ref="S32" r:id="rId9"/>
  </hyperlinks>
  <pageMargins left="0.7" right="0.7" top="0.75" bottom="0.75" header="0.3" footer="0.3"/>
  <pageSetup orientation="portrait" r:id="rId10"/>
  <customProperties>
    <customPr name="EpmWorksheetKeyString_GUID" r:id="rId11"/>
  </customProperties>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12</vt:i4>
      </vt:variant>
      <vt:variant>
        <vt:lpstr>Περιοχές με ονόματα</vt:lpstr>
      </vt:variant>
      <vt:variant>
        <vt:i4>43</vt:i4>
      </vt:variant>
    </vt:vector>
  </HeadingPairs>
  <TitlesOfParts>
    <vt:vector size="55" baseType="lpstr">
      <vt:lpstr>Cover_Sheet</vt:lpstr>
      <vt:lpstr>Global</vt:lpstr>
      <vt:lpstr>Economic_Analysis</vt:lpstr>
      <vt:lpstr>D1_Furnace</vt:lpstr>
      <vt:lpstr>Heat_Balance</vt:lpstr>
      <vt:lpstr>1.Batch_Preparation</vt:lpstr>
      <vt:lpstr>2.Melting&amp;Fining</vt:lpstr>
      <vt:lpstr>Mass_Balance</vt:lpstr>
      <vt:lpstr>Energy_Balance</vt:lpstr>
      <vt:lpstr>Fuel</vt:lpstr>
      <vt:lpstr>Syngas</vt:lpstr>
      <vt:lpstr>Commodity_data</vt:lpstr>
      <vt:lpstr>Add_Pull</vt:lpstr>
      <vt:lpstr>AirOxyFuel</vt:lpstr>
      <vt:lpstr>BC_preh</vt:lpstr>
      <vt:lpstr>Bio_price</vt:lpstr>
      <vt:lpstr>Bio_switch</vt:lpstr>
      <vt:lpstr>Biomethane</vt:lpstr>
      <vt:lpstr>Boost_to_Pull</vt:lpstr>
      <vt:lpstr>CO2_price</vt:lpstr>
      <vt:lpstr>Cullet</vt:lpstr>
      <vt:lpstr>Cullet_factor</vt:lpstr>
      <vt:lpstr>Direct_CO2</vt:lpstr>
      <vt:lpstr>Effic_factor</vt:lpstr>
      <vt:lpstr>Electricity_price</vt:lpstr>
      <vt:lpstr>Emission_factor</vt:lpstr>
      <vt:lpstr>Energy_use</vt:lpstr>
      <vt:lpstr>Excess_air</vt:lpstr>
      <vt:lpstr>Excess_Comb</vt:lpstr>
      <vt:lpstr>Extra_pull</vt:lpstr>
      <vt:lpstr>FlagBatch_3</vt:lpstr>
      <vt:lpstr>Glass_type</vt:lpstr>
      <vt:lpstr>Indirect_CO2</vt:lpstr>
      <vt:lpstr>Kelvin.Celcius</vt:lpstr>
      <vt:lpstr>KW_GJ</vt:lpstr>
      <vt:lpstr>Losses_factor</vt:lpstr>
      <vt:lpstr>Melt</vt:lpstr>
      <vt:lpstr>NG_price</vt:lpstr>
      <vt:lpstr>O2_enrich</vt:lpstr>
      <vt:lpstr>O2_enrichment</vt:lpstr>
      <vt:lpstr>O2_price</vt:lpstr>
      <vt:lpstr>O2_substitute</vt:lpstr>
      <vt:lpstr>O2_substitution</vt:lpstr>
      <vt:lpstr>Oxyfuel</vt:lpstr>
      <vt:lpstr>Pack_to_melt</vt:lpstr>
      <vt:lpstr>Payback</vt:lpstr>
      <vt:lpstr>Product_cost</vt:lpstr>
      <vt:lpstr>Pure_O2</vt:lpstr>
      <vt:lpstr>Ratio_NG</vt:lpstr>
      <vt:lpstr>ROI</vt:lpstr>
      <vt:lpstr>T.ambient</vt:lpstr>
      <vt:lpstr>T.furnace</vt:lpstr>
      <vt:lpstr>T.melt</vt:lpstr>
      <vt:lpstr>Technology</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2019-09-08T19:29:22Z</dcterms:modified>
</cp:coreProperties>
</file>