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nicholaskim/Documents/STAT-531/final/data/"/>
    </mc:Choice>
  </mc:AlternateContent>
  <xr:revisionPtr revIDLastSave="0" documentId="13_ncr:1_{E72392D5-B82E-9B4B-95EE-58F49484B847}" xr6:coauthVersionLast="47" xr6:coauthVersionMax="47" xr10:uidLastSave="{00000000-0000-0000-0000-000000000000}"/>
  <bookViews>
    <workbookView xWindow="15600" yWindow="500" windowWidth="13200" windowHeight="15980" xr2:uid="{00000000-000D-0000-FFFF-FFFF00000000}"/>
  </bookViews>
  <sheets>
    <sheet name="Worksheet" sheetId="1" r:id="rId1"/>
    <sheet name="games_2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5" i="1" l="1"/>
  <c r="K165" i="1"/>
  <c r="G165" i="1"/>
  <c r="L164" i="1"/>
  <c r="K164" i="1"/>
  <c r="H164" i="1"/>
  <c r="G164" i="1"/>
  <c r="H165" i="1" s="1"/>
  <c r="L163" i="1"/>
  <c r="K163" i="1"/>
  <c r="H163" i="1"/>
  <c r="G163" i="1"/>
  <c r="L162" i="1"/>
  <c r="K162" i="1"/>
  <c r="H162" i="1"/>
  <c r="G162" i="1"/>
  <c r="L161" i="1"/>
  <c r="K161" i="1"/>
  <c r="H161" i="1"/>
  <c r="G161" i="1"/>
  <c r="L160" i="1"/>
  <c r="K160" i="1"/>
  <c r="H160" i="1"/>
  <c r="G160" i="1"/>
  <c r="L159" i="1"/>
  <c r="K159" i="1"/>
  <c r="H159" i="1"/>
  <c r="G159" i="1"/>
  <c r="L158" i="1"/>
  <c r="K158" i="1"/>
  <c r="H158" i="1"/>
  <c r="G158" i="1"/>
  <c r="L157" i="1"/>
  <c r="K157" i="1"/>
  <c r="H157" i="1"/>
  <c r="G157" i="1"/>
  <c r="L156" i="1"/>
  <c r="K156" i="1"/>
  <c r="H156" i="1"/>
  <c r="G156" i="1"/>
  <c r="L155" i="1"/>
  <c r="K155" i="1"/>
  <c r="H155" i="1"/>
  <c r="G155" i="1"/>
  <c r="L154" i="1"/>
  <c r="K154" i="1"/>
  <c r="H154" i="1"/>
  <c r="G154" i="1"/>
  <c r="L153" i="1"/>
  <c r="K153" i="1"/>
  <c r="H153" i="1"/>
  <c r="G153" i="1"/>
  <c r="L152" i="1"/>
  <c r="K152" i="1"/>
  <c r="H152" i="1"/>
  <c r="G152" i="1"/>
  <c r="L151" i="1"/>
  <c r="K151" i="1"/>
  <c r="H151" i="1"/>
  <c r="G151" i="1"/>
  <c r="L150" i="1"/>
  <c r="K150" i="1"/>
  <c r="H150" i="1"/>
  <c r="G150" i="1"/>
  <c r="L149" i="1"/>
  <c r="K149" i="1"/>
  <c r="H149" i="1"/>
  <c r="G149" i="1"/>
  <c r="L148" i="1"/>
  <c r="K148" i="1"/>
  <c r="H148" i="1"/>
  <c r="G148" i="1"/>
  <c r="L147" i="1"/>
  <c r="K147" i="1"/>
  <c r="H147" i="1"/>
  <c r="G147" i="1"/>
  <c r="L146" i="1"/>
  <c r="K146" i="1"/>
  <c r="H146" i="1"/>
  <c r="G146" i="1"/>
  <c r="L145" i="1"/>
  <c r="K145" i="1"/>
  <c r="H145" i="1"/>
  <c r="G145" i="1"/>
  <c r="L144" i="1"/>
  <c r="K144" i="1"/>
  <c r="H144" i="1"/>
  <c r="G144" i="1"/>
  <c r="L143" i="1"/>
  <c r="K143" i="1"/>
  <c r="H143" i="1"/>
  <c r="G143" i="1"/>
  <c r="L142" i="1"/>
  <c r="K142" i="1"/>
  <c r="H142" i="1"/>
  <c r="G142" i="1"/>
  <c r="L141" i="1"/>
  <c r="K141" i="1"/>
  <c r="H141" i="1"/>
  <c r="G141" i="1"/>
  <c r="L140" i="1"/>
  <c r="K140" i="1"/>
  <c r="H140" i="1"/>
  <c r="G140" i="1"/>
  <c r="L139" i="1"/>
  <c r="K139" i="1"/>
  <c r="H139" i="1"/>
  <c r="G139" i="1"/>
  <c r="L138" i="1"/>
  <c r="K138" i="1"/>
  <c r="H138" i="1"/>
  <c r="G138" i="1"/>
  <c r="L137" i="1"/>
  <c r="K137" i="1"/>
  <c r="H137" i="1"/>
  <c r="G137" i="1"/>
  <c r="L136" i="1"/>
  <c r="K136" i="1"/>
  <c r="H136" i="1"/>
  <c r="G136" i="1"/>
  <c r="L135" i="1"/>
  <c r="K135" i="1"/>
  <c r="H135" i="1"/>
  <c r="G135" i="1"/>
  <c r="L134" i="1"/>
  <c r="K134" i="1"/>
  <c r="H134" i="1"/>
  <c r="G134" i="1"/>
  <c r="L133" i="1"/>
  <c r="K133" i="1"/>
  <c r="H133" i="1"/>
  <c r="G133" i="1"/>
  <c r="L132" i="1"/>
  <c r="K132" i="1"/>
  <c r="H132" i="1"/>
  <c r="G132" i="1"/>
  <c r="L131" i="1"/>
  <c r="K131" i="1"/>
  <c r="H131" i="1"/>
  <c r="G131" i="1"/>
  <c r="L130" i="1"/>
  <c r="K130" i="1"/>
  <c r="H130" i="1"/>
  <c r="G130" i="1"/>
  <c r="L129" i="1"/>
  <c r="K129" i="1"/>
  <c r="H129" i="1"/>
  <c r="G129" i="1"/>
  <c r="L128" i="1"/>
  <c r="K128" i="1"/>
  <c r="H128" i="1"/>
  <c r="G128" i="1"/>
  <c r="L127" i="1"/>
  <c r="K127" i="1"/>
  <c r="H127" i="1"/>
  <c r="G127" i="1"/>
  <c r="L126" i="1"/>
  <c r="K126" i="1"/>
  <c r="H126" i="1"/>
  <c r="G126" i="1"/>
  <c r="L125" i="1"/>
  <c r="K125" i="1"/>
  <c r="H125" i="1"/>
  <c r="G125" i="1"/>
  <c r="L124" i="1"/>
  <c r="K124" i="1"/>
  <c r="H124" i="1"/>
  <c r="G124" i="1"/>
  <c r="L123" i="1"/>
  <c r="K123" i="1"/>
  <c r="H123" i="1"/>
  <c r="G123" i="1"/>
  <c r="L122" i="1"/>
  <c r="K122" i="1"/>
  <c r="H122" i="1"/>
  <c r="G122" i="1"/>
  <c r="L121" i="1"/>
  <c r="K121" i="1"/>
  <c r="H121" i="1"/>
  <c r="G121" i="1"/>
  <c r="L120" i="1"/>
  <c r="K120" i="1"/>
  <c r="H120" i="1"/>
  <c r="G120" i="1"/>
  <c r="L119" i="1"/>
  <c r="K119" i="1"/>
  <c r="H119" i="1"/>
  <c r="G119" i="1"/>
  <c r="L118" i="1"/>
  <c r="K118" i="1"/>
  <c r="H118" i="1"/>
  <c r="G118" i="1"/>
  <c r="L117" i="1"/>
  <c r="K117" i="1"/>
  <c r="H117" i="1"/>
  <c r="G117" i="1"/>
  <c r="L116" i="1"/>
  <c r="K116" i="1"/>
  <c r="H116" i="1"/>
  <c r="G116" i="1"/>
  <c r="L115" i="1"/>
  <c r="K115" i="1"/>
  <c r="H115" i="1"/>
  <c r="G115" i="1"/>
  <c r="L114" i="1"/>
  <c r="K114" i="1"/>
  <c r="H114" i="1"/>
  <c r="G114" i="1"/>
  <c r="L113" i="1"/>
  <c r="K113" i="1"/>
  <c r="H113" i="1"/>
  <c r="G113" i="1"/>
  <c r="L112" i="1"/>
  <c r="K112" i="1"/>
  <c r="H112" i="1"/>
  <c r="G112" i="1"/>
  <c r="L111" i="1"/>
  <c r="K111" i="1"/>
  <c r="H111" i="1"/>
  <c r="G111" i="1"/>
  <c r="L110" i="1"/>
  <c r="K110" i="1"/>
  <c r="H110" i="1"/>
  <c r="G110" i="1"/>
  <c r="L109" i="1"/>
  <c r="K109" i="1"/>
  <c r="H109" i="1"/>
  <c r="G109" i="1"/>
  <c r="L108" i="1"/>
  <c r="K108" i="1"/>
  <c r="H108" i="1"/>
  <c r="G108" i="1"/>
  <c r="L107" i="1"/>
  <c r="K107" i="1"/>
  <c r="H107" i="1"/>
  <c r="G107" i="1"/>
  <c r="L106" i="1"/>
  <c r="K106" i="1"/>
  <c r="H106" i="1"/>
  <c r="G106" i="1"/>
  <c r="L105" i="1"/>
  <c r="K105" i="1"/>
  <c r="H105" i="1"/>
  <c r="G105" i="1"/>
  <c r="L104" i="1"/>
  <c r="K104" i="1"/>
  <c r="H104" i="1"/>
  <c r="G104" i="1"/>
  <c r="L103" i="1"/>
  <c r="K103" i="1"/>
  <c r="H103" i="1"/>
  <c r="L102" i="1"/>
  <c r="K102" i="1"/>
  <c r="H102" i="1"/>
  <c r="L101" i="1"/>
  <c r="K101" i="1"/>
  <c r="H101" i="1"/>
  <c r="L100" i="1"/>
  <c r="K100" i="1"/>
  <c r="H100" i="1"/>
  <c r="L99" i="1"/>
  <c r="K99" i="1"/>
  <c r="H99" i="1"/>
  <c r="L98" i="1"/>
  <c r="K98" i="1"/>
  <c r="H98" i="1"/>
  <c r="L97" i="1"/>
  <c r="K97" i="1"/>
  <c r="H97" i="1"/>
  <c r="L96" i="1"/>
  <c r="K96" i="1"/>
  <c r="H96" i="1"/>
  <c r="L95" i="1"/>
  <c r="K95" i="1"/>
  <c r="H95" i="1"/>
  <c r="L94" i="1"/>
  <c r="K94" i="1"/>
  <c r="H94" i="1"/>
  <c r="L93" i="1"/>
  <c r="K93" i="1"/>
  <c r="H93" i="1"/>
  <c r="L92" i="1"/>
  <c r="K92" i="1"/>
  <c r="H92" i="1"/>
  <c r="L91" i="1"/>
  <c r="K91" i="1"/>
  <c r="H91" i="1"/>
  <c r="L90" i="1"/>
  <c r="K90" i="1"/>
  <c r="H90" i="1"/>
  <c r="L89" i="1"/>
  <c r="K89" i="1"/>
  <c r="H89" i="1"/>
  <c r="L88" i="1"/>
  <c r="K88" i="1"/>
  <c r="H88" i="1"/>
  <c r="L87" i="1"/>
  <c r="K87" i="1"/>
  <c r="H87" i="1"/>
  <c r="L86" i="1"/>
  <c r="K86" i="1"/>
  <c r="H86" i="1"/>
  <c r="L85" i="1"/>
  <c r="K85" i="1"/>
  <c r="H85" i="1"/>
  <c r="K84" i="1"/>
  <c r="H84" i="1"/>
  <c r="L83" i="1"/>
  <c r="K83" i="1"/>
  <c r="H83" i="1"/>
  <c r="L82" i="1"/>
  <c r="K82" i="1"/>
  <c r="H82" i="1"/>
  <c r="L81" i="1"/>
  <c r="K81" i="1"/>
  <c r="H81" i="1"/>
  <c r="L80" i="1"/>
  <c r="K80" i="1"/>
  <c r="H80" i="1"/>
  <c r="L79" i="1"/>
  <c r="K79" i="1"/>
  <c r="H79" i="1"/>
  <c r="L78" i="1"/>
  <c r="K78" i="1"/>
  <c r="H78" i="1"/>
  <c r="L77" i="1"/>
  <c r="K77" i="1"/>
  <c r="H77" i="1"/>
  <c r="L76" i="1"/>
  <c r="K76" i="1"/>
  <c r="H76" i="1"/>
  <c r="L75" i="1"/>
  <c r="K75" i="1"/>
  <c r="H75" i="1"/>
  <c r="L74" i="1"/>
  <c r="K74" i="1"/>
  <c r="H74" i="1"/>
  <c r="L73" i="1"/>
  <c r="K73" i="1"/>
  <c r="H73" i="1"/>
  <c r="L72" i="1"/>
  <c r="K72" i="1"/>
  <c r="H72" i="1"/>
  <c r="L71" i="1"/>
  <c r="K71" i="1"/>
  <c r="H71" i="1"/>
  <c r="L70" i="1"/>
  <c r="K70" i="1"/>
  <c r="H70" i="1"/>
  <c r="L69" i="1"/>
  <c r="K69" i="1"/>
  <c r="H69" i="1"/>
  <c r="L68" i="1"/>
  <c r="K68" i="1"/>
  <c r="H68" i="1"/>
  <c r="L67" i="1"/>
  <c r="K67" i="1"/>
  <c r="H67" i="1"/>
  <c r="L66" i="1"/>
  <c r="K66" i="1"/>
  <c r="H66" i="1"/>
  <c r="L65" i="1"/>
  <c r="K65" i="1"/>
  <c r="H65" i="1"/>
  <c r="L64" i="1"/>
  <c r="K64" i="1"/>
  <c r="H64" i="1"/>
  <c r="L63" i="1"/>
  <c r="K63" i="1"/>
  <c r="H63" i="1"/>
  <c r="L62" i="1"/>
  <c r="K62" i="1"/>
  <c r="H62" i="1"/>
  <c r="L61" i="1"/>
  <c r="K61" i="1"/>
  <c r="H61" i="1"/>
  <c r="L60" i="1"/>
  <c r="K60" i="1"/>
  <c r="H60" i="1"/>
  <c r="L59" i="1"/>
  <c r="K59" i="1"/>
  <c r="H59" i="1"/>
  <c r="L58" i="1"/>
  <c r="K58" i="1"/>
  <c r="H58" i="1"/>
  <c r="L57" i="1"/>
  <c r="K57" i="1"/>
  <c r="H57" i="1"/>
  <c r="L56" i="1"/>
  <c r="K56" i="1"/>
  <c r="L55" i="1"/>
  <c r="K55" i="1"/>
  <c r="L54" i="1"/>
  <c r="K54" i="1"/>
  <c r="L53" i="1"/>
  <c r="K53" i="1"/>
  <c r="L52" i="1"/>
  <c r="K52" i="1"/>
  <c r="L51" i="1"/>
  <c r="K51" i="1"/>
  <c r="G51" i="1"/>
  <c r="H56" i="1" s="1"/>
  <c r="L50" i="1"/>
  <c r="K50" i="1"/>
  <c r="G50" i="1"/>
  <c r="H55" i="1" s="1"/>
  <c r="L49" i="1"/>
  <c r="K49" i="1"/>
  <c r="G49" i="1"/>
  <c r="H54" i="1" s="1"/>
  <c r="L48" i="1"/>
  <c r="K48" i="1"/>
  <c r="G48" i="1"/>
  <c r="H53" i="1" s="1"/>
  <c r="L47" i="1"/>
  <c r="K47" i="1"/>
  <c r="H47" i="1"/>
  <c r="G47" i="1"/>
  <c r="H52" i="1" s="1"/>
  <c r="L46" i="1"/>
  <c r="K46" i="1"/>
  <c r="G46" i="1"/>
  <c r="H51" i="1" s="1"/>
  <c r="L45" i="1"/>
  <c r="K45" i="1"/>
  <c r="H45" i="1"/>
  <c r="G45" i="1"/>
  <c r="L44" i="1"/>
  <c r="K44" i="1"/>
  <c r="G44" i="1"/>
  <c r="H48" i="1" s="1"/>
  <c r="L43" i="1"/>
  <c r="K43" i="1"/>
  <c r="H43" i="1"/>
  <c r="G43" i="1"/>
  <c r="L42" i="1"/>
  <c r="K42" i="1"/>
  <c r="G42" i="1"/>
  <c r="H46" i="1" s="1"/>
  <c r="L41" i="1"/>
  <c r="K41" i="1"/>
  <c r="H41" i="1"/>
  <c r="G41" i="1"/>
  <c r="L40" i="1"/>
  <c r="K40" i="1"/>
  <c r="G40" i="1"/>
  <c r="H44" i="1" s="1"/>
  <c r="L39" i="1"/>
  <c r="K39" i="1"/>
  <c r="H39" i="1"/>
  <c r="G39" i="1"/>
  <c r="L38" i="1"/>
  <c r="K38" i="1"/>
  <c r="G38" i="1"/>
  <c r="H42" i="1" s="1"/>
  <c r="L37" i="1"/>
  <c r="K37" i="1"/>
  <c r="H37" i="1"/>
  <c r="G37" i="1"/>
  <c r="L36" i="1"/>
  <c r="K36" i="1"/>
  <c r="G36" i="1"/>
  <c r="H40" i="1" s="1"/>
  <c r="L35" i="1"/>
  <c r="K35" i="1"/>
  <c r="H35" i="1"/>
  <c r="G35" i="1"/>
  <c r="L34" i="1"/>
  <c r="K34" i="1"/>
  <c r="G34" i="1"/>
  <c r="H38" i="1" s="1"/>
  <c r="L33" i="1"/>
  <c r="K33" i="1"/>
  <c r="H33" i="1"/>
  <c r="G33" i="1"/>
  <c r="L32" i="1"/>
  <c r="K32" i="1"/>
  <c r="G32" i="1"/>
  <c r="H36" i="1" s="1"/>
  <c r="L31" i="1"/>
  <c r="K31" i="1"/>
  <c r="H31" i="1"/>
  <c r="G31" i="1"/>
  <c r="L30" i="1"/>
  <c r="K30" i="1"/>
  <c r="G30" i="1"/>
  <c r="H34" i="1" s="1"/>
  <c r="L29" i="1"/>
  <c r="K29" i="1"/>
  <c r="H29" i="1"/>
  <c r="G29" i="1"/>
  <c r="L28" i="1"/>
  <c r="K28" i="1"/>
  <c r="G28" i="1"/>
  <c r="H32" i="1" s="1"/>
  <c r="L27" i="1"/>
  <c r="K27" i="1"/>
  <c r="H27" i="1"/>
  <c r="G27" i="1"/>
  <c r="L26" i="1"/>
  <c r="K26" i="1"/>
  <c r="G26" i="1"/>
  <c r="H30" i="1" s="1"/>
  <c r="L25" i="1"/>
  <c r="K25" i="1"/>
  <c r="H25" i="1"/>
  <c r="G25" i="1"/>
  <c r="L24" i="1"/>
  <c r="K24" i="1"/>
  <c r="G24" i="1"/>
  <c r="H28" i="1" s="1"/>
  <c r="L23" i="1"/>
  <c r="K23" i="1"/>
  <c r="H23" i="1"/>
  <c r="G23" i="1"/>
  <c r="L22" i="1"/>
  <c r="K22" i="1"/>
  <c r="G22" i="1"/>
  <c r="H26" i="1" s="1"/>
  <c r="L21" i="1"/>
  <c r="K21" i="1"/>
  <c r="H21" i="1"/>
  <c r="G21" i="1"/>
  <c r="L20" i="1"/>
  <c r="K20" i="1"/>
  <c r="G20" i="1"/>
  <c r="H24" i="1" s="1"/>
  <c r="L19" i="1"/>
  <c r="K19" i="1"/>
  <c r="H19" i="1"/>
  <c r="G19" i="1"/>
  <c r="L18" i="1"/>
  <c r="K18" i="1"/>
  <c r="G18" i="1"/>
  <c r="H22" i="1" s="1"/>
  <c r="L17" i="1"/>
  <c r="K17" i="1"/>
  <c r="H17" i="1"/>
  <c r="G17" i="1"/>
  <c r="L16" i="1"/>
  <c r="K16" i="1"/>
  <c r="G16" i="1"/>
  <c r="H20" i="1" s="1"/>
  <c r="L15" i="1"/>
  <c r="K15" i="1"/>
  <c r="H15" i="1"/>
  <c r="G15" i="1"/>
  <c r="L14" i="1"/>
  <c r="K14" i="1"/>
  <c r="G14" i="1"/>
  <c r="H18" i="1" s="1"/>
  <c r="L13" i="1"/>
  <c r="K13" i="1"/>
  <c r="H13" i="1"/>
  <c r="G13" i="1"/>
  <c r="L12" i="1"/>
  <c r="K12" i="1"/>
  <c r="G12" i="1"/>
  <c r="H16" i="1" s="1"/>
  <c r="L11" i="1"/>
  <c r="K11" i="1"/>
  <c r="H11" i="1"/>
  <c r="G11" i="1"/>
  <c r="L10" i="1"/>
  <c r="K10" i="1"/>
  <c r="G10" i="1"/>
  <c r="H14" i="1" s="1"/>
  <c r="L9" i="1"/>
  <c r="K9" i="1"/>
  <c r="H9" i="1"/>
  <c r="G9" i="1"/>
  <c r="L8" i="1"/>
  <c r="K8" i="1"/>
  <c r="G8" i="1"/>
  <c r="H12" i="1" s="1"/>
  <c r="L7" i="1"/>
  <c r="K7" i="1"/>
  <c r="H7" i="1"/>
  <c r="G7" i="1"/>
  <c r="L6" i="1"/>
  <c r="K6" i="1"/>
  <c r="G6" i="1"/>
  <c r="H10" i="1" s="1"/>
  <c r="L5" i="1"/>
  <c r="K5" i="1"/>
  <c r="H5" i="1"/>
  <c r="G5" i="1"/>
  <c r="L4" i="1"/>
  <c r="K4" i="1"/>
  <c r="H4" i="1"/>
  <c r="G4" i="1"/>
  <c r="H8" i="1" s="1"/>
  <c r="L3" i="1"/>
  <c r="K3" i="1"/>
  <c r="H3" i="1"/>
  <c r="G3" i="1"/>
  <c r="K2" i="1"/>
  <c r="G2" i="1"/>
  <c r="H49" i="1" l="1"/>
  <c r="H6" i="1"/>
  <c r="H50" i="1"/>
</calcChain>
</file>

<file path=xl/sharedStrings.xml><?xml version="1.0" encoding="utf-8"?>
<sst xmlns="http://schemas.openxmlformats.org/spreadsheetml/2006/main" count="1049" uniqueCount="159">
  <si>
    <t>Seson</t>
  </si>
  <si>
    <t>Date</t>
  </si>
  <si>
    <t>Opponent</t>
  </si>
  <si>
    <t>Tm</t>
  </si>
  <si>
    <t>Opp</t>
  </si>
  <si>
    <t>Starting Lineup</t>
  </si>
  <si>
    <t>Total BPM</t>
  </si>
  <si>
    <t>Last 5 Games BPM</t>
  </si>
  <si>
    <t>Home</t>
  </si>
  <si>
    <t>Win</t>
  </si>
  <si>
    <t>Opp Total BPM</t>
  </si>
  <si>
    <t>Opp Last5  BPM</t>
  </si>
  <si>
    <t>Attendance</t>
  </si>
  <si>
    <t>Orlando Magic</t>
  </si>
  <si>
    <t>D. Brooks · J. Green · A. Şengün · J. Smith · F. VanVleet</t>
  </si>
  <si>
    <t>San Antonio Spurs</t>
  </si>
  <si>
    <t>Golden State Warriors</t>
  </si>
  <si>
    <t>Charlotte Hornets</t>
  </si>
  <si>
    <t>Sacramento Kings</t>
  </si>
  <si>
    <t>Los Angeles Lakers</t>
  </si>
  <si>
    <t>New Orleans Pelicans</t>
  </si>
  <si>
    <t>Denver Nuggets</t>
  </si>
  <si>
    <t>Los Angeles Clippers</t>
  </si>
  <si>
    <t>Memphis Grizzlies</t>
  </si>
  <si>
    <t>Dallas Mavericks</t>
  </si>
  <si>
    <t>D. Brooks · J. Green · A. Holiday · A. Şengün · J. Smith</t>
  </si>
  <si>
    <t>Oklahoma City Thunder</t>
  </si>
  <si>
    <t>Milwaukee Bucks</t>
  </si>
  <si>
    <t>Cleveland Cavaliers</t>
  </si>
  <si>
    <t>Atlanta Hawks</t>
  </si>
  <si>
    <t>Indiana Pacers</t>
  </si>
  <si>
    <t>Phoenix Suns</t>
  </si>
  <si>
    <t>J. Green · A. Şengün · J. Smith · J. Tate · F. VanVleet</t>
  </si>
  <si>
    <t>Philadelphia 76ers</t>
  </si>
  <si>
    <t>J. Green · J. Green · A. Şengün · J. Tate · F. VanVleet</t>
  </si>
  <si>
    <t>Detroit Pistons</t>
  </si>
  <si>
    <t>Brooklyn Nets</t>
  </si>
  <si>
    <t>Minnesota Timberwolves</t>
  </si>
  <si>
    <t>Miami Heat</t>
  </si>
  <si>
    <t>Chicago Bulls</t>
  </si>
  <si>
    <t>Boston Celtics</t>
  </si>
  <si>
    <t>New York Knicks</t>
  </si>
  <si>
    <t>Utah Jazz</t>
  </si>
  <si>
    <t>D. Brooks · J. Green · A. Şengün · A. Thompson · C. Whitmore</t>
  </si>
  <si>
    <t>Portland Trail Blazers</t>
  </si>
  <si>
    <t>D. Brooks · J. Green · J. Green · A. Şengün · F. VanVleet</t>
  </si>
  <si>
    <t>Toronto Raptors</t>
  </si>
  <si>
    <t>D. Brooks · J. Green · A. Şengün · J. Smith · A. Thompson</t>
  </si>
  <si>
    <t>D. Brooks · J. Green · J. Green · J. Smith · A. Thompson</t>
  </si>
  <si>
    <t>D. Brooks · J. Green · J. Smith · A. Thompson · F. VanVleet</t>
  </si>
  <si>
    <t>Washington Wizards</t>
  </si>
  <si>
    <t>D. Brooks · J. Green · J. Landale · A. Thompson · F. VanVleet</t>
  </si>
  <si>
    <t>D. Brooks · J. Green · J. Green · J. Smith · F. VanVleet</t>
  </si>
  <si>
    <t>D. Brooks · J. Green · J. Landale · J. Smith · A. Thompson</t>
  </si>
  <si>
    <t>J. Green · J. Landale · J. Smith · A. Thompson · C. Whitmore</t>
  </si>
  <si>
    <t>J. Green · A. Şengün · J. Smith · A. Thompson · F. VanVleet</t>
  </si>
  <si>
    <t>D. Brooks · J. Green · A. Şengün · A. Thompson · F. VanVleet</t>
  </si>
  <si>
    <t>D. Brooks · J. Green · J. Green · A. Şengün · A. Thompson</t>
  </si>
  <si>
    <t>D. Brooks · J. Green · A. Şengün · J. Tate · F. VanVleet</t>
  </si>
  <si>
    <t>S. Adams · D. Brooks · J. Green · A. Thompson · F. VanVleet</t>
  </si>
  <si>
    <t>D. Brooks · T. Eason · J. Green · J. Tate · A. Thompson</t>
  </si>
  <si>
    <t>D. Brooks · J. Green · A. Holiday · A. Şengün · A. Thompson</t>
  </si>
  <si>
    <t>D. Brooks · T. Eason · J. Green · A. Şengün · A. Thompson</t>
  </si>
  <si>
    <t>J. Green · J. Landale · R. Sheppard · J. Smith · C. Whitmore</t>
  </si>
  <si>
    <t>D. Brooks · T. Eason · J. Green · A. Şengün · J. Smith</t>
  </si>
  <si>
    <t>D. Brooks · T. Eason · J. Green · A. Şengün · F. VanVleet</t>
  </si>
  <si>
    <t>S. Adams · J. Green · A. Şengün · A. Thompson · F. VanVleet</t>
  </si>
  <si>
    <t>SEASON_ID</t>
  </si>
  <si>
    <t>TEAM_ID</t>
  </si>
  <si>
    <t>TEAM_ABBREVIATION</t>
  </si>
  <si>
    <t>TEAM_NAME</t>
  </si>
  <si>
    <t>GAME_ID</t>
  </si>
  <si>
    <t>GAME_DATE</t>
  </si>
  <si>
    <t>MATCHUP</t>
  </si>
  <si>
    <t>WL</t>
  </si>
  <si>
    <t>MIN</t>
  </si>
  <si>
    <t>PTS</t>
  </si>
  <si>
    <t>FGM</t>
  </si>
  <si>
    <t>FGA</t>
  </si>
  <si>
    <t>FG_PCT</t>
  </si>
  <si>
    <t>FG3M</t>
  </si>
  <si>
    <t>FG3A</t>
  </si>
  <si>
    <t>FG3_PCT</t>
  </si>
  <si>
    <t>FTM</t>
  </si>
  <si>
    <t>FTA</t>
  </si>
  <si>
    <t>FT_PCT</t>
  </si>
  <si>
    <t>OREB</t>
  </si>
  <si>
    <t>DREB</t>
  </si>
  <si>
    <t>REB</t>
  </si>
  <si>
    <t>AST</t>
  </si>
  <si>
    <t>STL</t>
  </si>
  <si>
    <t>BLK</t>
  </si>
  <si>
    <t>TOV</t>
  </si>
  <si>
    <t>PF</t>
  </si>
  <si>
    <t>PLUS_MINUS</t>
  </si>
  <si>
    <t>HOU</t>
  </si>
  <si>
    <t>Houston Rockets</t>
  </si>
  <si>
    <t>HOU @ GSW</t>
  </si>
  <si>
    <t>W</t>
  </si>
  <si>
    <t>HOU vs. OKC</t>
  </si>
  <si>
    <t>HOU vs. UTA</t>
  </si>
  <si>
    <t>HOU @ LAL</t>
  </si>
  <si>
    <t>L</t>
  </si>
  <si>
    <t>HOU @ PHX</t>
  </si>
  <si>
    <t>HOU @ UTA</t>
  </si>
  <si>
    <t>HOU vs. ATL</t>
  </si>
  <si>
    <t>HOU vs. DEN</t>
  </si>
  <si>
    <t>HOU @ MIA</t>
  </si>
  <si>
    <t>HOU @ ORL</t>
  </si>
  <si>
    <t>HOU vs. PHI</t>
  </si>
  <si>
    <t>HOU vs. CHI</t>
  </si>
  <si>
    <t>HOU vs. DAL</t>
  </si>
  <si>
    <t>HOU vs. PHX</t>
  </si>
  <si>
    <t>HOU vs. ORL</t>
  </si>
  <si>
    <t>HOU vs. NOP</t>
  </si>
  <si>
    <t>HOU @ NOP</t>
  </si>
  <si>
    <t>HOU @ IND</t>
  </si>
  <si>
    <t>HOU @ OKC</t>
  </si>
  <si>
    <t>HOU vs. SAC</t>
  </si>
  <si>
    <t>HOU vs. SAS</t>
  </si>
  <si>
    <t>HOU vs. MIL</t>
  </si>
  <si>
    <t>HOU vs. MIN</t>
  </si>
  <si>
    <t>HOU vs. GSW</t>
  </si>
  <si>
    <t>HOU vs. TOR</t>
  </si>
  <si>
    <t>HOU @ DAL</t>
  </si>
  <si>
    <t>HOU @ MIN</t>
  </si>
  <si>
    <t>HOU @ BKN</t>
  </si>
  <si>
    <t>HOU @ NYK</t>
  </si>
  <si>
    <t>HOU vs. BKN</t>
  </si>
  <si>
    <t>HOU @ MEM</t>
  </si>
  <si>
    <t>HOU @ ATL</t>
  </si>
  <si>
    <t>HOU @ BOS</t>
  </si>
  <si>
    <t>HOU @ CLE</t>
  </si>
  <si>
    <t>HOU vs. CLE</t>
  </si>
  <si>
    <t>HOU vs. DET</t>
  </si>
  <si>
    <t>HOU @ POR</t>
  </si>
  <si>
    <t>HOU @ SAC</t>
  </si>
  <si>
    <t>HOU @ DEN</t>
  </si>
  <si>
    <t>HOU vs. MEM</t>
  </si>
  <si>
    <t>HOU @ WAS</t>
  </si>
  <si>
    <t>HOU vs. LAL</t>
  </si>
  <si>
    <t>HOU vs. BOS</t>
  </si>
  <si>
    <t>HOU vs. MIA</t>
  </si>
  <si>
    <t>HOU @ CHA</t>
  </si>
  <si>
    <t>HOU @ TOR</t>
  </si>
  <si>
    <t>HOU @ LAC</t>
  </si>
  <si>
    <t>HOU @ PHI</t>
  </si>
  <si>
    <t>HOU vs. POR</t>
  </si>
  <si>
    <t>HOU vs. IND</t>
  </si>
  <si>
    <t>HOU @ MIL</t>
  </si>
  <si>
    <t>HOU @ CHI</t>
  </si>
  <si>
    <t>HOU vs. LAC</t>
  </si>
  <si>
    <t>HOU vs. WAS</t>
  </si>
  <si>
    <t>HOU @ DET</t>
  </si>
  <si>
    <t>HOU vs. NYK</t>
  </si>
  <si>
    <t>HOU @ SAS</t>
  </si>
  <si>
    <t>HOU vs. CHA</t>
  </si>
  <si>
    <t>T. Eason · J. Green · J. Landale · R. Sheppard · C. Whitmore</t>
  </si>
  <si>
    <t>J. Green · J. Green · J. Landale · R. Sheppard · C. Whitmore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</si>
</sst>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0" x14ac:knownFonts="1">
    <font>
      <sz val="12"/>
      <color theme="1"/>
      <name val="Arial"/>
      <scheme val="minor"/>
    </font>
    <font>
      <b/>
      <sz val="10"/>
      <color theme="1"/>
      <name val="Aptos Narrow"/>
    </font>
    <font>
      <b/>
      <sz val="10"/>
      <color theme="1"/>
      <name val="Arial"/>
      <family val="2"/>
    </font>
    <font>
      <b/>
      <sz val="11"/>
      <color theme="1"/>
      <name val="Arial"/>
      <family val="2"/>
      <scheme val="minor"/>
    </font>
    <font>
      <sz val="10"/>
      <color theme="1"/>
      <name val="Aptos Narrow"/>
    </font>
    <font>
      <sz val="12"/>
      <color theme="1"/>
      <name val="Arial"/>
      <family val="2"/>
      <scheme val="minor"/>
    </font>
    <font>
      <sz val="11"/>
      <color rgb="FF1F1F1F"/>
      <name val="Roboto"/>
    </font>
    <font>
      <sz val="12"/>
      <color theme="1"/>
      <name val="Aptos Narrow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DD7E6B"/>
        <bgColor rgb="FFDD7E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3" fillId="0" borderId="0" xfId="0" applyNumberFormat="1" applyFont="1"/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1" fontId="6" fillId="2" borderId="0" xfId="0" applyNumberFormat="1" applyFont="1" applyFill="1" applyAlignment="1">
      <alignment horizontal="right"/>
    </xf>
    <xf numFmtId="0" fontId="7" fillId="0" borderId="0" xfId="0" applyFont="1"/>
    <xf numFmtId="1" fontId="5" fillId="0" borderId="0" xfId="0" applyNumberFormat="1" applyFont="1"/>
    <xf numFmtId="164" fontId="5" fillId="0" borderId="0" xfId="0" applyNumberFormat="1" applyFont="1"/>
    <xf numFmtId="0" fontId="5" fillId="3" borderId="0" xfId="0" applyFont="1" applyFill="1"/>
    <xf numFmtId="164" fontId="5" fillId="3" borderId="0" xfId="0" applyNumberFormat="1" applyFont="1" applyFill="1"/>
    <xf numFmtId="0" fontId="8" fillId="0" borderId="0" xfId="0" applyFont="1" applyAlignment="1">
      <alignment horizontal="center" vertical="center" wrapText="1"/>
    </xf>
    <xf numFmtId="14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F156" workbookViewId="0">
      <selection activeCell="M166" sqref="M166"/>
    </sheetView>
  </sheetViews>
  <sheetFormatPr baseColWidth="10" defaultColWidth="10.140625" defaultRowHeight="15" customHeight="1" x14ac:dyDescent="0.2"/>
  <cols>
    <col min="1" max="1" width="7.28515625" customWidth="1"/>
    <col min="2" max="2" width="14.140625" customWidth="1"/>
    <col min="3" max="3" width="15.7109375" customWidth="1"/>
    <col min="4" max="4" width="3.28515625" customWidth="1"/>
    <col min="5" max="5" width="3.5703125" customWidth="1"/>
    <col min="6" max="6" width="31.85546875" customWidth="1"/>
    <col min="7" max="7" width="7.85546875" customWidth="1"/>
    <col min="8" max="8" width="18.5703125" customWidth="1"/>
    <col min="9" max="10" width="7.85546875" customWidth="1"/>
    <col min="11" max="11" width="12.140625" customWidth="1"/>
    <col min="12" max="12" width="13.5703125" customWidth="1"/>
    <col min="13" max="13" width="11.140625" customWidth="1"/>
    <col min="14" max="26" width="9" customWidth="1"/>
  </cols>
  <sheetData>
    <row r="1" spans="1:13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</row>
    <row r="2" spans="1:13" ht="30" customHeight="1" x14ac:dyDescent="0.2">
      <c r="A2" s="1">
        <v>2023</v>
      </c>
      <c r="B2" s="5">
        <v>45224</v>
      </c>
      <c r="C2" s="6" t="s">
        <v>13</v>
      </c>
      <c r="D2" s="6">
        <v>86</v>
      </c>
      <c r="E2" s="6">
        <v>116</v>
      </c>
      <c r="F2" s="6" t="s">
        <v>14</v>
      </c>
      <c r="G2" s="7">
        <f>-0.3-13.4+5-10.5+8.5</f>
        <v>-10.700000000000003</v>
      </c>
      <c r="H2" s="7">
        <v>0</v>
      </c>
      <c r="I2" s="7">
        <v>0</v>
      </c>
      <c r="J2" s="7">
        <v>0</v>
      </c>
      <c r="K2" s="7">
        <f>7.4+7.1-4.2+9.5-10.4</f>
        <v>9.4</v>
      </c>
      <c r="L2" s="7">
        <v>0</v>
      </c>
      <c r="M2" s="8">
        <v>18846</v>
      </c>
    </row>
    <row r="3" spans="1:13" ht="30" customHeight="1" x14ac:dyDescent="0.2">
      <c r="A3" s="1">
        <v>2023</v>
      </c>
      <c r="B3" s="5">
        <v>45226</v>
      </c>
      <c r="C3" s="6" t="s">
        <v>15</v>
      </c>
      <c r="D3" s="6">
        <v>122</v>
      </c>
      <c r="E3" s="6">
        <v>126</v>
      </c>
      <c r="F3" s="6" t="s">
        <v>14</v>
      </c>
      <c r="G3" s="7">
        <f>0.8+4.6-2.6-0.7-10.3</f>
        <v>-8.2000000000000011</v>
      </c>
      <c r="H3" s="7">
        <f>G2</f>
        <v>-10.700000000000003</v>
      </c>
      <c r="I3" s="7">
        <v>0</v>
      </c>
      <c r="J3" s="7">
        <v>0</v>
      </c>
      <c r="K3" s="7">
        <f>1.1-4.4+0.1-3.6+3.5</f>
        <v>-3.3000000000000007</v>
      </c>
      <c r="L3" s="7">
        <f>-0.8-2.4-3-5.4+0.2</f>
        <v>-11.400000000000002</v>
      </c>
      <c r="M3" s="8">
        <v>18354</v>
      </c>
    </row>
    <row r="4" spans="1:13" ht="30" customHeight="1" x14ac:dyDescent="0.2">
      <c r="A4" s="1">
        <v>2023</v>
      </c>
      <c r="B4" s="5">
        <v>45228</v>
      </c>
      <c r="C4" s="6" t="s">
        <v>16</v>
      </c>
      <c r="D4" s="6">
        <v>95</v>
      </c>
      <c r="E4" s="6">
        <v>106</v>
      </c>
      <c r="F4" s="6" t="s">
        <v>14</v>
      </c>
      <c r="G4" s="7">
        <f>-6.4+6.6-4.1+8.4-6.9</f>
        <v>-2.4000000000000004</v>
      </c>
      <c r="H4" s="7">
        <f>AVERAGE(G2:G3)</f>
        <v>-9.4500000000000028</v>
      </c>
      <c r="I4" s="7">
        <v>1</v>
      </c>
      <c r="J4" s="7">
        <v>0</v>
      </c>
      <c r="K4" s="7">
        <f>13.7+6.5-9.7+0.6-8.4</f>
        <v>2.6999999999999993</v>
      </c>
      <c r="L4" s="7">
        <f>(18.9-1.3-1.4-1.4+11.3-10-5+2.5+6.3-5.1-8.4)/2</f>
        <v>3.2000000000000011</v>
      </c>
      <c r="M4" s="8">
        <v>18055</v>
      </c>
    </row>
    <row r="5" spans="1:13" ht="30" customHeight="1" x14ac:dyDescent="0.2">
      <c r="A5" s="1">
        <v>2023</v>
      </c>
      <c r="B5" s="5">
        <v>45231</v>
      </c>
      <c r="C5" s="6" t="s">
        <v>17</v>
      </c>
      <c r="D5" s="6">
        <v>128</v>
      </c>
      <c r="E5" s="6">
        <v>119</v>
      </c>
      <c r="F5" s="6" t="s">
        <v>14</v>
      </c>
      <c r="G5" s="7">
        <f>0.5+4+0.3+4.9+6.6</f>
        <v>16.299999999999997</v>
      </c>
      <c r="H5" s="7">
        <f>AVERAGE(G2:G4)</f>
        <v>-7.1000000000000014</v>
      </c>
      <c r="I5" s="7">
        <v>1</v>
      </c>
      <c r="J5" s="7">
        <v>1</v>
      </c>
      <c r="K5" s="7">
        <f>-5.4+3-4.8+4.4+3.2</f>
        <v>0.40000000000000036</v>
      </c>
      <c r="L5" s="7">
        <f>(-0.7-2+3-0.2+7.8-5.4+3+5-2.5-13.6-0.4-7.7+2.6+6.3-13.9)/3</f>
        <v>-6.2333333333333334</v>
      </c>
      <c r="M5" s="8">
        <v>16263</v>
      </c>
    </row>
    <row r="6" spans="1:13" ht="30" customHeight="1" x14ac:dyDescent="0.2">
      <c r="A6" s="1">
        <v>2023</v>
      </c>
      <c r="B6" s="5">
        <v>45234</v>
      </c>
      <c r="C6" s="6" t="s">
        <v>18</v>
      </c>
      <c r="D6" s="6">
        <v>107</v>
      </c>
      <c r="E6" s="6">
        <v>89</v>
      </c>
      <c r="F6" s="6" t="s">
        <v>14</v>
      </c>
      <c r="G6" s="7">
        <f>10.2+4.9-8.9+6+6.1</f>
        <v>18.299999999999997</v>
      </c>
      <c r="H6" s="7">
        <f>AVERAGE(G2:G5)</f>
        <v>-1.2500000000000018</v>
      </c>
      <c r="I6" s="7">
        <v>1</v>
      </c>
      <c r="J6" s="7">
        <v>1</v>
      </c>
      <c r="K6" s="7">
        <f>-11.5+0.2-2.2-1.7-10.7</f>
        <v>-25.9</v>
      </c>
      <c r="L6" s="7">
        <f>(14-5.9+7.3+2.9-9.6-4.9+8.8+9.9+0.9-11.6-6.5-0.7+11.6-1+5.9-6.4+6.6+4.7+8.1-1.2)/4</f>
        <v>8.2249999999999996</v>
      </c>
      <c r="M6" s="8">
        <v>18055</v>
      </c>
    </row>
    <row r="7" spans="1:13" ht="30" customHeight="1" x14ac:dyDescent="0.2">
      <c r="A7" s="1">
        <v>2023</v>
      </c>
      <c r="B7" s="5">
        <v>45236</v>
      </c>
      <c r="C7" s="6" t="s">
        <v>18</v>
      </c>
      <c r="D7" s="6">
        <v>122</v>
      </c>
      <c r="E7" s="6">
        <v>97</v>
      </c>
      <c r="F7" s="6" t="s">
        <v>14</v>
      </c>
      <c r="G7" s="7">
        <f>-5.1-2+15+7.7+2.5</f>
        <v>18.100000000000001</v>
      </c>
      <c r="H7" s="7">
        <f t="shared" ref="H7:H83" si="0">AVERAGE(G2:G6)</f>
        <v>2.6599999999999979</v>
      </c>
      <c r="I7" s="7">
        <v>1</v>
      </c>
      <c r="J7" s="7">
        <v>1</v>
      </c>
      <c r="K7" s="7">
        <f>-5.8-5.9-13.8-0.8-15.3</f>
        <v>-41.6</v>
      </c>
      <c r="L7" s="7">
        <f>(-11.5+0.2-2.2-1.7-10.7+14-5.9+7.3+2.9-9.6-4.9+8.8+9.9+0.9-11.6-6.5-0.7+11.6-1+5.9-6.4+6.6+4.7+8.1-1.2)/5</f>
        <v>1.4000000000000012</v>
      </c>
      <c r="M7" s="8">
        <v>15130</v>
      </c>
    </row>
    <row r="8" spans="1:13" ht="30" customHeight="1" x14ac:dyDescent="0.2">
      <c r="A8" s="1">
        <v>2023</v>
      </c>
      <c r="B8" s="5">
        <v>45238</v>
      </c>
      <c r="C8" s="6" t="s">
        <v>19</v>
      </c>
      <c r="D8" s="6">
        <v>128</v>
      </c>
      <c r="E8" s="6">
        <v>94</v>
      </c>
      <c r="F8" s="6" t="s">
        <v>14</v>
      </c>
      <c r="G8" s="7">
        <f>1.8-0.4+12-10.8+25.9</f>
        <v>28.5</v>
      </c>
      <c r="H8" s="7">
        <f t="shared" si="0"/>
        <v>8.4199999999999982</v>
      </c>
      <c r="I8" s="7">
        <v>1</v>
      </c>
      <c r="J8" s="7">
        <v>1</v>
      </c>
      <c r="K8" s="7">
        <f>10.7-5.1-10.5-9.8-14.7</f>
        <v>-29.4</v>
      </c>
      <c r="L8" s="7">
        <f>(7.1-0.8-0.6+0.1-18.5+11.2+10.9-1.9-8.6-7.5+2.5+10.5+13-6.4-11.4+9.9-10.9+8+14-15.5+8.1-0.2-2.3-0.3+2.7)/5</f>
        <v>2.6199999999999997</v>
      </c>
      <c r="M8" s="8">
        <v>18055</v>
      </c>
    </row>
    <row r="9" spans="1:13" ht="30" customHeight="1" x14ac:dyDescent="0.2">
      <c r="A9" s="1">
        <v>2023</v>
      </c>
      <c r="B9" s="5">
        <v>45240</v>
      </c>
      <c r="C9" s="6" t="s">
        <v>20</v>
      </c>
      <c r="D9" s="6">
        <v>104</v>
      </c>
      <c r="E9" s="6">
        <v>101</v>
      </c>
      <c r="F9" s="6" t="s">
        <v>14</v>
      </c>
      <c r="G9" s="7">
        <f>7.5+0.6+8-8.8+5.6</f>
        <v>12.9</v>
      </c>
      <c r="H9" s="7">
        <f t="shared" si="0"/>
        <v>15.76</v>
      </c>
      <c r="I9" s="7">
        <v>1</v>
      </c>
      <c r="J9" s="7">
        <v>1</v>
      </c>
      <c r="K9" s="7">
        <f>-2.1-0.2+4.1-3.2+4.4</f>
        <v>2.9999999999999996</v>
      </c>
      <c r="L9" s="7">
        <f>(-5.5+14.5+0.3-11+19.8-5.3+3.2+14.7+4.8-14.5+3.3-6.1+1.7+1-12.3+8.3+2.3-11.5-5.5-10.1+1.5-0.6-6.7-1.6-5.9)/5</f>
        <v>-4.2399999999999993</v>
      </c>
      <c r="M9" s="8">
        <v>16236</v>
      </c>
    </row>
    <row r="10" spans="1:13" ht="30" customHeight="1" x14ac:dyDescent="0.2">
      <c r="A10" s="1">
        <v>2023</v>
      </c>
      <c r="B10" s="5">
        <v>45242</v>
      </c>
      <c r="C10" s="6" t="s">
        <v>21</v>
      </c>
      <c r="D10" s="6">
        <v>107</v>
      </c>
      <c r="E10" s="6">
        <v>104</v>
      </c>
      <c r="F10" s="6" t="s">
        <v>14</v>
      </c>
      <c r="G10" s="7">
        <f>-1.4-5.3+7-6.5-1.7</f>
        <v>-7.8999999999999995</v>
      </c>
      <c r="H10" s="7">
        <f t="shared" si="0"/>
        <v>18.82</v>
      </c>
      <c r="I10" s="7">
        <v>1</v>
      </c>
      <c r="J10" s="7">
        <v>1</v>
      </c>
      <c r="K10" s="7">
        <f>4.1+20.9+2.6-7.2-1.8</f>
        <v>18.600000000000001</v>
      </c>
      <c r="L10" s="7">
        <f>(-1.5+3.9-3.3-7.1-6.7+0.2-2.8+21.2+0.5+4.7+2.1+18.9+7.8-3.8-15.1+17.6+1.5+0.2+0.5-9.2+1.6+14.9-3.2+1.8+1.9)/5</f>
        <v>9.3199999999999985</v>
      </c>
      <c r="M10" s="8">
        <v>18055</v>
      </c>
    </row>
    <row r="11" spans="1:13" ht="30" customHeight="1" x14ac:dyDescent="0.2">
      <c r="A11" s="1">
        <v>2023</v>
      </c>
      <c r="B11" s="5">
        <v>45247</v>
      </c>
      <c r="C11" s="6" t="s">
        <v>22</v>
      </c>
      <c r="D11" s="6">
        <v>100</v>
      </c>
      <c r="E11" s="6">
        <v>106</v>
      </c>
      <c r="F11" s="6" t="s">
        <v>14</v>
      </c>
      <c r="G11" s="7">
        <f>11.8+0.4-1.3-4.8-6.9</f>
        <v>-0.79999999999999982</v>
      </c>
      <c r="H11" s="7">
        <f t="shared" si="0"/>
        <v>13.98</v>
      </c>
      <c r="I11" s="7">
        <v>0</v>
      </c>
      <c r="J11" s="7">
        <v>0</v>
      </c>
      <c r="K11" s="7">
        <f>0.4+11.2+1.2+11.8-1.7</f>
        <v>22.900000000000002</v>
      </c>
      <c r="L11" s="7">
        <f>(-6.2+3+8.5-1.5-4.6+1.8-2.5+1.6+0.1-1.7+4.5+6-15.8-2.1+3.2+3-1.9-2-1-3.4+10.3-0.6+1.3-0.4-10.1)/5</f>
        <v>-2.0999999999999996</v>
      </c>
      <c r="M11" s="8">
        <v>19370</v>
      </c>
    </row>
    <row r="12" spans="1:13" ht="30" customHeight="1" x14ac:dyDescent="0.2">
      <c r="A12" s="1">
        <v>2023</v>
      </c>
      <c r="B12" s="5">
        <v>45249</v>
      </c>
      <c r="C12" s="6" t="s">
        <v>19</v>
      </c>
      <c r="D12" s="6">
        <v>104</v>
      </c>
      <c r="E12" s="6">
        <v>105</v>
      </c>
      <c r="F12" s="6" t="s">
        <v>14</v>
      </c>
      <c r="G12" s="7">
        <f>2.9+3.4-3.3-9+6.7</f>
        <v>0.70000000000000018</v>
      </c>
      <c r="H12" s="7">
        <f t="shared" si="0"/>
        <v>10.16</v>
      </c>
      <c r="I12" s="7">
        <v>0</v>
      </c>
      <c r="J12" s="7">
        <v>0</v>
      </c>
      <c r="K12" s="7">
        <f>21.1-2+8-10-20.4</f>
        <v>-3.2999999999999972</v>
      </c>
      <c r="L12" s="7">
        <f>(9.3-3-10.2+2.6+9.1+7.1+6.7-6.1+4.3-3.2-2.6+11.6+14-2.7+2.3+17.4-12.6+6.9+3-5.4-0.3-7.2+17.6+5.2-0.3)/5</f>
        <v>12.7</v>
      </c>
      <c r="M12" s="8">
        <v>18997</v>
      </c>
    </row>
    <row r="13" spans="1:13" ht="30" customHeight="1" x14ac:dyDescent="0.2">
      <c r="A13" s="1">
        <v>2023</v>
      </c>
      <c r="B13" s="5">
        <v>45250</v>
      </c>
      <c r="C13" s="6" t="s">
        <v>16</v>
      </c>
      <c r="D13" s="6">
        <v>116</v>
      </c>
      <c r="E13" s="6">
        <v>121</v>
      </c>
      <c r="F13" s="6" t="s">
        <v>14</v>
      </c>
      <c r="G13" s="7">
        <f>-3.9+7.7+2.2-4.8-6.1</f>
        <v>-4.8999999999999995</v>
      </c>
      <c r="H13" s="7">
        <f t="shared" si="0"/>
        <v>6.6800000000000015</v>
      </c>
      <c r="I13" s="7">
        <v>0</v>
      </c>
      <c r="J13" s="7">
        <v>0</v>
      </c>
      <c r="K13" s="7">
        <f>3.9+12.8+0-4.4+0.5</f>
        <v>12.799999999999999</v>
      </c>
      <c r="L13" s="7">
        <f>(5.1-2.8-8.2-2.6+11.3+10.2+0.3-5.3+7.1-5.5+1.1+6.1-12.9-38.4-29.4+11.5-13.2+3.2-12+2.2-2.2+9.8-5.8+12.3+3.3)/5</f>
        <v>-10.959999999999999</v>
      </c>
      <c r="M13" s="8">
        <v>18064</v>
      </c>
    </row>
    <row r="14" spans="1:13" ht="30" customHeight="1" x14ac:dyDescent="0.2">
      <c r="A14" s="1">
        <v>2023</v>
      </c>
      <c r="B14" s="5">
        <v>45252</v>
      </c>
      <c r="C14" s="6" t="s">
        <v>23</v>
      </c>
      <c r="D14" s="6">
        <v>111</v>
      </c>
      <c r="E14" s="6">
        <v>91</v>
      </c>
      <c r="F14" s="6" t="s">
        <v>14</v>
      </c>
      <c r="G14" s="7">
        <f>3.7-1.4+13.6+12.4-9.9</f>
        <v>18.399999999999999</v>
      </c>
      <c r="H14" s="7">
        <f t="shared" si="0"/>
        <v>0</v>
      </c>
      <c r="I14" s="7">
        <v>1</v>
      </c>
      <c r="J14" s="7">
        <v>1</v>
      </c>
      <c r="K14" s="7">
        <f>-5.6-0.7+13.8-4.9-4.5</f>
        <v>-1.8999999999999995</v>
      </c>
      <c r="L14" s="7">
        <f>(12.6+3.3-2.3-14.5-6.6-2.8+7.2+1.7-12.9+6.1-4.1-10.1-18.4+0.7+7.4+6.4+3.6-1.5-1.4-7.3+10.6+11.4-2.8-2.7-11.5)/5</f>
        <v>-5.5799999999999974</v>
      </c>
      <c r="M14" s="8">
        <v>18055</v>
      </c>
    </row>
    <row r="15" spans="1:13" ht="30" customHeight="1" x14ac:dyDescent="0.2">
      <c r="A15" s="1">
        <v>2023</v>
      </c>
      <c r="B15" s="5">
        <v>45254</v>
      </c>
      <c r="C15" s="6" t="s">
        <v>21</v>
      </c>
      <c r="D15" s="6">
        <v>105</v>
      </c>
      <c r="E15" s="6">
        <v>86</v>
      </c>
      <c r="F15" s="6" t="s">
        <v>14</v>
      </c>
      <c r="G15" s="7">
        <f>1.1+10.4+6.1+6.6-8.1</f>
        <v>16.100000000000001</v>
      </c>
      <c r="H15" s="7">
        <f t="shared" si="0"/>
        <v>1.1000000000000001</v>
      </c>
      <c r="I15" s="7">
        <v>1</v>
      </c>
      <c r="J15" s="7">
        <v>1</v>
      </c>
      <c r="K15" s="7">
        <f>21.6+5.8-14.6+2.2-17</f>
        <v>-1.9999999999999964</v>
      </c>
      <c r="L15" s="7">
        <f>(3.8+2.2+9.7-8.3+1-6+19.8+6.1-8-0.6-3-6.4+4.6+1.1-4.4-9.5-2.4-1.9+6.5+10.7-6.5+27.2-8.8-1.5+5.9)/5</f>
        <v>6.259999999999998</v>
      </c>
      <c r="M15" s="8">
        <v>18055</v>
      </c>
    </row>
    <row r="16" spans="1:13" ht="30" customHeight="1" x14ac:dyDescent="0.2">
      <c r="A16" s="1">
        <v>2023</v>
      </c>
      <c r="B16" s="5">
        <v>45258</v>
      </c>
      <c r="C16" s="6" t="s">
        <v>24</v>
      </c>
      <c r="D16" s="6">
        <v>115</v>
      </c>
      <c r="E16" s="6">
        <v>121</v>
      </c>
      <c r="F16" s="6" t="s">
        <v>14</v>
      </c>
      <c r="G16" s="7">
        <f>2.1+3.2+7.7-5.9-7.7</f>
        <v>-0.60000000000000053</v>
      </c>
      <c r="H16" s="7">
        <f t="shared" si="0"/>
        <v>5.9</v>
      </c>
      <c r="I16" s="7">
        <v>0</v>
      </c>
      <c r="J16" s="7">
        <v>0</v>
      </c>
      <c r="K16" s="7">
        <f>17.2+4.2-3.5+2.7-20.3</f>
        <v>0.29999999999999716</v>
      </c>
      <c r="L16" s="7">
        <f>(-11.5-4.3+2.2+5.6+10.8+1.5+10.7+10.1-4.9-21.3-3.8+10.3-6.6-5-6.5+12.5+9.8-7-0.3+2.2+7.1-5.2+10.5-11.1-1.6)/5</f>
        <v>0.83999999999999986</v>
      </c>
      <c r="M16" s="8">
        <v>20103</v>
      </c>
    </row>
    <row r="17" spans="1:13" ht="30" customHeight="1" x14ac:dyDescent="0.2">
      <c r="A17" s="1">
        <v>2023</v>
      </c>
      <c r="B17" s="5">
        <v>45259</v>
      </c>
      <c r="C17" s="6" t="s">
        <v>21</v>
      </c>
      <c r="D17" s="6">
        <v>124</v>
      </c>
      <c r="E17" s="6">
        <v>134</v>
      </c>
      <c r="F17" s="6" t="s">
        <v>25</v>
      </c>
      <c r="G17" s="7">
        <f>-10.1+15.1-6.8+2.2-13.9</f>
        <v>-13.5</v>
      </c>
      <c r="H17" s="7">
        <f t="shared" si="0"/>
        <v>5.9399999999999995</v>
      </c>
      <c r="I17" s="7">
        <v>0</v>
      </c>
      <c r="J17" s="7">
        <v>0</v>
      </c>
      <c r="K17" s="7">
        <f>16.6+26.1-3.2+6.7-1.1</f>
        <v>45.1</v>
      </c>
      <c r="L17" s="7">
        <f>(-9.5-2.4-1.9+6.5+10.7-6.5+27.2-8.8-1.5+5.9+21.6+5.8-14.6+2.2-17+6.2+3+2.8+5.2-3.5+21.1-8.8-2.7+10.4-9.9)/5</f>
        <v>8.3000000000000007</v>
      </c>
      <c r="M17" s="8">
        <v>19590</v>
      </c>
    </row>
    <row r="18" spans="1:13" ht="30" customHeight="1" x14ac:dyDescent="0.2">
      <c r="A18" s="1">
        <v>2023</v>
      </c>
      <c r="B18" s="5">
        <v>45262</v>
      </c>
      <c r="C18" s="6" t="s">
        <v>19</v>
      </c>
      <c r="D18" s="6">
        <v>97</v>
      </c>
      <c r="E18" s="6">
        <v>107</v>
      </c>
      <c r="F18" s="6" t="s">
        <v>14</v>
      </c>
      <c r="G18" s="7">
        <f>3.7+9.2-5.4-16.8+3.8</f>
        <v>-5.5000000000000027</v>
      </c>
      <c r="H18" s="7">
        <f t="shared" si="0"/>
        <v>3.1</v>
      </c>
      <c r="I18" s="7">
        <v>0</v>
      </c>
      <c r="J18" s="7">
        <v>0</v>
      </c>
      <c r="K18" s="7">
        <f>6.2-5.7+5.4+10.4+1.2</f>
        <v>17.5</v>
      </c>
      <c r="L18" s="7">
        <f>(1-1.8+8.8+8.3-4+5.3-4+1.7-8.4+4.1-2.3+8.8-2.6-7.2+4.8+19.2+14.5+0.9+4.5-7.9+10.6+6.7+3.3-9.6-1.8)/5</f>
        <v>10.580000000000002</v>
      </c>
      <c r="M18" s="8">
        <v>18997</v>
      </c>
    </row>
    <row r="19" spans="1:13" ht="30" customHeight="1" x14ac:dyDescent="0.2">
      <c r="A19" s="1">
        <v>2023</v>
      </c>
      <c r="B19" s="5">
        <v>45266</v>
      </c>
      <c r="C19" s="6" t="s">
        <v>26</v>
      </c>
      <c r="D19" s="6">
        <v>110</v>
      </c>
      <c r="E19" s="6">
        <v>101</v>
      </c>
      <c r="F19" s="6" t="s">
        <v>14</v>
      </c>
      <c r="G19" s="7">
        <f>0.3+1.7+4.7-1.2-6</f>
        <v>-0.5</v>
      </c>
      <c r="H19" s="7">
        <f t="shared" si="0"/>
        <v>2.9799999999999991</v>
      </c>
      <c r="I19" s="7">
        <v>1</v>
      </c>
      <c r="J19" s="7">
        <v>1</v>
      </c>
      <c r="K19" s="7">
        <f>19.3-7.6-4.1+0.5-16.3</f>
        <v>-8.1999999999999993</v>
      </c>
      <c r="L19" s="7">
        <f>(24.8+2.5-9.5-15-2+9.6+17-0.6-11.1-11.7-7.9+16.6+4.9-5.2-11.5+10.7+8.6-3.6+9.1-3.7+8.8-11.2+1+6.6-12.6)/5</f>
        <v>2.9200000000000008</v>
      </c>
      <c r="M19" s="8">
        <v>16291</v>
      </c>
    </row>
    <row r="20" spans="1:13" ht="30" customHeight="1" x14ac:dyDescent="0.2">
      <c r="A20" s="1">
        <v>2023</v>
      </c>
      <c r="B20" s="5">
        <v>45268</v>
      </c>
      <c r="C20" s="6" t="s">
        <v>21</v>
      </c>
      <c r="D20" s="6">
        <v>114</v>
      </c>
      <c r="E20" s="6">
        <v>106</v>
      </c>
      <c r="F20" s="6" t="s">
        <v>14</v>
      </c>
      <c r="G20" s="7">
        <f>2.7+1.5+6+1.3+2.5</f>
        <v>14</v>
      </c>
      <c r="H20" s="7">
        <f t="shared" si="0"/>
        <v>-0.80000000000000049</v>
      </c>
      <c r="I20" s="7">
        <v>0</v>
      </c>
      <c r="J20" s="7">
        <v>1</v>
      </c>
      <c r="K20" s="7">
        <f>3.4-0.1+2.1+8.5-9.5</f>
        <v>4.4000000000000004</v>
      </c>
      <c r="L20" s="7">
        <f>(21.1-8.8-2.7+10.4-9.9+16.6+26.1-3.2+6.7-1.1-1.2+8.5+7.3+3.1+10.5+21.4-9.4-1+1.4-2.9-0.3-5.5+7-2.2+10.6)/5</f>
        <v>20.499999999999993</v>
      </c>
      <c r="M20" s="8">
        <v>19544</v>
      </c>
    </row>
    <row r="21" spans="1:13" ht="30" customHeight="1" x14ac:dyDescent="0.2">
      <c r="A21" s="1">
        <v>2023</v>
      </c>
      <c r="B21" s="5">
        <v>45271</v>
      </c>
      <c r="C21" s="6" t="s">
        <v>15</v>
      </c>
      <c r="D21" s="6">
        <v>93</v>
      </c>
      <c r="E21" s="6">
        <v>82</v>
      </c>
      <c r="F21" s="6" t="s">
        <v>14</v>
      </c>
      <c r="G21" s="7">
        <f>2.7+3.2+3.2-16.3-7.6</f>
        <v>-14.799999999999999</v>
      </c>
      <c r="H21" s="7">
        <f t="shared" si="0"/>
        <v>-1.2200000000000011</v>
      </c>
      <c r="I21" s="7">
        <v>1</v>
      </c>
      <c r="J21" s="7">
        <v>1</v>
      </c>
      <c r="K21" s="7">
        <f>-1.6-6.3+2+3.3-1.2</f>
        <v>-3.8000000000000007</v>
      </c>
      <c r="L21" s="7">
        <f>(-7.6+11.4+3.4-10.8-14.9+9.6-1-0.1+4.4-15.7-1.4-8-3.8+1.2-8.2-4.3+1.2+6.9+13.5-8.7+6.9-17-17.4+1.1-1.7)/5</f>
        <v>-12.199999999999996</v>
      </c>
      <c r="M21" s="8">
        <v>16481</v>
      </c>
    </row>
    <row r="22" spans="1:13" ht="30" customHeight="1" x14ac:dyDescent="0.2">
      <c r="A22" s="1">
        <v>2023</v>
      </c>
      <c r="B22" s="5">
        <v>45273</v>
      </c>
      <c r="C22" s="6" t="s">
        <v>23</v>
      </c>
      <c r="D22" s="6">
        <v>117</v>
      </c>
      <c r="E22" s="6">
        <v>104</v>
      </c>
      <c r="F22" s="6" t="s">
        <v>14</v>
      </c>
      <c r="G22" s="7">
        <f>-0.6+11.8-9.3-7.4-14.7</f>
        <v>-20.2</v>
      </c>
      <c r="H22" s="7">
        <f t="shared" si="0"/>
        <v>-4.0600000000000005</v>
      </c>
      <c r="I22" s="7">
        <v>1</v>
      </c>
      <c r="J22" s="7">
        <v>1</v>
      </c>
      <c r="K22" s="7">
        <f>15.1-7.2+2.4-2.2-14</f>
        <v>-5.9000000000000021</v>
      </c>
      <c r="L22" s="7">
        <f>(8.9-8.4+0.4-10.1-16.2+9.4-12.4-1.1+13.6-11.1+19.6-3.2-4-6.9-23.2-10.7+0.5-4.5-7.4-7.7+7.7+0.5-6.7+2.8-9.7)/5</f>
        <v>-15.980000000000004</v>
      </c>
      <c r="M22" s="8">
        <v>16813</v>
      </c>
    </row>
    <row r="23" spans="1:13" ht="30" customHeight="1" x14ac:dyDescent="0.2">
      <c r="A23" s="1">
        <v>2023</v>
      </c>
      <c r="B23" s="5">
        <v>45275</v>
      </c>
      <c r="C23" s="6" t="s">
        <v>23</v>
      </c>
      <c r="D23" s="6">
        <v>103</v>
      </c>
      <c r="E23" s="6">
        <v>96</v>
      </c>
      <c r="F23" s="6" t="s">
        <v>14</v>
      </c>
      <c r="G23" s="7">
        <f>0.4+13.7-2.2-9.7+2.7</f>
        <v>4.8999999999999995</v>
      </c>
      <c r="H23" s="7">
        <f t="shared" si="0"/>
        <v>-5.4</v>
      </c>
      <c r="I23" s="7">
        <v>0</v>
      </c>
      <c r="J23" s="7">
        <v>1</v>
      </c>
      <c r="K23" s="7">
        <f>6.3-3.5-0.2+5.5+3.9</f>
        <v>12</v>
      </c>
      <c r="L23" s="7">
        <f>(9.4-12.4-1.1+13.6-11.1+19.6-3.2-4-6.9-23.2-10.7+0.5-4.5-7.4-7.7+7.7+0.5-6.7+2.8-9.7+15.1-7.2+2.4-2.2-14)/5</f>
        <v>-12.080000000000002</v>
      </c>
      <c r="M23" s="8">
        <v>16941</v>
      </c>
    </row>
    <row r="24" spans="1:13" ht="30" customHeight="1" x14ac:dyDescent="0.2">
      <c r="A24" s="1">
        <v>2023</v>
      </c>
      <c r="B24" s="5">
        <v>45277</v>
      </c>
      <c r="C24" s="6" t="s">
        <v>27</v>
      </c>
      <c r="D24" s="6">
        <v>119</v>
      </c>
      <c r="E24" s="6">
        <v>128</v>
      </c>
      <c r="F24" s="6" t="s">
        <v>14</v>
      </c>
      <c r="G24" s="7">
        <f>4-2.2+3.1+4.3-3.1</f>
        <v>6.1</v>
      </c>
      <c r="H24" s="7">
        <f t="shared" si="0"/>
        <v>-3.3200000000000003</v>
      </c>
      <c r="I24" s="7">
        <v>0</v>
      </c>
      <c r="J24" s="7">
        <v>0</v>
      </c>
      <c r="K24" s="7">
        <f>-6.6+23.8+1.5+2.5-7</f>
        <v>14.200000000000003</v>
      </c>
      <c r="L24" s="7">
        <f>(7.4+9.6+3.6-1+0.2+1.8+10.9-0.1-7+7.4+9.8-10.4+2.9+5.2-7+23.6+1.7-2.8-3.4+4.3-3.3+5.3+0.4-4.7+13.4)/5</f>
        <v>13.559999999999999</v>
      </c>
      <c r="M24" s="8">
        <v>17341</v>
      </c>
    </row>
    <row r="25" spans="1:13" ht="30" customHeight="1" x14ac:dyDescent="0.2">
      <c r="A25" s="1">
        <v>2023</v>
      </c>
      <c r="B25" s="5">
        <v>45278</v>
      </c>
      <c r="C25" s="6" t="s">
        <v>28</v>
      </c>
      <c r="D25" s="6">
        <v>130</v>
      </c>
      <c r="E25" s="6">
        <v>135</v>
      </c>
      <c r="F25" s="6" t="s">
        <v>14</v>
      </c>
      <c r="G25" s="7">
        <f>11.6-2-6.5+2.6-16</f>
        <v>-10.3</v>
      </c>
      <c r="H25" s="7">
        <f t="shared" si="0"/>
        <v>-2.0000000000000004</v>
      </c>
      <c r="I25" s="7">
        <v>0</v>
      </c>
      <c r="J25" s="7">
        <v>0</v>
      </c>
      <c r="K25" s="7">
        <f>3.4-4.2+6.8-6.7+9.5</f>
        <v>8.8000000000000007</v>
      </c>
      <c r="L25" s="7">
        <f>(6.1-9.4+11.2-7.4+1.7+15.3+6.4+5.1-14.1-3.6+2.1-1.3+4.9+3.4+5+5.2-3.4-5.2-5.7-4+4.2+5.7-5.1+8.1+13.8)/5</f>
        <v>7.8</v>
      </c>
      <c r="M25" s="8">
        <v>19432</v>
      </c>
    </row>
    <row r="26" spans="1:13" ht="30" customHeight="1" x14ac:dyDescent="0.2">
      <c r="A26" s="1">
        <v>2023</v>
      </c>
      <c r="B26" s="5">
        <v>45280</v>
      </c>
      <c r="C26" s="6" t="s">
        <v>29</v>
      </c>
      <c r="D26" s="6">
        <v>127</v>
      </c>
      <c r="E26" s="6">
        <v>134</v>
      </c>
      <c r="F26" s="6" t="s">
        <v>14</v>
      </c>
      <c r="G26" s="7">
        <f>6.3+11.8-9.1+9.9+3.7</f>
        <v>22.6</v>
      </c>
      <c r="H26" s="7">
        <f t="shared" si="0"/>
        <v>-6.8599999999999994</v>
      </c>
      <c r="I26" s="7">
        <v>1</v>
      </c>
      <c r="J26" s="7">
        <v>0</v>
      </c>
      <c r="K26" s="7">
        <f>7.8-2.1-10.7-4.9+13.7</f>
        <v>3.7999999999999989</v>
      </c>
      <c r="L26" s="7">
        <f>(-0.7-6.3-1.6-0.1-8.6+2.5-10.1-3.4-0.3-7.7-4.2+7+4+2+0.9+9.1-1.5-11.2-2.2+8.5-2.5+3.4+2.4-1.8+6.2)/5</f>
        <v>-3.2400000000000007</v>
      </c>
      <c r="M26" s="8">
        <v>18055</v>
      </c>
    </row>
    <row r="27" spans="1:13" ht="30" customHeight="1" x14ac:dyDescent="0.2">
      <c r="A27" s="1">
        <v>2023</v>
      </c>
      <c r="B27" s="5">
        <v>45282</v>
      </c>
      <c r="C27" s="6" t="s">
        <v>24</v>
      </c>
      <c r="D27" s="6">
        <v>122</v>
      </c>
      <c r="E27" s="6">
        <v>96</v>
      </c>
      <c r="F27" s="6" t="s">
        <v>14</v>
      </c>
      <c r="G27" s="7">
        <f>5.2+2.2+0.8+16.6-4.8</f>
        <v>20.000000000000004</v>
      </c>
      <c r="H27" s="7">
        <f t="shared" si="0"/>
        <v>0.62000000000000033</v>
      </c>
      <c r="I27" s="7">
        <v>1</v>
      </c>
      <c r="J27" s="7">
        <v>1</v>
      </c>
      <c r="K27" s="7">
        <f>-6.9-8.2-13.5-12.6-6.6</f>
        <v>-47.800000000000004</v>
      </c>
      <c r="L27" s="7">
        <f>(4.2+3.1+14.4-4.2+2.4+13.2-11.3+1.5-8.8+6.1+10.9+4.4-5.5+1.6-12.8+19.2-7.6-5.3+1.9-8.3-3-2.6+5.2+1.3-6.7)/5</f>
        <v>2.6599999999999993</v>
      </c>
      <c r="M27" s="8">
        <v>18055</v>
      </c>
    </row>
    <row r="28" spans="1:13" ht="30" customHeight="1" x14ac:dyDescent="0.2">
      <c r="A28" s="1">
        <v>2023</v>
      </c>
      <c r="B28" s="5">
        <v>45283</v>
      </c>
      <c r="C28" s="6" t="s">
        <v>20</v>
      </c>
      <c r="D28" s="6">
        <v>106</v>
      </c>
      <c r="E28" s="6">
        <v>104</v>
      </c>
      <c r="F28" s="6" t="s">
        <v>14</v>
      </c>
      <c r="G28" s="7">
        <f>16.3+15-6.1-1.6-12.6</f>
        <v>11.000000000000002</v>
      </c>
      <c r="H28" s="7">
        <f t="shared" si="0"/>
        <v>8.66</v>
      </c>
      <c r="I28" s="7">
        <v>0</v>
      </c>
      <c r="J28" s="7">
        <v>1</v>
      </c>
      <c r="K28" s="7">
        <f>5.7+13-5-4.1-4</f>
        <v>5.6</v>
      </c>
      <c r="L28" s="7">
        <f>(-0.6+4.2+6.8-13.8-6.3+12.2+1.1-15.8+2.8+5.8+10.9+9.5+1.6+2.4-16+9.5+13.1+7.8-11-7.1+3.2-3.7-2+16.6+5.6)/5</f>
        <v>7.3599999999999994</v>
      </c>
      <c r="M28" s="8">
        <v>17399</v>
      </c>
    </row>
    <row r="29" spans="1:13" ht="30" customHeight="1" x14ac:dyDescent="0.2">
      <c r="A29" s="1">
        <v>2023</v>
      </c>
      <c r="B29" s="5">
        <v>45286</v>
      </c>
      <c r="C29" s="6" t="s">
        <v>30</v>
      </c>
      <c r="D29" s="6">
        <v>117</v>
      </c>
      <c r="E29" s="6">
        <v>123</v>
      </c>
      <c r="F29" s="6" t="s">
        <v>14</v>
      </c>
      <c r="G29" s="7">
        <f>-1.4+11.3-7.7-3.1-7.1</f>
        <v>-8</v>
      </c>
      <c r="H29" s="7">
        <f t="shared" si="0"/>
        <v>9.8800000000000008</v>
      </c>
      <c r="I29" s="7">
        <v>1</v>
      </c>
      <c r="J29" s="7">
        <v>0</v>
      </c>
      <c r="K29" s="7">
        <f>14.1-3.4-4.2+6.5-0.7</f>
        <v>12.3</v>
      </c>
      <c r="L29" s="7">
        <f>(-3.7-0.2-4.5-24.5-1.5-16+4.2-2.9-0.4-12-2.7+4.4+13-2-12.7-5.9-4.4+1.8+9.3-7.8+11.6+0.9+3.5+14.8-12.6)/5</f>
        <v>-10.06</v>
      </c>
      <c r="M29" s="8">
        <v>18055</v>
      </c>
    </row>
    <row r="30" spans="1:13" ht="15.75" customHeight="1" x14ac:dyDescent="0.2">
      <c r="A30" s="1">
        <v>2023</v>
      </c>
      <c r="B30" s="5">
        <v>45287</v>
      </c>
      <c r="C30" s="6" t="s">
        <v>31</v>
      </c>
      <c r="D30" s="6">
        <v>113</v>
      </c>
      <c r="E30" s="6">
        <v>129</v>
      </c>
      <c r="F30" s="6" t="s">
        <v>32</v>
      </c>
      <c r="G30" s="7">
        <f>-7.2+4.6+6.6+1.6-0.9</f>
        <v>4.6999999999999993</v>
      </c>
      <c r="H30" s="7">
        <f t="shared" si="0"/>
        <v>7.0600000000000005</v>
      </c>
      <c r="I30" s="7">
        <v>1</v>
      </c>
      <c r="J30" s="7">
        <v>0</v>
      </c>
      <c r="K30" s="7">
        <f>15.5+11.6-4.1+3.4-8.5</f>
        <v>17.899999999999999</v>
      </c>
      <c r="L30" s="7">
        <f>(-6.9+4.6+1.9+2.8+34.8-1.9+2.7+1.2-2.2-2.2+9.7-0.2-1.9-5-4.7+3.5+4+6.4-6.3-14.2-4.6-0.2+9.2-4.2-9.4)/5</f>
        <v>3.38</v>
      </c>
      <c r="M30" s="8">
        <v>18055</v>
      </c>
    </row>
    <row r="31" spans="1:13" ht="15.75" customHeight="1" x14ac:dyDescent="0.2">
      <c r="A31" s="1">
        <v>2023</v>
      </c>
      <c r="B31" s="5">
        <v>45289</v>
      </c>
      <c r="C31" s="6" t="s">
        <v>33</v>
      </c>
      <c r="D31" s="6">
        <v>127</v>
      </c>
      <c r="E31" s="6">
        <v>131</v>
      </c>
      <c r="F31" s="6" t="s">
        <v>34</v>
      </c>
      <c r="G31" s="7">
        <f>9.2+7.5-6.5+7.7-8.5</f>
        <v>9.3999999999999986</v>
      </c>
      <c r="H31" s="7">
        <f t="shared" si="0"/>
        <v>10.060000000000002</v>
      </c>
      <c r="I31" s="7">
        <v>1</v>
      </c>
      <c r="J31" s="7">
        <v>0</v>
      </c>
      <c r="K31" s="7">
        <f>3.4-7.3+9.4-3.4+1.4</f>
        <v>3.5</v>
      </c>
      <c r="L31" s="7">
        <f>(5.3+13.2-4.4+5.4-6.9+1.2-5.1+20.6-2.7-1.3+4.1+7.3+11.6+3-9.6-13.5+5.4+6.4+2.2-8.8+9.1+4.8+1.8+6.8-2.4)/5</f>
        <v>10.699999999999998</v>
      </c>
      <c r="M31" s="8">
        <v>18055</v>
      </c>
    </row>
    <row r="32" spans="1:13" ht="15.75" customHeight="1" x14ac:dyDescent="0.2">
      <c r="A32" s="1">
        <v>2023</v>
      </c>
      <c r="B32" s="5">
        <v>45292</v>
      </c>
      <c r="C32" s="6" t="s">
        <v>35</v>
      </c>
      <c r="D32" s="6">
        <v>136</v>
      </c>
      <c r="E32" s="6">
        <v>113</v>
      </c>
      <c r="F32" s="6" t="s">
        <v>32</v>
      </c>
      <c r="G32" s="7">
        <f>6.9+17.2-2.4-9+4.2</f>
        <v>16.900000000000002</v>
      </c>
      <c r="H32" s="7">
        <f t="shared" si="0"/>
        <v>7.4200000000000017</v>
      </c>
      <c r="I32" s="7">
        <v>1</v>
      </c>
      <c r="J32" s="7">
        <v>1</v>
      </c>
      <c r="K32" s="7">
        <f>-20.8-8.9+7.5-3.5-0.8</f>
        <v>-26.500000000000004</v>
      </c>
      <c r="L32" s="7">
        <f>(1.6+7.9-14.2+4.8+3.1-5.6+4.8-8.7+15-6.1-7.4+18.1-1.8+2.9-4.5-6.1+10.2+4.2+4.5-12.4+5.7-8.8-2.3-1.1-0.6)/5</f>
        <v>0.64000000000000057</v>
      </c>
      <c r="M32" s="8">
        <v>18055</v>
      </c>
    </row>
    <row r="33" spans="1:13" ht="15.75" customHeight="1" x14ac:dyDescent="0.2">
      <c r="A33" s="1">
        <v>2023</v>
      </c>
      <c r="B33" s="5">
        <v>45294</v>
      </c>
      <c r="C33" s="6" t="s">
        <v>36</v>
      </c>
      <c r="D33" s="6">
        <v>112</v>
      </c>
      <c r="E33" s="6">
        <v>101</v>
      </c>
      <c r="F33" s="6" t="s">
        <v>32</v>
      </c>
      <c r="G33" s="7">
        <f>14.2+14.1-8.1+3.7-9.1</f>
        <v>14.799999999999995</v>
      </c>
      <c r="H33" s="7">
        <f t="shared" si="0"/>
        <v>6.8</v>
      </c>
      <c r="I33" s="7">
        <v>1</v>
      </c>
      <c r="J33" s="7">
        <v>1</v>
      </c>
      <c r="K33" s="7">
        <f>-5.6+4.1+4.3+0.2-17.8</f>
        <v>-14.8</v>
      </c>
      <c r="L33" s="7">
        <f>(-8.5-8.5+9.2+14-8.6-5.7+15.7+0.3-9-6.6-3.1-9.3+2.3-0.8+3.6-4.7+5.6+4.1-6.1-6-7.1+9.4-0.6-18.5-4.6)/5</f>
        <v>-8.7000000000000011</v>
      </c>
      <c r="M33" s="8">
        <v>16563</v>
      </c>
    </row>
    <row r="34" spans="1:13" ht="15.75" customHeight="1" x14ac:dyDescent="0.2">
      <c r="A34" s="1">
        <v>2023</v>
      </c>
      <c r="B34" s="5">
        <v>45296</v>
      </c>
      <c r="C34" s="6" t="s">
        <v>37</v>
      </c>
      <c r="D34" s="6">
        <v>95</v>
      </c>
      <c r="E34" s="6">
        <v>122</v>
      </c>
      <c r="F34" s="6" t="s">
        <v>32</v>
      </c>
      <c r="G34" s="7">
        <f>-4.2-2.1+0.9+2.4-1.9</f>
        <v>-4.9000000000000004</v>
      </c>
      <c r="H34" s="7">
        <f t="shared" si="0"/>
        <v>7.56</v>
      </c>
      <c r="I34" s="7">
        <v>1</v>
      </c>
      <c r="J34" s="7">
        <v>0</v>
      </c>
      <c r="K34" s="7">
        <f>5.6-0.1+1.3+4.2-3.3</f>
        <v>7.7</v>
      </c>
      <c r="L34" s="7">
        <f>(0.9-8.6-7.3-12.4+18.3+8.8+6.9+0.8-0.9-18.3+0.7+0.8+5-9.5-4.7-3.2+8.4-6.3+7.1+0.5+7.8-5.3-1.5+6.8-8.6)/5</f>
        <v>-2.7599999999999989</v>
      </c>
      <c r="M34" s="8">
        <v>18055</v>
      </c>
    </row>
    <row r="35" spans="1:13" ht="15.75" customHeight="1" x14ac:dyDescent="0.2">
      <c r="A35" s="1">
        <v>2023</v>
      </c>
      <c r="B35" s="5">
        <v>45297</v>
      </c>
      <c r="C35" s="6" t="s">
        <v>27</v>
      </c>
      <c r="D35" s="6">
        <v>112</v>
      </c>
      <c r="E35" s="6">
        <v>108</v>
      </c>
      <c r="F35" s="6" t="s">
        <v>32</v>
      </c>
      <c r="G35" s="7">
        <f>5.5+1.2-8.5+0.8+0.7</f>
        <v>-0.29999999999999982</v>
      </c>
      <c r="H35" s="7">
        <f t="shared" si="0"/>
        <v>8.18</v>
      </c>
      <c r="I35" s="7">
        <v>1</v>
      </c>
      <c r="J35" s="7">
        <v>1</v>
      </c>
      <c r="K35" s="7">
        <f>15.9+0.3-8.4-4.8-7.2</f>
        <v>-4.2000000000000011</v>
      </c>
      <c r="L35" s="7">
        <f>(5+13.1-13.4-13.3+9.4+9.2+3.2+0.2+5+5.2+2.3-9.1+15.4-2.1+4-2+11.1+4.2-4.3-8.5+19.9+5-10.3-3.1+16.6)/5</f>
        <v>12.540000000000001</v>
      </c>
      <c r="M35" s="8">
        <v>18055</v>
      </c>
    </row>
    <row r="36" spans="1:13" ht="15.75" customHeight="1" x14ac:dyDescent="0.2">
      <c r="A36" s="1">
        <v>2023</v>
      </c>
      <c r="B36" s="5">
        <v>45299</v>
      </c>
      <c r="C36" s="6" t="s">
        <v>38</v>
      </c>
      <c r="D36" s="6">
        <v>113</v>
      </c>
      <c r="E36" s="6">
        <v>120</v>
      </c>
      <c r="F36" s="6" t="s">
        <v>32</v>
      </c>
      <c r="G36" s="7">
        <f>14.2-2.1+4.1-13.1-6.4</f>
        <v>-3.3000000000000007</v>
      </c>
      <c r="H36" s="7">
        <f t="shared" si="0"/>
        <v>7.18</v>
      </c>
      <c r="I36" s="7">
        <v>0</v>
      </c>
      <c r="J36" s="7">
        <v>0</v>
      </c>
      <c r="K36" s="7">
        <f>-4.8+3.2+2+0.2+4.1</f>
        <v>4.7</v>
      </c>
      <c r="L36" s="7">
        <f>(0.4+2.8+7.3-4.9-6.7+3.2+9.5-4.8+5.6-18-1.4-5.2-1.4-7.2-8.7+2.4-2+3.4+5.4+12.4+5.3-4.8-10.6-3.9-9.8)/5</f>
        <v>-6.3400000000000007</v>
      </c>
      <c r="M36" s="8">
        <v>19694</v>
      </c>
    </row>
    <row r="37" spans="1:13" ht="15.75" customHeight="1" x14ac:dyDescent="0.2">
      <c r="A37" s="1">
        <v>2023</v>
      </c>
      <c r="B37" s="5">
        <v>45301</v>
      </c>
      <c r="C37" s="6" t="s">
        <v>39</v>
      </c>
      <c r="D37" s="6">
        <v>119</v>
      </c>
      <c r="E37" s="6">
        <v>124</v>
      </c>
      <c r="F37" s="6" t="s">
        <v>32</v>
      </c>
      <c r="G37" s="7">
        <f>-0.9+3.3+1.5-0.5-8.8</f>
        <v>-5.4</v>
      </c>
      <c r="H37" s="7">
        <f t="shared" si="0"/>
        <v>4.6399999999999988</v>
      </c>
      <c r="I37" s="7">
        <v>0</v>
      </c>
      <c r="J37" s="7">
        <v>0</v>
      </c>
      <c r="K37" s="7">
        <f>7.4-7.4+8.6-0.9-0.5</f>
        <v>7.1999999999999993</v>
      </c>
      <c r="L37" s="7">
        <f>(-5.8+3.3+0.6+9.5+9-0.3-1.8-4.5-5-7.5+13.9+8.2+2-4.3-17.3+2.8+0.7+0.5-5.3+12+0.7+1.7-4.9-5.7+7.7)/5</f>
        <v>2.0399999999999996</v>
      </c>
      <c r="M37" s="8">
        <v>21149</v>
      </c>
    </row>
    <row r="38" spans="1:13" ht="15.75" customHeight="1" x14ac:dyDescent="0.2">
      <c r="A38" s="1">
        <v>2023</v>
      </c>
      <c r="B38" s="5">
        <v>45303</v>
      </c>
      <c r="C38" s="6" t="s">
        <v>35</v>
      </c>
      <c r="D38" s="6">
        <v>112</v>
      </c>
      <c r="E38" s="6">
        <v>110</v>
      </c>
      <c r="F38" s="6" t="s">
        <v>32</v>
      </c>
      <c r="G38" s="7">
        <f>9.3+0.9-0.3-1.7-5.6</f>
        <v>2.6000000000000014</v>
      </c>
      <c r="H38" s="7">
        <f t="shared" si="0"/>
        <v>0.17999999999999866</v>
      </c>
      <c r="I38" s="7">
        <v>0</v>
      </c>
      <c r="J38" s="7">
        <v>1</v>
      </c>
      <c r="K38" s="7">
        <f>7.7-1.1-1.8-7.1-3.2</f>
        <v>-5.5</v>
      </c>
      <c r="L38" s="7">
        <f>(3.9+1-3.7+2.8-8-8.1+3.2+3.5-6.8-0.7-3.3+4.4-8.2-3.5-12-1.7+8.9-12.4-5.7-2.2-4.5-7+2.2-1.4+5.9)/5</f>
        <v>-10.680000000000001</v>
      </c>
      <c r="M38" s="8">
        <v>13987</v>
      </c>
    </row>
    <row r="39" spans="1:13" ht="30" customHeight="1" x14ac:dyDescent="0.2">
      <c r="A39" s="1">
        <v>2023</v>
      </c>
      <c r="B39" s="5">
        <v>45304</v>
      </c>
      <c r="C39" s="6" t="s">
        <v>40</v>
      </c>
      <c r="D39" s="6">
        <v>113</v>
      </c>
      <c r="E39" s="6">
        <v>145</v>
      </c>
      <c r="F39" s="6" t="s">
        <v>14</v>
      </c>
      <c r="G39" s="7">
        <f>-10.4-5+6.3-0.8-4.9</f>
        <v>-14.800000000000002</v>
      </c>
      <c r="H39" s="7">
        <f t="shared" si="0"/>
        <v>-2.2599999999999998</v>
      </c>
      <c r="I39" s="7">
        <v>0</v>
      </c>
      <c r="J39" s="7">
        <v>0</v>
      </c>
      <c r="K39" s="7">
        <f>9.6+13.7+10.8-4.4+11.2</f>
        <v>40.899999999999991</v>
      </c>
      <c r="L39" s="7">
        <f>(0.1+6.6+3+28+8.4+17.7-2.7+3.8-8.5+13.4+0.9+1.9+5.4-6.4+2.5-7.3+15.1+12.1-3.4+1.7-4.3-13.9-7-15.8-7.3)/5</f>
        <v>8.8000000000000007</v>
      </c>
      <c r="M39" s="8">
        <v>19156</v>
      </c>
    </row>
    <row r="40" spans="1:13" ht="30" customHeight="1" x14ac:dyDescent="0.2">
      <c r="A40" s="1">
        <v>2023</v>
      </c>
      <c r="B40" s="5">
        <v>45306</v>
      </c>
      <c r="C40" s="6" t="s">
        <v>33</v>
      </c>
      <c r="D40" s="6">
        <v>115</v>
      </c>
      <c r="E40" s="6">
        <v>124</v>
      </c>
      <c r="F40" s="6" t="s">
        <v>14</v>
      </c>
      <c r="G40" s="7">
        <f>-2.8+8.1-5+4.4-4</f>
        <v>0.70000000000000018</v>
      </c>
      <c r="H40" s="7">
        <f t="shared" si="0"/>
        <v>-4.24</v>
      </c>
      <c r="I40" s="7">
        <v>0</v>
      </c>
      <c r="J40" s="7">
        <v>0</v>
      </c>
      <c r="K40" s="7">
        <f>3.8+14.3-3.9+0.9-3.7</f>
        <v>11.400000000000002</v>
      </c>
      <c r="L40" s="7">
        <f>(17.7+7.6+6.3+12.9+0.8+10.5+1.1+0.2-5.4-14.4+1.3-0.5+5.4-3.1-3+4.3+2.1-3.5-1.3+5.5+2.8+14.8+18-6.3+3.1)/5</f>
        <v>15.379999999999999</v>
      </c>
      <c r="M40" s="8">
        <v>20822</v>
      </c>
    </row>
    <row r="41" spans="1:13" ht="30" customHeight="1" x14ac:dyDescent="0.2">
      <c r="A41" s="1">
        <v>2023</v>
      </c>
      <c r="B41" s="5">
        <v>45308</v>
      </c>
      <c r="C41" s="6" t="s">
        <v>41</v>
      </c>
      <c r="D41" s="6">
        <v>94</v>
      </c>
      <c r="E41" s="6">
        <v>109</v>
      </c>
      <c r="F41" s="6" t="s">
        <v>14</v>
      </c>
      <c r="G41" s="7">
        <f>8.6-9+2.3+0.4-11.7</f>
        <v>-9.4</v>
      </c>
      <c r="H41" s="7">
        <f t="shared" si="0"/>
        <v>-4.0400000000000009</v>
      </c>
      <c r="I41" s="7">
        <v>0</v>
      </c>
      <c r="J41" s="7">
        <v>0</v>
      </c>
      <c r="K41" s="7">
        <f>5.3+4.6+8.3+11.8-4.9</f>
        <v>25.1</v>
      </c>
      <c r="L41" s="7">
        <f>(-1.2+11.2+10.9-0.8-1.1+7.7+13.1+7.1+1.1+10.5-1.5-4.2+2.9+3.5+5.9+4.7+5.9-3.9-0.9+0.7+1.6-2.7+5-2.9+10.3)/5</f>
        <v>16.579999999999995</v>
      </c>
      <c r="M41" s="8">
        <v>19439</v>
      </c>
    </row>
    <row r="42" spans="1:13" ht="30" customHeight="1" x14ac:dyDescent="0.2">
      <c r="A42" s="1">
        <v>2023</v>
      </c>
      <c r="B42" s="5">
        <v>45311</v>
      </c>
      <c r="C42" s="6" t="s">
        <v>42</v>
      </c>
      <c r="D42" s="6">
        <v>127</v>
      </c>
      <c r="E42" s="6">
        <v>126</v>
      </c>
      <c r="F42" s="6" t="s">
        <v>14</v>
      </c>
      <c r="G42" s="7">
        <f>11.4+2.9-12+1.3-10.8</f>
        <v>-7.2</v>
      </c>
      <c r="H42" s="7">
        <f t="shared" si="0"/>
        <v>-5.2600000000000007</v>
      </c>
      <c r="I42" s="7">
        <v>1</v>
      </c>
      <c r="J42" s="7">
        <v>1</v>
      </c>
      <c r="K42" s="7">
        <f>0.5-3.3+2.4+10.2-5.6</f>
        <v>4.1999999999999993</v>
      </c>
      <c r="L42" s="7">
        <f>(5.3+6.1+4.1+10.2-16.2+5.1+2.1+12.9+8.9-7.3+10+15.1+7.1-12.9-0.4+14.4=0.1+16.1+7.7-6.9+8.1+6.1-0.5+1.6-9.6)/5</f>
        <v>0</v>
      </c>
      <c r="M42" s="8">
        <v>16618</v>
      </c>
    </row>
    <row r="43" spans="1:13" ht="30" customHeight="1" x14ac:dyDescent="0.2">
      <c r="A43" s="1">
        <v>2023</v>
      </c>
      <c r="B43" s="5">
        <v>45312</v>
      </c>
      <c r="C43" s="6" t="s">
        <v>40</v>
      </c>
      <c r="D43" s="6">
        <v>107</v>
      </c>
      <c r="E43" s="6">
        <v>116</v>
      </c>
      <c r="F43" s="6" t="s">
        <v>43</v>
      </c>
      <c r="G43" s="7">
        <f>3.8+6.9-3.7+4.5-7.8</f>
        <v>3.7</v>
      </c>
      <c r="H43" s="7">
        <f t="shared" si="0"/>
        <v>-5.6199999999999992</v>
      </c>
      <c r="I43" s="7">
        <v>1</v>
      </c>
      <c r="J43" s="7">
        <v>0</v>
      </c>
      <c r="K43" s="7">
        <f>0-6.8+11.9+5.3+1.8</f>
        <v>12.200000000000001</v>
      </c>
      <c r="L43" s="7">
        <f>(-4.3-13.9-7-15.8-7.3+9.6+13.7+10.8-4.4+11.2+4.7-1.4+0.9+17.2-3.2-3.2+6.8+11.9+5.3+6.3+2.8+9.2-9.9+15.1-3.4)/5</f>
        <v>10.340000000000002</v>
      </c>
      <c r="M43" s="8">
        <v>18055</v>
      </c>
    </row>
    <row r="44" spans="1:13" ht="30" customHeight="1" x14ac:dyDescent="0.2">
      <c r="A44" s="1">
        <v>2023</v>
      </c>
      <c r="B44" s="5">
        <v>45315</v>
      </c>
      <c r="C44" s="6" t="s">
        <v>44</v>
      </c>
      <c r="D44" s="6">
        <v>131</v>
      </c>
      <c r="E44" s="6">
        <v>137</v>
      </c>
      <c r="F44" s="6" t="s">
        <v>45</v>
      </c>
      <c r="G44" s="7">
        <f>0.5+7.5-3.6-5.4-7.3</f>
        <v>-8.3000000000000007</v>
      </c>
      <c r="H44" s="7">
        <f t="shared" si="0"/>
        <v>-5.4</v>
      </c>
      <c r="I44" s="7">
        <v>1</v>
      </c>
      <c r="J44" s="7">
        <v>0</v>
      </c>
      <c r="K44" s="7">
        <f>5.3-7+2.7+5.3-4.7</f>
        <v>1.5999999999999996</v>
      </c>
      <c r="L44" s="7">
        <f>(-0.2+1.2-5.7-1.5-9.6-4.4+2.5+8-5.3+12.5+3.1-2.2+9-7.4+1.5+7-4.9-7.6+0-15.2-4.4-1.8-1.3+8.7-11.8)/5</f>
        <v>-5.9600000000000009</v>
      </c>
      <c r="M44" s="8">
        <v>18055</v>
      </c>
    </row>
    <row r="45" spans="1:13" ht="30" customHeight="1" x14ac:dyDescent="0.2">
      <c r="A45" s="1">
        <v>2023</v>
      </c>
      <c r="B45" s="5">
        <v>45317</v>
      </c>
      <c r="C45" s="6" t="s">
        <v>17</v>
      </c>
      <c r="D45" s="6">
        <v>138</v>
      </c>
      <c r="E45" s="6">
        <v>104</v>
      </c>
      <c r="F45" s="6" t="s">
        <v>45</v>
      </c>
      <c r="G45" s="7">
        <f>11.3+8.8+3.8-5.2-11.6</f>
        <v>7.1000000000000032</v>
      </c>
      <c r="H45" s="7">
        <f t="shared" si="0"/>
        <v>-4.0999999999999996</v>
      </c>
      <c r="I45" s="7">
        <v>0</v>
      </c>
      <c r="J45" s="7">
        <v>1</v>
      </c>
      <c r="K45" s="7">
        <f>1.3+2.8-1.2-13.6-15.3</f>
        <v>-26</v>
      </c>
      <c r="L45" s="7">
        <f>(-10.6+12.2+2.8+0.8-6.6-1.5+3.3-8.5+12.6-0.9+5-0.6+7.9+0-10.9-5.7+2.6-17+2.7+11.5-8.5+0-14.8+3.8-5.4)/5</f>
        <v>-5.160000000000001</v>
      </c>
      <c r="M45" s="8">
        <v>16164</v>
      </c>
    </row>
    <row r="46" spans="1:13" ht="30" customHeight="1" x14ac:dyDescent="0.2">
      <c r="A46" s="1">
        <v>2023</v>
      </c>
      <c r="B46" s="5">
        <v>45318</v>
      </c>
      <c r="C46" s="6" t="s">
        <v>36</v>
      </c>
      <c r="D46" s="6">
        <v>104</v>
      </c>
      <c r="E46" s="6">
        <v>106</v>
      </c>
      <c r="F46" s="6" t="s">
        <v>45</v>
      </c>
      <c r="G46" s="7">
        <f>-4.4-2.9+5.3-0.3-12.6</f>
        <v>-14.9</v>
      </c>
      <c r="H46" s="7">
        <f t="shared" si="0"/>
        <v>-2.82</v>
      </c>
      <c r="I46" s="7">
        <v>0</v>
      </c>
      <c r="J46" s="7">
        <v>0</v>
      </c>
      <c r="K46" s="7">
        <f>3.1-0.9-1.1-4.4+9.2</f>
        <v>5.8999999999999986</v>
      </c>
      <c r="L46" s="7">
        <f>(-5.9+8.2-3.7-1.3+6.9+2.8+2.2+3.8-12.8+5.4+5.8+7.9+4.1-1.7-14.9-5.2-5.4+16.4+9.5-16.4+12.9-0.3-0.6+0.6-2.8)/5</f>
        <v>3.1</v>
      </c>
      <c r="M46" s="8">
        <v>17732</v>
      </c>
    </row>
    <row r="47" spans="1:13" ht="30" customHeight="1" x14ac:dyDescent="0.2">
      <c r="A47" s="1">
        <v>2023</v>
      </c>
      <c r="B47" s="5">
        <v>45320</v>
      </c>
      <c r="C47" s="6" t="s">
        <v>19</v>
      </c>
      <c r="D47" s="6">
        <v>135</v>
      </c>
      <c r="E47" s="6">
        <v>119</v>
      </c>
      <c r="F47" s="6" t="s">
        <v>14</v>
      </c>
      <c r="G47" s="7">
        <f>9.6+5.5-2.1+8.6-0.6</f>
        <v>21</v>
      </c>
      <c r="H47" s="7">
        <f t="shared" si="0"/>
        <v>-3.9199999999999995</v>
      </c>
      <c r="I47" s="7">
        <v>1</v>
      </c>
      <c r="J47" s="7">
        <v>1</v>
      </c>
      <c r="K47" s="7">
        <f>-3.1+5.4-6.3+0.2-9.9</f>
        <v>-13.7</v>
      </c>
      <c r="L47" s="7">
        <f>(15-0.4-3.9-9.1-6.2+17.7+1.3+6.3+1.6-6.9-0.6-0.2-7.1-2.5+1.1+2.5-1.8+0.6+4.3+4.7+1.4+8.5-6.7-0.7-8.6)/5</f>
        <v>2.0600000000000005</v>
      </c>
      <c r="M47" s="8">
        <v>18055</v>
      </c>
    </row>
    <row r="48" spans="1:13" ht="30" customHeight="1" x14ac:dyDescent="0.2">
      <c r="A48" s="1">
        <v>2023</v>
      </c>
      <c r="B48" s="5">
        <v>45322</v>
      </c>
      <c r="C48" s="6" t="s">
        <v>20</v>
      </c>
      <c r="D48" s="6">
        <v>99</v>
      </c>
      <c r="E48" s="6">
        <v>110</v>
      </c>
      <c r="F48" s="6" t="s">
        <v>14</v>
      </c>
      <c r="G48" s="7">
        <f>14.7+3.9-2-4.3-18.7</f>
        <v>-6.4000000000000021</v>
      </c>
      <c r="H48" s="7">
        <f t="shared" si="0"/>
        <v>1.7200000000000002</v>
      </c>
      <c r="I48" s="7">
        <v>1</v>
      </c>
      <c r="J48" s="7">
        <v>0</v>
      </c>
      <c r="K48" s="7">
        <f>-1.4+4.6+4.3+0+3.9</f>
        <v>11.4</v>
      </c>
      <c r="L48" s="7">
        <f>(5.6+1.7-1.4+2.9-4.2-8+14.5+4.7+19.8-1.7-7+0.4-1.6-5.3-1-2.5+1.3+13.6-7.2-7.9-8.2+5.6+6+3.5+5.5)/5</f>
        <v>5.8199999999999985</v>
      </c>
      <c r="M48" s="8">
        <v>18055</v>
      </c>
    </row>
    <row r="49" spans="1:13" ht="30" customHeight="1" x14ac:dyDescent="0.2">
      <c r="A49" s="1">
        <v>2023</v>
      </c>
      <c r="B49" s="5">
        <v>45324</v>
      </c>
      <c r="C49" s="6" t="s">
        <v>46</v>
      </c>
      <c r="D49" s="6">
        <v>135</v>
      </c>
      <c r="E49" s="6">
        <v>106</v>
      </c>
      <c r="F49" s="6" t="s">
        <v>14</v>
      </c>
      <c r="G49" s="7">
        <f>12.6-7.5+2.3-3.1-5.6</f>
        <v>-1.3000000000000007</v>
      </c>
      <c r="H49" s="7">
        <f t="shared" si="0"/>
        <v>-0.3</v>
      </c>
      <c r="I49" s="7">
        <v>1</v>
      </c>
      <c r="J49" s="7">
        <v>1</v>
      </c>
      <c r="K49" s="7">
        <f>8.2+8.9-3.6-2-12.4</f>
        <v>-0.89999999999999858</v>
      </c>
      <c r="L49" s="7">
        <f>(-8.5+3.9+4.9+3.5-6.9+7+1.1-8-6.1-18-3.1+0.6-6.6-2.9+12.1+1.1-4.6-5.1-2.3-7.1+3.1-11.2-2.4+4.9-0.4)/5</f>
        <v>-10.199999999999999</v>
      </c>
      <c r="M49" s="8">
        <v>18055</v>
      </c>
    </row>
    <row r="50" spans="1:13" ht="30" customHeight="1" x14ac:dyDescent="0.2">
      <c r="A50" s="1">
        <v>2023</v>
      </c>
      <c r="B50" s="5">
        <v>45326</v>
      </c>
      <c r="C50" s="6" t="s">
        <v>37</v>
      </c>
      <c r="D50" s="6">
        <v>90</v>
      </c>
      <c r="E50" s="6">
        <v>111</v>
      </c>
      <c r="F50" s="6" t="s">
        <v>14</v>
      </c>
      <c r="G50" s="7">
        <f>2.7-2.5-8.8-2.4-9.6</f>
        <v>-20.6</v>
      </c>
      <c r="H50" s="7">
        <f t="shared" si="0"/>
        <v>1.1000000000000001</v>
      </c>
      <c r="I50" s="7">
        <v>0</v>
      </c>
      <c r="J50" s="7">
        <v>0</v>
      </c>
      <c r="K50" s="7">
        <f>8.2+14.6-3.2-2.1+5.1</f>
        <v>22.599999999999994</v>
      </c>
      <c r="L50" s="7">
        <f>(5.2-5.9+0.4+0+6.2+14.7+0.3+0.9+5-3.5+1.3+7.5+6.1-0.8+2.8+16.3+0.6-5.6+6.7-4+9.7+1.2-7.8-6.6-0.4)/5</f>
        <v>10.060000000000002</v>
      </c>
      <c r="M50" s="8">
        <v>18024</v>
      </c>
    </row>
    <row r="51" spans="1:13" ht="30" customHeight="1" x14ac:dyDescent="0.2">
      <c r="A51" s="1">
        <v>2023</v>
      </c>
      <c r="B51" s="5">
        <v>45328</v>
      </c>
      <c r="C51" s="6" t="s">
        <v>30</v>
      </c>
      <c r="D51" s="6">
        <v>129</v>
      </c>
      <c r="E51" s="6">
        <v>132</v>
      </c>
      <c r="F51" s="6" t="s">
        <v>47</v>
      </c>
      <c r="G51" s="7">
        <f>-4.8+2.9+0.8+1.7+8.6</f>
        <v>9.1999999999999993</v>
      </c>
      <c r="H51" s="7">
        <f t="shared" si="0"/>
        <v>-4.4400000000000004</v>
      </c>
      <c r="I51" s="7">
        <v>0</v>
      </c>
      <c r="J51" s="7">
        <v>0</v>
      </c>
      <c r="K51" s="7">
        <f>6.5-8.9+0.9+0.6-5.7</f>
        <v>-6.6000000000000005</v>
      </c>
      <c r="L51" s="7">
        <f>(5.2-1.2+4.4+4.8-14.6+13+4.5+3.4-12.2+5.4-2.1-6-7.9-10.7+14.6+7.2-2.4-3.6-6.3+9.3+12.1+9.8-12.3+0.8+23)/5</f>
        <v>7.6400000000000006</v>
      </c>
      <c r="M51" s="8">
        <v>15571</v>
      </c>
    </row>
    <row r="52" spans="1:13" ht="30" customHeight="1" x14ac:dyDescent="0.2">
      <c r="A52" s="1">
        <v>2023</v>
      </c>
      <c r="B52" s="5">
        <v>45331</v>
      </c>
      <c r="C52" s="6" t="s">
        <v>46</v>
      </c>
      <c r="D52" s="6">
        <v>104</v>
      </c>
      <c r="E52" s="6">
        <v>107</v>
      </c>
      <c r="F52" s="6" t="s">
        <v>47</v>
      </c>
      <c r="G52" s="9">
        <v>-29.9</v>
      </c>
      <c r="H52" s="7">
        <f t="shared" si="0"/>
        <v>0.37999999999999901</v>
      </c>
      <c r="I52" s="7">
        <v>0</v>
      </c>
      <c r="J52" s="7">
        <v>0</v>
      </c>
      <c r="K52" s="7">
        <f>0.7+5.1+7+3-4.3</f>
        <v>11.5</v>
      </c>
      <c r="L52" s="7">
        <f>(3.1-11.2-2.4+4.9-0.4+8.2+8.9-3.6-2-12.4+1.2-1.4-2.8-4.9+5.9-0.6-3.2+6.1-9.9-19.2-6.8-2.1+4.1-3-3.8)/5</f>
        <v>-9.4599999999999991</v>
      </c>
      <c r="M52" s="8">
        <v>19800</v>
      </c>
    </row>
    <row r="53" spans="1:13" ht="30" customHeight="1" x14ac:dyDescent="0.2">
      <c r="A53" s="1">
        <v>2023</v>
      </c>
      <c r="B53" s="5">
        <v>45332</v>
      </c>
      <c r="C53" s="6" t="s">
        <v>29</v>
      </c>
      <c r="D53" s="6">
        <v>113</v>
      </c>
      <c r="E53" s="6">
        <v>122</v>
      </c>
      <c r="F53" s="6" t="s">
        <v>48</v>
      </c>
      <c r="G53" s="9">
        <v>-10.3</v>
      </c>
      <c r="H53" s="7">
        <f t="shared" si="0"/>
        <v>-9.8000000000000007</v>
      </c>
      <c r="I53" s="7">
        <v>0</v>
      </c>
      <c r="J53" s="7">
        <v>0</v>
      </c>
      <c r="K53" s="7">
        <f>6+12+6.9-2.2-8.1</f>
        <v>14.6</v>
      </c>
      <c r="L53" s="7">
        <f>(14.6-2.4-0.7-6.4-18.9+5+7.8-8.3+8.6+2.6-13.2+2-5.8-3.1+2.1-6.1+7.1+5.9+8.4-7.3+0.7-4.2-0.4+0.2+4.9)/5</f>
        <v>-1.3800000000000003</v>
      </c>
      <c r="M53" s="8">
        <v>17503</v>
      </c>
    </row>
    <row r="54" spans="1:13" ht="30" customHeight="1" x14ac:dyDescent="0.2">
      <c r="A54" s="1">
        <v>2023</v>
      </c>
      <c r="B54" s="5">
        <v>45334</v>
      </c>
      <c r="C54" s="6" t="s">
        <v>41</v>
      </c>
      <c r="D54" s="6">
        <v>105</v>
      </c>
      <c r="E54" s="6">
        <v>103</v>
      </c>
      <c r="F54" s="6" t="s">
        <v>47</v>
      </c>
      <c r="G54" s="9">
        <v>-0.2</v>
      </c>
      <c r="H54" s="7">
        <f t="shared" si="0"/>
        <v>-10.580000000000002</v>
      </c>
      <c r="I54" s="7">
        <v>1</v>
      </c>
      <c r="J54" s="7">
        <v>1</v>
      </c>
      <c r="K54" s="7">
        <f>9.6+4.2-4-4.4-5.6</f>
        <v>-0.19999999999999929</v>
      </c>
      <c r="L54" s="7">
        <f>(-3.9-6.1-1.3+8+10.1+8.3-6.5-2.9+8.1-3.8+2.1+10.4-4.3+2.9+4.5-2.7+2.1-1.9+5.8+9.9+3.4-4.8+6.2-4.6-14.7)/5</f>
        <v>4.8600000000000012</v>
      </c>
      <c r="M54" s="8">
        <v>16790</v>
      </c>
    </row>
    <row r="55" spans="1:13" ht="30" customHeight="1" x14ac:dyDescent="0.2">
      <c r="A55" s="1">
        <v>2023</v>
      </c>
      <c r="B55" s="5">
        <v>45336</v>
      </c>
      <c r="C55" s="6" t="s">
        <v>23</v>
      </c>
      <c r="D55" s="6">
        <v>113</v>
      </c>
      <c r="E55" s="6">
        <v>121</v>
      </c>
      <c r="F55" s="6" t="s">
        <v>47</v>
      </c>
      <c r="G55" s="9">
        <v>-23.6</v>
      </c>
      <c r="H55" s="7">
        <f t="shared" si="0"/>
        <v>-10.36</v>
      </c>
      <c r="I55" s="7">
        <v>0</v>
      </c>
      <c r="J55" s="7">
        <v>0</v>
      </c>
      <c r="K55" s="7">
        <f>2.5+3.2-5.3-1.5+5.1</f>
        <v>4</v>
      </c>
      <c r="L55" s="7">
        <f>(-0.1-7.9-9.9-5.2-10.1-9.9-5.6+1.1-0.4+7.6+7-6.2-2.6-8.7+5.8-3.9-1.6-0.6-8.3-5.7+2-2.3-1.4+1.6+6)/5</f>
        <v>-11.860000000000003</v>
      </c>
      <c r="M55" s="8">
        <v>15012</v>
      </c>
    </row>
    <row r="56" spans="1:13" ht="30" customHeight="1" x14ac:dyDescent="0.2">
      <c r="A56" s="1">
        <v>2023</v>
      </c>
      <c r="B56" s="5">
        <v>45344</v>
      </c>
      <c r="C56" s="6" t="s">
        <v>20</v>
      </c>
      <c r="D56" s="6">
        <v>105</v>
      </c>
      <c r="E56" s="6">
        <v>127</v>
      </c>
      <c r="F56" s="6" t="s">
        <v>14</v>
      </c>
      <c r="G56" s="9">
        <v>-19</v>
      </c>
      <c r="H56" s="7">
        <f t="shared" si="0"/>
        <v>-10.959999999999999</v>
      </c>
      <c r="I56" s="7">
        <v>0</v>
      </c>
      <c r="J56" s="7">
        <v>0</v>
      </c>
      <c r="K56" s="7">
        <f>11.8+5.9-2.9+3.4+10.7</f>
        <v>28.900000000000002</v>
      </c>
      <c r="L56" s="7">
        <f>(4-0.6+4.2-4+12.4+0.7+9.1-1.6-1.4+0.9+11.1-8-8.4+20.8-0.7-3.2+10.7-3-7.4+0.9-0.9+9.1+3.3-15.2+7.4)/5</f>
        <v>8.0399999999999991</v>
      </c>
      <c r="M56" s="8">
        <v>17421</v>
      </c>
    </row>
    <row r="57" spans="1:13" ht="30" customHeight="1" x14ac:dyDescent="0.2">
      <c r="A57" s="1">
        <v>2023</v>
      </c>
      <c r="B57" s="5">
        <v>45345</v>
      </c>
      <c r="C57" s="6" t="s">
        <v>31</v>
      </c>
      <c r="D57" s="6">
        <v>114</v>
      </c>
      <c r="E57" s="6">
        <v>110</v>
      </c>
      <c r="F57" s="6" t="s">
        <v>14</v>
      </c>
      <c r="G57" s="9">
        <v>3.3</v>
      </c>
      <c r="H57" s="7">
        <f t="shared" si="0"/>
        <v>-16.600000000000001</v>
      </c>
      <c r="I57" s="7">
        <v>1</v>
      </c>
      <c r="J57" s="7">
        <v>1</v>
      </c>
      <c r="K57" s="7">
        <f>8.5-3.5+9.8-8.9+0.8</f>
        <v>6.7</v>
      </c>
      <c r="L57" s="7">
        <f>(6.5+0+11+8.6-5.6-1.9+6.9-3.2-5.7-5+0.9-0.4+2.7+1.4+20.3+7.5-3.3+2.6+8+13.6-9.8+9.4+0.1+4+0.4)/5</f>
        <v>13.800000000000002</v>
      </c>
      <c r="M57" s="10">
        <v>18055</v>
      </c>
    </row>
    <row r="58" spans="1:13" ht="30" customHeight="1" x14ac:dyDescent="0.2">
      <c r="A58" s="1">
        <v>2023</v>
      </c>
      <c r="B58" s="5">
        <v>45347</v>
      </c>
      <c r="C58" s="6" t="s">
        <v>26</v>
      </c>
      <c r="D58" s="6">
        <v>110</v>
      </c>
      <c r="E58" s="6">
        <v>123</v>
      </c>
      <c r="F58" s="6" t="s">
        <v>14</v>
      </c>
      <c r="G58" s="9">
        <v>2.9</v>
      </c>
      <c r="H58" s="7">
        <f t="shared" si="0"/>
        <v>-9.9600000000000009</v>
      </c>
      <c r="I58" s="7">
        <v>1</v>
      </c>
      <c r="J58" s="7">
        <v>0</v>
      </c>
      <c r="K58" s="7">
        <f>9.9-5.9+20.2+4+0.4</f>
        <v>28.599999999999998</v>
      </c>
      <c r="L58" s="7">
        <f>(6-4.9-4.8+3.7-15.4+9.5+8.3+5.6+1.9-1.3+4.7+1.1+2.3+5.6+0.6+5.1+13.4+1.1+6.8-6.3+11.6+2.1+5.7+5.2+3.4)/5</f>
        <v>14.200000000000003</v>
      </c>
      <c r="M58" s="8">
        <v>18055</v>
      </c>
    </row>
    <row r="59" spans="1:13" ht="30" customHeight="1" x14ac:dyDescent="0.2">
      <c r="A59" s="1">
        <v>2023</v>
      </c>
      <c r="B59" s="5">
        <v>45349</v>
      </c>
      <c r="C59" s="6" t="s">
        <v>26</v>
      </c>
      <c r="D59" s="6">
        <v>95</v>
      </c>
      <c r="E59" s="6">
        <v>112</v>
      </c>
      <c r="F59" s="6" t="s">
        <v>14</v>
      </c>
      <c r="G59" s="9">
        <v>-6.9</v>
      </c>
      <c r="H59" s="7">
        <f t="shared" si="0"/>
        <v>-7.32</v>
      </c>
      <c r="I59" s="7">
        <v>0</v>
      </c>
      <c r="J59" s="7">
        <v>0</v>
      </c>
      <c r="K59" s="7">
        <f>13.3+5.3+13-13.5+4.6</f>
        <v>22.700000000000003</v>
      </c>
      <c r="L59" s="7">
        <f>(8.3+5.6+1.9-1.3+4.7+1.1+2.3+5.6+0.6+5.1+13.4+1.1+6.8-6.3+11.6+2.1+5.7+5.2+3.4+9.9-5.9+20.2+4+0.4)/5</f>
        <v>21.100000000000005</v>
      </c>
      <c r="M59" s="8">
        <v>17164</v>
      </c>
    </row>
    <row r="60" spans="1:13" ht="30" customHeight="1" x14ac:dyDescent="0.2">
      <c r="A60" s="1">
        <v>2023</v>
      </c>
      <c r="B60" s="5">
        <v>45351</v>
      </c>
      <c r="C60" s="6" t="s">
        <v>31</v>
      </c>
      <c r="D60" s="6">
        <v>105</v>
      </c>
      <c r="E60" s="6">
        <v>110</v>
      </c>
      <c r="F60" s="6" t="s">
        <v>14</v>
      </c>
      <c r="G60" s="9">
        <v>3.7</v>
      </c>
      <c r="H60" s="7">
        <f t="shared" si="0"/>
        <v>-8.66</v>
      </c>
      <c r="I60" s="7">
        <v>0</v>
      </c>
      <c r="J60" s="7">
        <v>0</v>
      </c>
      <c r="K60" s="7">
        <f>2+12.5+9.1-9-6.7</f>
        <v>7.9000000000000012</v>
      </c>
      <c r="L60" s="7">
        <f>(0.9-0.4+2.7+1.4+20.3+7.5-3.3+2.6+8+13.6-9.8+9.4+0.1+4+0.4+8.5-3.5+9.8-8.9+0.8-2.9+0.4-2.7+12.2+6.8)/5</f>
        <v>15.580000000000002</v>
      </c>
      <c r="M60" s="8">
        <v>17071</v>
      </c>
    </row>
    <row r="61" spans="1:13" ht="30" customHeight="1" x14ac:dyDescent="0.2">
      <c r="A61" s="1">
        <v>2023</v>
      </c>
      <c r="B61" s="5">
        <v>45353</v>
      </c>
      <c r="C61" s="6" t="s">
        <v>31</v>
      </c>
      <c r="D61" s="6">
        <v>118</v>
      </c>
      <c r="E61" s="6">
        <v>109</v>
      </c>
      <c r="F61" s="6" t="s">
        <v>14</v>
      </c>
      <c r="G61" s="9">
        <v>20.9</v>
      </c>
      <c r="H61" s="7">
        <f t="shared" si="0"/>
        <v>-3.2</v>
      </c>
      <c r="I61" s="7">
        <v>0</v>
      </c>
      <c r="J61" s="7">
        <v>1</v>
      </c>
      <c r="K61" s="7">
        <f>3.5-3.1-11.1-3.7+16.6</f>
        <v>2.2000000000000028</v>
      </c>
      <c r="L61" s="7">
        <f>(7.5-3.3+2.6+8+13.6-9.8+9.4+0.1+4+0.4+8.5-3.5+9.8-8.9+0.8-2.9+0.4-2.7+12.2+6.8+2+12.5+9.1-9-6.7)/5</f>
        <v>12.179999999999996</v>
      </c>
      <c r="M61" s="8">
        <v>17071</v>
      </c>
    </row>
    <row r="62" spans="1:13" ht="30" customHeight="1" x14ac:dyDescent="0.2">
      <c r="A62" s="1">
        <v>2023</v>
      </c>
      <c r="B62" s="5">
        <v>45356</v>
      </c>
      <c r="C62" s="6" t="s">
        <v>15</v>
      </c>
      <c r="D62" s="6">
        <v>114</v>
      </c>
      <c r="E62" s="6">
        <v>101</v>
      </c>
      <c r="F62" s="6" t="s">
        <v>14</v>
      </c>
      <c r="G62" s="9">
        <v>10.7</v>
      </c>
      <c r="H62" s="7">
        <f t="shared" si="0"/>
        <v>4.7799999999999994</v>
      </c>
      <c r="I62" s="7">
        <v>1</v>
      </c>
      <c r="J62" s="7">
        <v>1</v>
      </c>
      <c r="K62" s="7">
        <f>-2.5-4.3-2.2-6.9-15.1</f>
        <v>-31</v>
      </c>
      <c r="L62" s="7">
        <f>(-3.2+24.1-13.1-1.5-1.3+2.7+4.3-10.7+2.9-4.3+0.3+2.5-0.3+7-11.8+8.8+8.1+19.2-3.2-4-9+2.5+23.2+4-5.4)/5</f>
        <v>8.3600000000000012</v>
      </c>
      <c r="M62" s="8">
        <v>16734</v>
      </c>
    </row>
    <row r="63" spans="1:13" ht="30" customHeight="1" x14ac:dyDescent="0.2">
      <c r="A63" s="1">
        <v>2023</v>
      </c>
      <c r="B63" s="5">
        <v>45357</v>
      </c>
      <c r="C63" s="6" t="s">
        <v>22</v>
      </c>
      <c r="D63" s="6">
        <v>116</v>
      </c>
      <c r="E63" s="6">
        <v>122</v>
      </c>
      <c r="F63" s="6" t="s">
        <v>14</v>
      </c>
      <c r="G63" s="9">
        <v>1.9</v>
      </c>
      <c r="H63" s="7">
        <f t="shared" si="0"/>
        <v>6.26</v>
      </c>
      <c r="I63" s="7">
        <v>1</v>
      </c>
      <c r="J63" s="7">
        <v>0</v>
      </c>
      <c r="K63" s="7">
        <f>2.6+11.5+2.4+9-7.1</f>
        <v>18.399999999999999</v>
      </c>
      <c r="L63" s="7">
        <f>(2.8+1.6-0.2-1.7-0.6+1.4+7.5-5.4+5.4-0.1-0.6+3.5+25.5-0.1+2.6+9.4-2.3-0.4+1.3-5.1+0.3+9.8+5.6-0.1-12.2)/5</f>
        <v>9.5799999999999983</v>
      </c>
      <c r="M63" s="8">
        <v>17033</v>
      </c>
    </row>
    <row r="64" spans="1:13" ht="30" customHeight="1" x14ac:dyDescent="0.2">
      <c r="A64" s="1">
        <v>2023</v>
      </c>
      <c r="B64" s="5">
        <v>45359</v>
      </c>
      <c r="C64" s="6" t="s">
        <v>44</v>
      </c>
      <c r="D64" s="6">
        <v>123</v>
      </c>
      <c r="E64" s="6">
        <v>107</v>
      </c>
      <c r="F64" s="6" t="s">
        <v>14</v>
      </c>
      <c r="G64" s="9">
        <v>0.3</v>
      </c>
      <c r="H64" s="7">
        <f t="shared" si="0"/>
        <v>6.06</v>
      </c>
      <c r="I64" s="7">
        <v>0</v>
      </c>
      <c r="J64" s="7">
        <v>1</v>
      </c>
      <c r="K64" s="7">
        <f>1.5+0.7+1.8+0.8-1.9</f>
        <v>2.9</v>
      </c>
      <c r="L64" s="7">
        <f>(-5.4+8+0.3-15.2+13.6-6.4-5.4+11.4+1.8-4.8+3.9-8.7+4.6+1.1-4.1+6.5+5+2.7-7.9-15.5-2.1+1.5-6.3-2.7+0.7)/5</f>
        <v>-4.6800000000000006</v>
      </c>
      <c r="M64" s="8">
        <v>18139</v>
      </c>
    </row>
    <row r="65" spans="1:13" ht="30" customHeight="1" x14ac:dyDescent="0.2">
      <c r="A65" s="1">
        <v>2023</v>
      </c>
      <c r="B65" s="5">
        <v>45361</v>
      </c>
      <c r="C65" s="6" t="s">
        <v>18</v>
      </c>
      <c r="D65" s="6">
        <v>112</v>
      </c>
      <c r="E65" s="6">
        <v>104</v>
      </c>
      <c r="F65" s="6" t="s">
        <v>14</v>
      </c>
      <c r="G65" s="9">
        <v>3.7</v>
      </c>
      <c r="H65" s="7">
        <f t="shared" si="0"/>
        <v>7.4999999999999982</v>
      </c>
      <c r="I65" s="7">
        <v>0</v>
      </c>
      <c r="J65" s="7">
        <v>1</v>
      </c>
      <c r="K65" s="7">
        <f>11-4.3-2.6-2.7-12.3</f>
        <v>-10.900000000000002</v>
      </c>
      <c r="L65" s="7">
        <f>(-0.4+0+0.9-18.2-0.9-2+7.7-7-8.8+21.4+0.3+3.2-3.8+0.3+3+3.8+9.1-3.8-2-0.2+12.5-2.5-11.3-0.6-14.4)/5</f>
        <v>-2.7400000000000007</v>
      </c>
      <c r="M65" s="8">
        <v>18022</v>
      </c>
    </row>
    <row r="66" spans="1:13" ht="30" customHeight="1" x14ac:dyDescent="0.2">
      <c r="A66" s="1">
        <v>2023</v>
      </c>
      <c r="B66" s="5">
        <v>45363</v>
      </c>
      <c r="C66" s="6" t="s">
        <v>15</v>
      </c>
      <c r="D66" s="6">
        <v>103</v>
      </c>
      <c r="E66" s="6">
        <v>101</v>
      </c>
      <c r="F66" s="6" t="s">
        <v>49</v>
      </c>
      <c r="G66" s="9">
        <v>-8.3000000000000007</v>
      </c>
      <c r="H66" s="7">
        <f t="shared" si="0"/>
        <v>7.5</v>
      </c>
      <c r="I66" s="7">
        <v>0</v>
      </c>
      <c r="J66" s="7">
        <v>1</v>
      </c>
      <c r="K66" s="7">
        <f>-7-5+4.8+12.4+5.2</f>
        <v>10.4</v>
      </c>
      <c r="L66" s="7">
        <f>(-9+2.5+23.2+4-5.4-2.5-4.3-2.2-6.9-15.1+9.7-11.1-3.1+1-15.5+7.5+1.8-7.3-9.3-9.3-4.9-3.4+3.3+5.2+2.1)/5</f>
        <v>-9.7999999999999989</v>
      </c>
      <c r="M66" s="8">
        <v>18751</v>
      </c>
    </row>
    <row r="67" spans="1:13" ht="30" customHeight="1" x14ac:dyDescent="0.2">
      <c r="A67" s="1">
        <v>2023</v>
      </c>
      <c r="B67" s="5">
        <v>45365</v>
      </c>
      <c r="C67" s="6" t="s">
        <v>50</v>
      </c>
      <c r="D67" s="6">
        <v>135</v>
      </c>
      <c r="E67" s="6">
        <v>119</v>
      </c>
      <c r="F67" s="6" t="s">
        <v>49</v>
      </c>
      <c r="G67" s="9">
        <v>24</v>
      </c>
      <c r="H67" s="7">
        <f t="shared" si="0"/>
        <v>1.6600000000000001</v>
      </c>
      <c r="I67" s="7">
        <v>1</v>
      </c>
      <c r="J67" s="7">
        <v>1</v>
      </c>
      <c r="K67" s="7">
        <f>8.3-2.9-4+1.3-4.9</f>
        <v>-2.2000000000000002</v>
      </c>
      <c r="L67" s="7">
        <f>(-0.5-13.9-8.5+12.6-4.2-2.3+8.1-7.6-6.2-10.3+4.5+2.7+0.2-4.2-4.6+4.1-2.9+6+1.8-4.6+0.5+4.5-9.3-11.1-2.5)/5</f>
        <v>-9.5399999999999991</v>
      </c>
      <c r="M67" s="8">
        <v>18055</v>
      </c>
    </row>
    <row r="68" spans="1:13" ht="30" customHeight="1" x14ac:dyDescent="0.2">
      <c r="A68" s="1">
        <v>2023</v>
      </c>
      <c r="B68" s="5">
        <v>45367</v>
      </c>
      <c r="C68" s="6" t="s">
        <v>28</v>
      </c>
      <c r="D68" s="6">
        <v>117</v>
      </c>
      <c r="E68" s="6">
        <v>103</v>
      </c>
      <c r="F68" s="6" t="s">
        <v>49</v>
      </c>
      <c r="G68" s="9">
        <v>26.2</v>
      </c>
      <c r="H68" s="7">
        <f t="shared" si="0"/>
        <v>4.32</v>
      </c>
      <c r="I68" s="7">
        <v>1</v>
      </c>
      <c r="J68" s="7">
        <v>1</v>
      </c>
      <c r="K68" s="7">
        <f>-9.5-4.7-0.3-6-5.2</f>
        <v>-25.7</v>
      </c>
      <c r="L68" s="7">
        <f>(3.5-0.6-5.1-6.8+10.5+9-0.9+1.8+11.4-4.6-1.1-0.1-1.7-5.5+8.3-2.5+0.4+6.2+6.7-14.5+22.2-6.9+0.7+0.9-3.6)/5</f>
        <v>5.5399999999999983</v>
      </c>
      <c r="M68" s="8">
        <v>18055</v>
      </c>
    </row>
    <row r="69" spans="1:13" ht="30" customHeight="1" x14ac:dyDescent="0.2">
      <c r="A69" s="1">
        <v>2023</v>
      </c>
      <c r="B69" s="5">
        <v>45370</v>
      </c>
      <c r="C69" s="6" t="s">
        <v>50</v>
      </c>
      <c r="D69" s="6">
        <v>137</v>
      </c>
      <c r="E69" s="6">
        <v>114</v>
      </c>
      <c r="F69" s="6" t="s">
        <v>49</v>
      </c>
      <c r="G69" s="9">
        <v>-7.6</v>
      </c>
      <c r="H69" s="7">
        <f t="shared" si="0"/>
        <v>9.18</v>
      </c>
      <c r="I69" s="7">
        <v>0</v>
      </c>
      <c r="J69" s="7">
        <v>1</v>
      </c>
      <c r="K69" s="7">
        <f>-8.6-18.8-17.1+0.8+0.8</f>
        <v>-42.900000000000006</v>
      </c>
      <c r="L69" s="7">
        <f>(4.1-2.9+6+1.8-4.6+0.5+4.5-9.3-11.1-2.5+8.3-2.9-4+1.3-4.9-5.7-9.5+7.7-13.7-2.7-3.9-5.8+17.3-15.1-3.6)/5</f>
        <v>-10.139999999999999</v>
      </c>
      <c r="M69" s="8">
        <v>14137</v>
      </c>
    </row>
    <row r="70" spans="1:13" ht="30" customHeight="1" x14ac:dyDescent="0.2">
      <c r="A70" s="1">
        <v>2023</v>
      </c>
      <c r="B70" s="5">
        <v>45372</v>
      </c>
      <c r="C70" s="6" t="s">
        <v>39</v>
      </c>
      <c r="D70" s="6">
        <v>127</v>
      </c>
      <c r="E70" s="6">
        <v>117</v>
      </c>
      <c r="F70" s="6" t="s">
        <v>49</v>
      </c>
      <c r="G70" s="9">
        <v>-12.4</v>
      </c>
      <c r="H70" s="7">
        <f t="shared" si="0"/>
        <v>7.5999999999999988</v>
      </c>
      <c r="I70" s="7">
        <v>1</v>
      </c>
      <c r="J70" s="7">
        <v>1</v>
      </c>
      <c r="K70" s="7">
        <f>12.5-0.1-6.3-6.5-4.4</f>
        <v>-4.8</v>
      </c>
      <c r="L70" s="7">
        <f>(-2.5-12.8-3.8-2.8-6.8+11.5-5.7-0.5+13.3-4.6+2.6-10.8+2.4-16.9+0.3+10.7+1.1+2.5+2.5-9.1+6.7+5.8-1.3-3.2-1.6)/5</f>
        <v>-4.6000000000000014</v>
      </c>
      <c r="M70" s="8">
        <v>17016</v>
      </c>
    </row>
    <row r="71" spans="1:13" ht="30" customHeight="1" x14ac:dyDescent="0.2">
      <c r="A71" s="1">
        <v>2023</v>
      </c>
      <c r="B71" s="5">
        <v>45374</v>
      </c>
      <c r="C71" s="6" t="s">
        <v>42</v>
      </c>
      <c r="D71" s="6">
        <v>147</v>
      </c>
      <c r="E71" s="6">
        <v>119</v>
      </c>
      <c r="F71" s="6" t="s">
        <v>49</v>
      </c>
      <c r="G71" s="9">
        <v>35.799999999999997</v>
      </c>
      <c r="H71" s="7">
        <f t="shared" si="0"/>
        <v>4.38</v>
      </c>
      <c r="I71" s="7">
        <v>1</v>
      </c>
      <c r="J71" s="7">
        <v>1</v>
      </c>
      <c r="K71" s="7">
        <f>0.5-8.5-10.6-3.8+12.4</f>
        <v>-10.000000000000002</v>
      </c>
      <c r="L71" s="7">
        <f>(4.1-3.7-9.1-8.5+6.1-3+4.8+2-5.1-14.6+0.5-2.2-12.7-13.6-3.9-0.8-1.3+3.6-1.7-6.5-15.5+9.8-0.4-2.4-18.8)/5</f>
        <v>-18.580000000000002</v>
      </c>
      <c r="M71" s="8">
        <v>18055</v>
      </c>
    </row>
    <row r="72" spans="1:13" ht="30" customHeight="1" x14ac:dyDescent="0.2">
      <c r="A72" s="1">
        <v>2023</v>
      </c>
      <c r="B72" s="5">
        <v>45376</v>
      </c>
      <c r="C72" s="6" t="s">
        <v>44</v>
      </c>
      <c r="D72" s="6">
        <v>110</v>
      </c>
      <c r="E72" s="6">
        <v>92</v>
      </c>
      <c r="F72" s="6" t="s">
        <v>51</v>
      </c>
      <c r="G72" s="9">
        <v>-5</v>
      </c>
      <c r="H72" s="7">
        <f t="shared" si="0"/>
        <v>13.2</v>
      </c>
      <c r="I72" s="7">
        <v>1</v>
      </c>
      <c r="J72" s="7">
        <v>1</v>
      </c>
      <c r="K72" s="7">
        <f>-3.4-6.9-10.4-8-3.1</f>
        <v>-31.800000000000004</v>
      </c>
      <c r="L72" s="7">
        <f>(2.9+1.6+1.6-6.2-6.7+6.4+4.6-14.5-0.6-12.3-4.7+3.3-6.7-15+4.3+2.1+4-9.5-5.1-6.8+4.3-7.5-2.7+11.1-4.1)/5</f>
        <v>-11.24</v>
      </c>
      <c r="M72" s="8">
        <v>16537</v>
      </c>
    </row>
    <row r="73" spans="1:13" ht="30" customHeight="1" x14ac:dyDescent="0.2">
      <c r="A73" s="1">
        <v>2023</v>
      </c>
      <c r="B73" s="5">
        <v>45378</v>
      </c>
      <c r="C73" s="6" t="s">
        <v>26</v>
      </c>
      <c r="D73" s="6">
        <v>132</v>
      </c>
      <c r="E73" s="6">
        <v>126</v>
      </c>
      <c r="F73" s="6" t="s">
        <v>49</v>
      </c>
      <c r="G73" s="9">
        <v>7.4</v>
      </c>
      <c r="H73" s="7">
        <f t="shared" si="0"/>
        <v>7.4</v>
      </c>
      <c r="I73" s="7">
        <v>0</v>
      </c>
      <c r="J73" s="7">
        <v>1</v>
      </c>
      <c r="K73" s="7">
        <f>-0.5-8.3+9.7-10.8-20</f>
        <v>-29.900000000000002</v>
      </c>
      <c r="L73" s="7">
        <f>(4.9-5.9+10.4-0.1-3.9+13.6-4.5+16+1.9-8.3-1.5+8.4+8.5-7.4+2.5-2.9+7.2+17.9-15.6-8.7+5.2+3+2.6-7.5+12.7)/5</f>
        <v>9.6999999999999993</v>
      </c>
      <c r="M73" s="8">
        <v>17438</v>
      </c>
    </row>
    <row r="74" spans="1:13" ht="30" customHeight="1" x14ac:dyDescent="0.2">
      <c r="A74" s="1">
        <v>2023</v>
      </c>
      <c r="B74" s="5">
        <v>45380</v>
      </c>
      <c r="C74" s="6" t="s">
        <v>42</v>
      </c>
      <c r="D74" s="6">
        <v>101</v>
      </c>
      <c r="E74" s="6">
        <v>100</v>
      </c>
      <c r="F74" s="6" t="s">
        <v>49</v>
      </c>
      <c r="G74" s="9">
        <v>10.3</v>
      </c>
      <c r="H74" s="7">
        <f t="shared" si="0"/>
        <v>3.6399999999999992</v>
      </c>
      <c r="I74" s="7">
        <v>0</v>
      </c>
      <c r="J74" s="7">
        <v>1</v>
      </c>
      <c r="K74" s="7">
        <f>0.5+1.8+21.6-20.3-12.3</f>
        <v>-8.6999999999999993</v>
      </c>
      <c r="L74" s="7">
        <f>(-15.5+9.8-0.4-2.4-18.8-0.2-5.7-5.8+6.1-3.9+0.5-8.5-10.6-3.8+12.4-11+17.8+9.5+6.2-4.7-1-6.7+5.3-0.2+1)/5</f>
        <v>-6.12</v>
      </c>
      <c r="M74" s="8">
        <v>18206</v>
      </c>
    </row>
    <row r="75" spans="1:13" ht="30" customHeight="1" x14ac:dyDescent="0.2">
      <c r="A75" s="1">
        <v>2023</v>
      </c>
      <c r="B75" s="5">
        <v>45382</v>
      </c>
      <c r="C75" s="6" t="s">
        <v>24</v>
      </c>
      <c r="D75" s="6">
        <v>107</v>
      </c>
      <c r="E75" s="6">
        <v>125</v>
      </c>
      <c r="F75" s="6" t="s">
        <v>49</v>
      </c>
      <c r="G75" s="9">
        <v>-21.2</v>
      </c>
      <c r="H75" s="7">
        <f t="shared" si="0"/>
        <v>7.2199999999999989</v>
      </c>
      <c r="I75" s="7">
        <v>1</v>
      </c>
      <c r="J75" s="7">
        <v>0</v>
      </c>
      <c r="K75" s="7">
        <f>21.2+4.8+4.3+10-14.7</f>
        <v>25.599999999999998</v>
      </c>
      <c r="L75" s="7">
        <f>(-3.6+4.2-3.3+6.7-7.6-0.2-5.7-5.8+6.1-3.9+5.4+0.6-1.2+19.6-3.1+5.6+1+7.3+1.3+9.2+9.8+6.7-2.9-3-7.6)/5</f>
        <v>7.1200000000000019</v>
      </c>
      <c r="M75" s="8">
        <v>18055</v>
      </c>
    </row>
    <row r="76" spans="1:13" ht="30" customHeight="1" x14ac:dyDescent="0.2">
      <c r="A76" s="1">
        <v>2023</v>
      </c>
      <c r="B76" s="5">
        <v>45384</v>
      </c>
      <c r="C76" s="6" t="s">
        <v>37</v>
      </c>
      <c r="D76" s="6">
        <v>106</v>
      </c>
      <c r="E76" s="6">
        <v>113</v>
      </c>
      <c r="F76" s="6" t="s">
        <v>49</v>
      </c>
      <c r="G76" s="9">
        <v>4</v>
      </c>
      <c r="H76" s="7">
        <f t="shared" si="0"/>
        <v>5.46</v>
      </c>
      <c r="I76" s="7">
        <v>0</v>
      </c>
      <c r="J76" s="7">
        <v>0</v>
      </c>
      <c r="K76" s="7">
        <f>-6-2.6+5.3+6-9.4</f>
        <v>-6.7</v>
      </c>
      <c r="L76" s="7">
        <f>(-4.1-5.9+0.9+11.2+4.6+0.5-3+5.2-7.9+5.2+5.5+4.4-7+2.9+4.2+1.8+7.5-12+12.7+7.9+5.2-7.8-8.9-2.1+19.5)/5</f>
        <v>8.1000000000000014</v>
      </c>
      <c r="M76" s="8">
        <v>18024</v>
      </c>
    </row>
    <row r="77" spans="1:13" ht="30" customHeight="1" x14ac:dyDescent="0.2">
      <c r="A77" s="1">
        <v>2023</v>
      </c>
      <c r="B77" s="5">
        <v>45386</v>
      </c>
      <c r="C77" s="6" t="s">
        <v>16</v>
      </c>
      <c r="D77" s="6">
        <v>110</v>
      </c>
      <c r="E77" s="6">
        <v>133</v>
      </c>
      <c r="F77" s="6" t="s">
        <v>49</v>
      </c>
      <c r="G77" s="9">
        <v>-12.7</v>
      </c>
      <c r="H77" s="7">
        <f t="shared" si="0"/>
        <v>-0.89999999999999969</v>
      </c>
      <c r="I77" s="7">
        <v>1</v>
      </c>
      <c r="J77" s="7">
        <v>0</v>
      </c>
      <c r="K77" s="7">
        <f>8.6+14.3+2.3+12.2-5.4</f>
        <v>32</v>
      </c>
      <c r="L77" s="7">
        <f>(1.7+1.8+10.1+2.5+4.1+2.9+3.1+5-3.6-18.9+6.1-0.7+5.6+7.6-4.9+7.9+22.4-6-0.9-28.7+5.4-2+10.2-5.3-5.2)/5</f>
        <v>4.0400000000000009</v>
      </c>
      <c r="M77" s="10">
        <v>18055</v>
      </c>
    </row>
    <row r="78" spans="1:13" ht="30" customHeight="1" x14ac:dyDescent="0.2">
      <c r="A78" s="1">
        <v>2023</v>
      </c>
      <c r="B78" s="5">
        <v>45387</v>
      </c>
      <c r="C78" s="6" t="s">
        <v>38</v>
      </c>
      <c r="D78" s="6">
        <v>104</v>
      </c>
      <c r="E78" s="6">
        <v>119</v>
      </c>
      <c r="F78" s="6" t="s">
        <v>52</v>
      </c>
      <c r="G78" s="9">
        <v>0.8</v>
      </c>
      <c r="H78" s="7">
        <f t="shared" si="0"/>
        <v>-2.4399999999999991</v>
      </c>
      <c r="I78" s="7">
        <v>1</v>
      </c>
      <c r="J78" s="7">
        <v>0</v>
      </c>
      <c r="K78" s="7">
        <f>8.8+2+3.5+0.8-0.1</f>
        <v>15.000000000000002</v>
      </c>
      <c r="L78" s="7">
        <f>(7-7.5+0.8-8.2-18.5+4.5+4.6+14.9+5.5+10.9-0.3+11.7-2.9-10.2+8.9-4.2+19.6+3.1-9.4+10.4-0.5-0.3-1.9-4.3-5)/5</f>
        <v>5.7400000000000038</v>
      </c>
      <c r="M78" s="8">
        <v>18055</v>
      </c>
    </row>
    <row r="79" spans="1:13" ht="30" customHeight="1" x14ac:dyDescent="0.2">
      <c r="A79" s="1">
        <v>2023</v>
      </c>
      <c r="B79" s="5">
        <v>45389</v>
      </c>
      <c r="C79" s="6" t="s">
        <v>24</v>
      </c>
      <c r="D79" s="6">
        <v>136</v>
      </c>
      <c r="E79" s="6">
        <v>147</v>
      </c>
      <c r="F79" s="6" t="s">
        <v>49</v>
      </c>
      <c r="G79" s="9">
        <v>17.7</v>
      </c>
      <c r="H79" s="7">
        <f t="shared" si="0"/>
        <v>-3.7599999999999993</v>
      </c>
      <c r="I79" s="7">
        <v>0</v>
      </c>
      <c r="J79" s="7">
        <v>0</v>
      </c>
      <c r="K79" s="7">
        <f>8.1+7.3+2.1+2-8.8</f>
        <v>10.7</v>
      </c>
      <c r="L79" s="7">
        <f>(9.8+6.7-2.9-3-7.6+21.2+4.8+4.3+10-14.7+10.4+5.3+0.1+0.5-10.3+5.6+11.5+1+4.5+0.2+2+14.6-5.6-0.2+4.8)/5</f>
        <v>14.6</v>
      </c>
      <c r="M79" s="8">
        <v>20317</v>
      </c>
    </row>
    <row r="80" spans="1:13" ht="30" customHeight="1" x14ac:dyDescent="0.2">
      <c r="A80" s="1">
        <v>2023</v>
      </c>
      <c r="B80" s="5">
        <v>45391</v>
      </c>
      <c r="C80" s="6" t="s">
        <v>13</v>
      </c>
      <c r="D80" s="6">
        <v>118</v>
      </c>
      <c r="E80" s="6">
        <v>106</v>
      </c>
      <c r="F80" s="6" t="s">
        <v>49</v>
      </c>
      <c r="G80" s="9">
        <v>6.5</v>
      </c>
      <c r="H80" s="7">
        <f t="shared" si="0"/>
        <v>-2.2799999999999998</v>
      </c>
      <c r="I80" s="7">
        <v>1</v>
      </c>
      <c r="J80" s="7">
        <v>1</v>
      </c>
      <c r="K80" s="7">
        <f>-6.3-9.4+0.9+11.7-3.9</f>
        <v>-7</v>
      </c>
      <c r="L80" s="7">
        <f>(5.5-0.9+6.8+16.7+4-7.2-1.8+8.4+0.5+12.1-1.5+4.7-11.8-3.3+9.7+4.7-2.9+11.6-1.7-6.5-1+0.4-3.8+13.9+12.7)/5</f>
        <v>13.860000000000003</v>
      </c>
      <c r="M80" s="8">
        <v>18055</v>
      </c>
    </row>
    <row r="81" spans="1:13" ht="30" customHeight="1" x14ac:dyDescent="0.2">
      <c r="A81" s="1">
        <v>2023</v>
      </c>
      <c r="B81" s="5">
        <v>45393</v>
      </c>
      <c r="C81" s="6" t="s">
        <v>42</v>
      </c>
      <c r="D81" s="6">
        <v>121</v>
      </c>
      <c r="E81" s="6">
        <v>124</v>
      </c>
      <c r="F81" s="6" t="s">
        <v>49</v>
      </c>
      <c r="G81" s="9">
        <v>-37.799999999999997</v>
      </c>
      <c r="H81" s="7">
        <f t="shared" si="0"/>
        <v>3.2600000000000002</v>
      </c>
      <c r="I81" s="7">
        <v>0</v>
      </c>
      <c r="J81" s="7">
        <v>0</v>
      </c>
      <c r="K81" s="7">
        <f>-8.9-5.9-6.6-7.7+17.2</f>
        <v>-11.899999999999999</v>
      </c>
      <c r="L81" s="7">
        <f>(-7.1+2.7-0.3+1.2+1.6-16.2-10.5+9.4+3.8+11.6+0.7-21.6-8.2-11.8-0.5-0.4-6-2.1-3.6-4.6+3.3-1-10.3-9.1-1.8)/5</f>
        <v>-16.159999999999997</v>
      </c>
      <c r="M81" s="8">
        <v>18206</v>
      </c>
    </row>
    <row r="82" spans="1:13" ht="30" customHeight="1" x14ac:dyDescent="0.2">
      <c r="A82" s="1">
        <v>2023</v>
      </c>
      <c r="B82" s="5">
        <v>45394</v>
      </c>
      <c r="C82" s="6" t="s">
        <v>44</v>
      </c>
      <c r="D82" s="6">
        <v>116</v>
      </c>
      <c r="E82" s="6">
        <v>107</v>
      </c>
      <c r="F82" s="6" t="s">
        <v>53</v>
      </c>
      <c r="G82" s="9">
        <v>-0.8</v>
      </c>
      <c r="H82" s="7">
        <f t="shared" si="0"/>
        <v>-5.0999999999999996</v>
      </c>
      <c r="I82" s="7">
        <v>0</v>
      </c>
      <c r="J82" s="7">
        <v>1</v>
      </c>
      <c r="K82" s="7">
        <f>-7.2+13.4-5.5-16.6+0.2</f>
        <v>-15.700000000000003</v>
      </c>
      <c r="L82" s="7">
        <f>(-1.3+4.9+6-10.4-6.5+6.6-6-8.6+0.3-10.2-5.6+1.9-10.9-4.9-1-3.2+1.9+4.5-6.6-8.8-3.4-4.9+2.9+8.5-17.1)/5</f>
        <v>-14.38</v>
      </c>
      <c r="M82" s="8">
        <v>18630</v>
      </c>
    </row>
    <row r="83" spans="1:13" ht="30" customHeight="1" x14ac:dyDescent="0.2">
      <c r="A83" s="1">
        <v>2023</v>
      </c>
      <c r="B83" s="5">
        <v>45396</v>
      </c>
      <c r="C83" s="6" t="s">
        <v>22</v>
      </c>
      <c r="D83" s="6">
        <v>116</v>
      </c>
      <c r="E83" s="6">
        <v>105</v>
      </c>
      <c r="F83" s="6" t="s">
        <v>54</v>
      </c>
      <c r="G83" s="9">
        <v>-5.4</v>
      </c>
      <c r="H83" s="7">
        <f t="shared" si="0"/>
        <v>-2.7199999999999998</v>
      </c>
      <c r="I83" s="7">
        <v>0</v>
      </c>
      <c r="J83" s="7">
        <v>1</v>
      </c>
      <c r="K83" s="7">
        <f>-6.6-5.5+9.1-7.9-11.6</f>
        <v>-22.5</v>
      </c>
      <c r="L83" s="7">
        <f>(2.1+11.3+9.6+1.4+3.9+3.8+6.1-2.6+8.8-5.5+8+2.2+3.6-8.1+6.1+5.3-8.1-2.9+6.5-9.8-6.8+13.2-3+33.6+19.9)/5</f>
        <v>19.72</v>
      </c>
      <c r="M83" s="8">
        <v>19370</v>
      </c>
    </row>
    <row r="84" spans="1:13" ht="30" customHeight="1" x14ac:dyDescent="0.2">
      <c r="A84" s="1">
        <v>2024</v>
      </c>
      <c r="B84" s="5">
        <v>45588</v>
      </c>
      <c r="C84" s="6" t="s">
        <v>17</v>
      </c>
      <c r="D84" s="6">
        <v>105</v>
      </c>
      <c r="E84" s="6">
        <v>110</v>
      </c>
      <c r="F84" s="6" t="s">
        <v>14</v>
      </c>
      <c r="G84" s="9">
        <v>-2.5</v>
      </c>
      <c r="H84" s="7">
        <f>0</f>
        <v>0</v>
      </c>
      <c r="I84" s="7">
        <v>1</v>
      </c>
      <c r="J84" s="7">
        <v>0</v>
      </c>
      <c r="K84" s="7">
        <f>17.4-7.6-3.3-0.1+7.4</f>
        <v>13.8</v>
      </c>
      <c r="L84" s="7">
        <v>0</v>
      </c>
      <c r="M84" s="8">
        <v>18055</v>
      </c>
    </row>
    <row r="85" spans="1:13" ht="30" customHeight="1" x14ac:dyDescent="0.2">
      <c r="A85" s="1">
        <v>2024</v>
      </c>
      <c r="B85" s="5">
        <v>45590</v>
      </c>
      <c r="C85" s="6" t="s">
        <v>23</v>
      </c>
      <c r="D85" s="6">
        <v>128</v>
      </c>
      <c r="E85" s="6">
        <v>108</v>
      </c>
      <c r="F85" s="6" t="s">
        <v>14</v>
      </c>
      <c r="G85" s="9">
        <v>18.5</v>
      </c>
      <c r="H85" s="7">
        <f>G84</f>
        <v>-2.5</v>
      </c>
      <c r="I85" s="7">
        <v>1</v>
      </c>
      <c r="J85" s="7">
        <v>1</v>
      </c>
      <c r="K85" s="7">
        <f>3.8-3.9+3.7-4.3-5.4</f>
        <v>-6.1</v>
      </c>
      <c r="L85" s="7">
        <f>7.8+6.5+4.4-10-18.4</f>
        <v>-9.6999999999999957</v>
      </c>
      <c r="M85" s="8">
        <v>18055</v>
      </c>
    </row>
    <row r="86" spans="1:13" ht="30" customHeight="1" x14ac:dyDescent="0.2">
      <c r="A86" s="1">
        <v>2024</v>
      </c>
      <c r="B86" s="5">
        <v>45591</v>
      </c>
      <c r="C86" s="6" t="s">
        <v>15</v>
      </c>
      <c r="D86" s="6">
        <v>106</v>
      </c>
      <c r="E86" s="6">
        <v>109</v>
      </c>
      <c r="F86" s="6" t="s">
        <v>14</v>
      </c>
      <c r="G86" s="9">
        <v>1.8</v>
      </c>
      <c r="H86" s="7">
        <f>AVERAGE(G84:G85)</f>
        <v>8</v>
      </c>
      <c r="I86" s="7">
        <v>0</v>
      </c>
      <c r="J86" s="7">
        <v>0</v>
      </c>
      <c r="K86" s="7">
        <f>0.5+8.1+5.8-3.6-0.8</f>
        <v>9.9999999999999982</v>
      </c>
      <c r="L86" s="7">
        <f>6.9-6.7-11.8+11.1-4.5</f>
        <v>-5.0000000000000018</v>
      </c>
      <c r="M86" s="8">
        <v>18715</v>
      </c>
    </row>
    <row r="87" spans="1:13" ht="30" customHeight="1" x14ac:dyDescent="0.2">
      <c r="A87" s="1">
        <v>2024</v>
      </c>
      <c r="B87" s="5">
        <v>45593</v>
      </c>
      <c r="C87" s="6" t="s">
        <v>15</v>
      </c>
      <c r="D87" s="6">
        <v>106</v>
      </c>
      <c r="E87" s="6">
        <v>101</v>
      </c>
      <c r="F87" s="6" t="s">
        <v>14</v>
      </c>
      <c r="G87" s="9">
        <v>12.4</v>
      </c>
      <c r="H87" s="7">
        <f>AVERAGE(G84:G86)</f>
        <v>5.9333333333333336</v>
      </c>
      <c r="I87" s="7">
        <v>0</v>
      </c>
      <c r="J87" s="7">
        <v>1</v>
      </c>
      <c r="K87" s="7">
        <f>3.8+2.9-13.1+3.7-2.5</f>
        <v>-5.2</v>
      </c>
      <c r="L87" s="7">
        <f>(6.9-6.7-11.8+11.1-4.5+0.4+8+5.8-3.6-0.8)/2</f>
        <v>2.4</v>
      </c>
      <c r="M87" s="8">
        <v>17519</v>
      </c>
    </row>
    <row r="88" spans="1:13" ht="30" customHeight="1" x14ac:dyDescent="0.2">
      <c r="A88" s="1">
        <v>2024</v>
      </c>
      <c r="B88" s="5">
        <v>45596</v>
      </c>
      <c r="C88" s="6" t="s">
        <v>24</v>
      </c>
      <c r="D88" s="6">
        <v>108</v>
      </c>
      <c r="E88" s="6">
        <v>102</v>
      </c>
      <c r="F88" s="6" t="s">
        <v>14</v>
      </c>
      <c r="G88" s="9">
        <v>-2.5</v>
      </c>
      <c r="H88" s="7">
        <f>AVERAGE(G84:G87)</f>
        <v>7.5500000000000007</v>
      </c>
      <c r="I88" s="7">
        <v>0</v>
      </c>
      <c r="J88" s="7">
        <v>1</v>
      </c>
      <c r="K88" s="7">
        <f>8.7+2.3+1.3-2.7+0.9</f>
        <v>10.500000000000002</v>
      </c>
      <c r="L88" s="7">
        <f>(3.1+1.7-1+20.2-0.2+13.6+1.6-11.9+0.6+2+9.9+2.8-5.9+2.9-0.2-5.3+11.2+5.3-4.6+12.1)/4</f>
        <v>14.474999999999998</v>
      </c>
      <c r="M88" s="8">
        <v>20011</v>
      </c>
    </row>
    <row r="89" spans="1:13" ht="30" customHeight="1" x14ac:dyDescent="0.2">
      <c r="A89" s="1">
        <v>2024</v>
      </c>
      <c r="B89" s="5">
        <v>45598</v>
      </c>
      <c r="C89" s="6" t="s">
        <v>16</v>
      </c>
      <c r="D89" s="6">
        <v>121</v>
      </c>
      <c r="E89" s="6">
        <v>127</v>
      </c>
      <c r="F89" s="6" t="s">
        <v>14</v>
      </c>
      <c r="G89" s="9">
        <v>-22</v>
      </c>
      <c r="H89" s="7">
        <f t="shared" ref="H89:H162" si="1">AVERAGE(G84:G88)</f>
        <v>5.5400000000000009</v>
      </c>
      <c r="I89" s="7">
        <v>1</v>
      </c>
      <c r="J89" s="7">
        <v>0</v>
      </c>
      <c r="K89" s="7">
        <f>-7-2.1-1.9+12.3+12.9</f>
        <v>14.200000000000001</v>
      </c>
      <c r="L89" s="7">
        <f>(14+8.1+3+5.6-18.6-3+4.9-0.8-10.5+9.8+18.6-9.8+10.7+4.6-7-0.4+7.3-0.9+14.6+4.1-6.1+9.6-10.7-3.2+13.6)/5</f>
        <v>11.500000000000002</v>
      </c>
      <c r="M89" s="8">
        <v>18055</v>
      </c>
    </row>
    <row r="90" spans="1:13" ht="30" customHeight="1" x14ac:dyDescent="0.2">
      <c r="A90" s="1">
        <v>2024</v>
      </c>
      <c r="B90" s="5">
        <v>45600</v>
      </c>
      <c r="C90" s="6" t="s">
        <v>41</v>
      </c>
      <c r="D90" s="6">
        <v>109</v>
      </c>
      <c r="E90" s="6">
        <v>97</v>
      </c>
      <c r="F90" s="6" t="s">
        <v>14</v>
      </c>
      <c r="G90" s="9">
        <v>16.100000000000001</v>
      </c>
      <c r="H90" s="7">
        <f t="shared" si="1"/>
        <v>1.6400000000000006</v>
      </c>
      <c r="I90" s="7">
        <v>1</v>
      </c>
      <c r="J90" s="7">
        <v>1</v>
      </c>
      <c r="K90" s="7">
        <f>6.5-6+10.8+2.8-5.9</f>
        <v>8.2000000000000011</v>
      </c>
      <c r="L90" s="7">
        <f>(-5.7-10.1-5.7+0.8+3.9+2.3-2.5+9.1+9.8+9.3+5.8+3.8-4.4+1.5+0.8+3.2+1.9+11-4-1.8+0+4.8+10.4+15.9+13.6)/5</f>
        <v>14.739999999999998</v>
      </c>
      <c r="M90" s="8">
        <v>16417</v>
      </c>
    </row>
    <row r="91" spans="1:13" ht="30" customHeight="1" x14ac:dyDescent="0.2">
      <c r="A91" s="1">
        <v>2024</v>
      </c>
      <c r="B91" s="5">
        <v>45602</v>
      </c>
      <c r="C91" s="6" t="s">
        <v>15</v>
      </c>
      <c r="D91" s="6">
        <v>127</v>
      </c>
      <c r="E91" s="6">
        <v>100</v>
      </c>
      <c r="F91" s="6" t="s">
        <v>14</v>
      </c>
      <c r="G91" s="9">
        <v>22.8</v>
      </c>
      <c r="H91" s="7">
        <f t="shared" si="1"/>
        <v>1.1600000000000006</v>
      </c>
      <c r="I91" s="7">
        <v>1</v>
      </c>
      <c r="J91" s="7">
        <v>1</v>
      </c>
      <c r="K91" s="7">
        <f>-1.2-6.2-5.5-1.1-15.8</f>
        <v>-29.8</v>
      </c>
      <c r="L91" s="7">
        <f>(3.8+2.8-13.2+3.7-2.6+2.7+8.3-4.7+14.4-11.7+20.6+12.8-2.6+2.7-5.3+2.5+5.2+10.4-3.4-4.1+4-6.1+12.2+1.4-6.8)/5</f>
        <v>9.4000000000000021</v>
      </c>
      <c r="M91" s="8">
        <v>16208</v>
      </c>
    </row>
    <row r="92" spans="1:13" ht="30" customHeight="1" x14ac:dyDescent="0.2">
      <c r="A92" s="1">
        <v>2024</v>
      </c>
      <c r="B92" s="5">
        <v>45604</v>
      </c>
      <c r="C92" s="6" t="s">
        <v>26</v>
      </c>
      <c r="D92" s="6">
        <v>107</v>
      </c>
      <c r="E92" s="6">
        <v>126</v>
      </c>
      <c r="F92" s="6" t="s">
        <v>14</v>
      </c>
      <c r="G92" s="9">
        <v>-10.8</v>
      </c>
      <c r="H92" s="7">
        <f t="shared" si="1"/>
        <v>5.3600000000000012</v>
      </c>
      <c r="I92" s="7">
        <v>0</v>
      </c>
      <c r="J92" s="7">
        <v>0</v>
      </c>
      <c r="K92" s="7">
        <f>-3.6+14.5+11.9+2.5-17</f>
        <v>8.3000000000000007</v>
      </c>
      <c r="L92" s="7">
        <f>(-3.3+5.4-3.4+8.1+21.4+8.3-3.5+14.8+4.7+3.7-4+12.6+5.1+2.1+3.6+5.1+10.9-0.5-6.1+5.6-3.6+14.7-8.6+12.1+2.2)/5</f>
        <v>21.479999999999997</v>
      </c>
      <c r="M92" s="8">
        <v>18203</v>
      </c>
    </row>
    <row r="93" spans="1:13" ht="30" customHeight="1" x14ac:dyDescent="0.2">
      <c r="A93" s="1">
        <v>2024</v>
      </c>
      <c r="B93" s="5">
        <v>45606</v>
      </c>
      <c r="C93" s="6" t="s">
        <v>35</v>
      </c>
      <c r="D93" s="6">
        <v>101</v>
      </c>
      <c r="E93" s="6">
        <v>99</v>
      </c>
      <c r="F93" s="6" t="s">
        <v>14</v>
      </c>
      <c r="G93" s="9">
        <v>0.6</v>
      </c>
      <c r="H93" s="7">
        <f t="shared" si="1"/>
        <v>0.72000000000000031</v>
      </c>
      <c r="I93" s="7">
        <v>0</v>
      </c>
      <c r="J93" s="7">
        <v>1</v>
      </c>
      <c r="K93" s="7">
        <f>7.2+6.1-19+7.4+1.5</f>
        <v>3.2000000000000011</v>
      </c>
      <c r="L93" s="7">
        <f>(3.4+6.9-6.7-9.7-3.5-4.3-5.4+8.9+10.5+6.3+3.5+7.1+8.1-2.1+4.7-5.3+1.6-2.1-0.6-8.5+1.9+0.4+11.5-1.5-0.2)/5</f>
        <v>4.9799999999999995</v>
      </c>
      <c r="M93" s="8">
        <v>18744</v>
      </c>
    </row>
    <row r="94" spans="1:13" ht="30" customHeight="1" x14ac:dyDescent="0.2">
      <c r="A94" s="1">
        <v>2024</v>
      </c>
      <c r="B94" s="5">
        <v>45607</v>
      </c>
      <c r="C94" s="6" t="s">
        <v>50</v>
      </c>
      <c r="D94" s="6">
        <v>107</v>
      </c>
      <c r="E94" s="6">
        <v>92</v>
      </c>
      <c r="F94" s="6" t="s">
        <v>47</v>
      </c>
      <c r="G94" s="9">
        <v>10.199999999999999</v>
      </c>
      <c r="H94" s="7">
        <f t="shared" si="1"/>
        <v>1.3400000000000003</v>
      </c>
      <c r="I94" s="7">
        <v>1</v>
      </c>
      <c r="J94" s="7">
        <v>1</v>
      </c>
      <c r="K94" s="7">
        <f>-4.9-9.8+11.9-11.1-6.7</f>
        <v>-20.6</v>
      </c>
      <c r="L94" s="7">
        <f>(9.3-1.3-1.6-1.1+0.6-4.4+3-2.4+8.2-9.9-14.9-2.1+6.2-1-5.8-1.4-6.3-10.1+6.5-16.5+10.5-2.3-11-6.1+1.5)/5</f>
        <v>-10.48</v>
      </c>
      <c r="M94" s="8">
        <v>15998</v>
      </c>
    </row>
    <row r="95" spans="1:13" ht="30" customHeight="1" x14ac:dyDescent="0.2">
      <c r="A95" s="1">
        <v>2024</v>
      </c>
      <c r="B95" s="5">
        <v>45609</v>
      </c>
      <c r="C95" s="6" t="s">
        <v>22</v>
      </c>
      <c r="D95" s="6">
        <v>111</v>
      </c>
      <c r="E95" s="6">
        <v>103</v>
      </c>
      <c r="F95" s="6" t="s">
        <v>14</v>
      </c>
      <c r="G95" s="9">
        <v>-8.3000000000000007</v>
      </c>
      <c r="H95" s="7">
        <f t="shared" si="1"/>
        <v>7.7800000000000011</v>
      </c>
      <c r="I95" s="7">
        <v>1</v>
      </c>
      <c r="J95" s="7">
        <v>1</v>
      </c>
      <c r="K95" s="7">
        <f>-11.9+10.5+4.4-3.9+5.9</f>
        <v>5</v>
      </c>
      <c r="L95" s="7">
        <f>(-8.8+9.4+8.9-5.7-3.1+13.8-7+4.6+8+0.5+5.7+8.5+1.6+7.2-3.6+1.8+4+1.9-6.5-12-6.4+8.9+0.1+4-8)/5</f>
        <v>5.56</v>
      </c>
      <c r="M95" s="8">
        <v>16493</v>
      </c>
    </row>
    <row r="96" spans="1:13" ht="30" customHeight="1" x14ac:dyDescent="0.2">
      <c r="A96" s="1">
        <v>2024</v>
      </c>
      <c r="B96" s="5">
        <v>45611</v>
      </c>
      <c r="C96" s="6" t="s">
        <v>22</v>
      </c>
      <c r="D96" s="6">
        <v>125</v>
      </c>
      <c r="E96" s="6">
        <v>104</v>
      </c>
      <c r="F96" s="6" t="s">
        <v>14</v>
      </c>
      <c r="G96" s="9">
        <v>16.399999999999999</v>
      </c>
      <c r="H96" s="7">
        <f t="shared" si="1"/>
        <v>2.8999999999999995</v>
      </c>
      <c r="I96" s="7">
        <v>1</v>
      </c>
      <c r="J96" s="7">
        <v>1</v>
      </c>
      <c r="K96" s="7">
        <f>0.1-10-8.5-9+6.7</f>
        <v>-20.7</v>
      </c>
      <c r="L96" s="7">
        <f>(13.8-7+4.6+8+0.5+5.7+8.5+1.6+7.2-3.6+1.8+4+1.9-6.5-12-6.4+8.9+0.1+4-8-12+10.5+4.4-3.9+5.9)/5</f>
        <v>6.3999999999999986</v>
      </c>
      <c r="M96" s="8">
        <v>18055</v>
      </c>
    </row>
    <row r="97" spans="1:13" ht="30" customHeight="1" x14ac:dyDescent="0.2">
      <c r="A97" s="1">
        <v>2024</v>
      </c>
      <c r="B97" s="5">
        <v>45613</v>
      </c>
      <c r="C97" s="6" t="s">
        <v>39</v>
      </c>
      <c r="D97" s="6">
        <v>143</v>
      </c>
      <c r="E97" s="6">
        <v>107</v>
      </c>
      <c r="F97" s="6" t="s">
        <v>14</v>
      </c>
      <c r="G97" s="9">
        <v>38.4</v>
      </c>
      <c r="H97" s="7">
        <f t="shared" si="1"/>
        <v>1.6199999999999992</v>
      </c>
      <c r="I97" s="7">
        <v>0</v>
      </c>
      <c r="J97" s="7">
        <v>1</v>
      </c>
      <c r="K97" s="7">
        <f>2.8-7-3.4+1.1-16.5</f>
        <v>-23</v>
      </c>
      <c r="L97" s="7">
        <f>(1.4-8.4-4.5+2.8+0.4+0.7+0.9+1.8-0.7+6.2+6.9+0.4+0.2+1.9+6.9+9.1-7.8+0.7+7-5.9-13.7+10+0.5+4.7-17.7)/5</f>
        <v>0.76000000000000012</v>
      </c>
      <c r="M97" s="8">
        <v>20667</v>
      </c>
    </row>
    <row r="98" spans="1:13" ht="30" customHeight="1" x14ac:dyDescent="0.2">
      <c r="A98" s="1">
        <v>2024</v>
      </c>
      <c r="B98" s="5">
        <v>45614</v>
      </c>
      <c r="C98" s="6" t="s">
        <v>27</v>
      </c>
      <c r="D98" s="6">
        <v>100</v>
      </c>
      <c r="E98" s="6">
        <v>101</v>
      </c>
      <c r="F98" s="6" t="s">
        <v>14</v>
      </c>
      <c r="G98" s="9">
        <v>-7.9</v>
      </c>
      <c r="H98" s="7">
        <f t="shared" si="1"/>
        <v>11.459999999999999</v>
      </c>
      <c r="I98" s="7">
        <v>0</v>
      </c>
      <c r="J98" s="7">
        <v>0</v>
      </c>
      <c r="K98" s="7">
        <f>20.4-1.7-4.3-9.5-15.5</f>
        <v>-10.600000000000001</v>
      </c>
      <c r="L98" s="7">
        <f>(2.3+5.8-9.4-6.2-4.3+12.5+0.3-6.7+0.3-17+1.6+10.5-0.6+11.3-3.2-6.2+22.5+9-1.9-15.4+5.6+8.8-2.2-4.6-12.7)/5</f>
        <v>2.0000000000000639E-2</v>
      </c>
      <c r="M98" s="8">
        <v>17341</v>
      </c>
    </row>
    <row r="99" spans="1:13" ht="30" customHeight="1" x14ac:dyDescent="0.2">
      <c r="A99" s="1">
        <v>2024</v>
      </c>
      <c r="B99" s="5">
        <v>45616</v>
      </c>
      <c r="C99" s="6" t="s">
        <v>30</v>
      </c>
      <c r="D99" s="6">
        <v>130</v>
      </c>
      <c r="E99" s="6">
        <v>113</v>
      </c>
      <c r="F99" s="6" t="s">
        <v>14</v>
      </c>
      <c r="G99" s="9">
        <v>13.8</v>
      </c>
      <c r="H99" s="7">
        <f t="shared" si="1"/>
        <v>9.76</v>
      </c>
      <c r="I99" s="7">
        <v>1</v>
      </c>
      <c r="J99" s="7">
        <v>1</v>
      </c>
      <c r="K99" s="7">
        <f>-0.5-6-0.6+16.6-8.7</f>
        <v>0.80000000000000249</v>
      </c>
      <c r="L99" s="7">
        <f>(12.5+2.9+17.8-4.4-11.5-7.6+8.7-0.9-0.5+0.2-8.2+2+6.4-15.7-2.57+5.4+6.8+4.6-11.4-0.7-3.1+2.5-9.9-11.3)/5</f>
        <v>-3.5939999999999999</v>
      </c>
      <c r="M99" s="8">
        <v>16087</v>
      </c>
    </row>
    <row r="100" spans="1:13" ht="30" customHeight="1" x14ac:dyDescent="0.2">
      <c r="A100" s="1">
        <v>2024</v>
      </c>
      <c r="B100" s="5">
        <v>45618</v>
      </c>
      <c r="C100" s="6" t="s">
        <v>44</v>
      </c>
      <c r="D100" s="6">
        <v>116</v>
      </c>
      <c r="E100" s="6">
        <v>88</v>
      </c>
      <c r="F100" s="6" t="s">
        <v>14</v>
      </c>
      <c r="G100" s="9">
        <v>1.6</v>
      </c>
      <c r="H100" s="7">
        <f t="shared" si="1"/>
        <v>10.48</v>
      </c>
      <c r="I100" s="7">
        <v>1</v>
      </c>
      <c r="J100" s="7">
        <v>1</v>
      </c>
      <c r="K100" s="7">
        <f>-0.3+3.6+7.6-11.4+3.8</f>
        <v>3.3</v>
      </c>
      <c r="L100" s="7">
        <f>(6-4.2-7.3-22-6.8-3.5+2.3-1.4-10.6-9.7+3.1+1.2-5.2+11.8-3.9-4.6+7.3-10.2-2.3-0.5+0.3-5.4+0-1.7+6.3)/5</f>
        <v>-12.200000000000003</v>
      </c>
      <c r="M100" s="8">
        <v>15546</v>
      </c>
    </row>
    <row r="101" spans="1:13" ht="30" customHeight="1" x14ac:dyDescent="0.2">
      <c r="A101" s="1">
        <v>2024</v>
      </c>
      <c r="B101" s="5">
        <v>45619</v>
      </c>
      <c r="C101" s="6" t="s">
        <v>44</v>
      </c>
      <c r="D101" s="6">
        <v>98</v>
      </c>
      <c r="E101" s="6">
        <v>104</v>
      </c>
      <c r="F101" s="6" t="s">
        <v>14</v>
      </c>
      <c r="G101" s="9">
        <v>-9.4</v>
      </c>
      <c r="H101" s="7">
        <f t="shared" si="1"/>
        <v>12.46</v>
      </c>
      <c r="I101" s="7">
        <v>1</v>
      </c>
      <c r="J101" s="7">
        <v>0</v>
      </c>
      <c r="K101" s="7">
        <f>0.1+4.7+7.5-11.1-1.6</f>
        <v>-0.39999999999999902</v>
      </c>
      <c r="L101" s="7">
        <f>(3.5+2.3-1.4-10.6-9.7+3.1+1.2-5.2+11.8-3.9-4.6+7.3-10.2-2.3-0.5+0.3-5.4+0-1.7+6.3=0.4+3.5+7.5-11.4+3.7)/5</f>
        <v>0</v>
      </c>
      <c r="M101" s="8">
        <v>16102</v>
      </c>
    </row>
    <row r="102" spans="1:13" ht="30" customHeight="1" x14ac:dyDescent="0.2">
      <c r="A102" s="1">
        <v>2024</v>
      </c>
      <c r="B102" s="5">
        <v>45622</v>
      </c>
      <c r="C102" s="6" t="s">
        <v>37</v>
      </c>
      <c r="D102" s="6">
        <v>117</v>
      </c>
      <c r="E102" s="6">
        <v>111</v>
      </c>
      <c r="F102" s="6" t="s">
        <v>14</v>
      </c>
      <c r="G102" s="9">
        <v>18.600000000000001</v>
      </c>
      <c r="H102" s="7">
        <f t="shared" si="1"/>
        <v>7.3</v>
      </c>
      <c r="I102" s="7">
        <v>0</v>
      </c>
      <c r="J102" s="7">
        <v>1</v>
      </c>
      <c r="K102" s="7">
        <f>-1.1+6.9-5.6+0.1-12.1</f>
        <v>-11.799999999999999</v>
      </c>
      <c r="L102" s="7">
        <f>(3.2+1.9-2.5-3.4+5+2.1-2.5+0.9-2+8.7+4.6-4.2+11.5-2.3+5.2+5.6+1.6+7.9+3.3-6.8+9.5+4.2+4.3-9.3+4.5)/5</f>
        <v>10.199999999999999</v>
      </c>
      <c r="M102" s="8">
        <v>18978</v>
      </c>
    </row>
    <row r="103" spans="1:13" ht="30" customHeight="1" x14ac:dyDescent="0.2">
      <c r="A103" s="1">
        <v>2024</v>
      </c>
      <c r="B103" s="5">
        <v>45623</v>
      </c>
      <c r="C103" s="6" t="s">
        <v>33</v>
      </c>
      <c r="D103" s="6">
        <v>122</v>
      </c>
      <c r="E103" s="6">
        <v>115</v>
      </c>
      <c r="F103" s="6" t="s">
        <v>14</v>
      </c>
      <c r="G103" s="9">
        <v>0.7</v>
      </c>
      <c r="H103" s="7">
        <f t="shared" si="1"/>
        <v>3.3400000000000007</v>
      </c>
      <c r="I103" s="7">
        <v>0</v>
      </c>
      <c r="J103" s="7">
        <v>1</v>
      </c>
      <c r="K103" s="7">
        <f>-9+9.6+2.9-13-0.1</f>
        <v>-9.6</v>
      </c>
      <c r="L103" s="7">
        <f>(0.5-12-5.2+15.2+1.5+3.4+2.3-0.2+1.7-14.4-2.2+5.3-1.4-16.2-12.9+5.3-6.3-3+24.1+5.1-1.8+2.5-5.4-10.5-23.1)/5</f>
        <v>-9.5400000000000009</v>
      </c>
      <c r="M103" s="8">
        <v>19765</v>
      </c>
    </row>
    <row r="104" spans="1:13" ht="30" customHeight="1" x14ac:dyDescent="0.2">
      <c r="A104" s="1">
        <v>2024</v>
      </c>
      <c r="B104" s="5">
        <v>45627</v>
      </c>
      <c r="C104" s="6" t="s">
        <v>26</v>
      </c>
      <c r="D104" s="6">
        <v>119</v>
      </c>
      <c r="E104" s="6">
        <v>116</v>
      </c>
      <c r="F104" s="6" t="s">
        <v>14</v>
      </c>
      <c r="G104" s="7">
        <f>1.6+9.1+15-6.8+6.3</f>
        <v>25.2</v>
      </c>
      <c r="H104" s="7">
        <f t="shared" si="1"/>
        <v>5.0600000000000005</v>
      </c>
      <c r="I104" s="7">
        <v>1</v>
      </c>
      <c r="J104" s="7">
        <v>1</v>
      </c>
      <c r="K104" s="7">
        <f>0.8+12.4+0.7+9.6+6</f>
        <v>29.5</v>
      </c>
      <c r="L104" s="7">
        <f>(12.2+10.1+6.9-6.5-5.3+6.3+18.4-12-4.4-10.3+1.3+11.3+9.3+1.8-5.2+6-7.3+1.7-0.9+27.4+18.9+6.2-2.9-0.3+10.1)/5</f>
        <v>18.559999999999995</v>
      </c>
      <c r="M104" s="8">
        <v>18055</v>
      </c>
    </row>
    <row r="105" spans="1:13" ht="30" customHeight="1" x14ac:dyDescent="0.2">
      <c r="A105" s="1">
        <v>2024</v>
      </c>
      <c r="B105" s="5">
        <v>45629</v>
      </c>
      <c r="C105" s="6" t="s">
        <v>18</v>
      </c>
      <c r="D105" s="6">
        <v>111</v>
      </c>
      <c r="E105" s="6">
        <v>120</v>
      </c>
      <c r="F105" s="6" t="s">
        <v>14</v>
      </c>
      <c r="G105" s="7">
        <f>-9.6-4.8+13.7+9-10.2</f>
        <v>-1.8999999999999986</v>
      </c>
      <c r="H105" s="7">
        <f t="shared" si="1"/>
        <v>7.3400000000000007</v>
      </c>
      <c r="I105" s="7">
        <v>0</v>
      </c>
      <c r="J105" s="7">
        <v>0</v>
      </c>
      <c r="K105" s="7">
        <f>-0.9+5.9+11.1-5.7+2.5</f>
        <v>12.900000000000002</v>
      </c>
      <c r="L105" s="7">
        <f>(11.1+0.6-10+2.4-3.8-11.3-1.1+9.1+4.3+3.4-5.2+3.3+9.3-1.3+5.5+12.2-9.7-13.7-0.9-1-10+9.2+3.2+3.2+3.9)/5</f>
        <v>2.5399999999999996</v>
      </c>
      <c r="M105" s="8">
        <v>15019</v>
      </c>
    </row>
    <row r="106" spans="1:13" ht="30" customHeight="1" x14ac:dyDescent="0.2">
      <c r="A106" s="1">
        <v>2024</v>
      </c>
      <c r="B106" s="5">
        <v>45631</v>
      </c>
      <c r="C106" s="6" t="s">
        <v>16</v>
      </c>
      <c r="D106" s="6">
        <v>93</v>
      </c>
      <c r="E106" s="6">
        <v>99</v>
      </c>
      <c r="F106" s="6" t="s">
        <v>14</v>
      </c>
      <c r="G106" s="7">
        <f>-1-6.8-2.9-4.7+5.8</f>
        <v>-9.5999999999999979</v>
      </c>
      <c r="H106" s="7">
        <f t="shared" si="1"/>
        <v>6.6400000000000006</v>
      </c>
      <c r="I106" s="7">
        <v>0</v>
      </c>
      <c r="J106" s="7">
        <v>0</v>
      </c>
      <c r="K106" s="7">
        <f>-4.6+9.6+12.1-7.6+0</f>
        <v>9.5000000000000018</v>
      </c>
      <c r="L106" s="7">
        <f>(7.8-3.4-3.5-0.8+3.9-5.2+12.6-8.3-6-10.6+1+5.3+3.7+0.4-5.3-2.6+2.8+1.3+4.8-4.6+0.6+4.1-1.2+1.1-0.5)/5</f>
        <v>-0.52000000000000068</v>
      </c>
      <c r="M106" s="8">
        <v>18064</v>
      </c>
    </row>
    <row r="107" spans="1:13" ht="30" customHeight="1" x14ac:dyDescent="0.2">
      <c r="A107" s="1">
        <v>2024</v>
      </c>
      <c r="B107" s="5">
        <v>45634</v>
      </c>
      <c r="C107" s="6" t="s">
        <v>22</v>
      </c>
      <c r="D107" s="6">
        <v>117</v>
      </c>
      <c r="E107" s="6">
        <v>106</v>
      </c>
      <c r="F107" s="6" t="s">
        <v>47</v>
      </c>
      <c r="G107" s="7">
        <f>5.4+7.9-4.5+3.7+1.1</f>
        <v>13.6</v>
      </c>
      <c r="H107" s="7">
        <f t="shared" si="1"/>
        <v>6.6</v>
      </c>
      <c r="I107" s="7">
        <v>0</v>
      </c>
      <c r="J107" s="7">
        <v>1</v>
      </c>
      <c r="K107" s="7">
        <f>0.7+2.7-6.9+2.7-2.8</f>
        <v>-3.5999999999999996</v>
      </c>
      <c r="L107" s="7">
        <f>(24.2+8.9-6.1-2.7-10.8+10.2+5.6-9.9+0.3-9.4+7.7-11.5-8.6+11+6.5-2.7-5.5+17+4.7+4+4.9+2.5-2.8-14.8-13.5)/5</f>
        <v>1.8399999999999999</v>
      </c>
      <c r="M107" s="8">
        <v>14782</v>
      </c>
    </row>
    <row r="108" spans="1:13" ht="30" customHeight="1" x14ac:dyDescent="0.2">
      <c r="A108" s="1">
        <v>2024</v>
      </c>
      <c r="B108" s="5">
        <v>45637</v>
      </c>
      <c r="C108" s="6" t="s">
        <v>16</v>
      </c>
      <c r="D108" s="6">
        <v>91</v>
      </c>
      <c r="E108" s="6">
        <v>90</v>
      </c>
      <c r="F108" s="6" t="s">
        <v>14</v>
      </c>
      <c r="G108" s="7">
        <f>-0.9+3.7-10.6+15.2-6.8</f>
        <v>0.60000000000000053</v>
      </c>
      <c r="H108" s="7">
        <f t="shared" si="1"/>
        <v>5.6</v>
      </c>
      <c r="I108" s="7">
        <v>1</v>
      </c>
      <c r="J108" s="7">
        <v>1</v>
      </c>
      <c r="K108" s="7">
        <f>-3.8+4.2+8.2-7.8+1.4</f>
        <v>2.1999999999999997</v>
      </c>
      <c r="L108" s="7">
        <f>(-2.6+2.8+1.3+4.8-4.6+0.6+4.1-1.2+1.1-0.5-4.7+9.5+11.9-7.6-0.1+3.3-6.5+3+6-0.6-0.3+11.4+13.7-2.8+1.2)/5</f>
        <v>8.64</v>
      </c>
      <c r="M108" s="8">
        <v>18055</v>
      </c>
    </row>
    <row r="109" spans="1:13" ht="30" customHeight="1" x14ac:dyDescent="0.2">
      <c r="A109" s="1">
        <v>2024</v>
      </c>
      <c r="B109" s="5">
        <v>45640</v>
      </c>
      <c r="C109" s="6" t="s">
        <v>26</v>
      </c>
      <c r="D109" s="6">
        <v>96</v>
      </c>
      <c r="E109" s="6">
        <v>111</v>
      </c>
      <c r="F109" s="6" t="s">
        <v>14</v>
      </c>
      <c r="G109" s="7">
        <f>-2.7+5-4.4+0.3-2.1</f>
        <v>-3.9000000000000004</v>
      </c>
      <c r="H109" s="7">
        <f t="shared" si="1"/>
        <v>5.580000000000001</v>
      </c>
      <c r="I109" s="7">
        <v>0</v>
      </c>
      <c r="J109" s="7">
        <v>0</v>
      </c>
      <c r="K109" s="7">
        <f>-1.4+16.9+3.4-1.6+14.2</f>
        <v>31.499999999999996</v>
      </c>
      <c r="L109" s="7">
        <f>(0.7+12.4+0.6+9.6+6-10.3+13.3+2.7+16.5-1.6+8.5+0.8-8.2+2.8+12.1+7.3-1.8+6.5+3.1-4+20.1-9.8+2.4+6.9-4.1)/5</f>
        <v>18.500000000000004</v>
      </c>
      <c r="M109" s="8">
        <v>17937</v>
      </c>
    </row>
    <row r="110" spans="1:13" ht="30" customHeight="1" x14ac:dyDescent="0.2">
      <c r="A110" s="1">
        <v>2024</v>
      </c>
      <c r="B110" s="5">
        <v>45645</v>
      </c>
      <c r="C110" s="6" t="s">
        <v>20</v>
      </c>
      <c r="D110" s="6">
        <v>133</v>
      </c>
      <c r="E110" s="6">
        <v>113</v>
      </c>
      <c r="F110" s="6" t="s">
        <v>14</v>
      </c>
      <c r="G110" s="7">
        <f>4.5+6.3+5.4+0.4+4.1</f>
        <v>20.700000000000003</v>
      </c>
      <c r="H110" s="7">
        <f t="shared" si="1"/>
        <v>-0.23999999999999932</v>
      </c>
      <c r="I110" s="7">
        <v>1</v>
      </c>
      <c r="J110" s="7">
        <v>1</v>
      </c>
      <c r="K110" s="7">
        <f>4.6-6.4-5.9-0.8-4.5</f>
        <v>-13.000000000000002</v>
      </c>
      <c r="L110" s="7">
        <f>(3.6+1.6-2.5+3.1-10.9-7.9+1.5+7.5-1.1-5.8+6.6-5.2-4.8-3-1.7-2.8+8.9-7.5-3.3-2+1.2-1.5-1.2+1.1-11)/5</f>
        <v>-7.419999999999999</v>
      </c>
      <c r="M110" s="8">
        <v>18055</v>
      </c>
    </row>
    <row r="111" spans="1:13" ht="30" customHeight="1" x14ac:dyDescent="0.2">
      <c r="A111" s="1">
        <v>2024</v>
      </c>
      <c r="B111" s="5">
        <v>45648</v>
      </c>
      <c r="C111" s="6" t="s">
        <v>46</v>
      </c>
      <c r="D111" s="6">
        <v>114</v>
      </c>
      <c r="E111" s="6">
        <v>110</v>
      </c>
      <c r="F111" s="6" t="s">
        <v>14</v>
      </c>
      <c r="G111" s="7">
        <f>-8.4+1.8+4.2-1.9+4</f>
        <v>-0.30000000000000071</v>
      </c>
      <c r="H111" s="7">
        <f t="shared" si="1"/>
        <v>4.2800000000000011</v>
      </c>
      <c r="I111" s="7">
        <v>0</v>
      </c>
      <c r="J111" s="7">
        <v>1</v>
      </c>
      <c r="K111" s="7">
        <f>-11.4-2.5+1.6+7.3-5.1</f>
        <v>-10.100000000000001</v>
      </c>
      <c r="L111" s="7">
        <f>(10.3-2.4+4.2-1.7-19.4+5.5+3.9-2.9-10.6+3.4-5.7-3.2-0.4-2.9+36.3+4.6-1-1.2-9.2-1.9+1+4+0.4-3.4-10)/5</f>
        <v>-0.45999999999999835</v>
      </c>
      <c r="M111" s="8">
        <v>19305</v>
      </c>
    </row>
    <row r="112" spans="1:13" ht="30" customHeight="1" x14ac:dyDescent="0.2">
      <c r="A112" s="1">
        <v>2024</v>
      </c>
      <c r="B112" s="5">
        <v>45649</v>
      </c>
      <c r="C112" s="6" t="s">
        <v>17</v>
      </c>
      <c r="D112" s="6">
        <v>114</v>
      </c>
      <c r="E112" s="6">
        <v>101</v>
      </c>
      <c r="F112" s="6" t="s">
        <v>55</v>
      </c>
      <c r="G112" s="7">
        <f>6.9+4.4+6.2+7.8-10</f>
        <v>15.3</v>
      </c>
      <c r="H112" s="7">
        <f t="shared" si="1"/>
        <v>6.14</v>
      </c>
      <c r="I112" s="7">
        <v>0</v>
      </c>
      <c r="J112" s="7">
        <v>1</v>
      </c>
      <c r="K112" s="7">
        <f>-4.5-12.6+14.5+8+6</f>
        <v>11.399999999999999</v>
      </c>
      <c r="L112" s="7">
        <f>(-1+2.3-0.9-3.2-7.6-5.6-5-11.4+3.5+18.6-5.2-0.6-0.9+5.5+1.1+15.1-9.1-4.5-15.3+8+1.5-13.7-6.3-9.5+4.2)/5</f>
        <v>-7.9999999999999982</v>
      </c>
      <c r="M112" s="8">
        <v>19134</v>
      </c>
    </row>
    <row r="113" spans="1:13" ht="30" customHeight="1" x14ac:dyDescent="0.2">
      <c r="A113" s="1">
        <v>2024</v>
      </c>
      <c r="B113" s="5">
        <v>45652</v>
      </c>
      <c r="C113" s="6" t="s">
        <v>20</v>
      </c>
      <c r="D113" s="6">
        <v>128</v>
      </c>
      <c r="E113" s="6">
        <v>111</v>
      </c>
      <c r="F113" s="6" t="s">
        <v>55</v>
      </c>
      <c r="G113" s="7">
        <f>4.1+14.2-13.4+17.4-2.2</f>
        <v>20.099999999999998</v>
      </c>
      <c r="H113" s="7">
        <f t="shared" si="1"/>
        <v>6.4800000000000013</v>
      </c>
      <c r="I113" s="7">
        <v>0</v>
      </c>
      <c r="J113" s="7">
        <v>1</v>
      </c>
      <c r="K113" s="7">
        <f>-7.6+1.2-2.1+1.5-7.1</f>
        <v>-14.1</v>
      </c>
      <c r="L113" s="7">
        <f>(-2.8+8.9-7.5-3.3-2+1.2-1.5-1.2+1.1-11+4.5-6.5-6-0.9-4.6+6-1.5-4.6-1.7-11.5-0.1+2.3-4.3+0.8+5.6)/5</f>
        <v>-8.120000000000001</v>
      </c>
      <c r="M113" s="8">
        <v>16052</v>
      </c>
    </row>
    <row r="114" spans="1:13" ht="30" customHeight="1" x14ac:dyDescent="0.2">
      <c r="A114" s="1">
        <v>2024</v>
      </c>
      <c r="B114" s="5">
        <v>45653</v>
      </c>
      <c r="C114" s="6" t="s">
        <v>37</v>
      </c>
      <c r="D114" s="6">
        <v>112</v>
      </c>
      <c r="E114" s="6">
        <v>113</v>
      </c>
      <c r="F114" s="6" t="s">
        <v>55</v>
      </c>
      <c r="G114" s="7">
        <f>-2.2+8.3+3.1-2.7+1.8</f>
        <v>8.3000000000000007</v>
      </c>
      <c r="H114" s="7">
        <f t="shared" si="1"/>
        <v>10.38</v>
      </c>
      <c r="I114" s="7">
        <v>1</v>
      </c>
      <c r="J114" s="7">
        <v>0</v>
      </c>
      <c r="K114" s="7">
        <f>10.4+0.5-4.8-2.2-11.6</f>
        <v>-7.6999999999999993</v>
      </c>
      <c r="L114" s="7">
        <f>(-3.4-0.9+6.8+5.4+9.7+4.1-4.8+0.3-7-7-2.3+8.7-5-1-9.6-3.2-9-14.6+11.4-5.3+2.1+4.5-1.2+9.6-1.1)/5</f>
        <v>-2.5599999999999996</v>
      </c>
      <c r="M114" s="8">
        <v>18055</v>
      </c>
    </row>
    <row r="115" spans="1:13" ht="30" customHeight="1" x14ac:dyDescent="0.2">
      <c r="A115" s="1">
        <v>2024</v>
      </c>
      <c r="B115" s="5">
        <v>45655</v>
      </c>
      <c r="C115" s="6" t="s">
        <v>38</v>
      </c>
      <c r="D115" s="6">
        <v>100</v>
      </c>
      <c r="E115" s="6">
        <v>104</v>
      </c>
      <c r="F115" s="6" t="s">
        <v>14</v>
      </c>
      <c r="G115" s="7">
        <f>0.1+5.5+5.5-5.8-10.7</f>
        <v>-5.3999999999999995</v>
      </c>
      <c r="H115" s="7">
        <f t="shared" si="1"/>
        <v>12.819999999999999</v>
      </c>
      <c r="I115" s="7">
        <v>1</v>
      </c>
      <c r="J115" s="7">
        <v>0</v>
      </c>
      <c r="K115" s="7">
        <f>-10.2+8.4+10.4-5.2-13</f>
        <v>-9.5999999999999979</v>
      </c>
      <c r="L115" s="7">
        <f>(-2.3+16.3+2.8-6.3+1.6-3.4-4.2-0.7+5.8-9+3.7+11.9+8-2.5-12.9-4.5-5.3+13.9-3.7-14.9+0-5.2-0.4+10.7-5.6)/5</f>
        <v>-1.2400000000000007</v>
      </c>
      <c r="M115" s="8">
        <v>18055</v>
      </c>
    </row>
    <row r="116" spans="1:13" ht="30" customHeight="1" x14ac:dyDescent="0.2">
      <c r="A116" s="1">
        <v>2024</v>
      </c>
      <c r="B116" s="5">
        <v>45658</v>
      </c>
      <c r="C116" s="6" t="s">
        <v>24</v>
      </c>
      <c r="D116" s="6">
        <v>110</v>
      </c>
      <c r="E116" s="6">
        <v>99</v>
      </c>
      <c r="F116" s="6" t="s">
        <v>14</v>
      </c>
      <c r="G116" s="7">
        <f>0.2+1.4-7.1+6.4+4</f>
        <v>4.9000000000000004</v>
      </c>
      <c r="H116" s="7">
        <f t="shared" si="1"/>
        <v>7.5999999999999988</v>
      </c>
      <c r="I116" s="7">
        <v>1</v>
      </c>
      <c r="J116" s="7">
        <v>1</v>
      </c>
      <c r="K116" s="7">
        <f>-3.3-3.9-11+19.9-7.7</f>
        <v>-6.0000000000000009</v>
      </c>
      <c r="L116" s="7">
        <f>(4.9+5.1+4.5+8.5+1.1-3+12.5-1.9+3.5+12.7-6.7+5.1+1.7-8.2-3.3+11.7-6.3-14.6-1.4+0.3+0.4+6.7-6.3-4-4.3)/5</f>
        <v>3.7400000000000033</v>
      </c>
      <c r="M116" s="8">
        <v>18055</v>
      </c>
    </row>
    <row r="117" spans="1:13" ht="30" customHeight="1" x14ac:dyDescent="0.2">
      <c r="A117" s="1">
        <v>2024</v>
      </c>
      <c r="B117" s="5">
        <v>45660</v>
      </c>
      <c r="C117" s="6" t="s">
        <v>40</v>
      </c>
      <c r="D117" s="6">
        <v>86</v>
      </c>
      <c r="E117" s="6">
        <v>109</v>
      </c>
      <c r="F117" s="6" t="s">
        <v>45</v>
      </c>
      <c r="G117" s="7">
        <f>12.6-4.5-6-1.9-0.5</f>
        <v>-0.30000000000000027</v>
      </c>
      <c r="H117" s="7">
        <f t="shared" si="1"/>
        <v>8.64</v>
      </c>
      <c r="I117" s="7">
        <v>1</v>
      </c>
      <c r="J117" s="7">
        <v>0</v>
      </c>
      <c r="K117" s="7">
        <f>7.6+0.7+7.5+1.2-3</f>
        <v>14</v>
      </c>
      <c r="L117" s="7">
        <f>(-6.2+9.8+4.4+0.9+11.8+21.2+7.7+0.7+5.1-15.1+3.6-3.7+6.4-15+8.6+2.1+14.5-6+18.6-7.9+2.3+11.2+1.6-0.8+1.8)/5</f>
        <v>15.52</v>
      </c>
      <c r="M117" s="8">
        <v>18055</v>
      </c>
    </row>
    <row r="118" spans="1:13" ht="30" customHeight="1" x14ac:dyDescent="0.2">
      <c r="A118" s="1">
        <v>2024</v>
      </c>
      <c r="B118" s="5">
        <v>45662</v>
      </c>
      <c r="C118" s="6" t="s">
        <v>19</v>
      </c>
      <c r="D118" s="6">
        <v>119</v>
      </c>
      <c r="E118" s="6">
        <v>115</v>
      </c>
      <c r="F118" s="6" t="s">
        <v>56</v>
      </c>
      <c r="G118" s="7">
        <f>0.6+0.7+14.9-6.1-5.6</f>
        <v>4.5</v>
      </c>
      <c r="H118" s="7">
        <f t="shared" si="1"/>
        <v>5.52</v>
      </c>
      <c r="I118" s="7">
        <v>1</v>
      </c>
      <c r="J118" s="7">
        <v>1</v>
      </c>
      <c r="K118" s="7">
        <f>4.6+0.3+4.5+7.6-4.5</f>
        <v>12.5</v>
      </c>
      <c r="L118" s="7">
        <f>(-0.8+13.9+7.1-6.5-18.8+1.8+13+4.9+5-20.9+11.4+11.8+7.4-10.8-5.8+1.1+14.8+16.4-8.2-6.9-5.5+1.8-0.6+12.5+4.4)/5</f>
        <v>8.4999999999999982</v>
      </c>
      <c r="M118" s="8">
        <v>18055</v>
      </c>
    </row>
    <row r="119" spans="1:13" ht="30" customHeight="1" x14ac:dyDescent="0.2">
      <c r="A119" s="1">
        <v>2024</v>
      </c>
      <c r="B119" s="5">
        <v>45664</v>
      </c>
      <c r="C119" s="6" t="s">
        <v>50</v>
      </c>
      <c r="D119" s="6">
        <v>135</v>
      </c>
      <c r="E119" s="6">
        <v>112</v>
      </c>
      <c r="F119" s="6" t="s">
        <v>56</v>
      </c>
      <c r="G119" s="7">
        <f>9+6.2+8.3-0.2-1</f>
        <v>22.3</v>
      </c>
      <c r="H119" s="7">
        <f t="shared" si="1"/>
        <v>2.4000000000000004</v>
      </c>
      <c r="I119" s="7">
        <v>0</v>
      </c>
      <c r="J119" s="7">
        <v>1</v>
      </c>
      <c r="K119" s="7">
        <f>1.6-12.1-3-26.9-4.6</f>
        <v>-45</v>
      </c>
      <c r="L119" s="7">
        <f>(7.4-3.9-2.2-3.9-2.2-8.2+8.3-1.4-2.9-14.8+8.3+5.2-1+4.9-3.2-7.4+1.2-1.4-0.6-0.1+6.6+5+7.1-6.9-7.5)/5</f>
        <v>-2.7200000000000006</v>
      </c>
      <c r="M119" s="8">
        <v>12930</v>
      </c>
    </row>
    <row r="120" spans="1:13" ht="30" customHeight="1" x14ac:dyDescent="0.2">
      <c r="A120" s="1">
        <v>2024</v>
      </c>
      <c r="B120" s="5">
        <v>45666</v>
      </c>
      <c r="C120" s="6" t="s">
        <v>23</v>
      </c>
      <c r="D120" s="6">
        <v>119</v>
      </c>
      <c r="E120" s="6">
        <v>115</v>
      </c>
      <c r="F120" s="6" t="s">
        <v>56</v>
      </c>
      <c r="G120" s="7">
        <f>6.5+8.6+2.2+9.7-10.3</f>
        <v>16.7</v>
      </c>
      <c r="H120" s="7">
        <f t="shared" si="1"/>
        <v>5.2</v>
      </c>
      <c r="I120" s="7">
        <v>0</v>
      </c>
      <c r="J120" s="7">
        <v>1</v>
      </c>
      <c r="K120" s="7">
        <f>12.9-3.4+3.3-9.7-0.7</f>
        <v>2.4000000000000012</v>
      </c>
      <c r="L120" s="7">
        <f>(-1+6.1-9.8-16.2+3+8.1+4.6+1.1-8.4-11.2+13.6+2.4-4.7+3.7-1.6-5.5-8.4-1.2+4.4-7.9+1.8-1.9-1.5+1.5-5.8)/5</f>
        <v>-6.9599999999999991</v>
      </c>
      <c r="M120" s="8">
        <v>16298</v>
      </c>
    </row>
    <row r="121" spans="1:13" ht="30" customHeight="1" x14ac:dyDescent="0.2">
      <c r="A121" s="1">
        <v>2024</v>
      </c>
      <c r="B121" s="5">
        <v>45670</v>
      </c>
      <c r="C121" s="6" t="s">
        <v>23</v>
      </c>
      <c r="D121" s="6">
        <v>120</v>
      </c>
      <c r="E121" s="6">
        <v>118</v>
      </c>
      <c r="F121" s="6" t="s">
        <v>56</v>
      </c>
      <c r="G121" s="7">
        <f>2.6+13.9-4.8+1.1-8.4</f>
        <v>4.3999999999999986</v>
      </c>
      <c r="H121" s="7">
        <f t="shared" si="1"/>
        <v>9.6199999999999992</v>
      </c>
      <c r="I121" s="7">
        <v>1</v>
      </c>
      <c r="J121" s="7">
        <v>1</v>
      </c>
      <c r="K121" s="7">
        <f>-1.9+9.4+3.4+5.1-11.9</f>
        <v>4.0999999999999996</v>
      </c>
      <c r="L121" s="7">
        <f>(3.6+2.4-4.7+3.7-1.6-5.5-8.4-1.2+4.4-7.9+1.8-1.9-1.5+1.5-5.8+12.9-3.6+3.2-9.8-0.7+4.4+8.2+1.9-17.8+0.7)/5</f>
        <v>-4.34</v>
      </c>
      <c r="M121" s="8">
        <v>18055</v>
      </c>
    </row>
    <row r="122" spans="1:13" ht="30" customHeight="1" x14ac:dyDescent="0.2">
      <c r="A122" s="1">
        <v>2024</v>
      </c>
      <c r="B122" s="5">
        <v>45672</v>
      </c>
      <c r="C122" s="6" t="s">
        <v>21</v>
      </c>
      <c r="D122" s="6">
        <v>128</v>
      </c>
      <c r="E122" s="6">
        <v>108</v>
      </c>
      <c r="F122" s="6" t="s">
        <v>56</v>
      </c>
      <c r="G122" s="7">
        <f>4.7-3.9+18.8-5.8+4.8</f>
        <v>18.600000000000001</v>
      </c>
      <c r="H122" s="7">
        <f t="shared" si="1"/>
        <v>9.52</v>
      </c>
      <c r="I122" s="7">
        <v>0</v>
      </c>
      <c r="J122" s="7">
        <v>1</v>
      </c>
      <c r="K122" s="7">
        <f>4.5-1.5-9-11.2-2.4</f>
        <v>-19.599999999999998</v>
      </c>
      <c r="L122" s="7">
        <f>(-1.1-2.6+2.9-2.6-3.1+10.4-2.9+3.8+7.1+10.6+25+7-1.7-5-5.9+8.6+6.7-7.6-3.4-7.8+15.5-2.5+13.2-7.6+6.1)/5</f>
        <v>12.620000000000001</v>
      </c>
      <c r="M122" s="8">
        <v>19837</v>
      </c>
    </row>
    <row r="123" spans="1:13" ht="30" customHeight="1" x14ac:dyDescent="0.2">
      <c r="A123" s="1">
        <v>2024</v>
      </c>
      <c r="B123" s="5">
        <v>45673</v>
      </c>
      <c r="C123" s="6" t="s">
        <v>18</v>
      </c>
      <c r="D123" s="6">
        <v>127</v>
      </c>
      <c r="E123" s="6">
        <v>132</v>
      </c>
      <c r="F123" s="6" t="s">
        <v>57</v>
      </c>
      <c r="G123" s="7">
        <f>4.2+7.1-0.8-9+1.3</f>
        <v>2.8</v>
      </c>
      <c r="H123" s="7">
        <f t="shared" si="1"/>
        <v>13.3</v>
      </c>
      <c r="I123" s="7">
        <v>0</v>
      </c>
      <c r="J123" s="7">
        <v>0</v>
      </c>
      <c r="K123" s="7">
        <f>1.5+4.2+1.4+3.2+4.1</f>
        <v>14.4</v>
      </c>
      <c r="L123" s="7">
        <f>(-17.3+14.6+23.7-1.2+1.9+5.4+3.2-3.1-2.5+3.3+1.4+7+9.1+1.3+4.2+10.1-0.5-8.9-1.9+6.6-6.1-5.2+6.2+4.8+5)/5</f>
        <v>12.22</v>
      </c>
      <c r="M123" s="8">
        <v>18227</v>
      </c>
    </row>
    <row r="124" spans="1:13" ht="30" customHeight="1" x14ac:dyDescent="0.2">
      <c r="A124" s="1">
        <v>2024</v>
      </c>
      <c r="B124" s="5">
        <v>45675</v>
      </c>
      <c r="C124" s="6" t="s">
        <v>44</v>
      </c>
      <c r="D124" s="6">
        <v>125</v>
      </c>
      <c r="E124" s="6">
        <v>103</v>
      </c>
      <c r="F124" s="6" t="s">
        <v>58</v>
      </c>
      <c r="G124" s="7">
        <f>3.4-7.3+10.6+5.8-14.7</f>
        <v>-2.1999999999999993</v>
      </c>
      <c r="H124" s="7">
        <f t="shared" si="1"/>
        <v>12.959999999999999</v>
      </c>
      <c r="I124" s="7">
        <v>0</v>
      </c>
      <c r="J124" s="7">
        <v>1</v>
      </c>
      <c r="K124" s="7">
        <f>-3.4+3.4-11.1-7.4+3</f>
        <v>-15.5</v>
      </c>
      <c r="L124" s="7">
        <f>(2.8+7.4+9.9+10.5+2.1-2.5-9.2+0.6-10.8-7.2-6-6.2+0+5.5+0.9+15.2-0.1-5.2-12.7-13.9-2.8-18.4-12.6-0.8-0.4)/5</f>
        <v>-10.779999999999998</v>
      </c>
      <c r="M124" s="8">
        <v>17077</v>
      </c>
    </row>
    <row r="125" spans="1:13" ht="30" customHeight="1" x14ac:dyDescent="0.2">
      <c r="A125" s="1">
        <v>2024</v>
      </c>
      <c r="B125" s="5">
        <v>45677</v>
      </c>
      <c r="C125" s="6" t="s">
        <v>35</v>
      </c>
      <c r="D125" s="6">
        <v>96</v>
      </c>
      <c r="E125" s="6">
        <v>107</v>
      </c>
      <c r="F125" s="6" t="s">
        <v>56</v>
      </c>
      <c r="G125" s="7">
        <f>2.3+12.4-4.7-13.9-0.3</f>
        <v>-4.2</v>
      </c>
      <c r="H125" s="7">
        <f t="shared" si="1"/>
        <v>8.0599999999999987</v>
      </c>
      <c r="I125" s="7">
        <v>1</v>
      </c>
      <c r="J125" s="7">
        <v>0</v>
      </c>
      <c r="K125" s="7">
        <f>5.6-3.5+17.6+3.5-6.3</f>
        <v>16.900000000000002</v>
      </c>
      <c r="L125" s="7">
        <f>(11.7-5.6+2.9+0.2+18.9+2.9-0.9+13.8-1.4+2.1+0.1-4.8+7.1+3.5+6.8-3.5-2.4+6.7+12.8-0.2+4.7-4.6-5.8+1.9-8.6)/5</f>
        <v>11.660000000000004</v>
      </c>
      <c r="M125" s="8">
        <v>18055</v>
      </c>
    </row>
    <row r="126" spans="1:13" ht="30" customHeight="1" x14ac:dyDescent="0.2">
      <c r="A126" s="1">
        <v>2024</v>
      </c>
      <c r="B126" s="5">
        <v>45679</v>
      </c>
      <c r="C126" s="6" t="s">
        <v>28</v>
      </c>
      <c r="D126" s="6">
        <v>109</v>
      </c>
      <c r="E126" s="6">
        <v>108</v>
      </c>
      <c r="F126" s="6" t="s">
        <v>56</v>
      </c>
      <c r="G126" s="7">
        <f>4.4+5.4-11.2-4.7+4.1</f>
        <v>-1.9999999999999991</v>
      </c>
      <c r="H126" s="7">
        <f t="shared" si="1"/>
        <v>3.8800000000000003</v>
      </c>
      <c r="I126" s="7">
        <v>1</v>
      </c>
      <c r="J126" s="7">
        <v>1</v>
      </c>
      <c r="K126" s="7">
        <f>-5.7+6.9+7.6+3.2-0.6</f>
        <v>11.4</v>
      </c>
      <c r="L126" s="7">
        <f>(0.4+6.7+0.6+5.9-1.9-2.4+7+6.5+9.7-11.1-1.5+12.5-13.3-11.2+5.9-2.2+8.7+9.8-1.3-12.3+15+12.9+7.4+1.7-2.2)/5</f>
        <v>10.26</v>
      </c>
      <c r="M126" s="8">
        <v>16719</v>
      </c>
    </row>
    <row r="127" spans="1:13" ht="30" customHeight="1" x14ac:dyDescent="0.2">
      <c r="A127" s="1">
        <v>2024</v>
      </c>
      <c r="B127" s="5">
        <v>45682</v>
      </c>
      <c r="C127" s="6" t="s">
        <v>28</v>
      </c>
      <c r="D127" s="6">
        <v>135</v>
      </c>
      <c r="E127" s="6">
        <v>131</v>
      </c>
      <c r="F127" s="6" t="s">
        <v>56</v>
      </c>
      <c r="G127" s="7">
        <f>9.9+3.5+1.8+0.1+0.6</f>
        <v>15.9</v>
      </c>
      <c r="H127" s="7">
        <f t="shared" si="1"/>
        <v>2.6000000000000005</v>
      </c>
      <c r="I127" s="7">
        <v>0</v>
      </c>
      <c r="J127" s="7">
        <v>1</v>
      </c>
      <c r="K127" s="7">
        <f>3.9+13.8+3.5-10.2-1.5</f>
        <v>9.5</v>
      </c>
      <c r="L127" s="7">
        <f>(1.5+12.5-13.3-11.2+5.9-2.2+8.7+9.8-1.3-12.3+15+12.9+7.4+1.7-2.2-5.8+6.9+7.6+3.2-0.6-11.5+10-1.8-2.2-1.1)/5</f>
        <v>7.5200000000000005</v>
      </c>
      <c r="M127" s="8">
        <v>19432</v>
      </c>
    </row>
    <row r="128" spans="1:13" ht="30" customHeight="1" x14ac:dyDescent="0.2">
      <c r="A128" s="1">
        <v>2024</v>
      </c>
      <c r="B128" s="5">
        <v>45684</v>
      </c>
      <c r="C128" s="6" t="s">
        <v>40</v>
      </c>
      <c r="D128" s="6">
        <v>114</v>
      </c>
      <c r="E128" s="6">
        <v>112</v>
      </c>
      <c r="F128" s="6" t="s">
        <v>56</v>
      </c>
      <c r="G128" s="7">
        <f>12.2+12.5-2.9+7.1-3.7</f>
        <v>25.2</v>
      </c>
      <c r="H128" s="7">
        <f t="shared" si="1"/>
        <v>2.06</v>
      </c>
      <c r="I128" s="7">
        <v>0</v>
      </c>
      <c r="J128" s="7">
        <v>1</v>
      </c>
      <c r="K128" s="7">
        <f>0.3-1+4.9-3+12.7</f>
        <v>13.899999999999999</v>
      </c>
      <c r="L128" s="7">
        <f>(-1.4+2.5+0.3+13.9-5.9-6.1+4.6+1.2+9.4+6.5+1.8-1+4.3-6.2+13.9-1.2+4.4+8.6-14.7-4.6+3.4-3.6-0.9+11.6+9.9)/5</f>
        <v>10.14</v>
      </c>
      <c r="M128" s="8">
        <v>19156</v>
      </c>
    </row>
    <row r="129" spans="1:13" ht="30" customHeight="1" x14ac:dyDescent="0.2">
      <c r="A129" s="1">
        <v>2024</v>
      </c>
      <c r="B129" s="5">
        <v>45685</v>
      </c>
      <c r="C129" s="6" t="s">
        <v>29</v>
      </c>
      <c r="D129" s="6">
        <v>100</v>
      </c>
      <c r="E129" s="6">
        <v>96</v>
      </c>
      <c r="F129" s="6" t="s">
        <v>56</v>
      </c>
      <c r="G129" s="7">
        <f>-6.3-6.5-7.1+7.4+5</f>
        <v>-7.4999999999999982</v>
      </c>
      <c r="H129" s="7">
        <f t="shared" si="1"/>
        <v>6.5400000000000009</v>
      </c>
      <c r="I129" s="7">
        <v>0</v>
      </c>
      <c r="J129" s="7">
        <v>1</v>
      </c>
      <c r="K129" s="7">
        <f>8.2+0.9-2.4+2.9+1.8</f>
        <v>11.4</v>
      </c>
      <c r="L129" s="7">
        <f>(-0.6-3.9+5.7+1.7+4.5-6.4+3.9+2.8+0+3.6-6.6+9+9.8+4.4-11.2-17.6+14.1+1.6+14.5-17.1+2.1-6.8-13.4+4.8-7.1)/5</f>
        <v>-1.640000000000001</v>
      </c>
      <c r="M129" s="8">
        <v>15553</v>
      </c>
    </row>
    <row r="130" spans="1:13" ht="30" customHeight="1" x14ac:dyDescent="0.2">
      <c r="A130" s="1">
        <v>2024</v>
      </c>
      <c r="B130" s="5">
        <v>45687</v>
      </c>
      <c r="C130" s="6" t="s">
        <v>23</v>
      </c>
      <c r="D130" s="6">
        <v>119</v>
      </c>
      <c r="E130" s="6">
        <v>120</v>
      </c>
      <c r="F130" s="6" t="s">
        <v>59</v>
      </c>
      <c r="G130" s="7">
        <f>2.6+6.9-1.5-2.9+4.6</f>
        <v>9.6999999999999993</v>
      </c>
      <c r="H130" s="7">
        <f t="shared" si="1"/>
        <v>5.4799999999999995</v>
      </c>
      <c r="I130" s="7">
        <v>0</v>
      </c>
      <c r="J130" s="7">
        <v>0</v>
      </c>
      <c r="K130" s="7">
        <f>-2.5+3.6+2.2+7.4-8.9</f>
        <v>1.8000000000000007</v>
      </c>
      <c r="L130" s="7">
        <f>(13.5+4.5+0.4+0.5-0.9+11.9+9.4-3.3-4-12.9+1.3+10.9-0.1+20.4+8.1+12+7+2.7+9-5.1-1.5-3.6-14.3-5-1.6)/5</f>
        <v>11.860000000000003</v>
      </c>
      <c r="M130" s="8">
        <v>16257</v>
      </c>
    </row>
    <row r="131" spans="1:13" ht="30" customHeight="1" x14ac:dyDescent="0.2">
      <c r="A131" s="1">
        <v>2024</v>
      </c>
      <c r="B131" s="5">
        <v>45689</v>
      </c>
      <c r="C131" s="6" t="s">
        <v>36</v>
      </c>
      <c r="D131" s="6">
        <v>98</v>
      </c>
      <c r="E131" s="6">
        <v>110</v>
      </c>
      <c r="F131" s="6" t="s">
        <v>59</v>
      </c>
      <c r="G131" s="7">
        <f>-4.7+3.2+3.2+6.3-8</f>
        <v>0</v>
      </c>
      <c r="H131" s="7">
        <f t="shared" si="1"/>
        <v>8.26</v>
      </c>
      <c r="I131" s="7">
        <v>1</v>
      </c>
      <c r="J131" s="7">
        <v>0</v>
      </c>
      <c r="K131" s="7">
        <f>6.4+0.8+1.1+0.3+5.2</f>
        <v>13.8</v>
      </c>
      <c r="L131" s="7">
        <f>(-5.3-4.1+15.5-2.6+9.3-12-0.1-16.5+5.9+0.7-1.2+2.6-5.5+17.1+0.2-8.5+1.1-3.9-3.3-9-0.7+3.3-3.2+5.1+3.1)/5</f>
        <v>-2.3999999999999986</v>
      </c>
      <c r="M131" s="8">
        <v>18055</v>
      </c>
    </row>
    <row r="132" spans="1:13" ht="30" customHeight="1" x14ac:dyDescent="0.2">
      <c r="A132" s="1">
        <v>2024</v>
      </c>
      <c r="B132" s="5">
        <v>45691</v>
      </c>
      <c r="C132" s="6" t="s">
        <v>41</v>
      </c>
      <c r="D132" s="6">
        <v>118</v>
      </c>
      <c r="E132" s="6">
        <v>124</v>
      </c>
      <c r="F132" s="6" t="s">
        <v>60</v>
      </c>
      <c r="G132" s="7">
        <f>-5.8+12.6-8.8+0.2+5.8</f>
        <v>3.9999999999999991</v>
      </c>
      <c r="H132" s="7">
        <f t="shared" si="1"/>
        <v>8.66</v>
      </c>
      <c r="I132" s="7">
        <v>0</v>
      </c>
      <c r="J132" s="7">
        <v>0</v>
      </c>
      <c r="K132" s="7">
        <f>2.2+3.3-3.7+13.1+1.1</f>
        <v>15.999999999999998</v>
      </c>
      <c r="L132" s="7">
        <f>(8.6+5.5-9+6.2-5.7+9.5+6.6+14.7+7.4-5.2+8.8+9.7+1.3-1.5+8.5+0.6-9.4+20.9+5.7+2.5-14.6+15.8-13.1+0.7+15.5)/5</f>
        <v>18.000000000000004</v>
      </c>
      <c r="M132" s="8">
        <v>19812</v>
      </c>
    </row>
    <row r="133" spans="1:13" ht="30" customHeight="1" x14ac:dyDescent="0.2">
      <c r="A133" s="1">
        <v>2024</v>
      </c>
      <c r="B133" s="5">
        <v>45692</v>
      </c>
      <c r="C133" s="6" t="s">
        <v>36</v>
      </c>
      <c r="D133" s="6">
        <v>97</v>
      </c>
      <c r="E133" s="6">
        <v>99</v>
      </c>
      <c r="F133" s="6" t="s">
        <v>61</v>
      </c>
      <c r="G133" s="7">
        <f>0.4-5.3+1.5-2.5-6.6</f>
        <v>-12.5</v>
      </c>
      <c r="H133" s="7">
        <f t="shared" si="1"/>
        <v>6.28</v>
      </c>
      <c r="I133" s="7">
        <v>0</v>
      </c>
      <c r="J133" s="7">
        <v>0</v>
      </c>
      <c r="K133" s="7">
        <f>-2.1+8.6-0.6-4.1-0.9</f>
        <v>0.90000000000000069</v>
      </c>
      <c r="L133" s="7">
        <f>(-12-0.1-16.5+5.9+0.7-1.2+2.6-5.5+17.1+0.2-8.5+1.1-3.9-3.3-9-0.7+3.3-3.2+5.1+3.1+6.5+0.8+1.1+0.4+5.2)/5</f>
        <v>-2.1599999999999988</v>
      </c>
      <c r="M133" s="8">
        <v>16564</v>
      </c>
    </row>
    <row r="134" spans="1:13" ht="30" customHeight="1" x14ac:dyDescent="0.2">
      <c r="A134" s="1">
        <v>2024</v>
      </c>
      <c r="B134" s="5">
        <v>45694</v>
      </c>
      <c r="C134" s="6" t="s">
        <v>37</v>
      </c>
      <c r="D134" s="6">
        <v>114</v>
      </c>
      <c r="E134" s="6">
        <v>127</v>
      </c>
      <c r="F134" s="6" t="s">
        <v>62</v>
      </c>
      <c r="G134" s="7">
        <f>-1.1+1.6-6.3+3.8+8.8</f>
        <v>6.8000000000000007</v>
      </c>
      <c r="H134" s="7">
        <f t="shared" si="1"/>
        <v>-1.26</v>
      </c>
      <c r="I134" s="7">
        <v>0</v>
      </c>
      <c r="J134" s="7">
        <v>0</v>
      </c>
      <c r="K134" s="7">
        <f>10.5+2.9-3.7-8+15.7</f>
        <v>17.399999999999999</v>
      </c>
      <c r="L134" s="7">
        <f>(4.6+4+9.1-5.7-3.4+17.5+6.6-0.8-14.8-16.6-4.7+11+4-3.8-11.4+11.8+9.5-3+1.4-3.2-1.8+14.3+7.5+3.7+0.7)/5</f>
        <v>7.3000000000000016</v>
      </c>
      <c r="M134" s="8">
        <v>18978</v>
      </c>
    </row>
    <row r="135" spans="1:13" ht="30" customHeight="1" x14ac:dyDescent="0.2">
      <c r="A135" s="1">
        <v>2024</v>
      </c>
      <c r="B135" s="5">
        <v>45696</v>
      </c>
      <c r="C135" s="6" t="s">
        <v>24</v>
      </c>
      <c r="D135" s="6">
        <v>105</v>
      </c>
      <c r="E135" s="6">
        <v>116</v>
      </c>
      <c r="F135" s="6" t="s">
        <v>62</v>
      </c>
      <c r="G135" s="7">
        <f>4.8+8.7+7.1-3.2-4.4</f>
        <v>13.000000000000002</v>
      </c>
      <c r="H135" s="7">
        <f t="shared" si="1"/>
        <v>1.6</v>
      </c>
      <c r="I135" s="7">
        <v>0</v>
      </c>
      <c r="J135" s="7">
        <v>0</v>
      </c>
      <c r="K135" s="7">
        <f>-4+19.3-0.5-8.3+3.4</f>
        <v>9.9</v>
      </c>
      <c r="L135" s="7">
        <f>(-0.5+2+7.7-2.9-1.6+0.9+6.6+6.7+8-8.9-2.2-6.4-6.7+1.5-21+5.4-7.7-7.6-13.2+1.5-3+2.2+6.6+10.5+6.6)/5</f>
        <v>-3.1000000000000005</v>
      </c>
      <c r="M135" s="8">
        <v>20303</v>
      </c>
    </row>
    <row r="136" spans="1:13" ht="30" customHeight="1" x14ac:dyDescent="0.2">
      <c r="A136" s="1">
        <v>2024</v>
      </c>
      <c r="B136" s="5">
        <v>45697</v>
      </c>
      <c r="C136" s="6" t="s">
        <v>46</v>
      </c>
      <c r="D136" s="6">
        <v>94</v>
      </c>
      <c r="E136" s="6">
        <v>87</v>
      </c>
      <c r="F136" s="6" t="s">
        <v>61</v>
      </c>
      <c r="G136" s="7">
        <f>1.8+0.8-1.7-4.4-38.2</f>
        <v>-41.7</v>
      </c>
      <c r="H136" s="7">
        <f t="shared" si="1"/>
        <v>2.2600000000000007</v>
      </c>
      <c r="I136" s="7">
        <v>1</v>
      </c>
      <c r="J136" s="7">
        <v>1</v>
      </c>
      <c r="K136" s="7">
        <f>4.4+0.4-0.8+4-13.1</f>
        <v>-5.0999999999999996</v>
      </c>
      <c r="L136" s="7">
        <f>(1-2.7-8.3-6.1+18.8+0.5+0.8+4.7-9.3+13-8+0.4+0.9+3.6+2-2.9-17.9-5.4-2.6-9.5+4.1-6.8+2.1+3.8-8)/5</f>
        <v>-6.3599999999999994</v>
      </c>
      <c r="M136" s="8">
        <v>16829</v>
      </c>
    </row>
    <row r="137" spans="1:13" ht="30" customHeight="1" x14ac:dyDescent="0.2">
      <c r="A137" s="1">
        <v>2024</v>
      </c>
      <c r="B137" s="5">
        <v>45700</v>
      </c>
      <c r="C137" s="6" t="s">
        <v>31</v>
      </c>
      <c r="D137" s="6">
        <v>119</v>
      </c>
      <c r="E137" s="6">
        <v>111</v>
      </c>
      <c r="F137" s="6" t="s">
        <v>62</v>
      </c>
      <c r="G137" s="7">
        <f>7.8+2.1-1.4+14.3+2.7</f>
        <v>25.5</v>
      </c>
      <c r="H137" s="7">
        <f t="shared" si="1"/>
        <v>-6.08</v>
      </c>
      <c r="I137" s="7">
        <v>1</v>
      </c>
      <c r="J137" s="7">
        <v>1</v>
      </c>
      <c r="K137" s="7">
        <f>8.8+3.7-8.2-10.3+2</f>
        <v>-4</v>
      </c>
      <c r="L137" s="7">
        <f>(-0.2-2.4-4.7-13.6-24.8-11.4-6.1-7.9+8.1-4.6+3-3.5+5.9+2.9+3.4-1.2-6.8+3.4-10.1+1.3+10.6-5.5+0.3+5-3.8)/5</f>
        <v>-12.540000000000003</v>
      </c>
      <c r="M137" s="8">
        <v>16227</v>
      </c>
    </row>
    <row r="138" spans="1:13" ht="30" customHeight="1" x14ac:dyDescent="0.2">
      <c r="A138" s="1">
        <v>2024</v>
      </c>
      <c r="B138" s="5">
        <v>45701</v>
      </c>
      <c r="C138" s="6" t="s">
        <v>16</v>
      </c>
      <c r="D138" s="6">
        <v>98</v>
      </c>
      <c r="E138" s="6">
        <v>105</v>
      </c>
      <c r="F138" s="6" t="s">
        <v>61</v>
      </c>
      <c r="G138" s="7">
        <f>6.4-5-1.1-13.2-6.8</f>
        <v>-19.7</v>
      </c>
      <c r="H138" s="7">
        <f t="shared" si="1"/>
        <v>-1.7799999999999998</v>
      </c>
      <c r="I138" s="7">
        <v>1</v>
      </c>
      <c r="J138" s="7">
        <v>0</v>
      </c>
      <c r="K138" s="7">
        <f>4.2+6.1+3.1+1.3+8.3</f>
        <v>23</v>
      </c>
      <c r="L138" s="7">
        <f>(0.6-0.7-4.5+2.3-1.6+4.6-1.4-5.7+6.1+5.7+11.7+4.4+7.8+3+13.8+11+0.2+0.1+8.7-6+2.6+2.5+5.8-17.2+3.2)/5</f>
        <v>11.399999999999997</v>
      </c>
      <c r="M138" s="8">
        <v>18055</v>
      </c>
    </row>
    <row r="139" spans="1:13" ht="30" customHeight="1" x14ac:dyDescent="0.2">
      <c r="A139" s="1">
        <v>2024</v>
      </c>
      <c r="B139" s="5">
        <v>45709</v>
      </c>
      <c r="C139" s="6" t="s">
        <v>37</v>
      </c>
      <c r="D139" s="6">
        <v>121</v>
      </c>
      <c r="E139" s="6">
        <v>115</v>
      </c>
      <c r="F139" s="6" t="s">
        <v>62</v>
      </c>
      <c r="G139" s="7">
        <f>13.4+7.3-11.5+3.8-1.1</f>
        <v>11.9</v>
      </c>
      <c r="H139" s="7">
        <f t="shared" si="1"/>
        <v>-3.2199999999999998</v>
      </c>
      <c r="I139" s="7">
        <v>1</v>
      </c>
      <c r="J139" s="7">
        <v>1</v>
      </c>
      <c r="K139" s="7">
        <f>0.1+0.2-1.4+8.3-3.8</f>
        <v>3.4000000000000012</v>
      </c>
      <c r="L139" s="7">
        <f>(10.5+2.9-3.7-9+15.7+2.5+9.4+10.6+1.9-8.5+8.6-3.7+1.4+2-5.6-4.1+5.9+1.5-5.7+2.6+19.3+3.7+9.9-0.1-5)/2</f>
        <v>31.5</v>
      </c>
      <c r="M139" s="8">
        <v>18055</v>
      </c>
    </row>
    <row r="140" spans="1:13" ht="30" customHeight="1" x14ac:dyDescent="0.2">
      <c r="A140" s="1">
        <v>2024</v>
      </c>
      <c r="B140" s="5">
        <v>45710</v>
      </c>
      <c r="C140" s="6" t="s">
        <v>42</v>
      </c>
      <c r="D140" s="6">
        <v>115</v>
      </c>
      <c r="E140" s="6">
        <v>124</v>
      </c>
      <c r="F140" s="6" t="s">
        <v>47</v>
      </c>
      <c r="G140" s="7">
        <f>0.9+5.7+1.8-1.7-16.8</f>
        <v>-10.100000000000001</v>
      </c>
      <c r="H140" s="7">
        <f t="shared" si="1"/>
        <v>-2.2000000000000002</v>
      </c>
      <c r="I140" s="7">
        <v>0</v>
      </c>
      <c r="J140" s="7">
        <v>0</v>
      </c>
      <c r="K140" s="7">
        <f>-4.7+4.6-2.5-5.2-8.4</f>
        <v>-16.200000000000003</v>
      </c>
      <c r="L140" s="7">
        <f>(1.2-4.3+1.4-13.2-3.7-5.6-0.5-5.8-5.2-5.3+9.9+13.7-4.4-0.1-2.9-1.4-4.4+0.8+8.2-5.1-5+2.3+1.4-17.3-1.4)/5</f>
        <v>-9.34</v>
      </c>
      <c r="M140" s="8">
        <v>18175</v>
      </c>
    </row>
    <row r="141" spans="1:13" ht="30" customHeight="1" x14ac:dyDescent="0.2">
      <c r="A141" s="1">
        <v>2024</v>
      </c>
      <c r="B141" s="5">
        <v>45713</v>
      </c>
      <c r="C141" s="6" t="s">
        <v>27</v>
      </c>
      <c r="D141" s="6">
        <v>100</v>
      </c>
      <c r="E141" s="6">
        <v>97</v>
      </c>
      <c r="F141" s="6" t="s">
        <v>62</v>
      </c>
      <c r="G141" s="7">
        <f>2.5+9.1+7.7+4.4-1</f>
        <v>22.700000000000003</v>
      </c>
      <c r="H141" s="7">
        <f t="shared" si="1"/>
        <v>-6.8200000000000021</v>
      </c>
      <c r="I141" s="7">
        <v>1</v>
      </c>
      <c r="J141" s="7">
        <v>1</v>
      </c>
      <c r="K141" s="7">
        <f>-3.2+4.6-7.2+15.7+9.2</f>
        <v>19.099999999999998</v>
      </c>
      <c r="L141" s="7">
        <f>(3.8-0.3+10.2+2.5-1.9-5+0.2+6.2-12+0.4-5.4-0.8+14.4-0.3+9.8-3.5-2.3+4.7+9.5-4.2+9+3.4-2+11.9-13.8)/5</f>
        <v>6.9</v>
      </c>
      <c r="M141" s="10">
        <v>18055</v>
      </c>
    </row>
    <row r="142" spans="1:13" ht="30" customHeight="1" x14ac:dyDescent="0.2">
      <c r="A142" s="1">
        <v>2024</v>
      </c>
      <c r="B142" s="5">
        <v>45714</v>
      </c>
      <c r="C142" s="6" t="s">
        <v>15</v>
      </c>
      <c r="D142" s="6">
        <v>118</v>
      </c>
      <c r="E142" s="6">
        <v>106</v>
      </c>
      <c r="F142" s="6" t="s">
        <v>47</v>
      </c>
      <c r="G142" s="7">
        <f>-13.1+16.7+8.7+4+3.5</f>
        <v>19.799999999999997</v>
      </c>
      <c r="H142" s="7">
        <f t="shared" si="1"/>
        <v>6.0600000000000005</v>
      </c>
      <c r="I142" s="7">
        <v>1</v>
      </c>
      <c r="J142" s="7">
        <v>1</v>
      </c>
      <c r="K142" s="7">
        <f>-13.9-6.5-5.1-9.7-5.9</f>
        <v>-41.1</v>
      </c>
      <c r="L142" s="7">
        <f>(-0.5+0-5.5-0.9+4.6+4.5-5.3+3.4-9+6.3+12.1-13.9-15.3-9.3-12.5-10.2-1.6-10.5-12.6+3.2-3.5+6.6-0.7+3.4-0.6)/5</f>
        <v>-13.559999999999999</v>
      </c>
      <c r="M142" s="10">
        <v>18055</v>
      </c>
    </row>
    <row r="143" spans="1:13" ht="30" customHeight="1" x14ac:dyDescent="0.2">
      <c r="A143" s="1">
        <v>2024</v>
      </c>
      <c r="B143" s="5">
        <v>45717</v>
      </c>
      <c r="C143" s="6" t="s">
        <v>18</v>
      </c>
      <c r="D143" s="6">
        <v>103</v>
      </c>
      <c r="E143" s="6">
        <v>113</v>
      </c>
      <c r="F143" s="6" t="s">
        <v>56</v>
      </c>
      <c r="G143" s="7">
        <f>-7.8+4.8+1.9-4-6.3</f>
        <v>-11.399999999999999</v>
      </c>
      <c r="H143" s="7">
        <f t="shared" si="1"/>
        <v>4.92</v>
      </c>
      <c r="I143" s="7">
        <v>1</v>
      </c>
      <c r="J143" s="7">
        <v>0</v>
      </c>
      <c r="K143" s="7">
        <f>-4.8+0.5-6.5+1.8-1.6</f>
        <v>-10.6</v>
      </c>
      <c r="L143" s="7">
        <f>(1.3-2.6+2.2-1.3+4.5+7-7.2-4.5+0.2-0.5+18.4-12.2+7.4-3.1-2.3+23.2-0.9-3.8-0.9-4.2-4.7-5.7+9.8+9.2)/5</f>
        <v>5.86</v>
      </c>
      <c r="M143" s="8">
        <v>18055</v>
      </c>
    </row>
    <row r="144" spans="1:13" ht="30" customHeight="1" x14ac:dyDescent="0.2">
      <c r="A144" s="1">
        <v>2024</v>
      </c>
      <c r="B144" s="5">
        <v>45719</v>
      </c>
      <c r="C144" s="6" t="s">
        <v>26</v>
      </c>
      <c r="D144" s="6">
        <v>128</v>
      </c>
      <c r="E144" s="6">
        <v>137</v>
      </c>
      <c r="F144" s="6" t="s">
        <v>63</v>
      </c>
      <c r="G144" s="7">
        <f>11.4+8.6-6.4+1.4-10.7</f>
        <v>4.3000000000000007</v>
      </c>
      <c r="H144" s="7">
        <f t="shared" si="1"/>
        <v>6.58</v>
      </c>
      <c r="I144" s="7">
        <v>0</v>
      </c>
      <c r="J144" s="7">
        <v>0</v>
      </c>
      <c r="K144" s="7">
        <f>19.1+2.2-6.9-0.4+4.2</f>
        <v>18.2</v>
      </c>
      <c r="L144" s="7">
        <f>(8.3+2.3-5.2+6.9+4.7+9.1+1.3-3.6-11-4.9-3.3+9.5+17.7+2.5-14.8+5.9+1.1+6.4-4.8-6.4-1.5+15+13.3+2.4-2.5)/5</f>
        <v>9.68</v>
      </c>
      <c r="M144" s="8">
        <v>17714</v>
      </c>
    </row>
    <row r="145" spans="1:13" ht="30" customHeight="1" x14ac:dyDescent="0.2">
      <c r="A145" s="1">
        <v>2024</v>
      </c>
      <c r="B145" s="5">
        <v>45720</v>
      </c>
      <c r="C145" s="6" t="s">
        <v>30</v>
      </c>
      <c r="D145" s="6">
        <v>102</v>
      </c>
      <c r="E145" s="6">
        <v>115</v>
      </c>
      <c r="F145" s="6" t="s">
        <v>47</v>
      </c>
      <c r="G145" s="7">
        <f>0.8-3.5+8.3-10.4-6.1</f>
        <v>-10.899999999999999</v>
      </c>
      <c r="H145" s="7">
        <f t="shared" si="1"/>
        <v>5.0600000000000005</v>
      </c>
      <c r="I145" s="7">
        <v>0</v>
      </c>
      <c r="J145" s="7">
        <v>0</v>
      </c>
      <c r="K145" s="7">
        <f>15.8+6.3-3.4-12.8+4.6</f>
        <v>10.500000000000002</v>
      </c>
      <c r="L145" s="7">
        <f>(6+24.5-9.4-7.4+5.8+12.3-2.7+1-6.8-5.9+34.1-4.9+16.6-16.1-3.4+2.4+6.1-9+6+13+2.6-1.3-2.9+12.9+5.3)/5</f>
        <v>15.76</v>
      </c>
      <c r="M145" s="8">
        <v>15513</v>
      </c>
    </row>
    <row r="146" spans="1:13" ht="30" customHeight="1" x14ac:dyDescent="0.2">
      <c r="A146" s="1">
        <v>2024</v>
      </c>
      <c r="B146" s="5">
        <v>45722</v>
      </c>
      <c r="C146" s="6" t="s">
        <v>20</v>
      </c>
      <c r="D146" s="6">
        <v>109</v>
      </c>
      <c r="E146" s="6">
        <v>97</v>
      </c>
      <c r="F146" s="6" t="s">
        <v>62</v>
      </c>
      <c r="G146" s="7">
        <f>0.9+9.4-3.6-1.3+9</f>
        <v>14.400000000000002</v>
      </c>
      <c r="H146" s="7">
        <f t="shared" si="1"/>
        <v>4.9000000000000012</v>
      </c>
      <c r="I146" s="7">
        <v>0</v>
      </c>
      <c r="J146" s="7">
        <v>1</v>
      </c>
      <c r="K146" s="7">
        <f>6.9-6.8+1.6-0.7-2.8</f>
        <v>-1.7999999999999992</v>
      </c>
      <c r="L146" s="7">
        <f>(5.2-3.3-4.8-3-0.1-0.5-6.4-4.9+21.1-7.4-4.5+9.5-7.2-4.3+4.1-5+3.5+10-4.7+14.3-1.4-8.2+23.3-7-9.5)/5</f>
        <v>1.7600000000000009</v>
      </c>
      <c r="M146" s="8">
        <v>17636</v>
      </c>
    </row>
    <row r="147" spans="1:13" ht="30" customHeight="1" x14ac:dyDescent="0.2">
      <c r="A147" s="1">
        <v>2024</v>
      </c>
      <c r="B147" s="5">
        <v>45724</v>
      </c>
      <c r="C147" s="6" t="s">
        <v>20</v>
      </c>
      <c r="D147" s="6">
        <v>146</v>
      </c>
      <c r="E147" s="6">
        <v>117</v>
      </c>
      <c r="F147" s="6" t="s">
        <v>62</v>
      </c>
      <c r="G147" s="7">
        <f>5.7+7.3-8.7+19-9.2</f>
        <v>14.100000000000001</v>
      </c>
      <c r="H147" s="7">
        <f t="shared" si="1"/>
        <v>3.2400000000000007</v>
      </c>
      <c r="I147" s="7">
        <v>1</v>
      </c>
      <c r="J147" s="7">
        <v>1</v>
      </c>
      <c r="K147" s="7">
        <f>-9.6+5.4-0.3-6.9-9.5</f>
        <v>-20.9</v>
      </c>
      <c r="L147" s="7">
        <f>(-0.5-6.4-4.9+21.1-7.4-4.5+9.5-7.2-4.3+4.1-5+3.5+10-4.7+14.3-1.4-8.2+23.3-7-9.5-9-8-18-7+9)/5</f>
        <v>-3.6399999999999992</v>
      </c>
      <c r="M147" s="8">
        <v>18055</v>
      </c>
    </row>
    <row r="148" spans="1:13" ht="15.75" customHeight="1" x14ac:dyDescent="0.2">
      <c r="A148" s="1">
        <v>2024</v>
      </c>
      <c r="B148" s="5">
        <v>45726</v>
      </c>
      <c r="C148" s="6" t="s">
        <v>13</v>
      </c>
      <c r="D148" s="6">
        <v>97</v>
      </c>
      <c r="E148" s="6">
        <v>84</v>
      </c>
      <c r="F148" s="6" t="s">
        <v>64</v>
      </c>
      <c r="G148" s="7">
        <f>2.1-3.2-4.6+10.7+6.6</f>
        <v>11.6</v>
      </c>
      <c r="H148" s="7">
        <f t="shared" si="1"/>
        <v>2.1000000000000014</v>
      </c>
      <c r="I148" s="7">
        <v>1</v>
      </c>
      <c r="J148" s="7">
        <v>1</v>
      </c>
      <c r="K148" s="7">
        <f>9.1+0.1-8.6-1.3-11.9</f>
        <v>-12.600000000000001</v>
      </c>
      <c r="L148" s="7">
        <f>(0.4+10.8-10.4-1.4+7.1+5.2-0.5+3.5+7.2-15.9+21.9-9.3-2.2-2.2-10.1-4.3-7.3+4.6+6.4+6+0.6+6-5.4-11.7+20.9)/5</f>
        <v>3.9799999999999995</v>
      </c>
      <c r="M148" s="8">
        <v>16665</v>
      </c>
    </row>
    <row r="149" spans="1:13" ht="30" customHeight="1" x14ac:dyDescent="0.2">
      <c r="A149" s="1">
        <v>2024</v>
      </c>
      <c r="B149" s="5">
        <v>45728</v>
      </c>
      <c r="C149" s="6" t="s">
        <v>31</v>
      </c>
      <c r="D149" s="6">
        <v>111</v>
      </c>
      <c r="E149" s="6">
        <v>104</v>
      </c>
      <c r="F149" s="6" t="s">
        <v>65</v>
      </c>
      <c r="G149" s="7">
        <f>12+0.1+8.5+7.7+4.5</f>
        <v>32.799999999999997</v>
      </c>
      <c r="H149" s="7">
        <f t="shared" si="1"/>
        <v>6.7000000000000011</v>
      </c>
      <c r="I149" s="7">
        <v>1</v>
      </c>
      <c r="J149" s="7">
        <v>1</v>
      </c>
      <c r="K149" s="7">
        <f>-6.5-3.8+1.1+2.2+3.1</f>
        <v>-3.9000000000000008</v>
      </c>
      <c r="L149" s="7">
        <f>(-0.7-4.6-4.8-2.5+2.9+6.4-7.2+2.9-12.9-33.4+1.1+4.4-8.3-5-4-2.3-6.8+12.6+0.4-3.9+6.4-3.5+6.6-1.2-6.4)/5</f>
        <v>-12.760000000000002</v>
      </c>
      <c r="M149" s="8">
        <v>18055</v>
      </c>
    </row>
    <row r="150" spans="1:13" ht="30" customHeight="1" x14ac:dyDescent="0.2">
      <c r="A150" s="1">
        <v>2024</v>
      </c>
      <c r="B150" s="5">
        <v>45730</v>
      </c>
      <c r="C150" s="6" t="s">
        <v>24</v>
      </c>
      <c r="D150" s="6">
        <v>133</v>
      </c>
      <c r="E150" s="6">
        <v>96</v>
      </c>
      <c r="F150" s="6" t="s">
        <v>65</v>
      </c>
      <c r="G150" s="7">
        <f>8.4+18.8-3.5+1.2+2.3</f>
        <v>27.200000000000003</v>
      </c>
      <c r="H150" s="7">
        <f t="shared" si="1"/>
        <v>12.4</v>
      </c>
      <c r="I150" s="7">
        <v>1</v>
      </c>
      <c r="J150" s="7">
        <v>1</v>
      </c>
      <c r="K150" s="7">
        <f>-0.1+4.6-18-6.7-14.2</f>
        <v>-34.4</v>
      </c>
      <c r="L150" s="7">
        <f>(-11.4+1.7-3-0.1-4+1.6-7.9-4.6+5.3-14+10.1+0.4-0.5-7.5+7.9-6.6+3.5+6.5-9.9-12.1-9.1-2.3+1.3-5.5+8.8)/5</f>
        <v>-10.280000000000001</v>
      </c>
      <c r="M150" s="8">
        <v>16612</v>
      </c>
    </row>
    <row r="151" spans="1:13" ht="30" customHeight="1" x14ac:dyDescent="0.2">
      <c r="A151" s="1">
        <v>2024</v>
      </c>
      <c r="B151" s="5">
        <v>45731</v>
      </c>
      <c r="C151" s="6" t="s">
        <v>39</v>
      </c>
      <c r="D151" s="6">
        <v>117</v>
      </c>
      <c r="E151" s="6">
        <v>114</v>
      </c>
      <c r="F151" s="6" t="s">
        <v>14</v>
      </c>
      <c r="G151" s="7">
        <f>2.5+5.6+3.8-7.8-4.5</f>
        <v>-0.40000000000000124</v>
      </c>
      <c r="H151" s="7">
        <f t="shared" si="1"/>
        <v>20.020000000000003</v>
      </c>
      <c r="I151" s="7">
        <v>1</v>
      </c>
      <c r="J151" s="7">
        <v>1</v>
      </c>
      <c r="K151" s="7">
        <f>-6.6-8.2+3.5+5.2-0.2</f>
        <v>-6.2999999999999989</v>
      </c>
      <c r="L151" s="7">
        <f>(1.3-5.2-4.3+5.9-11+3.5+12+5.6-1.3-18.5+12.8-6.5+6.7-5.5+9.2+3.9-4.8+12.2-8.1+13.5+1.4+6.2-2.7-6.1-13.3)/5</f>
        <v>1.379999999999999</v>
      </c>
      <c r="M151" s="8">
        <v>18055</v>
      </c>
    </row>
    <row r="152" spans="1:13" ht="30" customHeight="1" x14ac:dyDescent="0.2">
      <c r="A152" s="1">
        <v>2024</v>
      </c>
      <c r="B152" s="5">
        <v>45733</v>
      </c>
      <c r="C152" s="6" t="s">
        <v>33</v>
      </c>
      <c r="D152" s="6">
        <v>144</v>
      </c>
      <c r="E152" s="6">
        <v>137</v>
      </c>
      <c r="F152" s="6" t="s">
        <v>65</v>
      </c>
      <c r="G152" s="7">
        <f>3.3+3.6-8.6-7.4-3.1</f>
        <v>-12.2</v>
      </c>
      <c r="H152" s="7">
        <f t="shared" si="1"/>
        <v>17.059999999999999</v>
      </c>
      <c r="I152" s="7">
        <v>1</v>
      </c>
      <c r="J152" s="7">
        <v>1</v>
      </c>
      <c r="K152" s="7">
        <f>8.1-9.9+0.6-1.4-0.3</f>
        <v>-2.9000000000000004</v>
      </c>
      <c r="L152" s="7">
        <f>(-14.2+9.6-10.8-23.5-8.9+6.1-12.3-8.1-2.5-6.8-5.7+3.8-2.2-8.5-11+6.9-6.5-6.4-0.2-3.2+0.8-3.6-4.3-2.1-5.3)/5</f>
        <v>-23.779999999999998</v>
      </c>
      <c r="M152" s="8">
        <v>16648</v>
      </c>
    </row>
    <row r="153" spans="1:13" ht="30" customHeight="1" x14ac:dyDescent="0.2">
      <c r="A153" s="1">
        <v>2024</v>
      </c>
      <c r="B153" s="5">
        <v>45735</v>
      </c>
      <c r="C153" s="6" t="s">
        <v>13</v>
      </c>
      <c r="D153" s="6">
        <v>116</v>
      </c>
      <c r="E153" s="6">
        <v>108</v>
      </c>
      <c r="F153" s="6" t="s">
        <v>65</v>
      </c>
      <c r="G153" s="7">
        <f>-1.1-1.9+1.9-2.6+17.8</f>
        <v>14.100000000000001</v>
      </c>
      <c r="H153" s="7">
        <f t="shared" si="1"/>
        <v>11.799999999999997</v>
      </c>
      <c r="I153" s="7">
        <v>0</v>
      </c>
      <c r="J153" s="7">
        <v>1</v>
      </c>
      <c r="K153" s="7">
        <f>9.1-4.7-2.6+4.5-8.4</f>
        <v>-2.1000000000000014</v>
      </c>
      <c r="L153" s="7">
        <f>(0.6+6-5.4-11.7+20.9+9.1+0.2-8.4-1.2-11.8+5.7+22.4+1.5-0.1-5.4+8.3-10.9-9.8+0.1-3.5+4.5-8.2-0.3+4.1+3.8)/5</f>
        <v>2.0999999999999992</v>
      </c>
      <c r="M153" s="8">
        <v>19609</v>
      </c>
    </row>
    <row r="154" spans="1:13" ht="30" customHeight="1" x14ac:dyDescent="0.2">
      <c r="A154" s="1">
        <v>2024</v>
      </c>
      <c r="B154" s="5">
        <v>45737</v>
      </c>
      <c r="C154" s="6" t="s">
        <v>38</v>
      </c>
      <c r="D154" s="6">
        <v>102</v>
      </c>
      <c r="E154" s="6">
        <v>98</v>
      </c>
      <c r="F154" s="6" t="s">
        <v>56</v>
      </c>
      <c r="G154" s="7">
        <f>26+16.2-8.2-8.6-11.4</f>
        <v>13.999999999999998</v>
      </c>
      <c r="H154" s="7">
        <f t="shared" si="1"/>
        <v>12.3</v>
      </c>
      <c r="I154" s="7">
        <v>0</v>
      </c>
      <c r="J154" s="7">
        <v>1</v>
      </c>
      <c r="K154" s="7">
        <f>-15.8+1.4+9.4+13.6-5.4</f>
        <v>3.1999999999999993</v>
      </c>
      <c r="L154" s="7">
        <f>(6.5-3.1+1.2-6.4-5.2+7+1.5-3.1+3.9-8.5-0.2-0.8+4-11-23.5-4.7-4.9+1.9+11.8-9.4+10+2.5-0.5-2-10.7)/5</f>
        <v>-8.74</v>
      </c>
      <c r="M154" s="8">
        <v>19700</v>
      </c>
    </row>
    <row r="155" spans="1:13" ht="30" customHeight="1" x14ac:dyDescent="0.2">
      <c r="A155" s="1">
        <v>2024</v>
      </c>
      <c r="B155" s="5">
        <v>45739</v>
      </c>
      <c r="C155" s="6" t="s">
        <v>21</v>
      </c>
      <c r="D155" s="6">
        <v>111</v>
      </c>
      <c r="E155" s="6">
        <v>116</v>
      </c>
      <c r="F155" s="6" t="s">
        <v>56</v>
      </c>
      <c r="G155" s="7">
        <f>-13+9.5+4.5+2.4-4.2</f>
        <v>-0.80000000000000027</v>
      </c>
      <c r="H155" s="7">
        <f t="shared" si="1"/>
        <v>8.5400000000000009</v>
      </c>
      <c r="I155" s="7">
        <v>1</v>
      </c>
      <c r="J155" s="7">
        <v>0</v>
      </c>
      <c r="K155" s="7">
        <f>2+9.8+5.9-1.9-4.4</f>
        <v>11.400000000000002</v>
      </c>
      <c r="L155" s="7">
        <f>(3-0.4+11.8-8.1+7.1+7.5-0.2-4.1+5.8-0.5-0.6+2.3+3.9+0.6+3.6+5.8-2.9-5.5-1.3-5.5-7.7-3.9+5.9-13+0.3)/5</f>
        <v>0.78000000000000025</v>
      </c>
      <c r="M155" s="8">
        <v>18055</v>
      </c>
    </row>
    <row r="156" spans="1:13" ht="30" customHeight="1" x14ac:dyDescent="0.2">
      <c r="A156" s="1">
        <v>2024</v>
      </c>
      <c r="B156" s="5">
        <v>45741</v>
      </c>
      <c r="C156" s="6" t="s">
        <v>29</v>
      </c>
      <c r="D156" s="6">
        <v>121</v>
      </c>
      <c r="E156" s="6">
        <v>114</v>
      </c>
      <c r="F156" s="6" t="s">
        <v>65</v>
      </c>
      <c r="G156" s="7">
        <f>3.1-0.4+1.7-2.3-3.7</f>
        <v>-1.5999999999999996</v>
      </c>
      <c r="H156" s="7">
        <f t="shared" si="1"/>
        <v>2.9399999999999995</v>
      </c>
      <c r="I156" s="7">
        <v>1</v>
      </c>
      <c r="J156" s="7">
        <v>1</v>
      </c>
      <c r="K156" s="7">
        <f>-0.5-1.7+14.9-2.8-7</f>
        <v>2.8999999999999986</v>
      </c>
      <c r="L156" s="7">
        <f>(-1.8-9.5+11.9-8.8-0.8+2+4.1+8.4-8.9-7.3+8+15.8+5.5+5-9.8+3.1+6.6+8.1-3-16.1-7.7+8.3+1.6+0+0.4)/5</f>
        <v>3.0200000000000005</v>
      </c>
      <c r="M156" s="8">
        <v>16817</v>
      </c>
    </row>
    <row r="157" spans="1:13" ht="30" customHeight="1" x14ac:dyDescent="0.2">
      <c r="A157" s="1">
        <v>2024</v>
      </c>
      <c r="B157" s="5">
        <v>45743</v>
      </c>
      <c r="C157" s="6" t="s">
        <v>42</v>
      </c>
      <c r="D157" s="6">
        <v>121</v>
      </c>
      <c r="E157" s="6">
        <v>110</v>
      </c>
      <c r="F157" s="6" t="s">
        <v>56</v>
      </c>
      <c r="G157" s="7">
        <f>0.5-10.1+7.8-2.7+12.9</f>
        <v>8.4</v>
      </c>
      <c r="H157" s="7">
        <f t="shared" si="1"/>
        <v>2.7</v>
      </c>
      <c r="I157" s="7">
        <v>0</v>
      </c>
      <c r="J157" s="7">
        <v>1</v>
      </c>
      <c r="K157" s="7">
        <f>5.6-4.5-4.3-8.1-14.1</f>
        <v>-25.4</v>
      </c>
      <c r="L157" s="7">
        <f>(-5.4-13.2-3-1.6-7.5-16.6+12.7+6.1+8.6-2.3+7.8-12.8+3.5-9.8-8.2-6.8+5.1-12.2-1.9-16-11.5-6.5-5.8-2+10.8)/5</f>
        <v>-17.7</v>
      </c>
      <c r="M157" s="8">
        <v>18175</v>
      </c>
    </row>
    <row r="158" spans="1:13" ht="30" customHeight="1" x14ac:dyDescent="0.2">
      <c r="A158" s="1">
        <v>2024</v>
      </c>
      <c r="B158" s="5">
        <v>45746</v>
      </c>
      <c r="C158" s="6" t="s">
        <v>31</v>
      </c>
      <c r="D158" s="6">
        <v>148</v>
      </c>
      <c r="E158" s="6">
        <v>109</v>
      </c>
      <c r="F158" s="6" t="s">
        <v>56</v>
      </c>
      <c r="G158" s="7">
        <f>5.7+5.8-2.2+10+5</f>
        <v>24.3</v>
      </c>
      <c r="H158" s="7">
        <f t="shared" si="1"/>
        <v>6.82</v>
      </c>
      <c r="I158" s="7">
        <v>0</v>
      </c>
      <c r="J158" s="7">
        <v>1</v>
      </c>
      <c r="K158" s="7">
        <f>-1.5-6-12.4-15.5-11.8</f>
        <v>-47.2</v>
      </c>
      <c r="L158" s="7">
        <f>(7.7+5.9-0.4-4.6-4.5-6.1-5.6+11.6+2.3+11.5-3.6+16.6-0.5-3.5-2.3-3.7+12.6-4.9-5.6-10.2-17.4-4.1+26.7-17.7-0.4)/5</f>
        <v>-3.9999999999998724E-2</v>
      </c>
      <c r="M158" s="8">
        <v>17071</v>
      </c>
    </row>
    <row r="159" spans="1:13" ht="30" customHeight="1" x14ac:dyDescent="0.2">
      <c r="A159" s="1">
        <v>2024</v>
      </c>
      <c r="B159" s="5">
        <v>45747</v>
      </c>
      <c r="C159" s="6" t="s">
        <v>19</v>
      </c>
      <c r="D159" s="6">
        <v>98</v>
      </c>
      <c r="E159" s="6">
        <v>104</v>
      </c>
      <c r="F159" s="6" t="s">
        <v>56</v>
      </c>
      <c r="G159" s="7">
        <f>-8.7+0.9+2.4+10.2-1.7</f>
        <v>3.1000000000000005</v>
      </c>
      <c r="H159" s="7">
        <f t="shared" si="1"/>
        <v>8.86</v>
      </c>
      <c r="I159" s="7">
        <v>0</v>
      </c>
      <c r="J159" s="7">
        <v>0</v>
      </c>
      <c r="K159" s="7">
        <f>-1.7+2.1+3.5-6-9.3</f>
        <v>-11.4</v>
      </c>
      <c r="L159" s="7">
        <f>(5.3+10-7.9+0.9-14.4+6.9+3.7-8.3+10.1-12.1+8.9-1.2-3.3+6.8+4-3.5+5.5+3.9+2.5-10.7+4.1+2.9+11+2-9.4)/5</f>
        <v>3.5400000000000005</v>
      </c>
      <c r="M159" s="8">
        <v>18997</v>
      </c>
    </row>
    <row r="160" spans="1:13" ht="30" customHeight="1" x14ac:dyDescent="0.2">
      <c r="A160" s="1">
        <v>2024</v>
      </c>
      <c r="B160" s="5">
        <v>45749</v>
      </c>
      <c r="C160" s="6" t="s">
        <v>42</v>
      </c>
      <c r="D160" s="6">
        <v>143</v>
      </c>
      <c r="E160" s="6">
        <v>105</v>
      </c>
      <c r="F160" s="6" t="s">
        <v>62</v>
      </c>
      <c r="G160" s="7">
        <f>6+0.9-1.4+3.5+13.3</f>
        <v>22.3</v>
      </c>
      <c r="H160" s="7">
        <f t="shared" si="1"/>
        <v>6.68</v>
      </c>
      <c r="I160" s="7">
        <v>1</v>
      </c>
      <c r="J160" s="7">
        <v>1</v>
      </c>
      <c r="K160" s="7">
        <f>-9+9.9-15.4-2+2.9</f>
        <v>-13.6</v>
      </c>
      <c r="L160" s="7">
        <f>(-6.8+5.1-12.2-1.9-16-11.5-6.5-5.8-2+10.8+5.5-4.6-4.4-8.1-14.2+0.4-9.3-4.9-9.3-0.6-9.1+1.5-12.3+16.6-0.4)/5</f>
        <v>-19.999999999999993</v>
      </c>
      <c r="M160" s="8">
        <v>18055</v>
      </c>
    </row>
    <row r="161" spans="1:13" ht="30" customHeight="1" x14ac:dyDescent="0.2">
      <c r="A161" s="1">
        <v>2024</v>
      </c>
      <c r="B161" s="5">
        <v>45751</v>
      </c>
      <c r="C161" s="6" t="s">
        <v>26</v>
      </c>
      <c r="D161" s="6">
        <v>125</v>
      </c>
      <c r="E161" s="6">
        <v>111</v>
      </c>
      <c r="F161" s="6" t="s">
        <v>66</v>
      </c>
      <c r="G161" s="7">
        <f>8.6+8+4.1+6.7+5</f>
        <v>32.400000000000006</v>
      </c>
      <c r="H161" s="7">
        <f t="shared" si="1"/>
        <v>11.3</v>
      </c>
      <c r="I161" s="7">
        <v>1</v>
      </c>
      <c r="J161" s="7">
        <v>1</v>
      </c>
      <c r="K161" s="7">
        <f>3.1+14.2+8.6+12-14.8</f>
        <v>23.099999999999998</v>
      </c>
      <c r="L161" s="7">
        <f>(-1.9-3.7+1.3+7.2+1.3+16.7+11.2-1.6+9.7-16.3+13.9+12.7+6-2.7-11.1+17.3-0.4-11+3.5+5.9+11-0.3+11.3+1+6.6)/5</f>
        <v>17.519999999999996</v>
      </c>
      <c r="M161" s="8">
        <v>18055</v>
      </c>
    </row>
    <row r="162" spans="1:13" ht="30" customHeight="1" x14ac:dyDescent="0.2">
      <c r="A162" s="1">
        <v>2024</v>
      </c>
      <c r="B162" s="5">
        <v>45753</v>
      </c>
      <c r="C162" s="6" t="s">
        <v>16</v>
      </c>
      <c r="D162" s="6">
        <v>106</v>
      </c>
      <c r="E162" s="6">
        <v>96</v>
      </c>
      <c r="F162" s="6" t="s">
        <v>56</v>
      </c>
      <c r="G162" s="7">
        <f>-7.8+4.4+0.5+13.9+10.9</f>
        <v>21.9</v>
      </c>
      <c r="H162" s="7">
        <f t="shared" si="1"/>
        <v>18.100000000000001</v>
      </c>
      <c r="I162" s="7">
        <v>0</v>
      </c>
      <c r="J162" s="7">
        <v>1</v>
      </c>
      <c r="K162" s="7">
        <f>6.6-13.6+5.8-15-8.1</f>
        <v>-24.299999999999997</v>
      </c>
      <c r="L162" s="7">
        <f>(4.1+8-6+0-8.1+15.9+1.3+9.2+13.1+2.1+8.3+32.8-6.1+5.4-12.3+3+18.2+10.5-9-0.1+11.1+10+17.3-5.5+3.9)/5</f>
        <v>25.420000000000005</v>
      </c>
      <c r="M162" s="8">
        <v>18064</v>
      </c>
    </row>
    <row r="163" spans="1:13" ht="15.75" customHeight="1" x14ac:dyDescent="0.2">
      <c r="A163" s="14">
        <v>2024</v>
      </c>
      <c r="B163" s="15">
        <v>45756</v>
      </c>
      <c r="C163" s="16" t="s">
        <v>22</v>
      </c>
      <c r="D163" s="16">
        <v>117</v>
      </c>
      <c r="E163" s="16">
        <v>134</v>
      </c>
      <c r="F163" s="16" t="s">
        <v>157</v>
      </c>
      <c r="G163">
        <f>0.4+3.8-6.9+2.1-21.5</f>
        <v>-22.1</v>
      </c>
      <c r="H163">
        <f t="shared" ref="H163:H165" si="2">AVERAGE(G158:G162)</f>
        <v>20.8</v>
      </c>
      <c r="I163">
        <v>0</v>
      </c>
      <c r="J163">
        <v>0</v>
      </c>
      <c r="K163">
        <f>-5.7+13.8-7+11.1+3.5</f>
        <v>15.700000000000001</v>
      </c>
      <c r="L163">
        <f>(7.5-5.6+12+7.5+0.3+4.4+7.9+7.8-11.6+2.5-4.6+1.7-2.4+6.7-1.9+14.5-15.1+15.2+19.3+4.6-3.8+7.2+3.4+2.7+0.2)/5</f>
        <v>16.080000000000002</v>
      </c>
      <c r="M163" s="10">
        <v>17927</v>
      </c>
    </row>
    <row r="164" spans="1:13" ht="15.75" customHeight="1" x14ac:dyDescent="0.2">
      <c r="A164" s="14">
        <v>2024</v>
      </c>
      <c r="B164" s="15">
        <v>45758</v>
      </c>
      <c r="C164" s="16" t="s">
        <v>19</v>
      </c>
      <c r="D164" s="16">
        <v>109</v>
      </c>
      <c r="E164" s="16">
        <v>140</v>
      </c>
      <c r="F164" s="16" t="s">
        <v>158</v>
      </c>
      <c r="G164">
        <f>-4.6+9.2-6.7-4.5-5.9</f>
        <v>-12.5</v>
      </c>
      <c r="H164">
        <f t="shared" si="2"/>
        <v>11.520000000000003</v>
      </c>
      <c r="I164">
        <v>0</v>
      </c>
      <c r="J164">
        <v>0</v>
      </c>
      <c r="K164">
        <f>1.5+0.6+12.8+7.4-4.6</f>
        <v>17.700000000000003</v>
      </c>
      <c r="L164">
        <f>(10+16.8-1.9+6.2-125.5+15.7+9.7-5.9-0.9+12.2+5.4+2.4-1.8-9.7+0-2.4+5+3.9+1.8-5.6+24+0.8+2.8-2.1)/5</f>
        <v>-7.8200000000000056</v>
      </c>
      <c r="M164" s="10">
        <v>18997</v>
      </c>
    </row>
    <row r="165" spans="1:13" ht="15.75" customHeight="1" x14ac:dyDescent="0.2">
      <c r="A165" s="14">
        <v>2024</v>
      </c>
      <c r="B165" s="15">
        <v>45760</v>
      </c>
      <c r="C165" s="16" t="s">
        <v>21</v>
      </c>
      <c r="D165" s="16">
        <v>111</v>
      </c>
      <c r="E165" s="16">
        <v>126</v>
      </c>
      <c r="F165" s="16" t="s">
        <v>56</v>
      </c>
      <c r="G165">
        <f>-5.7+10.6+4.2-8.2-20.3</f>
        <v>-19.399999999999999</v>
      </c>
      <c r="H165">
        <f t="shared" si="2"/>
        <v>8.3999999999999986</v>
      </c>
      <c r="I165">
        <v>1</v>
      </c>
      <c r="J165">
        <v>0</v>
      </c>
      <c r="K165">
        <f>1.7+15.5+5.2+6.9-5.3</f>
        <v>23.999999999999996</v>
      </c>
      <c r="L165">
        <f>(3.7-3.7+5.6-6.7-7.7+0-1.3+17.5+1.5-11.1+17.9+10-6.4-8.5-10.3+13.3+7.9+0.7+2.7+7.1+11+6.7+1.9-3.9-8.3)/5</f>
        <v>7.919999999999999</v>
      </c>
      <c r="M165" s="10">
        <v>18055</v>
      </c>
    </row>
    <row r="166" spans="1:13" ht="15.75" customHeight="1" x14ac:dyDescent="0.2">
      <c r="B166" s="11"/>
      <c r="M166" s="10"/>
    </row>
    <row r="167" spans="1:13" ht="15.75" customHeight="1" x14ac:dyDescent="0.2">
      <c r="B167" s="11"/>
      <c r="M167" s="10"/>
    </row>
    <row r="168" spans="1:13" ht="15.75" customHeight="1" x14ac:dyDescent="0.2">
      <c r="B168" s="11"/>
      <c r="M168" s="10"/>
    </row>
    <row r="169" spans="1:13" ht="15.75" customHeight="1" x14ac:dyDescent="0.2">
      <c r="B169" s="11"/>
      <c r="M169" s="10"/>
    </row>
    <row r="170" spans="1:13" ht="15.75" customHeight="1" x14ac:dyDescent="0.2">
      <c r="B170" s="11"/>
      <c r="M170" s="10"/>
    </row>
    <row r="171" spans="1:13" ht="15.75" customHeight="1" x14ac:dyDescent="0.2">
      <c r="B171" s="11"/>
      <c r="M171" s="10"/>
    </row>
    <row r="172" spans="1:13" ht="15.75" customHeight="1" x14ac:dyDescent="0.2">
      <c r="B172" s="11"/>
      <c r="M172" s="10"/>
    </row>
    <row r="173" spans="1:13" ht="15.75" customHeight="1" x14ac:dyDescent="0.2">
      <c r="B173" s="11"/>
      <c r="M173" s="10"/>
    </row>
    <row r="174" spans="1:13" ht="15.75" customHeight="1" x14ac:dyDescent="0.2">
      <c r="B174" s="11"/>
      <c r="M174" s="10"/>
    </row>
    <row r="175" spans="1:13" ht="15.75" customHeight="1" x14ac:dyDescent="0.2">
      <c r="B175" s="11"/>
      <c r="M175" s="10"/>
    </row>
    <row r="176" spans="1:13" ht="15.75" customHeight="1" x14ac:dyDescent="0.2">
      <c r="B176" s="11"/>
      <c r="M176" s="10"/>
    </row>
    <row r="177" spans="2:13" ht="15.75" customHeight="1" x14ac:dyDescent="0.2">
      <c r="B177" s="11"/>
      <c r="M177" s="10"/>
    </row>
    <row r="178" spans="2:13" ht="15.75" customHeight="1" x14ac:dyDescent="0.2">
      <c r="B178" s="11"/>
      <c r="M178" s="10"/>
    </row>
    <row r="179" spans="2:13" ht="15.75" customHeight="1" x14ac:dyDescent="0.2">
      <c r="B179" s="11"/>
      <c r="M179" s="10"/>
    </row>
    <row r="180" spans="2:13" ht="15.75" customHeight="1" x14ac:dyDescent="0.2">
      <c r="B180" s="11"/>
      <c r="M180" s="10"/>
    </row>
    <row r="181" spans="2:13" ht="15.75" customHeight="1" x14ac:dyDescent="0.2">
      <c r="B181" s="11"/>
      <c r="M181" s="10"/>
    </row>
    <row r="182" spans="2:13" ht="15.75" customHeight="1" x14ac:dyDescent="0.2">
      <c r="B182" s="11"/>
      <c r="M182" s="10"/>
    </row>
    <row r="183" spans="2:13" ht="15.75" customHeight="1" x14ac:dyDescent="0.2">
      <c r="B183" s="11"/>
      <c r="M183" s="10"/>
    </row>
    <row r="184" spans="2:13" ht="15.75" customHeight="1" x14ac:dyDescent="0.2">
      <c r="B184" s="11"/>
      <c r="M184" s="10"/>
    </row>
    <row r="185" spans="2:13" ht="15.75" customHeight="1" x14ac:dyDescent="0.2">
      <c r="B185" s="11"/>
      <c r="M185" s="10"/>
    </row>
    <row r="186" spans="2:13" ht="15.75" customHeight="1" x14ac:dyDescent="0.2">
      <c r="B186" s="11"/>
      <c r="M186" s="10"/>
    </row>
    <row r="187" spans="2:13" ht="15.75" customHeight="1" x14ac:dyDescent="0.2">
      <c r="B187" s="11"/>
      <c r="M187" s="10"/>
    </row>
    <row r="188" spans="2:13" ht="15.75" customHeight="1" x14ac:dyDescent="0.2">
      <c r="B188" s="11"/>
      <c r="M188" s="10"/>
    </row>
    <row r="189" spans="2:13" ht="15.75" customHeight="1" x14ac:dyDescent="0.2">
      <c r="B189" s="11"/>
      <c r="M189" s="10"/>
    </row>
    <row r="190" spans="2:13" ht="15.75" customHeight="1" x14ac:dyDescent="0.2">
      <c r="B190" s="11"/>
      <c r="M190" s="10"/>
    </row>
    <row r="191" spans="2:13" ht="15.75" customHeight="1" x14ac:dyDescent="0.2">
      <c r="B191" s="11"/>
      <c r="M191" s="10"/>
    </row>
    <row r="192" spans="2:13" ht="15.75" customHeight="1" x14ac:dyDescent="0.2">
      <c r="B192" s="11"/>
      <c r="M192" s="10"/>
    </row>
    <row r="193" spans="2:13" ht="15.75" customHeight="1" x14ac:dyDescent="0.2">
      <c r="B193" s="11"/>
      <c r="M193" s="10"/>
    </row>
    <row r="194" spans="2:13" ht="15.75" customHeight="1" x14ac:dyDescent="0.2">
      <c r="B194" s="11"/>
      <c r="M194" s="10"/>
    </row>
    <row r="195" spans="2:13" ht="15.75" customHeight="1" x14ac:dyDescent="0.2">
      <c r="B195" s="11"/>
      <c r="M195" s="10"/>
    </row>
    <row r="196" spans="2:13" ht="15.75" customHeight="1" x14ac:dyDescent="0.2">
      <c r="B196" s="11"/>
      <c r="M196" s="10"/>
    </row>
    <row r="197" spans="2:13" ht="15.75" customHeight="1" x14ac:dyDescent="0.2">
      <c r="B197" s="11"/>
      <c r="M197" s="10"/>
    </row>
    <row r="198" spans="2:13" ht="15.75" customHeight="1" x14ac:dyDescent="0.2">
      <c r="B198" s="11"/>
      <c r="M198" s="10"/>
    </row>
    <row r="199" spans="2:13" ht="15.75" customHeight="1" x14ac:dyDescent="0.2">
      <c r="B199" s="11"/>
      <c r="M199" s="10"/>
    </row>
    <row r="200" spans="2:13" ht="15.75" customHeight="1" x14ac:dyDescent="0.2">
      <c r="B200" s="11"/>
      <c r="M200" s="10"/>
    </row>
    <row r="201" spans="2:13" ht="15.75" customHeight="1" x14ac:dyDescent="0.2">
      <c r="B201" s="11"/>
      <c r="M201" s="10"/>
    </row>
    <row r="202" spans="2:13" ht="15.75" customHeight="1" x14ac:dyDescent="0.2">
      <c r="B202" s="11"/>
      <c r="M202" s="10"/>
    </row>
    <row r="203" spans="2:13" ht="15.75" customHeight="1" x14ac:dyDescent="0.2">
      <c r="B203" s="11"/>
      <c r="M203" s="10"/>
    </row>
    <row r="204" spans="2:13" ht="15.75" customHeight="1" x14ac:dyDescent="0.2">
      <c r="B204" s="11"/>
      <c r="M204" s="10"/>
    </row>
    <row r="205" spans="2:13" ht="15.75" customHeight="1" x14ac:dyDescent="0.2">
      <c r="B205" s="11"/>
      <c r="M205" s="10"/>
    </row>
    <row r="206" spans="2:13" ht="15.75" customHeight="1" x14ac:dyDescent="0.2">
      <c r="B206" s="11"/>
      <c r="M206" s="10"/>
    </row>
    <row r="207" spans="2:13" ht="15.75" customHeight="1" x14ac:dyDescent="0.2">
      <c r="B207" s="11"/>
      <c r="M207" s="10"/>
    </row>
    <row r="208" spans="2:13" ht="15.75" customHeight="1" x14ac:dyDescent="0.2">
      <c r="B208" s="11"/>
      <c r="M208" s="10"/>
    </row>
    <row r="209" spans="2:13" ht="15.75" customHeight="1" x14ac:dyDescent="0.2">
      <c r="B209" s="11"/>
      <c r="M209" s="10"/>
    </row>
    <row r="210" spans="2:13" ht="15.75" customHeight="1" x14ac:dyDescent="0.2">
      <c r="B210" s="11"/>
      <c r="M210" s="10"/>
    </row>
    <row r="211" spans="2:13" ht="15.75" customHeight="1" x14ac:dyDescent="0.2">
      <c r="B211" s="11"/>
      <c r="M211" s="10"/>
    </row>
    <row r="212" spans="2:13" ht="15.75" customHeight="1" x14ac:dyDescent="0.2">
      <c r="B212" s="11"/>
      <c r="M212" s="10"/>
    </row>
    <row r="213" spans="2:13" ht="15.75" customHeight="1" x14ac:dyDescent="0.2">
      <c r="B213" s="11"/>
      <c r="M213" s="10"/>
    </row>
    <row r="214" spans="2:13" ht="15.75" customHeight="1" x14ac:dyDescent="0.2">
      <c r="B214" s="11"/>
      <c r="M214" s="10"/>
    </row>
    <row r="215" spans="2:13" ht="15.75" customHeight="1" x14ac:dyDescent="0.2">
      <c r="B215" s="11"/>
      <c r="M215" s="10"/>
    </row>
    <row r="216" spans="2:13" ht="15.75" customHeight="1" x14ac:dyDescent="0.2">
      <c r="B216" s="11"/>
      <c r="M216" s="10"/>
    </row>
    <row r="217" spans="2:13" ht="15.75" customHeight="1" x14ac:dyDescent="0.2">
      <c r="B217" s="11"/>
      <c r="M217" s="10"/>
    </row>
    <row r="218" spans="2:13" ht="15.75" customHeight="1" x14ac:dyDescent="0.2">
      <c r="B218" s="11"/>
      <c r="M218" s="10"/>
    </row>
    <row r="219" spans="2:13" ht="15.75" customHeight="1" x14ac:dyDescent="0.2">
      <c r="B219" s="11"/>
      <c r="M219" s="10"/>
    </row>
    <row r="220" spans="2:13" ht="15.75" customHeight="1" x14ac:dyDescent="0.2">
      <c r="B220" s="11"/>
      <c r="M220" s="10"/>
    </row>
    <row r="221" spans="2:13" ht="15.75" customHeight="1" x14ac:dyDescent="0.2">
      <c r="B221" s="11"/>
      <c r="M221" s="10"/>
    </row>
    <row r="222" spans="2:13" ht="15.75" customHeight="1" x14ac:dyDescent="0.2">
      <c r="B222" s="11"/>
      <c r="M222" s="10"/>
    </row>
    <row r="223" spans="2:13" ht="15.75" customHeight="1" x14ac:dyDescent="0.2">
      <c r="B223" s="11"/>
      <c r="M223" s="10"/>
    </row>
    <row r="224" spans="2:13" ht="15.75" customHeight="1" x14ac:dyDescent="0.2">
      <c r="B224" s="11"/>
      <c r="M224" s="10"/>
    </row>
    <row r="225" spans="2:13" ht="15.75" customHeight="1" x14ac:dyDescent="0.2">
      <c r="B225" s="11"/>
      <c r="M225" s="10"/>
    </row>
    <row r="226" spans="2:13" ht="15.75" customHeight="1" x14ac:dyDescent="0.2">
      <c r="B226" s="11"/>
      <c r="M226" s="10"/>
    </row>
    <row r="227" spans="2:13" ht="15.75" customHeight="1" x14ac:dyDescent="0.2">
      <c r="B227" s="11"/>
      <c r="M227" s="10"/>
    </row>
    <row r="228" spans="2:13" ht="15.75" customHeight="1" x14ac:dyDescent="0.2">
      <c r="B228" s="11"/>
      <c r="M228" s="10"/>
    </row>
    <row r="229" spans="2:13" ht="15.75" customHeight="1" x14ac:dyDescent="0.2">
      <c r="B229" s="11"/>
      <c r="M229" s="10"/>
    </row>
    <row r="230" spans="2:13" ht="15.75" customHeight="1" x14ac:dyDescent="0.2">
      <c r="B230" s="11"/>
      <c r="M230" s="10"/>
    </row>
    <row r="231" spans="2:13" ht="15.75" customHeight="1" x14ac:dyDescent="0.2">
      <c r="B231" s="11"/>
      <c r="M231" s="10"/>
    </row>
    <row r="232" spans="2:13" ht="15.75" customHeight="1" x14ac:dyDescent="0.2">
      <c r="B232" s="11"/>
      <c r="M232" s="10"/>
    </row>
    <row r="233" spans="2:13" ht="15.75" customHeight="1" x14ac:dyDescent="0.2">
      <c r="B233" s="11"/>
      <c r="M233" s="10"/>
    </row>
    <row r="234" spans="2:13" ht="15.75" customHeight="1" x14ac:dyDescent="0.2">
      <c r="B234" s="11"/>
      <c r="M234" s="10"/>
    </row>
    <row r="235" spans="2:13" ht="15.75" customHeight="1" x14ac:dyDescent="0.2">
      <c r="B235" s="11"/>
      <c r="M235" s="10"/>
    </row>
    <row r="236" spans="2:13" ht="15.75" customHeight="1" x14ac:dyDescent="0.2">
      <c r="B236" s="11"/>
      <c r="M236" s="10"/>
    </row>
    <row r="237" spans="2:13" ht="15.75" customHeight="1" x14ac:dyDescent="0.2">
      <c r="B237" s="11"/>
      <c r="M237" s="10"/>
    </row>
    <row r="238" spans="2:13" ht="15.75" customHeight="1" x14ac:dyDescent="0.2">
      <c r="B238" s="11"/>
      <c r="M238" s="10"/>
    </row>
    <row r="239" spans="2:13" ht="15.75" customHeight="1" x14ac:dyDescent="0.2">
      <c r="B239" s="11"/>
      <c r="M239" s="10"/>
    </row>
    <row r="240" spans="2:13" ht="15.75" customHeight="1" x14ac:dyDescent="0.2">
      <c r="B240" s="11"/>
      <c r="M240" s="10"/>
    </row>
    <row r="241" spans="2:13" ht="15.75" customHeight="1" x14ac:dyDescent="0.2">
      <c r="B241" s="11"/>
      <c r="M241" s="10"/>
    </row>
    <row r="242" spans="2:13" ht="15.75" customHeight="1" x14ac:dyDescent="0.2">
      <c r="B242" s="11"/>
      <c r="M242" s="10"/>
    </row>
    <row r="243" spans="2:13" ht="15.75" customHeight="1" x14ac:dyDescent="0.2">
      <c r="B243" s="11"/>
      <c r="M243" s="10"/>
    </row>
    <row r="244" spans="2:13" ht="15.75" customHeight="1" x14ac:dyDescent="0.2">
      <c r="B244" s="11"/>
      <c r="M244" s="10"/>
    </row>
    <row r="245" spans="2:13" ht="15.75" customHeight="1" x14ac:dyDescent="0.2">
      <c r="B245" s="11"/>
      <c r="M245" s="10"/>
    </row>
    <row r="246" spans="2:13" ht="15.75" customHeight="1" x14ac:dyDescent="0.2">
      <c r="B246" s="11"/>
      <c r="M246" s="10"/>
    </row>
    <row r="247" spans="2:13" ht="15.75" customHeight="1" x14ac:dyDescent="0.2">
      <c r="B247" s="11"/>
      <c r="M247" s="10"/>
    </row>
    <row r="248" spans="2:13" ht="15.75" customHeight="1" x14ac:dyDescent="0.2">
      <c r="B248" s="11"/>
      <c r="M248" s="10"/>
    </row>
    <row r="249" spans="2:13" ht="15.75" customHeight="1" x14ac:dyDescent="0.2">
      <c r="B249" s="11"/>
      <c r="M249" s="10"/>
    </row>
    <row r="250" spans="2:13" ht="15.75" customHeight="1" x14ac:dyDescent="0.2">
      <c r="B250" s="11"/>
      <c r="M250" s="10"/>
    </row>
    <row r="251" spans="2:13" ht="15.75" customHeight="1" x14ac:dyDescent="0.2">
      <c r="B251" s="11"/>
      <c r="M251" s="10"/>
    </row>
    <row r="252" spans="2:13" ht="15.75" customHeight="1" x14ac:dyDescent="0.2">
      <c r="B252" s="11"/>
      <c r="M252" s="10"/>
    </row>
    <row r="253" spans="2:13" ht="15.75" customHeight="1" x14ac:dyDescent="0.2">
      <c r="B253" s="11"/>
      <c r="M253" s="10"/>
    </row>
    <row r="254" spans="2:13" ht="15.75" customHeight="1" x14ac:dyDescent="0.2">
      <c r="B254" s="11"/>
      <c r="M254" s="10"/>
    </row>
    <row r="255" spans="2:13" ht="15.75" customHeight="1" x14ac:dyDescent="0.2">
      <c r="B255" s="11"/>
      <c r="M255" s="10"/>
    </row>
    <row r="256" spans="2:13" ht="15.75" customHeight="1" x14ac:dyDescent="0.2">
      <c r="B256" s="11"/>
      <c r="M256" s="10"/>
    </row>
    <row r="257" spans="2:13" ht="15.75" customHeight="1" x14ac:dyDescent="0.2">
      <c r="B257" s="11"/>
      <c r="M257" s="10"/>
    </row>
    <row r="258" spans="2:13" ht="15.75" customHeight="1" x14ac:dyDescent="0.2">
      <c r="B258" s="11"/>
      <c r="M258" s="10"/>
    </row>
    <row r="259" spans="2:13" ht="15.75" customHeight="1" x14ac:dyDescent="0.2">
      <c r="B259" s="11"/>
      <c r="M259" s="10"/>
    </row>
    <row r="260" spans="2:13" ht="15.75" customHeight="1" x14ac:dyDescent="0.2">
      <c r="B260" s="11"/>
      <c r="M260" s="10"/>
    </row>
    <row r="261" spans="2:13" ht="15.75" customHeight="1" x14ac:dyDescent="0.2">
      <c r="B261" s="11"/>
      <c r="M261" s="10"/>
    </row>
    <row r="262" spans="2:13" ht="15.75" customHeight="1" x14ac:dyDescent="0.2">
      <c r="B262" s="11"/>
      <c r="M262" s="10"/>
    </row>
    <row r="263" spans="2:13" ht="15.75" customHeight="1" x14ac:dyDescent="0.2">
      <c r="B263" s="11"/>
      <c r="M263" s="10"/>
    </row>
    <row r="264" spans="2:13" ht="15.75" customHeight="1" x14ac:dyDescent="0.2">
      <c r="B264" s="11"/>
      <c r="M264" s="10"/>
    </row>
    <row r="265" spans="2:13" ht="15.75" customHeight="1" x14ac:dyDescent="0.2">
      <c r="B265" s="11"/>
      <c r="M265" s="10"/>
    </row>
    <row r="266" spans="2:13" ht="15.75" customHeight="1" x14ac:dyDescent="0.2">
      <c r="B266" s="11"/>
      <c r="M266" s="10"/>
    </row>
    <row r="267" spans="2:13" ht="15.75" customHeight="1" x14ac:dyDescent="0.2">
      <c r="B267" s="11"/>
      <c r="M267" s="10"/>
    </row>
    <row r="268" spans="2:13" ht="15.75" customHeight="1" x14ac:dyDescent="0.2">
      <c r="B268" s="11"/>
      <c r="M268" s="10"/>
    </row>
    <row r="269" spans="2:13" ht="15.75" customHeight="1" x14ac:dyDescent="0.2">
      <c r="B269" s="11"/>
      <c r="M269" s="10"/>
    </row>
    <row r="270" spans="2:13" ht="15.75" customHeight="1" x14ac:dyDescent="0.2">
      <c r="B270" s="11"/>
      <c r="M270" s="10"/>
    </row>
    <row r="271" spans="2:13" ht="15.75" customHeight="1" x14ac:dyDescent="0.2">
      <c r="B271" s="11"/>
      <c r="M271" s="10"/>
    </row>
    <row r="272" spans="2:13" ht="15.75" customHeight="1" x14ac:dyDescent="0.2">
      <c r="B272" s="11"/>
      <c r="M272" s="10"/>
    </row>
    <row r="273" spans="2:13" ht="15.75" customHeight="1" x14ac:dyDescent="0.2">
      <c r="B273" s="11"/>
      <c r="M273" s="10"/>
    </row>
    <row r="274" spans="2:13" ht="15.75" customHeight="1" x14ac:dyDescent="0.2">
      <c r="B274" s="11"/>
      <c r="M274" s="10"/>
    </row>
    <row r="275" spans="2:13" ht="15.75" customHeight="1" x14ac:dyDescent="0.2">
      <c r="B275" s="11"/>
      <c r="M275" s="10"/>
    </row>
    <row r="276" spans="2:13" ht="15.75" customHeight="1" x14ac:dyDescent="0.2">
      <c r="B276" s="11"/>
      <c r="M276" s="10"/>
    </row>
    <row r="277" spans="2:13" ht="15.75" customHeight="1" x14ac:dyDescent="0.2">
      <c r="B277" s="11"/>
      <c r="M277" s="10"/>
    </row>
    <row r="278" spans="2:13" ht="15.75" customHeight="1" x14ac:dyDescent="0.2">
      <c r="B278" s="11"/>
      <c r="M278" s="10"/>
    </row>
    <row r="279" spans="2:13" ht="15.75" customHeight="1" x14ac:dyDescent="0.2">
      <c r="B279" s="11"/>
      <c r="M279" s="10"/>
    </row>
    <row r="280" spans="2:13" ht="15.75" customHeight="1" x14ac:dyDescent="0.2">
      <c r="B280" s="11"/>
      <c r="M280" s="10"/>
    </row>
    <row r="281" spans="2:13" ht="15.75" customHeight="1" x14ac:dyDescent="0.2">
      <c r="B281" s="11"/>
      <c r="M281" s="10"/>
    </row>
    <row r="282" spans="2:13" ht="15.75" customHeight="1" x14ac:dyDescent="0.2">
      <c r="B282" s="11"/>
      <c r="M282" s="10"/>
    </row>
    <row r="283" spans="2:13" ht="15.75" customHeight="1" x14ac:dyDescent="0.2">
      <c r="B283" s="11"/>
      <c r="M283" s="10"/>
    </row>
    <row r="284" spans="2:13" ht="15.75" customHeight="1" x14ac:dyDescent="0.2">
      <c r="B284" s="11"/>
      <c r="M284" s="10"/>
    </row>
    <row r="285" spans="2:13" ht="15.75" customHeight="1" x14ac:dyDescent="0.2">
      <c r="B285" s="11"/>
      <c r="M285" s="10"/>
    </row>
    <row r="286" spans="2:13" ht="15.75" customHeight="1" x14ac:dyDescent="0.2">
      <c r="B286" s="11"/>
      <c r="M286" s="10"/>
    </row>
    <row r="287" spans="2:13" ht="15.75" customHeight="1" x14ac:dyDescent="0.2">
      <c r="B287" s="11"/>
      <c r="M287" s="10"/>
    </row>
    <row r="288" spans="2:13" ht="15.75" customHeight="1" x14ac:dyDescent="0.2">
      <c r="B288" s="11"/>
      <c r="M288" s="10"/>
    </row>
    <row r="289" spans="2:13" ht="15.75" customHeight="1" x14ac:dyDescent="0.2">
      <c r="B289" s="11"/>
      <c r="M289" s="10"/>
    </row>
    <row r="290" spans="2:13" ht="15.75" customHeight="1" x14ac:dyDescent="0.2">
      <c r="B290" s="11"/>
      <c r="M290" s="10"/>
    </row>
    <row r="291" spans="2:13" ht="15.75" customHeight="1" x14ac:dyDescent="0.2">
      <c r="B291" s="11"/>
      <c r="M291" s="10"/>
    </row>
    <row r="292" spans="2:13" ht="15.75" customHeight="1" x14ac:dyDescent="0.2">
      <c r="B292" s="11"/>
      <c r="M292" s="10"/>
    </row>
    <row r="293" spans="2:13" ht="15.75" customHeight="1" x14ac:dyDescent="0.2">
      <c r="B293" s="11"/>
      <c r="M293" s="10"/>
    </row>
    <row r="294" spans="2:13" ht="15.75" customHeight="1" x14ac:dyDescent="0.2">
      <c r="B294" s="11"/>
      <c r="M294" s="10"/>
    </row>
    <row r="295" spans="2:13" ht="15.75" customHeight="1" x14ac:dyDescent="0.2">
      <c r="B295" s="11"/>
      <c r="M295" s="10"/>
    </row>
    <row r="296" spans="2:13" ht="15.75" customHeight="1" x14ac:dyDescent="0.2">
      <c r="B296" s="11"/>
      <c r="M296" s="10"/>
    </row>
    <row r="297" spans="2:13" ht="15.75" customHeight="1" x14ac:dyDescent="0.2">
      <c r="B297" s="11"/>
      <c r="M297" s="10"/>
    </row>
    <row r="298" spans="2:13" ht="15.75" customHeight="1" x14ac:dyDescent="0.2">
      <c r="B298" s="11"/>
      <c r="M298" s="10"/>
    </row>
    <row r="299" spans="2:13" ht="15.75" customHeight="1" x14ac:dyDescent="0.2">
      <c r="B299" s="11"/>
      <c r="M299" s="10"/>
    </row>
    <row r="300" spans="2:13" ht="15.75" customHeight="1" x14ac:dyDescent="0.2">
      <c r="B300" s="11"/>
      <c r="M300" s="10"/>
    </row>
    <row r="301" spans="2:13" ht="15.75" customHeight="1" x14ac:dyDescent="0.2">
      <c r="B301" s="11"/>
      <c r="M301" s="10"/>
    </row>
    <row r="302" spans="2:13" ht="15.75" customHeight="1" x14ac:dyDescent="0.2">
      <c r="B302" s="11"/>
      <c r="M302" s="10"/>
    </row>
    <row r="303" spans="2:13" ht="15.75" customHeight="1" x14ac:dyDescent="0.2">
      <c r="B303" s="11"/>
      <c r="M303" s="10"/>
    </row>
    <row r="304" spans="2:13" ht="15.75" customHeight="1" x14ac:dyDescent="0.2">
      <c r="B304" s="11"/>
      <c r="M304" s="10"/>
    </row>
    <row r="305" spans="2:13" ht="15.75" customHeight="1" x14ac:dyDescent="0.2">
      <c r="B305" s="11"/>
      <c r="M305" s="10"/>
    </row>
    <row r="306" spans="2:13" ht="15.75" customHeight="1" x14ac:dyDescent="0.2">
      <c r="B306" s="11"/>
      <c r="M306" s="10"/>
    </row>
    <row r="307" spans="2:13" ht="15.75" customHeight="1" x14ac:dyDescent="0.2">
      <c r="B307" s="11"/>
      <c r="M307" s="10"/>
    </row>
    <row r="308" spans="2:13" ht="15.75" customHeight="1" x14ac:dyDescent="0.2">
      <c r="B308" s="11"/>
      <c r="M308" s="10"/>
    </row>
    <row r="309" spans="2:13" ht="15.75" customHeight="1" x14ac:dyDescent="0.2">
      <c r="B309" s="11"/>
      <c r="M309" s="10"/>
    </row>
    <row r="310" spans="2:13" ht="15.75" customHeight="1" x14ac:dyDescent="0.2">
      <c r="B310" s="11"/>
      <c r="M310" s="10"/>
    </row>
    <row r="311" spans="2:13" ht="15.75" customHeight="1" x14ac:dyDescent="0.2">
      <c r="B311" s="11"/>
      <c r="M311" s="10"/>
    </row>
    <row r="312" spans="2:13" ht="15.75" customHeight="1" x14ac:dyDescent="0.2">
      <c r="B312" s="11"/>
      <c r="M312" s="10"/>
    </row>
    <row r="313" spans="2:13" ht="15.75" customHeight="1" x14ac:dyDescent="0.2">
      <c r="B313" s="11"/>
      <c r="M313" s="10"/>
    </row>
    <row r="314" spans="2:13" ht="15.75" customHeight="1" x14ac:dyDescent="0.2">
      <c r="B314" s="11"/>
      <c r="M314" s="10"/>
    </row>
    <row r="315" spans="2:13" ht="15.75" customHeight="1" x14ac:dyDescent="0.2">
      <c r="B315" s="11"/>
      <c r="M315" s="10"/>
    </row>
    <row r="316" spans="2:13" ht="15.75" customHeight="1" x14ac:dyDescent="0.2">
      <c r="B316" s="11"/>
      <c r="M316" s="10"/>
    </row>
    <row r="317" spans="2:13" ht="15.75" customHeight="1" x14ac:dyDescent="0.2">
      <c r="B317" s="11"/>
      <c r="M317" s="10"/>
    </row>
    <row r="318" spans="2:13" ht="15.75" customHeight="1" x14ac:dyDescent="0.2">
      <c r="B318" s="11"/>
      <c r="M318" s="10"/>
    </row>
    <row r="319" spans="2:13" ht="15.75" customHeight="1" x14ac:dyDescent="0.2">
      <c r="B319" s="11"/>
      <c r="M319" s="10"/>
    </row>
    <row r="320" spans="2:13" ht="15.75" customHeight="1" x14ac:dyDescent="0.2">
      <c r="B320" s="11"/>
      <c r="M320" s="10"/>
    </row>
    <row r="321" spans="2:13" ht="15.75" customHeight="1" x14ac:dyDescent="0.2">
      <c r="B321" s="11"/>
      <c r="M321" s="10"/>
    </row>
    <row r="322" spans="2:13" ht="15.75" customHeight="1" x14ac:dyDescent="0.2">
      <c r="B322" s="11"/>
      <c r="M322" s="10"/>
    </row>
    <row r="323" spans="2:13" ht="15.75" customHeight="1" x14ac:dyDescent="0.2">
      <c r="B323" s="11"/>
      <c r="M323" s="10"/>
    </row>
    <row r="324" spans="2:13" ht="15.75" customHeight="1" x14ac:dyDescent="0.2">
      <c r="B324" s="11"/>
      <c r="M324" s="10"/>
    </row>
    <row r="325" spans="2:13" ht="15.75" customHeight="1" x14ac:dyDescent="0.2">
      <c r="B325" s="11"/>
      <c r="M325" s="10"/>
    </row>
    <row r="326" spans="2:13" ht="15.75" customHeight="1" x14ac:dyDescent="0.2">
      <c r="B326" s="11"/>
      <c r="M326" s="10"/>
    </row>
    <row r="327" spans="2:13" ht="15.75" customHeight="1" x14ac:dyDescent="0.2">
      <c r="B327" s="11"/>
      <c r="M327" s="10"/>
    </row>
    <row r="328" spans="2:13" ht="15.75" customHeight="1" x14ac:dyDescent="0.2">
      <c r="B328" s="11"/>
      <c r="M328" s="10"/>
    </row>
    <row r="329" spans="2:13" ht="15.75" customHeight="1" x14ac:dyDescent="0.2">
      <c r="B329" s="11"/>
      <c r="M329" s="10"/>
    </row>
    <row r="330" spans="2:13" ht="15.75" customHeight="1" x14ac:dyDescent="0.2">
      <c r="B330" s="11"/>
      <c r="M330" s="10"/>
    </row>
    <row r="331" spans="2:13" ht="15.75" customHeight="1" x14ac:dyDescent="0.2">
      <c r="B331" s="11"/>
      <c r="M331" s="10"/>
    </row>
    <row r="332" spans="2:13" ht="15.75" customHeight="1" x14ac:dyDescent="0.2">
      <c r="B332" s="11"/>
      <c r="M332" s="10"/>
    </row>
    <row r="333" spans="2:13" ht="15.75" customHeight="1" x14ac:dyDescent="0.2">
      <c r="B333" s="11"/>
      <c r="M333" s="10"/>
    </row>
    <row r="334" spans="2:13" ht="15.75" customHeight="1" x14ac:dyDescent="0.2">
      <c r="B334" s="11"/>
      <c r="M334" s="10"/>
    </row>
    <row r="335" spans="2:13" ht="15.75" customHeight="1" x14ac:dyDescent="0.2">
      <c r="B335" s="11"/>
      <c r="M335" s="10"/>
    </row>
    <row r="336" spans="2:13" ht="15.75" customHeight="1" x14ac:dyDescent="0.2">
      <c r="B336" s="11"/>
      <c r="M336" s="10"/>
    </row>
    <row r="337" spans="2:13" ht="15.75" customHeight="1" x14ac:dyDescent="0.2">
      <c r="B337" s="11"/>
      <c r="M337" s="10"/>
    </row>
    <row r="338" spans="2:13" ht="15.75" customHeight="1" x14ac:dyDescent="0.2">
      <c r="B338" s="11"/>
      <c r="M338" s="10"/>
    </row>
    <row r="339" spans="2:13" ht="15.75" customHeight="1" x14ac:dyDescent="0.2">
      <c r="B339" s="11"/>
      <c r="M339" s="10"/>
    </row>
    <row r="340" spans="2:13" ht="15.75" customHeight="1" x14ac:dyDescent="0.2">
      <c r="B340" s="11"/>
      <c r="M340" s="10"/>
    </row>
    <row r="341" spans="2:13" ht="15.75" customHeight="1" x14ac:dyDescent="0.2">
      <c r="B341" s="11"/>
      <c r="M341" s="10"/>
    </row>
    <row r="342" spans="2:13" ht="15.75" customHeight="1" x14ac:dyDescent="0.2">
      <c r="B342" s="11"/>
      <c r="M342" s="10"/>
    </row>
    <row r="343" spans="2:13" ht="15.75" customHeight="1" x14ac:dyDescent="0.2">
      <c r="B343" s="11"/>
      <c r="M343" s="10"/>
    </row>
    <row r="344" spans="2:13" ht="15.75" customHeight="1" x14ac:dyDescent="0.2">
      <c r="B344" s="11"/>
      <c r="M344" s="10"/>
    </row>
    <row r="345" spans="2:13" ht="15.75" customHeight="1" x14ac:dyDescent="0.2">
      <c r="B345" s="11"/>
      <c r="M345" s="10"/>
    </row>
    <row r="346" spans="2:13" ht="15.75" customHeight="1" x14ac:dyDescent="0.2">
      <c r="B346" s="11"/>
      <c r="M346" s="10"/>
    </row>
    <row r="347" spans="2:13" ht="15.75" customHeight="1" x14ac:dyDescent="0.2">
      <c r="B347" s="11"/>
      <c r="M347" s="10"/>
    </row>
    <row r="348" spans="2:13" ht="15.75" customHeight="1" x14ac:dyDescent="0.2">
      <c r="B348" s="11"/>
      <c r="M348" s="10"/>
    </row>
    <row r="349" spans="2:13" ht="15.75" customHeight="1" x14ac:dyDescent="0.2">
      <c r="B349" s="11"/>
      <c r="M349" s="10"/>
    </row>
    <row r="350" spans="2:13" ht="15.75" customHeight="1" x14ac:dyDescent="0.2">
      <c r="B350" s="11"/>
      <c r="M350" s="10"/>
    </row>
    <row r="351" spans="2:13" ht="15.75" customHeight="1" x14ac:dyDescent="0.2">
      <c r="B351" s="11"/>
      <c r="M351" s="10"/>
    </row>
    <row r="352" spans="2:13" ht="15.75" customHeight="1" x14ac:dyDescent="0.2">
      <c r="B352" s="11"/>
      <c r="M352" s="10"/>
    </row>
    <row r="353" spans="2:13" ht="15.75" customHeight="1" x14ac:dyDescent="0.2">
      <c r="B353" s="11"/>
      <c r="M353" s="10"/>
    </row>
    <row r="354" spans="2:13" ht="15.75" customHeight="1" x14ac:dyDescent="0.2">
      <c r="B354" s="11"/>
      <c r="M354" s="10"/>
    </row>
    <row r="355" spans="2:13" ht="15.75" customHeight="1" x14ac:dyDescent="0.2">
      <c r="B355" s="11"/>
      <c r="M355" s="10"/>
    </row>
    <row r="356" spans="2:13" ht="15.75" customHeight="1" x14ac:dyDescent="0.2">
      <c r="B356" s="11"/>
      <c r="M356" s="10"/>
    </row>
    <row r="357" spans="2:13" ht="15.75" customHeight="1" x14ac:dyDescent="0.2">
      <c r="B357" s="11"/>
      <c r="M357" s="10"/>
    </row>
    <row r="358" spans="2:13" ht="15.75" customHeight="1" x14ac:dyDescent="0.2">
      <c r="B358" s="11"/>
      <c r="M358" s="10"/>
    </row>
    <row r="359" spans="2:13" ht="15.75" customHeight="1" x14ac:dyDescent="0.2">
      <c r="B359" s="11"/>
      <c r="M359" s="10"/>
    </row>
    <row r="360" spans="2:13" ht="15.75" customHeight="1" x14ac:dyDescent="0.2">
      <c r="B360" s="11"/>
      <c r="M360" s="10"/>
    </row>
    <row r="361" spans="2:13" ht="15.75" customHeight="1" x14ac:dyDescent="0.2">
      <c r="B361" s="11"/>
      <c r="M361" s="10"/>
    </row>
    <row r="362" spans="2:13" ht="15.75" customHeight="1" x14ac:dyDescent="0.2">
      <c r="B362" s="11"/>
      <c r="M362" s="10"/>
    </row>
    <row r="363" spans="2:13" ht="15.75" customHeight="1" x14ac:dyDescent="0.2">
      <c r="B363" s="11"/>
      <c r="M363" s="10"/>
    </row>
    <row r="364" spans="2:13" ht="15.75" customHeight="1" x14ac:dyDescent="0.2">
      <c r="B364" s="11"/>
      <c r="M364" s="10"/>
    </row>
    <row r="365" spans="2:13" ht="15.75" customHeight="1" x14ac:dyDescent="0.2">
      <c r="B365" s="11"/>
      <c r="M365" s="10"/>
    </row>
    <row r="366" spans="2:13" ht="15.75" customHeight="1" x14ac:dyDescent="0.2">
      <c r="B366" s="11"/>
      <c r="M366" s="10"/>
    </row>
    <row r="367" spans="2:13" ht="15.75" customHeight="1" x14ac:dyDescent="0.2">
      <c r="B367" s="11"/>
      <c r="M367" s="10"/>
    </row>
    <row r="368" spans="2:13" ht="15.75" customHeight="1" x14ac:dyDescent="0.2">
      <c r="B368" s="11"/>
      <c r="M368" s="10"/>
    </row>
    <row r="369" spans="2:13" ht="15.75" customHeight="1" x14ac:dyDescent="0.2">
      <c r="B369" s="11"/>
      <c r="M369" s="10"/>
    </row>
    <row r="370" spans="2:13" ht="15.75" customHeight="1" x14ac:dyDescent="0.2">
      <c r="B370" s="11"/>
      <c r="M370" s="10"/>
    </row>
    <row r="371" spans="2:13" ht="15.75" customHeight="1" x14ac:dyDescent="0.2">
      <c r="B371" s="11"/>
      <c r="M371" s="10"/>
    </row>
    <row r="372" spans="2:13" ht="15.75" customHeight="1" x14ac:dyDescent="0.2">
      <c r="B372" s="11"/>
      <c r="M372" s="10"/>
    </row>
    <row r="373" spans="2:13" ht="15.75" customHeight="1" x14ac:dyDescent="0.2">
      <c r="B373" s="11"/>
      <c r="M373" s="10"/>
    </row>
    <row r="374" spans="2:13" ht="15.75" customHeight="1" x14ac:dyDescent="0.2">
      <c r="B374" s="11"/>
      <c r="M374" s="10"/>
    </row>
    <row r="375" spans="2:13" ht="15.75" customHeight="1" x14ac:dyDescent="0.2">
      <c r="B375" s="11"/>
      <c r="M375" s="10"/>
    </row>
    <row r="376" spans="2:13" ht="15.75" customHeight="1" x14ac:dyDescent="0.2">
      <c r="B376" s="11"/>
      <c r="M376" s="10"/>
    </row>
    <row r="377" spans="2:13" ht="15.75" customHeight="1" x14ac:dyDescent="0.2">
      <c r="B377" s="11"/>
      <c r="M377" s="10"/>
    </row>
    <row r="378" spans="2:13" ht="15.75" customHeight="1" x14ac:dyDescent="0.2">
      <c r="B378" s="11"/>
      <c r="M378" s="10"/>
    </row>
    <row r="379" spans="2:13" ht="15.75" customHeight="1" x14ac:dyDescent="0.2">
      <c r="B379" s="11"/>
      <c r="M379" s="10"/>
    </row>
    <row r="380" spans="2:13" ht="15.75" customHeight="1" x14ac:dyDescent="0.2">
      <c r="B380" s="11"/>
      <c r="M380" s="10"/>
    </row>
    <row r="381" spans="2:13" ht="15.75" customHeight="1" x14ac:dyDescent="0.2">
      <c r="B381" s="11"/>
      <c r="M381" s="10"/>
    </row>
    <row r="382" spans="2:13" ht="15.75" customHeight="1" x14ac:dyDescent="0.2">
      <c r="B382" s="11"/>
      <c r="M382" s="10"/>
    </row>
    <row r="383" spans="2:13" ht="15.75" customHeight="1" x14ac:dyDescent="0.2">
      <c r="B383" s="11"/>
      <c r="M383" s="10"/>
    </row>
    <row r="384" spans="2:13" ht="15.75" customHeight="1" x14ac:dyDescent="0.2">
      <c r="B384" s="11"/>
      <c r="M384" s="10"/>
    </row>
    <row r="385" spans="2:13" ht="15.75" customHeight="1" x14ac:dyDescent="0.2">
      <c r="B385" s="11"/>
      <c r="M385" s="10"/>
    </row>
    <row r="386" spans="2:13" ht="15.75" customHeight="1" x14ac:dyDescent="0.2">
      <c r="B386" s="11"/>
      <c r="M386" s="10"/>
    </row>
    <row r="387" spans="2:13" ht="15.75" customHeight="1" x14ac:dyDescent="0.2">
      <c r="B387" s="11"/>
      <c r="M387" s="10"/>
    </row>
    <row r="388" spans="2:13" ht="15.75" customHeight="1" x14ac:dyDescent="0.2">
      <c r="B388" s="11"/>
      <c r="M388" s="10"/>
    </row>
    <row r="389" spans="2:13" ht="15.75" customHeight="1" x14ac:dyDescent="0.2">
      <c r="B389" s="11"/>
      <c r="M389" s="10"/>
    </row>
    <row r="390" spans="2:13" ht="15.75" customHeight="1" x14ac:dyDescent="0.2">
      <c r="B390" s="11"/>
      <c r="M390" s="10"/>
    </row>
    <row r="391" spans="2:13" ht="15.75" customHeight="1" x14ac:dyDescent="0.2">
      <c r="B391" s="11"/>
      <c r="M391" s="10"/>
    </row>
    <row r="392" spans="2:13" ht="15.75" customHeight="1" x14ac:dyDescent="0.2">
      <c r="B392" s="11"/>
      <c r="M392" s="10"/>
    </row>
    <row r="393" spans="2:13" ht="15.75" customHeight="1" x14ac:dyDescent="0.2">
      <c r="B393" s="11"/>
      <c r="M393" s="10"/>
    </row>
    <row r="394" spans="2:13" ht="15.75" customHeight="1" x14ac:dyDescent="0.2">
      <c r="B394" s="11"/>
      <c r="M394" s="10"/>
    </row>
    <row r="395" spans="2:13" ht="15.75" customHeight="1" x14ac:dyDescent="0.2">
      <c r="B395" s="11"/>
      <c r="M395" s="10"/>
    </row>
    <row r="396" spans="2:13" ht="15.75" customHeight="1" x14ac:dyDescent="0.2">
      <c r="B396" s="11"/>
      <c r="M396" s="10"/>
    </row>
    <row r="397" spans="2:13" ht="15.75" customHeight="1" x14ac:dyDescent="0.2">
      <c r="B397" s="11"/>
      <c r="M397" s="10"/>
    </row>
    <row r="398" spans="2:13" ht="15.75" customHeight="1" x14ac:dyDescent="0.2">
      <c r="B398" s="11"/>
      <c r="M398" s="10"/>
    </row>
    <row r="399" spans="2:13" ht="15.75" customHeight="1" x14ac:dyDescent="0.2">
      <c r="B399" s="11"/>
      <c r="M399" s="10"/>
    </row>
    <row r="400" spans="2:13" ht="15.75" customHeight="1" x14ac:dyDescent="0.2">
      <c r="B400" s="11"/>
      <c r="M400" s="10"/>
    </row>
    <row r="401" spans="2:13" ht="15.75" customHeight="1" x14ac:dyDescent="0.2">
      <c r="B401" s="11"/>
      <c r="M401" s="10"/>
    </row>
    <row r="402" spans="2:13" ht="15.75" customHeight="1" x14ac:dyDescent="0.2">
      <c r="B402" s="11"/>
      <c r="M402" s="10"/>
    </row>
    <row r="403" spans="2:13" ht="15.75" customHeight="1" x14ac:dyDescent="0.2">
      <c r="B403" s="11"/>
      <c r="M403" s="10"/>
    </row>
    <row r="404" spans="2:13" ht="15.75" customHeight="1" x14ac:dyDescent="0.2">
      <c r="B404" s="11"/>
      <c r="M404" s="10"/>
    </row>
    <row r="405" spans="2:13" ht="15.75" customHeight="1" x14ac:dyDescent="0.2">
      <c r="B405" s="11"/>
      <c r="M405" s="10"/>
    </row>
    <row r="406" spans="2:13" ht="15.75" customHeight="1" x14ac:dyDescent="0.2">
      <c r="B406" s="11"/>
      <c r="M406" s="10"/>
    </row>
    <row r="407" spans="2:13" ht="15.75" customHeight="1" x14ac:dyDescent="0.2">
      <c r="B407" s="11"/>
      <c r="M407" s="10"/>
    </row>
    <row r="408" spans="2:13" ht="15.75" customHeight="1" x14ac:dyDescent="0.2">
      <c r="B408" s="11"/>
      <c r="M408" s="10"/>
    </row>
    <row r="409" spans="2:13" ht="15.75" customHeight="1" x14ac:dyDescent="0.2">
      <c r="B409" s="11"/>
      <c r="M409" s="10"/>
    </row>
    <row r="410" spans="2:13" ht="15.75" customHeight="1" x14ac:dyDescent="0.2">
      <c r="B410" s="11"/>
      <c r="M410" s="10"/>
    </row>
    <row r="411" spans="2:13" ht="15.75" customHeight="1" x14ac:dyDescent="0.2">
      <c r="B411" s="11"/>
      <c r="M411" s="10"/>
    </row>
    <row r="412" spans="2:13" ht="15.75" customHeight="1" x14ac:dyDescent="0.2">
      <c r="B412" s="11"/>
      <c r="M412" s="10"/>
    </row>
    <row r="413" spans="2:13" ht="15.75" customHeight="1" x14ac:dyDescent="0.2">
      <c r="B413" s="11"/>
      <c r="M413" s="10"/>
    </row>
    <row r="414" spans="2:13" ht="15.75" customHeight="1" x14ac:dyDescent="0.2">
      <c r="B414" s="11"/>
      <c r="M414" s="10"/>
    </row>
    <row r="415" spans="2:13" ht="15.75" customHeight="1" x14ac:dyDescent="0.2">
      <c r="B415" s="11"/>
      <c r="M415" s="10"/>
    </row>
    <row r="416" spans="2:13" ht="15.75" customHeight="1" x14ac:dyDescent="0.2">
      <c r="B416" s="11"/>
      <c r="M416" s="10"/>
    </row>
    <row r="417" spans="2:13" ht="15.75" customHeight="1" x14ac:dyDescent="0.2">
      <c r="B417" s="11"/>
      <c r="M417" s="10"/>
    </row>
    <row r="418" spans="2:13" ht="15.75" customHeight="1" x14ac:dyDescent="0.2">
      <c r="B418" s="11"/>
      <c r="M418" s="10"/>
    </row>
    <row r="419" spans="2:13" ht="15.75" customHeight="1" x14ac:dyDescent="0.2">
      <c r="B419" s="11"/>
      <c r="M419" s="10"/>
    </row>
    <row r="420" spans="2:13" ht="15.75" customHeight="1" x14ac:dyDescent="0.2">
      <c r="B420" s="11"/>
      <c r="M420" s="10"/>
    </row>
    <row r="421" spans="2:13" ht="15.75" customHeight="1" x14ac:dyDescent="0.2">
      <c r="B421" s="11"/>
      <c r="M421" s="10"/>
    </row>
    <row r="422" spans="2:13" ht="15.75" customHeight="1" x14ac:dyDescent="0.2">
      <c r="B422" s="11"/>
      <c r="M422" s="10"/>
    </row>
    <row r="423" spans="2:13" ht="15.75" customHeight="1" x14ac:dyDescent="0.2">
      <c r="B423" s="11"/>
      <c r="M423" s="10"/>
    </row>
    <row r="424" spans="2:13" ht="15.75" customHeight="1" x14ac:dyDescent="0.2">
      <c r="B424" s="11"/>
      <c r="M424" s="10"/>
    </row>
    <row r="425" spans="2:13" ht="15.75" customHeight="1" x14ac:dyDescent="0.2">
      <c r="B425" s="11"/>
      <c r="M425" s="10"/>
    </row>
    <row r="426" spans="2:13" ht="15.75" customHeight="1" x14ac:dyDescent="0.2">
      <c r="B426" s="11"/>
      <c r="M426" s="10"/>
    </row>
    <row r="427" spans="2:13" ht="15.75" customHeight="1" x14ac:dyDescent="0.2">
      <c r="B427" s="11"/>
      <c r="M427" s="10"/>
    </row>
    <row r="428" spans="2:13" ht="15.75" customHeight="1" x14ac:dyDescent="0.2">
      <c r="B428" s="11"/>
      <c r="M428" s="10"/>
    </row>
    <row r="429" spans="2:13" ht="15.75" customHeight="1" x14ac:dyDescent="0.2">
      <c r="B429" s="11"/>
      <c r="M429" s="10"/>
    </row>
    <row r="430" spans="2:13" ht="15.75" customHeight="1" x14ac:dyDescent="0.2">
      <c r="B430" s="11"/>
      <c r="M430" s="10"/>
    </row>
    <row r="431" spans="2:13" ht="15.75" customHeight="1" x14ac:dyDescent="0.2">
      <c r="B431" s="11"/>
      <c r="M431" s="10"/>
    </row>
    <row r="432" spans="2:13" ht="15.75" customHeight="1" x14ac:dyDescent="0.2">
      <c r="B432" s="11"/>
      <c r="M432" s="10"/>
    </row>
    <row r="433" spans="2:13" ht="15.75" customHeight="1" x14ac:dyDescent="0.2">
      <c r="B433" s="11"/>
      <c r="M433" s="10"/>
    </row>
    <row r="434" spans="2:13" ht="15.75" customHeight="1" x14ac:dyDescent="0.2">
      <c r="B434" s="11"/>
      <c r="M434" s="10"/>
    </row>
    <row r="435" spans="2:13" ht="15.75" customHeight="1" x14ac:dyDescent="0.2">
      <c r="B435" s="11"/>
      <c r="M435" s="10"/>
    </row>
    <row r="436" spans="2:13" ht="15.75" customHeight="1" x14ac:dyDescent="0.2">
      <c r="B436" s="11"/>
      <c r="M436" s="10"/>
    </row>
    <row r="437" spans="2:13" ht="15.75" customHeight="1" x14ac:dyDescent="0.2">
      <c r="B437" s="11"/>
      <c r="M437" s="10"/>
    </row>
    <row r="438" spans="2:13" ht="15.75" customHeight="1" x14ac:dyDescent="0.2">
      <c r="B438" s="11"/>
      <c r="M438" s="10"/>
    </row>
    <row r="439" spans="2:13" ht="15.75" customHeight="1" x14ac:dyDescent="0.2">
      <c r="B439" s="11"/>
      <c r="M439" s="10"/>
    </row>
    <row r="440" spans="2:13" ht="15.75" customHeight="1" x14ac:dyDescent="0.2">
      <c r="B440" s="11"/>
      <c r="M440" s="10"/>
    </row>
    <row r="441" spans="2:13" ht="15.75" customHeight="1" x14ac:dyDescent="0.2">
      <c r="B441" s="11"/>
      <c r="M441" s="10"/>
    </row>
    <row r="442" spans="2:13" ht="15.75" customHeight="1" x14ac:dyDescent="0.2">
      <c r="B442" s="11"/>
      <c r="M442" s="10"/>
    </row>
    <row r="443" spans="2:13" ht="15.75" customHeight="1" x14ac:dyDescent="0.2">
      <c r="B443" s="11"/>
      <c r="M443" s="10"/>
    </row>
    <row r="444" spans="2:13" ht="15.75" customHeight="1" x14ac:dyDescent="0.2">
      <c r="B444" s="11"/>
      <c r="M444" s="10"/>
    </row>
    <row r="445" spans="2:13" ht="15.75" customHeight="1" x14ac:dyDescent="0.2">
      <c r="B445" s="11"/>
      <c r="M445" s="10"/>
    </row>
    <row r="446" spans="2:13" ht="15.75" customHeight="1" x14ac:dyDescent="0.2">
      <c r="B446" s="11"/>
      <c r="M446" s="10"/>
    </row>
    <row r="447" spans="2:13" ht="15.75" customHeight="1" x14ac:dyDescent="0.2">
      <c r="B447" s="11"/>
      <c r="M447" s="10"/>
    </row>
    <row r="448" spans="2:13" ht="15.75" customHeight="1" x14ac:dyDescent="0.2">
      <c r="B448" s="11"/>
      <c r="M448" s="10"/>
    </row>
    <row r="449" spans="2:13" ht="15.75" customHeight="1" x14ac:dyDescent="0.2">
      <c r="B449" s="11"/>
      <c r="M449" s="10"/>
    </row>
    <row r="450" spans="2:13" ht="15.75" customHeight="1" x14ac:dyDescent="0.2">
      <c r="B450" s="11"/>
      <c r="M450" s="10"/>
    </row>
    <row r="451" spans="2:13" ht="15.75" customHeight="1" x14ac:dyDescent="0.2">
      <c r="B451" s="11"/>
      <c r="M451" s="10"/>
    </row>
    <row r="452" spans="2:13" ht="15.75" customHeight="1" x14ac:dyDescent="0.2">
      <c r="B452" s="11"/>
      <c r="M452" s="10"/>
    </row>
    <row r="453" spans="2:13" ht="15.75" customHeight="1" x14ac:dyDescent="0.2">
      <c r="B453" s="11"/>
      <c r="M453" s="10"/>
    </row>
    <row r="454" spans="2:13" ht="15.75" customHeight="1" x14ac:dyDescent="0.2">
      <c r="B454" s="11"/>
      <c r="M454" s="10"/>
    </row>
    <row r="455" spans="2:13" ht="15.75" customHeight="1" x14ac:dyDescent="0.2">
      <c r="B455" s="11"/>
      <c r="M455" s="10"/>
    </row>
    <row r="456" spans="2:13" ht="15.75" customHeight="1" x14ac:dyDescent="0.2">
      <c r="B456" s="11"/>
      <c r="M456" s="10"/>
    </row>
    <row r="457" spans="2:13" ht="15.75" customHeight="1" x14ac:dyDescent="0.2">
      <c r="B457" s="11"/>
      <c r="M457" s="10"/>
    </row>
    <row r="458" spans="2:13" ht="15.75" customHeight="1" x14ac:dyDescent="0.2">
      <c r="B458" s="11"/>
      <c r="M458" s="10"/>
    </row>
    <row r="459" spans="2:13" ht="15.75" customHeight="1" x14ac:dyDescent="0.2">
      <c r="B459" s="11"/>
      <c r="M459" s="10"/>
    </row>
    <row r="460" spans="2:13" ht="15.75" customHeight="1" x14ac:dyDescent="0.2">
      <c r="B460" s="11"/>
      <c r="M460" s="10"/>
    </row>
    <row r="461" spans="2:13" ht="15.75" customHeight="1" x14ac:dyDescent="0.2">
      <c r="B461" s="11"/>
      <c r="M461" s="10"/>
    </row>
    <row r="462" spans="2:13" ht="15.75" customHeight="1" x14ac:dyDescent="0.2">
      <c r="B462" s="11"/>
      <c r="M462" s="10"/>
    </row>
    <row r="463" spans="2:13" ht="15.75" customHeight="1" x14ac:dyDescent="0.2">
      <c r="B463" s="11"/>
      <c r="M463" s="10"/>
    </row>
    <row r="464" spans="2:13" ht="15.75" customHeight="1" x14ac:dyDescent="0.2">
      <c r="B464" s="11"/>
      <c r="M464" s="10"/>
    </row>
    <row r="465" spans="2:13" ht="15.75" customHeight="1" x14ac:dyDescent="0.2">
      <c r="B465" s="11"/>
      <c r="M465" s="10"/>
    </row>
    <row r="466" spans="2:13" ht="15.75" customHeight="1" x14ac:dyDescent="0.2">
      <c r="B466" s="11"/>
      <c r="M466" s="10"/>
    </row>
    <row r="467" spans="2:13" ht="15.75" customHeight="1" x14ac:dyDescent="0.2">
      <c r="B467" s="11"/>
      <c r="M467" s="10"/>
    </row>
    <row r="468" spans="2:13" ht="15.75" customHeight="1" x14ac:dyDescent="0.2">
      <c r="B468" s="11"/>
      <c r="M468" s="10"/>
    </row>
    <row r="469" spans="2:13" ht="15.75" customHeight="1" x14ac:dyDescent="0.2">
      <c r="B469" s="11"/>
      <c r="M469" s="10"/>
    </row>
    <row r="470" spans="2:13" ht="15.75" customHeight="1" x14ac:dyDescent="0.2">
      <c r="B470" s="11"/>
      <c r="M470" s="10"/>
    </row>
    <row r="471" spans="2:13" ht="15.75" customHeight="1" x14ac:dyDescent="0.2">
      <c r="B471" s="11"/>
      <c r="M471" s="10"/>
    </row>
    <row r="472" spans="2:13" ht="15.75" customHeight="1" x14ac:dyDescent="0.2">
      <c r="B472" s="11"/>
      <c r="M472" s="10"/>
    </row>
    <row r="473" spans="2:13" ht="15.75" customHeight="1" x14ac:dyDescent="0.2">
      <c r="B473" s="11"/>
      <c r="M473" s="10"/>
    </row>
    <row r="474" spans="2:13" ht="15.75" customHeight="1" x14ac:dyDescent="0.2">
      <c r="B474" s="11"/>
      <c r="M474" s="10"/>
    </row>
    <row r="475" spans="2:13" ht="15.75" customHeight="1" x14ac:dyDescent="0.2">
      <c r="B475" s="11"/>
      <c r="M475" s="10"/>
    </row>
    <row r="476" spans="2:13" ht="15.75" customHeight="1" x14ac:dyDescent="0.2">
      <c r="B476" s="11"/>
      <c r="M476" s="10"/>
    </row>
    <row r="477" spans="2:13" ht="15.75" customHeight="1" x14ac:dyDescent="0.2">
      <c r="B477" s="11"/>
      <c r="M477" s="10"/>
    </row>
    <row r="478" spans="2:13" ht="15.75" customHeight="1" x14ac:dyDescent="0.2">
      <c r="B478" s="11"/>
      <c r="M478" s="10"/>
    </row>
    <row r="479" spans="2:13" ht="15.75" customHeight="1" x14ac:dyDescent="0.2">
      <c r="B479" s="11"/>
      <c r="M479" s="10"/>
    </row>
    <row r="480" spans="2:13" ht="15.75" customHeight="1" x14ac:dyDescent="0.2">
      <c r="B480" s="11"/>
      <c r="M480" s="10"/>
    </row>
    <row r="481" spans="2:13" ht="15.75" customHeight="1" x14ac:dyDescent="0.2">
      <c r="B481" s="11"/>
      <c r="M481" s="10"/>
    </row>
    <row r="482" spans="2:13" ht="15.75" customHeight="1" x14ac:dyDescent="0.2">
      <c r="B482" s="11"/>
      <c r="M482" s="10"/>
    </row>
    <row r="483" spans="2:13" ht="15.75" customHeight="1" x14ac:dyDescent="0.2">
      <c r="B483" s="11"/>
      <c r="M483" s="10"/>
    </row>
    <row r="484" spans="2:13" ht="15.75" customHeight="1" x14ac:dyDescent="0.2">
      <c r="B484" s="11"/>
      <c r="M484" s="10"/>
    </row>
    <row r="485" spans="2:13" ht="15.75" customHeight="1" x14ac:dyDescent="0.2">
      <c r="B485" s="11"/>
      <c r="M485" s="10"/>
    </row>
    <row r="486" spans="2:13" ht="15.75" customHeight="1" x14ac:dyDescent="0.2">
      <c r="B486" s="11"/>
      <c r="M486" s="10"/>
    </row>
    <row r="487" spans="2:13" ht="15.75" customHeight="1" x14ac:dyDescent="0.2">
      <c r="B487" s="11"/>
      <c r="M487" s="10"/>
    </row>
    <row r="488" spans="2:13" ht="15.75" customHeight="1" x14ac:dyDescent="0.2">
      <c r="B488" s="11"/>
      <c r="M488" s="10"/>
    </row>
    <row r="489" spans="2:13" ht="15.75" customHeight="1" x14ac:dyDescent="0.2">
      <c r="B489" s="11"/>
      <c r="M489" s="10"/>
    </row>
    <row r="490" spans="2:13" ht="15.75" customHeight="1" x14ac:dyDescent="0.2">
      <c r="B490" s="11"/>
      <c r="M490" s="10"/>
    </row>
    <row r="491" spans="2:13" ht="15.75" customHeight="1" x14ac:dyDescent="0.2">
      <c r="B491" s="11"/>
      <c r="M491" s="10"/>
    </row>
    <row r="492" spans="2:13" ht="15.75" customHeight="1" x14ac:dyDescent="0.2">
      <c r="B492" s="11"/>
      <c r="M492" s="10"/>
    </row>
    <row r="493" spans="2:13" ht="15.75" customHeight="1" x14ac:dyDescent="0.2">
      <c r="B493" s="11"/>
      <c r="M493" s="10"/>
    </row>
    <row r="494" spans="2:13" ht="15.75" customHeight="1" x14ac:dyDescent="0.2">
      <c r="B494" s="11"/>
      <c r="M494" s="10"/>
    </row>
    <row r="495" spans="2:13" ht="15.75" customHeight="1" x14ac:dyDescent="0.2">
      <c r="B495" s="11"/>
      <c r="M495" s="10"/>
    </row>
    <row r="496" spans="2:13" ht="15.75" customHeight="1" x14ac:dyDescent="0.2">
      <c r="B496" s="11"/>
      <c r="M496" s="10"/>
    </row>
    <row r="497" spans="2:13" ht="15.75" customHeight="1" x14ac:dyDescent="0.2">
      <c r="B497" s="11"/>
      <c r="M497" s="10"/>
    </row>
    <row r="498" spans="2:13" ht="15.75" customHeight="1" x14ac:dyDescent="0.2">
      <c r="B498" s="11"/>
      <c r="M498" s="10"/>
    </row>
    <row r="499" spans="2:13" ht="15.75" customHeight="1" x14ac:dyDescent="0.2">
      <c r="B499" s="11"/>
      <c r="M499" s="10"/>
    </row>
    <row r="500" spans="2:13" ht="15.75" customHeight="1" x14ac:dyDescent="0.2">
      <c r="B500" s="11"/>
      <c r="M500" s="10"/>
    </row>
    <row r="501" spans="2:13" ht="15.75" customHeight="1" x14ac:dyDescent="0.2">
      <c r="B501" s="11"/>
      <c r="M501" s="10"/>
    </row>
    <row r="502" spans="2:13" ht="15.75" customHeight="1" x14ac:dyDescent="0.2">
      <c r="B502" s="11"/>
      <c r="M502" s="10"/>
    </row>
    <row r="503" spans="2:13" ht="15.75" customHeight="1" x14ac:dyDescent="0.2">
      <c r="B503" s="11"/>
      <c r="M503" s="10"/>
    </row>
    <row r="504" spans="2:13" ht="15.75" customHeight="1" x14ac:dyDescent="0.2">
      <c r="B504" s="11"/>
      <c r="M504" s="10"/>
    </row>
    <row r="505" spans="2:13" ht="15.75" customHeight="1" x14ac:dyDescent="0.2">
      <c r="B505" s="11"/>
      <c r="M505" s="10"/>
    </row>
    <row r="506" spans="2:13" ht="15.75" customHeight="1" x14ac:dyDescent="0.2">
      <c r="B506" s="11"/>
      <c r="M506" s="10"/>
    </row>
    <row r="507" spans="2:13" ht="15.75" customHeight="1" x14ac:dyDescent="0.2">
      <c r="B507" s="11"/>
      <c r="M507" s="10"/>
    </row>
    <row r="508" spans="2:13" ht="15.75" customHeight="1" x14ac:dyDescent="0.2">
      <c r="B508" s="11"/>
      <c r="M508" s="10"/>
    </row>
    <row r="509" spans="2:13" ht="15.75" customHeight="1" x14ac:dyDescent="0.2">
      <c r="B509" s="11"/>
      <c r="M509" s="10"/>
    </row>
    <row r="510" spans="2:13" ht="15.75" customHeight="1" x14ac:dyDescent="0.2">
      <c r="B510" s="11"/>
      <c r="M510" s="10"/>
    </row>
    <row r="511" spans="2:13" ht="15.75" customHeight="1" x14ac:dyDescent="0.2">
      <c r="B511" s="11"/>
      <c r="M511" s="10"/>
    </row>
    <row r="512" spans="2:13" ht="15.75" customHeight="1" x14ac:dyDescent="0.2">
      <c r="B512" s="11"/>
      <c r="M512" s="10"/>
    </row>
    <row r="513" spans="2:13" ht="15.75" customHeight="1" x14ac:dyDescent="0.2">
      <c r="B513" s="11"/>
      <c r="M513" s="10"/>
    </row>
    <row r="514" spans="2:13" ht="15.75" customHeight="1" x14ac:dyDescent="0.2">
      <c r="B514" s="11"/>
      <c r="M514" s="10"/>
    </row>
    <row r="515" spans="2:13" ht="15.75" customHeight="1" x14ac:dyDescent="0.2">
      <c r="B515" s="11"/>
      <c r="M515" s="10"/>
    </row>
    <row r="516" spans="2:13" ht="15.75" customHeight="1" x14ac:dyDescent="0.2">
      <c r="B516" s="11"/>
      <c r="M516" s="10"/>
    </row>
    <row r="517" spans="2:13" ht="15.75" customHeight="1" x14ac:dyDescent="0.2">
      <c r="B517" s="11"/>
      <c r="M517" s="10"/>
    </row>
    <row r="518" spans="2:13" ht="15.75" customHeight="1" x14ac:dyDescent="0.2">
      <c r="B518" s="11"/>
      <c r="M518" s="10"/>
    </row>
    <row r="519" spans="2:13" ht="15.75" customHeight="1" x14ac:dyDescent="0.2">
      <c r="B519" s="11"/>
      <c r="M519" s="10"/>
    </row>
    <row r="520" spans="2:13" ht="15.75" customHeight="1" x14ac:dyDescent="0.2">
      <c r="B520" s="11"/>
      <c r="M520" s="10"/>
    </row>
    <row r="521" spans="2:13" ht="15.75" customHeight="1" x14ac:dyDescent="0.2">
      <c r="B521" s="11"/>
      <c r="M521" s="10"/>
    </row>
    <row r="522" spans="2:13" ht="15.75" customHeight="1" x14ac:dyDescent="0.2">
      <c r="B522" s="11"/>
      <c r="M522" s="10"/>
    </row>
    <row r="523" spans="2:13" ht="15.75" customHeight="1" x14ac:dyDescent="0.2">
      <c r="B523" s="11"/>
      <c r="M523" s="10"/>
    </row>
    <row r="524" spans="2:13" ht="15.75" customHeight="1" x14ac:dyDescent="0.2">
      <c r="B524" s="11"/>
      <c r="M524" s="10"/>
    </row>
    <row r="525" spans="2:13" ht="15.75" customHeight="1" x14ac:dyDescent="0.2">
      <c r="B525" s="11"/>
      <c r="M525" s="10"/>
    </row>
    <row r="526" spans="2:13" ht="15.75" customHeight="1" x14ac:dyDescent="0.2">
      <c r="B526" s="11"/>
      <c r="M526" s="10"/>
    </row>
    <row r="527" spans="2:13" ht="15.75" customHeight="1" x14ac:dyDescent="0.2">
      <c r="B527" s="11"/>
      <c r="M527" s="10"/>
    </row>
    <row r="528" spans="2:13" ht="15.75" customHeight="1" x14ac:dyDescent="0.2">
      <c r="B528" s="11"/>
      <c r="M528" s="10"/>
    </row>
    <row r="529" spans="2:13" ht="15.75" customHeight="1" x14ac:dyDescent="0.2">
      <c r="B529" s="11"/>
      <c r="M529" s="10"/>
    </row>
    <row r="530" spans="2:13" ht="15.75" customHeight="1" x14ac:dyDescent="0.2">
      <c r="B530" s="11"/>
      <c r="M530" s="10"/>
    </row>
    <row r="531" spans="2:13" ht="15.75" customHeight="1" x14ac:dyDescent="0.2">
      <c r="B531" s="11"/>
      <c r="M531" s="10"/>
    </row>
    <row r="532" spans="2:13" ht="15.75" customHeight="1" x14ac:dyDescent="0.2">
      <c r="B532" s="11"/>
      <c r="M532" s="10"/>
    </row>
    <row r="533" spans="2:13" ht="15.75" customHeight="1" x14ac:dyDescent="0.2">
      <c r="B533" s="11"/>
      <c r="M533" s="10"/>
    </row>
    <row r="534" spans="2:13" ht="15.75" customHeight="1" x14ac:dyDescent="0.2">
      <c r="B534" s="11"/>
      <c r="M534" s="10"/>
    </row>
    <row r="535" spans="2:13" ht="15.75" customHeight="1" x14ac:dyDescent="0.2">
      <c r="B535" s="11"/>
      <c r="M535" s="10"/>
    </row>
    <row r="536" spans="2:13" ht="15.75" customHeight="1" x14ac:dyDescent="0.2">
      <c r="B536" s="11"/>
      <c r="M536" s="10"/>
    </row>
    <row r="537" spans="2:13" ht="15.75" customHeight="1" x14ac:dyDescent="0.2">
      <c r="B537" s="11"/>
      <c r="M537" s="10"/>
    </row>
    <row r="538" spans="2:13" ht="15.75" customHeight="1" x14ac:dyDescent="0.2">
      <c r="B538" s="11"/>
      <c r="M538" s="10"/>
    </row>
    <row r="539" spans="2:13" ht="15.75" customHeight="1" x14ac:dyDescent="0.2">
      <c r="B539" s="11"/>
      <c r="M539" s="10"/>
    </row>
    <row r="540" spans="2:13" ht="15.75" customHeight="1" x14ac:dyDescent="0.2">
      <c r="B540" s="11"/>
      <c r="M540" s="10"/>
    </row>
    <row r="541" spans="2:13" ht="15.75" customHeight="1" x14ac:dyDescent="0.2">
      <c r="B541" s="11"/>
      <c r="M541" s="10"/>
    </row>
    <row r="542" spans="2:13" ht="15.75" customHeight="1" x14ac:dyDescent="0.2">
      <c r="B542" s="11"/>
      <c r="M542" s="10"/>
    </row>
    <row r="543" spans="2:13" ht="15.75" customHeight="1" x14ac:dyDescent="0.2">
      <c r="B543" s="11"/>
      <c r="M543" s="10"/>
    </row>
    <row r="544" spans="2:13" ht="15.75" customHeight="1" x14ac:dyDescent="0.2">
      <c r="B544" s="11"/>
      <c r="M544" s="10"/>
    </row>
    <row r="545" spans="2:13" ht="15.75" customHeight="1" x14ac:dyDescent="0.2">
      <c r="B545" s="11"/>
      <c r="M545" s="10"/>
    </row>
    <row r="546" spans="2:13" ht="15.75" customHeight="1" x14ac:dyDescent="0.2">
      <c r="B546" s="11"/>
      <c r="M546" s="10"/>
    </row>
    <row r="547" spans="2:13" ht="15.75" customHeight="1" x14ac:dyDescent="0.2">
      <c r="B547" s="11"/>
      <c r="M547" s="10"/>
    </row>
    <row r="548" spans="2:13" ht="15.75" customHeight="1" x14ac:dyDescent="0.2">
      <c r="B548" s="11"/>
      <c r="M548" s="10"/>
    </row>
    <row r="549" spans="2:13" ht="15.75" customHeight="1" x14ac:dyDescent="0.2">
      <c r="B549" s="11"/>
      <c r="M549" s="10"/>
    </row>
    <row r="550" spans="2:13" ht="15.75" customHeight="1" x14ac:dyDescent="0.2">
      <c r="B550" s="11"/>
      <c r="M550" s="10"/>
    </row>
    <row r="551" spans="2:13" ht="15.75" customHeight="1" x14ac:dyDescent="0.2">
      <c r="B551" s="11"/>
      <c r="M551" s="10"/>
    </row>
    <row r="552" spans="2:13" ht="15.75" customHeight="1" x14ac:dyDescent="0.2">
      <c r="B552" s="11"/>
      <c r="M552" s="10"/>
    </row>
    <row r="553" spans="2:13" ht="15.75" customHeight="1" x14ac:dyDescent="0.2">
      <c r="B553" s="11"/>
      <c r="M553" s="10"/>
    </row>
    <row r="554" spans="2:13" ht="15.75" customHeight="1" x14ac:dyDescent="0.2">
      <c r="B554" s="11"/>
      <c r="M554" s="10"/>
    </row>
    <row r="555" spans="2:13" ht="15.75" customHeight="1" x14ac:dyDescent="0.2">
      <c r="B555" s="11"/>
      <c r="M555" s="10"/>
    </row>
    <row r="556" spans="2:13" ht="15.75" customHeight="1" x14ac:dyDescent="0.2">
      <c r="B556" s="11"/>
      <c r="M556" s="10"/>
    </row>
    <row r="557" spans="2:13" ht="15.75" customHeight="1" x14ac:dyDescent="0.2">
      <c r="B557" s="11"/>
      <c r="M557" s="10"/>
    </row>
    <row r="558" spans="2:13" ht="15.75" customHeight="1" x14ac:dyDescent="0.2">
      <c r="B558" s="11"/>
      <c r="M558" s="10"/>
    </row>
    <row r="559" spans="2:13" ht="15.75" customHeight="1" x14ac:dyDescent="0.2">
      <c r="B559" s="11"/>
      <c r="M559" s="10"/>
    </row>
    <row r="560" spans="2:13" ht="15.75" customHeight="1" x14ac:dyDescent="0.2">
      <c r="B560" s="11"/>
      <c r="M560" s="10"/>
    </row>
    <row r="561" spans="2:13" ht="15.75" customHeight="1" x14ac:dyDescent="0.2">
      <c r="B561" s="11"/>
      <c r="M561" s="10"/>
    </row>
    <row r="562" spans="2:13" ht="15.75" customHeight="1" x14ac:dyDescent="0.2">
      <c r="B562" s="11"/>
      <c r="M562" s="10"/>
    </row>
    <row r="563" spans="2:13" ht="15.75" customHeight="1" x14ac:dyDescent="0.2">
      <c r="B563" s="11"/>
      <c r="M563" s="10"/>
    </row>
    <row r="564" spans="2:13" ht="15.75" customHeight="1" x14ac:dyDescent="0.2">
      <c r="B564" s="11"/>
      <c r="M564" s="10"/>
    </row>
    <row r="565" spans="2:13" ht="15.75" customHeight="1" x14ac:dyDescent="0.2">
      <c r="B565" s="11"/>
      <c r="M565" s="10"/>
    </row>
    <row r="566" spans="2:13" ht="15.75" customHeight="1" x14ac:dyDescent="0.2">
      <c r="B566" s="11"/>
      <c r="M566" s="10"/>
    </row>
    <row r="567" spans="2:13" ht="15.75" customHeight="1" x14ac:dyDescent="0.2">
      <c r="B567" s="11"/>
      <c r="M567" s="10"/>
    </row>
    <row r="568" spans="2:13" ht="15.75" customHeight="1" x14ac:dyDescent="0.2">
      <c r="B568" s="11"/>
      <c r="M568" s="10"/>
    </row>
    <row r="569" spans="2:13" ht="15.75" customHeight="1" x14ac:dyDescent="0.2">
      <c r="B569" s="11"/>
      <c r="M569" s="10"/>
    </row>
    <row r="570" spans="2:13" ht="15.75" customHeight="1" x14ac:dyDescent="0.2">
      <c r="B570" s="11"/>
      <c r="M570" s="10"/>
    </row>
    <row r="571" spans="2:13" ht="15.75" customHeight="1" x14ac:dyDescent="0.2">
      <c r="B571" s="11"/>
      <c r="M571" s="10"/>
    </row>
    <row r="572" spans="2:13" ht="15.75" customHeight="1" x14ac:dyDescent="0.2">
      <c r="B572" s="11"/>
      <c r="M572" s="10"/>
    </row>
    <row r="573" spans="2:13" ht="15.75" customHeight="1" x14ac:dyDescent="0.2">
      <c r="B573" s="11"/>
      <c r="M573" s="10"/>
    </row>
    <row r="574" spans="2:13" ht="15.75" customHeight="1" x14ac:dyDescent="0.2">
      <c r="B574" s="11"/>
      <c r="M574" s="10"/>
    </row>
    <row r="575" spans="2:13" ht="15.75" customHeight="1" x14ac:dyDescent="0.2">
      <c r="B575" s="11"/>
      <c r="M575" s="10"/>
    </row>
    <row r="576" spans="2:13" ht="15.75" customHeight="1" x14ac:dyDescent="0.2">
      <c r="B576" s="11"/>
      <c r="M576" s="10"/>
    </row>
    <row r="577" spans="2:13" ht="15.75" customHeight="1" x14ac:dyDescent="0.2">
      <c r="B577" s="11"/>
      <c r="M577" s="10"/>
    </row>
    <row r="578" spans="2:13" ht="15.75" customHeight="1" x14ac:dyDescent="0.2">
      <c r="B578" s="11"/>
      <c r="M578" s="10"/>
    </row>
    <row r="579" spans="2:13" ht="15.75" customHeight="1" x14ac:dyDescent="0.2">
      <c r="B579" s="11"/>
      <c r="M579" s="10"/>
    </row>
    <row r="580" spans="2:13" ht="15.75" customHeight="1" x14ac:dyDescent="0.2">
      <c r="B580" s="11"/>
      <c r="M580" s="10"/>
    </row>
    <row r="581" spans="2:13" ht="15.75" customHeight="1" x14ac:dyDescent="0.2">
      <c r="B581" s="11"/>
      <c r="M581" s="10"/>
    </row>
    <row r="582" spans="2:13" ht="15.75" customHeight="1" x14ac:dyDescent="0.2">
      <c r="B582" s="11"/>
      <c r="M582" s="10"/>
    </row>
    <row r="583" spans="2:13" ht="15.75" customHeight="1" x14ac:dyDescent="0.2">
      <c r="B583" s="11"/>
      <c r="M583" s="10"/>
    </row>
    <row r="584" spans="2:13" ht="15.75" customHeight="1" x14ac:dyDescent="0.2">
      <c r="B584" s="11"/>
      <c r="M584" s="10"/>
    </row>
    <row r="585" spans="2:13" ht="15.75" customHeight="1" x14ac:dyDescent="0.2">
      <c r="B585" s="11"/>
      <c r="M585" s="10"/>
    </row>
    <row r="586" spans="2:13" ht="15.75" customHeight="1" x14ac:dyDescent="0.2">
      <c r="B586" s="11"/>
      <c r="M586" s="10"/>
    </row>
    <row r="587" spans="2:13" ht="15.75" customHeight="1" x14ac:dyDescent="0.2">
      <c r="B587" s="11"/>
      <c r="M587" s="10"/>
    </row>
    <row r="588" spans="2:13" ht="15.75" customHeight="1" x14ac:dyDescent="0.2">
      <c r="B588" s="11"/>
      <c r="M588" s="10"/>
    </row>
    <row r="589" spans="2:13" ht="15.75" customHeight="1" x14ac:dyDescent="0.2">
      <c r="B589" s="11"/>
      <c r="M589" s="10"/>
    </row>
    <row r="590" spans="2:13" ht="15.75" customHeight="1" x14ac:dyDescent="0.2">
      <c r="B590" s="11"/>
      <c r="M590" s="10"/>
    </row>
    <row r="591" spans="2:13" ht="15.75" customHeight="1" x14ac:dyDescent="0.2">
      <c r="B591" s="11"/>
      <c r="M591" s="10"/>
    </row>
    <row r="592" spans="2:13" ht="15.75" customHeight="1" x14ac:dyDescent="0.2">
      <c r="B592" s="11"/>
      <c r="M592" s="10"/>
    </row>
    <row r="593" spans="2:13" ht="15.75" customHeight="1" x14ac:dyDescent="0.2">
      <c r="B593" s="11"/>
      <c r="M593" s="10"/>
    </row>
    <row r="594" spans="2:13" ht="15.75" customHeight="1" x14ac:dyDescent="0.2">
      <c r="B594" s="11"/>
      <c r="M594" s="10"/>
    </row>
    <row r="595" spans="2:13" ht="15.75" customHeight="1" x14ac:dyDescent="0.2">
      <c r="B595" s="11"/>
      <c r="M595" s="10"/>
    </row>
    <row r="596" spans="2:13" ht="15.75" customHeight="1" x14ac:dyDescent="0.2">
      <c r="B596" s="11"/>
      <c r="M596" s="10"/>
    </row>
    <row r="597" spans="2:13" ht="15.75" customHeight="1" x14ac:dyDescent="0.2">
      <c r="B597" s="11"/>
      <c r="M597" s="10"/>
    </row>
    <row r="598" spans="2:13" ht="15.75" customHeight="1" x14ac:dyDescent="0.2">
      <c r="B598" s="11"/>
      <c r="M598" s="10"/>
    </row>
    <row r="599" spans="2:13" ht="15.75" customHeight="1" x14ac:dyDescent="0.2">
      <c r="B599" s="11"/>
      <c r="M599" s="10"/>
    </row>
    <row r="600" spans="2:13" ht="15.75" customHeight="1" x14ac:dyDescent="0.2">
      <c r="B600" s="11"/>
      <c r="M600" s="10"/>
    </row>
    <row r="601" spans="2:13" ht="15.75" customHeight="1" x14ac:dyDescent="0.2">
      <c r="B601" s="11"/>
      <c r="M601" s="10"/>
    </row>
    <row r="602" spans="2:13" ht="15.75" customHeight="1" x14ac:dyDescent="0.2">
      <c r="B602" s="11"/>
      <c r="M602" s="10"/>
    </row>
    <row r="603" spans="2:13" ht="15.75" customHeight="1" x14ac:dyDescent="0.2">
      <c r="B603" s="11"/>
      <c r="M603" s="10"/>
    </row>
    <row r="604" spans="2:13" ht="15.75" customHeight="1" x14ac:dyDescent="0.2">
      <c r="B604" s="11"/>
      <c r="M604" s="10"/>
    </row>
    <row r="605" spans="2:13" ht="15.75" customHeight="1" x14ac:dyDescent="0.2">
      <c r="B605" s="11"/>
      <c r="M605" s="10"/>
    </row>
    <row r="606" spans="2:13" ht="15.75" customHeight="1" x14ac:dyDescent="0.2">
      <c r="B606" s="11"/>
      <c r="M606" s="10"/>
    </row>
    <row r="607" spans="2:13" ht="15.75" customHeight="1" x14ac:dyDescent="0.2">
      <c r="B607" s="11"/>
      <c r="M607" s="10"/>
    </row>
    <row r="608" spans="2:13" ht="15.75" customHeight="1" x14ac:dyDescent="0.2">
      <c r="B608" s="11"/>
      <c r="M608" s="10"/>
    </row>
    <row r="609" spans="2:13" ht="15.75" customHeight="1" x14ac:dyDescent="0.2">
      <c r="B609" s="11"/>
      <c r="M609" s="10"/>
    </row>
    <row r="610" spans="2:13" ht="15.75" customHeight="1" x14ac:dyDescent="0.2">
      <c r="B610" s="11"/>
      <c r="M610" s="10"/>
    </row>
    <row r="611" spans="2:13" ht="15.75" customHeight="1" x14ac:dyDescent="0.2">
      <c r="B611" s="11"/>
      <c r="M611" s="10"/>
    </row>
    <row r="612" spans="2:13" ht="15.75" customHeight="1" x14ac:dyDescent="0.2">
      <c r="B612" s="11"/>
      <c r="M612" s="10"/>
    </row>
    <row r="613" spans="2:13" ht="15.75" customHeight="1" x14ac:dyDescent="0.2">
      <c r="B613" s="11"/>
      <c r="M613" s="10"/>
    </row>
    <row r="614" spans="2:13" ht="15.75" customHeight="1" x14ac:dyDescent="0.2">
      <c r="B614" s="11"/>
      <c r="M614" s="10"/>
    </row>
    <row r="615" spans="2:13" ht="15.75" customHeight="1" x14ac:dyDescent="0.2">
      <c r="B615" s="11"/>
      <c r="M615" s="10"/>
    </row>
    <row r="616" spans="2:13" ht="15.75" customHeight="1" x14ac:dyDescent="0.2">
      <c r="B616" s="11"/>
      <c r="M616" s="10"/>
    </row>
    <row r="617" spans="2:13" ht="15.75" customHeight="1" x14ac:dyDescent="0.2">
      <c r="B617" s="11"/>
      <c r="M617" s="10"/>
    </row>
    <row r="618" spans="2:13" ht="15.75" customHeight="1" x14ac:dyDescent="0.2">
      <c r="B618" s="11"/>
      <c r="M618" s="10"/>
    </row>
    <row r="619" spans="2:13" ht="15.75" customHeight="1" x14ac:dyDescent="0.2">
      <c r="B619" s="11"/>
      <c r="M619" s="10"/>
    </row>
    <row r="620" spans="2:13" ht="15.75" customHeight="1" x14ac:dyDescent="0.2">
      <c r="B620" s="11"/>
      <c r="M620" s="10"/>
    </row>
    <row r="621" spans="2:13" ht="15.75" customHeight="1" x14ac:dyDescent="0.2">
      <c r="B621" s="11"/>
      <c r="M621" s="10"/>
    </row>
    <row r="622" spans="2:13" ht="15.75" customHeight="1" x14ac:dyDescent="0.2">
      <c r="B622" s="11"/>
      <c r="M622" s="10"/>
    </row>
    <row r="623" spans="2:13" ht="15.75" customHeight="1" x14ac:dyDescent="0.2">
      <c r="B623" s="11"/>
      <c r="M623" s="10"/>
    </row>
    <row r="624" spans="2:13" ht="15.75" customHeight="1" x14ac:dyDescent="0.2">
      <c r="B624" s="11"/>
      <c r="M624" s="10"/>
    </row>
    <row r="625" spans="2:13" ht="15.75" customHeight="1" x14ac:dyDescent="0.2">
      <c r="B625" s="11"/>
      <c r="M625" s="10"/>
    </row>
    <row r="626" spans="2:13" ht="15.75" customHeight="1" x14ac:dyDescent="0.2">
      <c r="B626" s="11"/>
      <c r="M626" s="10"/>
    </row>
    <row r="627" spans="2:13" ht="15.75" customHeight="1" x14ac:dyDescent="0.2">
      <c r="B627" s="11"/>
      <c r="M627" s="10"/>
    </row>
    <row r="628" spans="2:13" ht="15.75" customHeight="1" x14ac:dyDescent="0.2">
      <c r="B628" s="11"/>
      <c r="M628" s="10"/>
    </row>
    <row r="629" spans="2:13" ht="15.75" customHeight="1" x14ac:dyDescent="0.2">
      <c r="B629" s="11"/>
      <c r="M629" s="10"/>
    </row>
    <row r="630" spans="2:13" ht="15.75" customHeight="1" x14ac:dyDescent="0.2">
      <c r="B630" s="11"/>
      <c r="M630" s="10"/>
    </row>
    <row r="631" spans="2:13" ht="15.75" customHeight="1" x14ac:dyDescent="0.2">
      <c r="B631" s="11"/>
      <c r="M631" s="10"/>
    </row>
    <row r="632" spans="2:13" ht="15.75" customHeight="1" x14ac:dyDescent="0.2">
      <c r="B632" s="11"/>
      <c r="M632" s="10"/>
    </row>
    <row r="633" spans="2:13" ht="15.75" customHeight="1" x14ac:dyDescent="0.2">
      <c r="B633" s="11"/>
      <c r="M633" s="10"/>
    </row>
    <row r="634" spans="2:13" ht="15.75" customHeight="1" x14ac:dyDescent="0.2">
      <c r="B634" s="11"/>
      <c r="M634" s="10"/>
    </row>
    <row r="635" spans="2:13" ht="15.75" customHeight="1" x14ac:dyDescent="0.2">
      <c r="B635" s="11"/>
      <c r="M635" s="10"/>
    </row>
    <row r="636" spans="2:13" ht="15.75" customHeight="1" x14ac:dyDescent="0.2">
      <c r="B636" s="11"/>
      <c r="M636" s="10"/>
    </row>
    <row r="637" spans="2:13" ht="15.75" customHeight="1" x14ac:dyDescent="0.2">
      <c r="B637" s="11"/>
      <c r="M637" s="10"/>
    </row>
    <row r="638" spans="2:13" ht="15.75" customHeight="1" x14ac:dyDescent="0.2">
      <c r="B638" s="11"/>
      <c r="M638" s="10"/>
    </row>
    <row r="639" spans="2:13" ht="15.75" customHeight="1" x14ac:dyDescent="0.2">
      <c r="B639" s="11"/>
      <c r="M639" s="10"/>
    </row>
    <row r="640" spans="2:13" ht="15.75" customHeight="1" x14ac:dyDescent="0.2">
      <c r="B640" s="11"/>
      <c r="M640" s="10"/>
    </row>
    <row r="641" spans="2:13" ht="15.75" customHeight="1" x14ac:dyDescent="0.2">
      <c r="B641" s="11"/>
      <c r="M641" s="10"/>
    </row>
    <row r="642" spans="2:13" ht="15.75" customHeight="1" x14ac:dyDescent="0.2">
      <c r="B642" s="11"/>
      <c r="M642" s="10"/>
    </row>
    <row r="643" spans="2:13" ht="15.75" customHeight="1" x14ac:dyDescent="0.2">
      <c r="B643" s="11"/>
      <c r="M643" s="10"/>
    </row>
    <row r="644" spans="2:13" ht="15.75" customHeight="1" x14ac:dyDescent="0.2">
      <c r="B644" s="11"/>
      <c r="M644" s="10"/>
    </row>
    <row r="645" spans="2:13" ht="15.75" customHeight="1" x14ac:dyDescent="0.2">
      <c r="B645" s="11"/>
      <c r="M645" s="10"/>
    </row>
    <row r="646" spans="2:13" ht="15.75" customHeight="1" x14ac:dyDescent="0.2">
      <c r="B646" s="11"/>
      <c r="M646" s="10"/>
    </row>
    <row r="647" spans="2:13" ht="15.75" customHeight="1" x14ac:dyDescent="0.2">
      <c r="B647" s="11"/>
      <c r="M647" s="10"/>
    </row>
    <row r="648" spans="2:13" ht="15.75" customHeight="1" x14ac:dyDescent="0.2">
      <c r="B648" s="11"/>
      <c r="M648" s="10"/>
    </row>
    <row r="649" spans="2:13" ht="15.75" customHeight="1" x14ac:dyDescent="0.2">
      <c r="B649" s="11"/>
      <c r="M649" s="10"/>
    </row>
    <row r="650" spans="2:13" ht="15.75" customHeight="1" x14ac:dyDescent="0.2">
      <c r="B650" s="11"/>
      <c r="M650" s="10"/>
    </row>
    <row r="651" spans="2:13" ht="15.75" customHeight="1" x14ac:dyDescent="0.2">
      <c r="B651" s="11"/>
      <c r="M651" s="10"/>
    </row>
    <row r="652" spans="2:13" ht="15.75" customHeight="1" x14ac:dyDescent="0.2">
      <c r="B652" s="11"/>
      <c r="M652" s="10"/>
    </row>
    <row r="653" spans="2:13" ht="15.75" customHeight="1" x14ac:dyDescent="0.2">
      <c r="B653" s="11"/>
      <c r="M653" s="10"/>
    </row>
    <row r="654" spans="2:13" ht="15.75" customHeight="1" x14ac:dyDescent="0.2">
      <c r="B654" s="11"/>
      <c r="M654" s="10"/>
    </row>
    <row r="655" spans="2:13" ht="15.75" customHeight="1" x14ac:dyDescent="0.2">
      <c r="B655" s="11"/>
      <c r="M655" s="10"/>
    </row>
    <row r="656" spans="2:13" ht="15.75" customHeight="1" x14ac:dyDescent="0.2">
      <c r="B656" s="11"/>
      <c r="M656" s="10"/>
    </row>
    <row r="657" spans="2:13" ht="15.75" customHeight="1" x14ac:dyDescent="0.2">
      <c r="B657" s="11"/>
      <c r="M657" s="10"/>
    </row>
    <row r="658" spans="2:13" ht="15.75" customHeight="1" x14ac:dyDescent="0.2">
      <c r="B658" s="11"/>
      <c r="M658" s="10"/>
    </row>
    <row r="659" spans="2:13" ht="15.75" customHeight="1" x14ac:dyDescent="0.2">
      <c r="B659" s="11"/>
      <c r="M659" s="10"/>
    </row>
    <row r="660" spans="2:13" ht="15.75" customHeight="1" x14ac:dyDescent="0.2">
      <c r="B660" s="11"/>
      <c r="M660" s="10"/>
    </row>
    <row r="661" spans="2:13" ht="15.75" customHeight="1" x14ac:dyDescent="0.2">
      <c r="B661" s="11"/>
      <c r="M661" s="10"/>
    </row>
    <row r="662" spans="2:13" ht="15.75" customHeight="1" x14ac:dyDescent="0.2">
      <c r="B662" s="11"/>
      <c r="M662" s="10"/>
    </row>
    <row r="663" spans="2:13" ht="15.75" customHeight="1" x14ac:dyDescent="0.2">
      <c r="B663" s="11"/>
      <c r="M663" s="10"/>
    </row>
    <row r="664" spans="2:13" ht="15.75" customHeight="1" x14ac:dyDescent="0.2">
      <c r="B664" s="11"/>
      <c r="M664" s="10"/>
    </row>
    <row r="665" spans="2:13" ht="15.75" customHeight="1" x14ac:dyDescent="0.2">
      <c r="B665" s="11"/>
      <c r="M665" s="10"/>
    </row>
    <row r="666" spans="2:13" ht="15.75" customHeight="1" x14ac:dyDescent="0.2">
      <c r="B666" s="11"/>
      <c r="M666" s="10"/>
    </row>
    <row r="667" spans="2:13" ht="15.75" customHeight="1" x14ac:dyDescent="0.2">
      <c r="B667" s="11"/>
      <c r="M667" s="10"/>
    </row>
    <row r="668" spans="2:13" ht="15.75" customHeight="1" x14ac:dyDescent="0.2">
      <c r="B668" s="11"/>
      <c r="M668" s="10"/>
    </row>
    <row r="669" spans="2:13" ht="15.75" customHeight="1" x14ac:dyDescent="0.2">
      <c r="B669" s="11"/>
      <c r="M669" s="10"/>
    </row>
    <row r="670" spans="2:13" ht="15.75" customHeight="1" x14ac:dyDescent="0.2">
      <c r="B670" s="11"/>
      <c r="M670" s="10"/>
    </row>
    <row r="671" spans="2:13" ht="15.75" customHeight="1" x14ac:dyDescent="0.2">
      <c r="B671" s="11"/>
      <c r="M671" s="10"/>
    </row>
    <row r="672" spans="2:13" ht="15.75" customHeight="1" x14ac:dyDescent="0.2">
      <c r="B672" s="11"/>
      <c r="M672" s="10"/>
    </row>
    <row r="673" spans="2:13" ht="15.75" customHeight="1" x14ac:dyDescent="0.2">
      <c r="B673" s="11"/>
      <c r="M673" s="10"/>
    </row>
    <row r="674" spans="2:13" ht="15.75" customHeight="1" x14ac:dyDescent="0.2">
      <c r="B674" s="11"/>
      <c r="M674" s="10"/>
    </row>
    <row r="675" spans="2:13" ht="15.75" customHeight="1" x14ac:dyDescent="0.2">
      <c r="B675" s="11"/>
      <c r="M675" s="10"/>
    </row>
    <row r="676" spans="2:13" ht="15.75" customHeight="1" x14ac:dyDescent="0.2">
      <c r="B676" s="11"/>
      <c r="M676" s="10"/>
    </row>
    <row r="677" spans="2:13" ht="15.75" customHeight="1" x14ac:dyDescent="0.2">
      <c r="B677" s="11"/>
      <c r="M677" s="10"/>
    </row>
    <row r="678" spans="2:13" ht="15.75" customHeight="1" x14ac:dyDescent="0.2">
      <c r="B678" s="11"/>
      <c r="M678" s="10"/>
    </row>
    <row r="679" spans="2:13" ht="15.75" customHeight="1" x14ac:dyDescent="0.2">
      <c r="B679" s="11"/>
      <c r="M679" s="10"/>
    </row>
    <row r="680" spans="2:13" ht="15.75" customHeight="1" x14ac:dyDescent="0.2">
      <c r="B680" s="11"/>
      <c r="M680" s="10"/>
    </row>
    <row r="681" spans="2:13" ht="15.75" customHeight="1" x14ac:dyDescent="0.2">
      <c r="B681" s="11"/>
      <c r="M681" s="10"/>
    </row>
    <row r="682" spans="2:13" ht="15.75" customHeight="1" x14ac:dyDescent="0.2">
      <c r="B682" s="11"/>
      <c r="M682" s="10"/>
    </row>
    <row r="683" spans="2:13" ht="15.75" customHeight="1" x14ac:dyDescent="0.2">
      <c r="B683" s="11"/>
      <c r="M683" s="10"/>
    </row>
    <row r="684" spans="2:13" ht="15.75" customHeight="1" x14ac:dyDescent="0.2">
      <c r="B684" s="11"/>
      <c r="M684" s="10"/>
    </row>
    <row r="685" spans="2:13" ht="15.75" customHeight="1" x14ac:dyDescent="0.2">
      <c r="B685" s="11"/>
      <c r="M685" s="10"/>
    </row>
    <row r="686" spans="2:13" ht="15.75" customHeight="1" x14ac:dyDescent="0.2">
      <c r="B686" s="11"/>
      <c r="M686" s="10"/>
    </row>
    <row r="687" spans="2:13" ht="15.75" customHeight="1" x14ac:dyDescent="0.2">
      <c r="B687" s="11"/>
      <c r="M687" s="10"/>
    </row>
    <row r="688" spans="2:13" ht="15.75" customHeight="1" x14ac:dyDescent="0.2">
      <c r="B688" s="11"/>
      <c r="M688" s="10"/>
    </row>
    <row r="689" spans="2:13" ht="15.75" customHeight="1" x14ac:dyDescent="0.2">
      <c r="B689" s="11"/>
      <c r="M689" s="10"/>
    </row>
    <row r="690" spans="2:13" ht="15.75" customHeight="1" x14ac:dyDescent="0.2">
      <c r="B690" s="11"/>
      <c r="M690" s="10"/>
    </row>
    <row r="691" spans="2:13" ht="15.75" customHeight="1" x14ac:dyDescent="0.2">
      <c r="B691" s="11"/>
      <c r="M691" s="10"/>
    </row>
    <row r="692" spans="2:13" ht="15.75" customHeight="1" x14ac:dyDescent="0.2">
      <c r="B692" s="11"/>
      <c r="M692" s="10"/>
    </row>
    <row r="693" spans="2:13" ht="15.75" customHeight="1" x14ac:dyDescent="0.2">
      <c r="B693" s="11"/>
      <c r="M693" s="10"/>
    </row>
    <row r="694" spans="2:13" ht="15.75" customHeight="1" x14ac:dyDescent="0.2">
      <c r="B694" s="11"/>
      <c r="M694" s="10"/>
    </row>
    <row r="695" spans="2:13" ht="15.75" customHeight="1" x14ac:dyDescent="0.2">
      <c r="B695" s="11"/>
      <c r="M695" s="10"/>
    </row>
    <row r="696" spans="2:13" ht="15.75" customHeight="1" x14ac:dyDescent="0.2">
      <c r="B696" s="11"/>
      <c r="M696" s="10"/>
    </row>
    <row r="697" spans="2:13" ht="15.75" customHeight="1" x14ac:dyDescent="0.2">
      <c r="B697" s="11"/>
      <c r="M697" s="10"/>
    </row>
    <row r="698" spans="2:13" ht="15.75" customHeight="1" x14ac:dyDescent="0.2">
      <c r="B698" s="11"/>
      <c r="M698" s="10"/>
    </row>
    <row r="699" spans="2:13" ht="15.75" customHeight="1" x14ac:dyDescent="0.2">
      <c r="B699" s="11"/>
      <c r="M699" s="10"/>
    </row>
    <row r="700" spans="2:13" ht="15.75" customHeight="1" x14ac:dyDescent="0.2">
      <c r="B700" s="11"/>
      <c r="M700" s="10"/>
    </row>
    <row r="701" spans="2:13" ht="15.75" customHeight="1" x14ac:dyDescent="0.2">
      <c r="B701" s="11"/>
      <c r="M701" s="10"/>
    </row>
    <row r="702" spans="2:13" ht="15.75" customHeight="1" x14ac:dyDescent="0.2">
      <c r="B702" s="11"/>
      <c r="M702" s="10"/>
    </row>
    <row r="703" spans="2:13" ht="15.75" customHeight="1" x14ac:dyDescent="0.2">
      <c r="B703" s="11"/>
      <c r="M703" s="10"/>
    </row>
    <row r="704" spans="2:13" ht="15.75" customHeight="1" x14ac:dyDescent="0.2">
      <c r="B704" s="11"/>
      <c r="M704" s="10"/>
    </row>
    <row r="705" spans="2:13" ht="15.75" customHeight="1" x14ac:dyDescent="0.2">
      <c r="B705" s="11"/>
      <c r="M705" s="10"/>
    </row>
    <row r="706" spans="2:13" ht="15.75" customHeight="1" x14ac:dyDescent="0.2">
      <c r="B706" s="11"/>
      <c r="M706" s="10"/>
    </row>
    <row r="707" spans="2:13" ht="15.75" customHeight="1" x14ac:dyDescent="0.2">
      <c r="B707" s="11"/>
      <c r="M707" s="10"/>
    </row>
    <row r="708" spans="2:13" ht="15.75" customHeight="1" x14ac:dyDescent="0.2">
      <c r="B708" s="11"/>
      <c r="M708" s="10"/>
    </row>
    <row r="709" spans="2:13" ht="15.75" customHeight="1" x14ac:dyDescent="0.2">
      <c r="B709" s="11"/>
      <c r="M709" s="10"/>
    </row>
    <row r="710" spans="2:13" ht="15.75" customHeight="1" x14ac:dyDescent="0.2">
      <c r="B710" s="11"/>
      <c r="M710" s="10"/>
    </row>
    <row r="711" spans="2:13" ht="15.75" customHeight="1" x14ac:dyDescent="0.2">
      <c r="B711" s="11"/>
      <c r="M711" s="10"/>
    </row>
    <row r="712" spans="2:13" ht="15.75" customHeight="1" x14ac:dyDescent="0.2">
      <c r="B712" s="11"/>
      <c r="M712" s="10"/>
    </row>
    <row r="713" spans="2:13" ht="15.75" customHeight="1" x14ac:dyDescent="0.2">
      <c r="B713" s="11"/>
      <c r="M713" s="10"/>
    </row>
    <row r="714" spans="2:13" ht="15.75" customHeight="1" x14ac:dyDescent="0.2">
      <c r="B714" s="11"/>
      <c r="M714" s="10"/>
    </row>
    <row r="715" spans="2:13" ht="15.75" customHeight="1" x14ac:dyDescent="0.2">
      <c r="B715" s="11"/>
      <c r="M715" s="10"/>
    </row>
    <row r="716" spans="2:13" ht="15.75" customHeight="1" x14ac:dyDescent="0.2">
      <c r="B716" s="11"/>
      <c r="M716" s="10"/>
    </row>
    <row r="717" spans="2:13" ht="15.75" customHeight="1" x14ac:dyDescent="0.2">
      <c r="B717" s="11"/>
      <c r="M717" s="10"/>
    </row>
    <row r="718" spans="2:13" ht="15.75" customHeight="1" x14ac:dyDescent="0.2">
      <c r="B718" s="11"/>
      <c r="M718" s="10"/>
    </row>
    <row r="719" spans="2:13" ht="15.75" customHeight="1" x14ac:dyDescent="0.2">
      <c r="B719" s="11"/>
      <c r="M719" s="10"/>
    </row>
    <row r="720" spans="2:13" ht="15.75" customHeight="1" x14ac:dyDescent="0.2">
      <c r="B720" s="11"/>
      <c r="M720" s="10"/>
    </row>
    <row r="721" spans="2:13" ht="15.75" customHeight="1" x14ac:dyDescent="0.2">
      <c r="B721" s="11"/>
      <c r="M721" s="10"/>
    </row>
    <row r="722" spans="2:13" ht="15.75" customHeight="1" x14ac:dyDescent="0.2">
      <c r="B722" s="11"/>
      <c r="M722" s="10"/>
    </row>
    <row r="723" spans="2:13" ht="15.75" customHeight="1" x14ac:dyDescent="0.2">
      <c r="B723" s="11"/>
      <c r="M723" s="10"/>
    </row>
    <row r="724" spans="2:13" ht="15.75" customHeight="1" x14ac:dyDescent="0.2">
      <c r="B724" s="11"/>
      <c r="M724" s="10"/>
    </row>
    <row r="725" spans="2:13" ht="15.75" customHeight="1" x14ac:dyDescent="0.2">
      <c r="B725" s="11"/>
      <c r="M725" s="10"/>
    </row>
    <row r="726" spans="2:13" ht="15.75" customHeight="1" x14ac:dyDescent="0.2">
      <c r="B726" s="11"/>
      <c r="M726" s="10"/>
    </row>
    <row r="727" spans="2:13" ht="15.75" customHeight="1" x14ac:dyDescent="0.2">
      <c r="B727" s="11"/>
      <c r="M727" s="10"/>
    </row>
    <row r="728" spans="2:13" ht="15.75" customHeight="1" x14ac:dyDescent="0.2">
      <c r="B728" s="11"/>
      <c r="M728" s="10"/>
    </row>
    <row r="729" spans="2:13" ht="15.75" customHeight="1" x14ac:dyDescent="0.2">
      <c r="B729" s="11"/>
      <c r="M729" s="10"/>
    </row>
    <row r="730" spans="2:13" ht="15.75" customHeight="1" x14ac:dyDescent="0.2">
      <c r="B730" s="11"/>
      <c r="M730" s="10"/>
    </row>
    <row r="731" spans="2:13" ht="15.75" customHeight="1" x14ac:dyDescent="0.2">
      <c r="B731" s="11"/>
      <c r="M731" s="10"/>
    </row>
    <row r="732" spans="2:13" ht="15.75" customHeight="1" x14ac:dyDescent="0.2">
      <c r="B732" s="11"/>
      <c r="M732" s="10"/>
    </row>
    <row r="733" spans="2:13" ht="15.75" customHeight="1" x14ac:dyDescent="0.2">
      <c r="B733" s="11"/>
      <c r="M733" s="10"/>
    </row>
    <row r="734" spans="2:13" ht="15.75" customHeight="1" x14ac:dyDescent="0.2">
      <c r="B734" s="11"/>
      <c r="M734" s="10"/>
    </row>
    <row r="735" spans="2:13" ht="15.75" customHeight="1" x14ac:dyDescent="0.2">
      <c r="B735" s="11"/>
      <c r="M735" s="10"/>
    </row>
    <row r="736" spans="2:13" ht="15.75" customHeight="1" x14ac:dyDescent="0.2">
      <c r="B736" s="11"/>
      <c r="M736" s="10"/>
    </row>
    <row r="737" spans="2:13" ht="15.75" customHeight="1" x14ac:dyDescent="0.2">
      <c r="B737" s="11"/>
      <c r="M737" s="10"/>
    </row>
    <row r="738" spans="2:13" ht="15.75" customHeight="1" x14ac:dyDescent="0.2">
      <c r="B738" s="11"/>
      <c r="M738" s="10"/>
    </row>
    <row r="739" spans="2:13" ht="15.75" customHeight="1" x14ac:dyDescent="0.2">
      <c r="B739" s="11"/>
      <c r="M739" s="10"/>
    </row>
    <row r="740" spans="2:13" ht="15.75" customHeight="1" x14ac:dyDescent="0.2">
      <c r="B740" s="11"/>
      <c r="M740" s="10"/>
    </row>
    <row r="741" spans="2:13" ht="15.75" customHeight="1" x14ac:dyDescent="0.2">
      <c r="B741" s="11"/>
      <c r="M741" s="10"/>
    </row>
    <row r="742" spans="2:13" ht="15.75" customHeight="1" x14ac:dyDescent="0.2">
      <c r="B742" s="11"/>
      <c r="M742" s="10"/>
    </row>
    <row r="743" spans="2:13" ht="15.75" customHeight="1" x14ac:dyDescent="0.2">
      <c r="B743" s="11"/>
      <c r="M743" s="10"/>
    </row>
    <row r="744" spans="2:13" ht="15.75" customHeight="1" x14ac:dyDescent="0.2">
      <c r="B744" s="11"/>
      <c r="M744" s="10"/>
    </row>
    <row r="745" spans="2:13" ht="15.75" customHeight="1" x14ac:dyDescent="0.2">
      <c r="B745" s="11"/>
      <c r="M745" s="10"/>
    </row>
    <row r="746" spans="2:13" ht="15.75" customHeight="1" x14ac:dyDescent="0.2">
      <c r="B746" s="11"/>
      <c r="M746" s="10"/>
    </row>
    <row r="747" spans="2:13" ht="15.75" customHeight="1" x14ac:dyDescent="0.2">
      <c r="B747" s="11"/>
      <c r="M747" s="10"/>
    </row>
    <row r="748" spans="2:13" ht="15.75" customHeight="1" x14ac:dyDescent="0.2">
      <c r="B748" s="11"/>
      <c r="M748" s="10"/>
    </row>
    <row r="749" spans="2:13" ht="15.75" customHeight="1" x14ac:dyDescent="0.2">
      <c r="B749" s="11"/>
      <c r="M749" s="10"/>
    </row>
    <row r="750" spans="2:13" ht="15.75" customHeight="1" x14ac:dyDescent="0.2">
      <c r="B750" s="11"/>
      <c r="M750" s="10"/>
    </row>
    <row r="751" spans="2:13" ht="15.75" customHeight="1" x14ac:dyDescent="0.2">
      <c r="B751" s="11"/>
      <c r="M751" s="10"/>
    </row>
    <row r="752" spans="2:13" ht="15.75" customHeight="1" x14ac:dyDescent="0.2">
      <c r="B752" s="11"/>
      <c r="M752" s="10"/>
    </row>
    <row r="753" spans="2:13" ht="15.75" customHeight="1" x14ac:dyDescent="0.2">
      <c r="B753" s="11"/>
      <c r="M753" s="10"/>
    </row>
    <row r="754" spans="2:13" ht="15.75" customHeight="1" x14ac:dyDescent="0.2">
      <c r="B754" s="11"/>
      <c r="M754" s="10"/>
    </row>
    <row r="755" spans="2:13" ht="15.75" customHeight="1" x14ac:dyDescent="0.2">
      <c r="B755" s="11"/>
      <c r="M755" s="10"/>
    </row>
    <row r="756" spans="2:13" ht="15.75" customHeight="1" x14ac:dyDescent="0.2">
      <c r="B756" s="11"/>
      <c r="M756" s="10"/>
    </row>
    <row r="757" spans="2:13" ht="15.75" customHeight="1" x14ac:dyDescent="0.2">
      <c r="B757" s="11"/>
      <c r="M757" s="10"/>
    </row>
    <row r="758" spans="2:13" ht="15.75" customHeight="1" x14ac:dyDescent="0.2">
      <c r="B758" s="11"/>
      <c r="M758" s="10"/>
    </row>
    <row r="759" spans="2:13" ht="15.75" customHeight="1" x14ac:dyDescent="0.2">
      <c r="B759" s="11"/>
      <c r="M759" s="10"/>
    </row>
    <row r="760" spans="2:13" ht="15.75" customHeight="1" x14ac:dyDescent="0.2">
      <c r="B760" s="11"/>
      <c r="M760" s="10"/>
    </row>
    <row r="761" spans="2:13" ht="15.75" customHeight="1" x14ac:dyDescent="0.2">
      <c r="B761" s="11"/>
      <c r="M761" s="10"/>
    </row>
    <row r="762" spans="2:13" ht="15.75" customHeight="1" x14ac:dyDescent="0.2">
      <c r="B762" s="11"/>
      <c r="M762" s="10"/>
    </row>
    <row r="763" spans="2:13" ht="15.75" customHeight="1" x14ac:dyDescent="0.2">
      <c r="B763" s="11"/>
      <c r="M763" s="10"/>
    </row>
    <row r="764" spans="2:13" ht="15.75" customHeight="1" x14ac:dyDescent="0.2">
      <c r="B764" s="11"/>
      <c r="M764" s="10"/>
    </row>
    <row r="765" spans="2:13" ht="15.75" customHeight="1" x14ac:dyDescent="0.2">
      <c r="B765" s="11"/>
      <c r="M765" s="10"/>
    </row>
    <row r="766" spans="2:13" ht="15.75" customHeight="1" x14ac:dyDescent="0.2">
      <c r="B766" s="11"/>
      <c r="M766" s="10"/>
    </row>
    <row r="767" spans="2:13" ht="15.75" customHeight="1" x14ac:dyDescent="0.2">
      <c r="B767" s="11"/>
      <c r="M767" s="10"/>
    </row>
    <row r="768" spans="2:13" ht="15.75" customHeight="1" x14ac:dyDescent="0.2">
      <c r="B768" s="11"/>
      <c r="M768" s="10"/>
    </row>
    <row r="769" spans="2:13" ht="15.75" customHeight="1" x14ac:dyDescent="0.2">
      <c r="B769" s="11"/>
      <c r="M769" s="10"/>
    </row>
    <row r="770" spans="2:13" ht="15.75" customHeight="1" x14ac:dyDescent="0.2">
      <c r="B770" s="11"/>
      <c r="M770" s="10"/>
    </row>
    <row r="771" spans="2:13" ht="15.75" customHeight="1" x14ac:dyDescent="0.2">
      <c r="B771" s="11"/>
      <c r="M771" s="10"/>
    </row>
    <row r="772" spans="2:13" ht="15.75" customHeight="1" x14ac:dyDescent="0.2">
      <c r="B772" s="11"/>
      <c r="M772" s="10"/>
    </row>
    <row r="773" spans="2:13" ht="15.75" customHeight="1" x14ac:dyDescent="0.2">
      <c r="B773" s="11"/>
      <c r="M773" s="10"/>
    </row>
    <row r="774" spans="2:13" ht="15.75" customHeight="1" x14ac:dyDescent="0.2">
      <c r="B774" s="11"/>
      <c r="M774" s="10"/>
    </row>
    <row r="775" spans="2:13" ht="15.75" customHeight="1" x14ac:dyDescent="0.2">
      <c r="B775" s="11"/>
      <c r="M775" s="10"/>
    </row>
    <row r="776" spans="2:13" ht="15.75" customHeight="1" x14ac:dyDescent="0.2">
      <c r="B776" s="11"/>
      <c r="M776" s="10"/>
    </row>
    <row r="777" spans="2:13" ht="15.75" customHeight="1" x14ac:dyDescent="0.2">
      <c r="B777" s="11"/>
      <c r="M777" s="10"/>
    </row>
    <row r="778" spans="2:13" ht="15.75" customHeight="1" x14ac:dyDescent="0.2">
      <c r="B778" s="11"/>
      <c r="M778" s="10"/>
    </row>
    <row r="779" spans="2:13" ht="15.75" customHeight="1" x14ac:dyDescent="0.2">
      <c r="B779" s="11"/>
      <c r="M779" s="10"/>
    </row>
    <row r="780" spans="2:13" ht="15.75" customHeight="1" x14ac:dyDescent="0.2">
      <c r="B780" s="11"/>
      <c r="M780" s="10"/>
    </row>
    <row r="781" spans="2:13" ht="15.75" customHeight="1" x14ac:dyDescent="0.2">
      <c r="B781" s="11"/>
      <c r="M781" s="10"/>
    </row>
    <row r="782" spans="2:13" ht="15.75" customHeight="1" x14ac:dyDescent="0.2">
      <c r="B782" s="11"/>
      <c r="M782" s="10"/>
    </row>
    <row r="783" spans="2:13" ht="15.75" customHeight="1" x14ac:dyDescent="0.2">
      <c r="B783" s="11"/>
      <c r="M783" s="10"/>
    </row>
    <row r="784" spans="2:13" ht="15.75" customHeight="1" x14ac:dyDescent="0.2">
      <c r="B784" s="11"/>
      <c r="M784" s="10"/>
    </row>
    <row r="785" spans="2:13" ht="15.75" customHeight="1" x14ac:dyDescent="0.2">
      <c r="B785" s="11"/>
      <c r="M785" s="10"/>
    </row>
    <row r="786" spans="2:13" ht="15.75" customHeight="1" x14ac:dyDescent="0.2">
      <c r="B786" s="11"/>
      <c r="M786" s="10"/>
    </row>
    <row r="787" spans="2:13" ht="15.75" customHeight="1" x14ac:dyDescent="0.2">
      <c r="B787" s="11"/>
      <c r="M787" s="10"/>
    </row>
    <row r="788" spans="2:13" ht="15.75" customHeight="1" x14ac:dyDescent="0.2">
      <c r="B788" s="11"/>
      <c r="M788" s="10"/>
    </row>
    <row r="789" spans="2:13" ht="15.75" customHeight="1" x14ac:dyDescent="0.2">
      <c r="B789" s="11"/>
      <c r="M789" s="10"/>
    </row>
    <row r="790" spans="2:13" ht="15.75" customHeight="1" x14ac:dyDescent="0.2">
      <c r="B790" s="11"/>
      <c r="M790" s="10"/>
    </row>
    <row r="791" spans="2:13" ht="15.75" customHeight="1" x14ac:dyDescent="0.2">
      <c r="B791" s="11"/>
      <c r="M791" s="10"/>
    </row>
    <row r="792" spans="2:13" ht="15.75" customHeight="1" x14ac:dyDescent="0.2">
      <c r="B792" s="11"/>
      <c r="M792" s="10"/>
    </row>
    <row r="793" spans="2:13" ht="15.75" customHeight="1" x14ac:dyDescent="0.2">
      <c r="B793" s="11"/>
      <c r="M793" s="10"/>
    </row>
    <row r="794" spans="2:13" ht="15.75" customHeight="1" x14ac:dyDescent="0.2">
      <c r="B794" s="11"/>
      <c r="M794" s="10"/>
    </row>
    <row r="795" spans="2:13" ht="15.75" customHeight="1" x14ac:dyDescent="0.2">
      <c r="B795" s="11"/>
      <c r="M795" s="10"/>
    </row>
    <row r="796" spans="2:13" ht="15.75" customHeight="1" x14ac:dyDescent="0.2">
      <c r="B796" s="11"/>
      <c r="M796" s="10"/>
    </row>
    <row r="797" spans="2:13" ht="15.75" customHeight="1" x14ac:dyDescent="0.2">
      <c r="B797" s="11"/>
      <c r="M797" s="10"/>
    </row>
    <row r="798" spans="2:13" ht="15.75" customHeight="1" x14ac:dyDescent="0.2">
      <c r="B798" s="11"/>
      <c r="M798" s="10"/>
    </row>
    <row r="799" spans="2:13" ht="15.75" customHeight="1" x14ac:dyDescent="0.2">
      <c r="B799" s="11"/>
      <c r="M799" s="10"/>
    </row>
    <row r="800" spans="2:13" ht="15.75" customHeight="1" x14ac:dyDescent="0.2">
      <c r="B800" s="11"/>
      <c r="M800" s="10"/>
    </row>
    <row r="801" spans="2:13" ht="15.75" customHeight="1" x14ac:dyDescent="0.2">
      <c r="B801" s="11"/>
      <c r="M801" s="10"/>
    </row>
    <row r="802" spans="2:13" ht="15.75" customHeight="1" x14ac:dyDescent="0.2">
      <c r="B802" s="11"/>
      <c r="M802" s="10"/>
    </row>
    <row r="803" spans="2:13" ht="15.75" customHeight="1" x14ac:dyDescent="0.2">
      <c r="B803" s="11"/>
      <c r="M803" s="10"/>
    </row>
    <row r="804" spans="2:13" ht="15.75" customHeight="1" x14ac:dyDescent="0.2">
      <c r="B804" s="11"/>
      <c r="M804" s="10"/>
    </row>
    <row r="805" spans="2:13" ht="15.75" customHeight="1" x14ac:dyDescent="0.2">
      <c r="B805" s="11"/>
      <c r="M805" s="10"/>
    </row>
    <row r="806" spans="2:13" ht="15.75" customHeight="1" x14ac:dyDescent="0.2">
      <c r="B806" s="11"/>
      <c r="M806" s="10"/>
    </row>
    <row r="807" spans="2:13" ht="15.75" customHeight="1" x14ac:dyDescent="0.2">
      <c r="B807" s="11"/>
      <c r="M807" s="10"/>
    </row>
    <row r="808" spans="2:13" ht="15.75" customHeight="1" x14ac:dyDescent="0.2">
      <c r="B808" s="11"/>
      <c r="M808" s="10"/>
    </row>
    <row r="809" spans="2:13" ht="15.75" customHeight="1" x14ac:dyDescent="0.2">
      <c r="B809" s="11"/>
      <c r="M809" s="10"/>
    </row>
    <row r="810" spans="2:13" ht="15.75" customHeight="1" x14ac:dyDescent="0.2">
      <c r="B810" s="11"/>
      <c r="M810" s="10"/>
    </row>
    <row r="811" spans="2:13" ht="15.75" customHeight="1" x14ac:dyDescent="0.2">
      <c r="B811" s="11"/>
      <c r="M811" s="10"/>
    </row>
    <row r="812" spans="2:13" ht="15.75" customHeight="1" x14ac:dyDescent="0.2">
      <c r="B812" s="11"/>
      <c r="M812" s="10"/>
    </row>
    <row r="813" spans="2:13" ht="15.75" customHeight="1" x14ac:dyDescent="0.2">
      <c r="B813" s="11"/>
      <c r="M813" s="10"/>
    </row>
    <row r="814" spans="2:13" ht="15.75" customHeight="1" x14ac:dyDescent="0.2">
      <c r="B814" s="11"/>
      <c r="M814" s="10"/>
    </row>
    <row r="815" spans="2:13" ht="15.75" customHeight="1" x14ac:dyDescent="0.2">
      <c r="B815" s="11"/>
      <c r="M815" s="10"/>
    </row>
    <row r="816" spans="2:13" ht="15.75" customHeight="1" x14ac:dyDescent="0.2">
      <c r="B816" s="11"/>
      <c r="M816" s="10"/>
    </row>
    <row r="817" spans="2:13" ht="15.75" customHeight="1" x14ac:dyDescent="0.2">
      <c r="B817" s="11"/>
      <c r="M817" s="10"/>
    </row>
    <row r="818" spans="2:13" ht="15.75" customHeight="1" x14ac:dyDescent="0.2">
      <c r="B818" s="11"/>
      <c r="M818" s="10"/>
    </row>
    <row r="819" spans="2:13" ht="15.75" customHeight="1" x14ac:dyDescent="0.2">
      <c r="B819" s="11"/>
      <c r="M819" s="10"/>
    </row>
    <row r="820" spans="2:13" ht="15.75" customHeight="1" x14ac:dyDescent="0.2">
      <c r="B820" s="11"/>
      <c r="M820" s="10"/>
    </row>
    <row r="821" spans="2:13" ht="15.75" customHeight="1" x14ac:dyDescent="0.2">
      <c r="B821" s="11"/>
      <c r="M821" s="10"/>
    </row>
    <row r="822" spans="2:13" ht="15.75" customHeight="1" x14ac:dyDescent="0.2">
      <c r="B822" s="11"/>
      <c r="M822" s="10"/>
    </row>
    <row r="823" spans="2:13" ht="15.75" customHeight="1" x14ac:dyDescent="0.2">
      <c r="B823" s="11"/>
      <c r="M823" s="10"/>
    </row>
    <row r="824" spans="2:13" ht="15.75" customHeight="1" x14ac:dyDescent="0.2">
      <c r="B824" s="11"/>
      <c r="M824" s="10"/>
    </row>
    <row r="825" spans="2:13" ht="15.75" customHeight="1" x14ac:dyDescent="0.2">
      <c r="B825" s="11"/>
      <c r="M825" s="10"/>
    </row>
    <row r="826" spans="2:13" ht="15.75" customHeight="1" x14ac:dyDescent="0.2">
      <c r="B826" s="11"/>
      <c r="M826" s="10"/>
    </row>
    <row r="827" spans="2:13" ht="15.75" customHeight="1" x14ac:dyDescent="0.2">
      <c r="B827" s="11"/>
      <c r="M827" s="10"/>
    </row>
    <row r="828" spans="2:13" ht="15.75" customHeight="1" x14ac:dyDescent="0.2">
      <c r="B828" s="11"/>
      <c r="M828" s="10"/>
    </row>
    <row r="829" spans="2:13" ht="15.75" customHeight="1" x14ac:dyDescent="0.2">
      <c r="B829" s="11"/>
      <c r="M829" s="10"/>
    </row>
    <row r="830" spans="2:13" ht="15.75" customHeight="1" x14ac:dyDescent="0.2">
      <c r="B830" s="11"/>
      <c r="M830" s="10"/>
    </row>
    <row r="831" spans="2:13" ht="15.75" customHeight="1" x14ac:dyDescent="0.2">
      <c r="B831" s="11"/>
      <c r="M831" s="10"/>
    </row>
    <row r="832" spans="2:13" ht="15.75" customHeight="1" x14ac:dyDescent="0.2">
      <c r="B832" s="11"/>
      <c r="M832" s="10"/>
    </row>
    <row r="833" spans="2:13" ht="15.75" customHeight="1" x14ac:dyDescent="0.2">
      <c r="B833" s="11"/>
      <c r="M833" s="10"/>
    </row>
    <row r="834" spans="2:13" ht="15.75" customHeight="1" x14ac:dyDescent="0.2">
      <c r="B834" s="11"/>
      <c r="M834" s="10"/>
    </row>
    <row r="835" spans="2:13" ht="15.75" customHeight="1" x14ac:dyDescent="0.2">
      <c r="B835" s="11"/>
      <c r="M835" s="10"/>
    </row>
    <row r="836" spans="2:13" ht="15.75" customHeight="1" x14ac:dyDescent="0.2">
      <c r="B836" s="11"/>
      <c r="M836" s="10"/>
    </row>
    <row r="837" spans="2:13" ht="15.75" customHeight="1" x14ac:dyDescent="0.2">
      <c r="B837" s="11"/>
      <c r="M837" s="10"/>
    </row>
    <row r="838" spans="2:13" ht="15.75" customHeight="1" x14ac:dyDescent="0.2">
      <c r="B838" s="11"/>
      <c r="M838" s="10"/>
    </row>
    <row r="839" spans="2:13" ht="15.75" customHeight="1" x14ac:dyDescent="0.2">
      <c r="B839" s="11"/>
      <c r="M839" s="10"/>
    </row>
    <row r="840" spans="2:13" ht="15.75" customHeight="1" x14ac:dyDescent="0.2">
      <c r="B840" s="11"/>
      <c r="M840" s="10"/>
    </row>
    <row r="841" spans="2:13" ht="15.75" customHeight="1" x14ac:dyDescent="0.2">
      <c r="B841" s="11"/>
      <c r="M841" s="10"/>
    </row>
    <row r="842" spans="2:13" ht="15.75" customHeight="1" x14ac:dyDescent="0.2">
      <c r="B842" s="11"/>
      <c r="M842" s="10"/>
    </row>
    <row r="843" spans="2:13" ht="15.75" customHeight="1" x14ac:dyDescent="0.2">
      <c r="B843" s="11"/>
      <c r="M843" s="10"/>
    </row>
    <row r="844" spans="2:13" ht="15.75" customHeight="1" x14ac:dyDescent="0.2">
      <c r="B844" s="11"/>
      <c r="M844" s="10"/>
    </row>
    <row r="845" spans="2:13" ht="15.75" customHeight="1" x14ac:dyDescent="0.2">
      <c r="B845" s="11"/>
      <c r="M845" s="10"/>
    </row>
    <row r="846" spans="2:13" ht="15.75" customHeight="1" x14ac:dyDescent="0.2">
      <c r="B846" s="11"/>
      <c r="M846" s="10"/>
    </row>
    <row r="847" spans="2:13" ht="15.75" customHeight="1" x14ac:dyDescent="0.2">
      <c r="B847" s="11"/>
      <c r="M847" s="10"/>
    </row>
    <row r="848" spans="2:13" ht="15.75" customHeight="1" x14ac:dyDescent="0.2">
      <c r="B848" s="11"/>
      <c r="M848" s="10"/>
    </row>
    <row r="849" spans="2:13" ht="15.75" customHeight="1" x14ac:dyDescent="0.2">
      <c r="B849" s="11"/>
      <c r="M849" s="10"/>
    </row>
    <row r="850" spans="2:13" ht="15.75" customHeight="1" x14ac:dyDescent="0.2">
      <c r="B850" s="11"/>
      <c r="M850" s="10"/>
    </row>
    <row r="851" spans="2:13" ht="15.75" customHeight="1" x14ac:dyDescent="0.2">
      <c r="B851" s="11"/>
      <c r="M851" s="10"/>
    </row>
    <row r="852" spans="2:13" ht="15.75" customHeight="1" x14ac:dyDescent="0.2">
      <c r="B852" s="11"/>
      <c r="M852" s="10"/>
    </row>
    <row r="853" spans="2:13" ht="15.75" customHeight="1" x14ac:dyDescent="0.2">
      <c r="B853" s="11"/>
      <c r="M853" s="10"/>
    </row>
    <row r="854" spans="2:13" ht="15.75" customHeight="1" x14ac:dyDescent="0.2">
      <c r="B854" s="11"/>
      <c r="M854" s="10"/>
    </row>
    <row r="855" spans="2:13" ht="15.75" customHeight="1" x14ac:dyDescent="0.2">
      <c r="B855" s="11"/>
      <c r="M855" s="10"/>
    </row>
    <row r="856" spans="2:13" ht="15.75" customHeight="1" x14ac:dyDescent="0.2">
      <c r="B856" s="11"/>
      <c r="M856" s="10"/>
    </row>
    <row r="857" spans="2:13" ht="15.75" customHeight="1" x14ac:dyDescent="0.2">
      <c r="B857" s="11"/>
      <c r="M857" s="10"/>
    </row>
    <row r="858" spans="2:13" ht="15.75" customHeight="1" x14ac:dyDescent="0.2">
      <c r="B858" s="11"/>
      <c r="M858" s="10"/>
    </row>
    <row r="859" spans="2:13" ht="15.75" customHeight="1" x14ac:dyDescent="0.2">
      <c r="B859" s="11"/>
      <c r="M859" s="10"/>
    </row>
    <row r="860" spans="2:13" ht="15.75" customHeight="1" x14ac:dyDescent="0.2">
      <c r="B860" s="11"/>
      <c r="M860" s="10"/>
    </row>
    <row r="861" spans="2:13" ht="15.75" customHeight="1" x14ac:dyDescent="0.2">
      <c r="B861" s="11"/>
      <c r="M861" s="10"/>
    </row>
    <row r="862" spans="2:13" ht="15.75" customHeight="1" x14ac:dyDescent="0.2">
      <c r="B862" s="11"/>
      <c r="M862" s="10"/>
    </row>
    <row r="863" spans="2:13" ht="15.75" customHeight="1" x14ac:dyDescent="0.2">
      <c r="B863" s="11"/>
      <c r="M863" s="10"/>
    </row>
    <row r="864" spans="2:13" ht="15.75" customHeight="1" x14ac:dyDescent="0.2">
      <c r="B864" s="11"/>
      <c r="M864" s="10"/>
    </row>
    <row r="865" spans="2:13" ht="15.75" customHeight="1" x14ac:dyDescent="0.2">
      <c r="B865" s="11"/>
      <c r="M865" s="10"/>
    </row>
    <row r="866" spans="2:13" ht="15.75" customHeight="1" x14ac:dyDescent="0.2">
      <c r="B866" s="11"/>
      <c r="M866" s="10"/>
    </row>
    <row r="867" spans="2:13" ht="15.75" customHeight="1" x14ac:dyDescent="0.2">
      <c r="B867" s="11"/>
      <c r="M867" s="10"/>
    </row>
    <row r="868" spans="2:13" ht="15.75" customHeight="1" x14ac:dyDescent="0.2">
      <c r="B868" s="11"/>
      <c r="M868" s="10"/>
    </row>
    <row r="869" spans="2:13" ht="15.75" customHeight="1" x14ac:dyDescent="0.2">
      <c r="B869" s="11"/>
      <c r="M869" s="10"/>
    </row>
    <row r="870" spans="2:13" ht="15.75" customHeight="1" x14ac:dyDescent="0.2">
      <c r="B870" s="11"/>
      <c r="M870" s="10"/>
    </row>
    <row r="871" spans="2:13" ht="15.75" customHeight="1" x14ac:dyDescent="0.2">
      <c r="B871" s="11"/>
      <c r="M871" s="10"/>
    </row>
    <row r="872" spans="2:13" ht="15.75" customHeight="1" x14ac:dyDescent="0.2">
      <c r="B872" s="11"/>
      <c r="M872" s="10"/>
    </row>
    <row r="873" spans="2:13" ht="15.75" customHeight="1" x14ac:dyDescent="0.2">
      <c r="B873" s="11"/>
      <c r="M873" s="10"/>
    </row>
    <row r="874" spans="2:13" ht="15.75" customHeight="1" x14ac:dyDescent="0.2">
      <c r="B874" s="11"/>
      <c r="M874" s="10"/>
    </row>
    <row r="875" spans="2:13" ht="15.75" customHeight="1" x14ac:dyDescent="0.2">
      <c r="B875" s="11"/>
      <c r="M875" s="10"/>
    </row>
    <row r="876" spans="2:13" ht="15.75" customHeight="1" x14ac:dyDescent="0.2">
      <c r="B876" s="11"/>
      <c r="M876" s="10"/>
    </row>
    <row r="877" spans="2:13" ht="15.75" customHeight="1" x14ac:dyDescent="0.2">
      <c r="B877" s="11"/>
      <c r="M877" s="10"/>
    </row>
    <row r="878" spans="2:13" ht="15.75" customHeight="1" x14ac:dyDescent="0.2">
      <c r="B878" s="11"/>
      <c r="M878" s="10"/>
    </row>
    <row r="879" spans="2:13" ht="15.75" customHeight="1" x14ac:dyDescent="0.2">
      <c r="B879" s="11"/>
      <c r="M879" s="10"/>
    </row>
    <row r="880" spans="2:13" ht="15.75" customHeight="1" x14ac:dyDescent="0.2">
      <c r="B880" s="11"/>
      <c r="M880" s="10"/>
    </row>
    <row r="881" spans="2:13" ht="15.75" customHeight="1" x14ac:dyDescent="0.2">
      <c r="B881" s="11"/>
      <c r="M881" s="10"/>
    </row>
    <row r="882" spans="2:13" ht="15.75" customHeight="1" x14ac:dyDescent="0.2">
      <c r="B882" s="11"/>
      <c r="M882" s="10"/>
    </row>
    <row r="883" spans="2:13" ht="15.75" customHeight="1" x14ac:dyDescent="0.2">
      <c r="B883" s="11"/>
      <c r="M883" s="10"/>
    </row>
    <row r="884" spans="2:13" ht="15.75" customHeight="1" x14ac:dyDescent="0.2">
      <c r="B884" s="11"/>
      <c r="M884" s="10"/>
    </row>
    <row r="885" spans="2:13" ht="15.75" customHeight="1" x14ac:dyDescent="0.2">
      <c r="B885" s="11"/>
      <c r="M885" s="10"/>
    </row>
    <row r="886" spans="2:13" ht="15.75" customHeight="1" x14ac:dyDescent="0.2">
      <c r="B886" s="11"/>
      <c r="M886" s="10"/>
    </row>
    <row r="887" spans="2:13" ht="15.75" customHeight="1" x14ac:dyDescent="0.2">
      <c r="B887" s="11"/>
      <c r="M887" s="10"/>
    </row>
    <row r="888" spans="2:13" ht="15.75" customHeight="1" x14ac:dyDescent="0.2">
      <c r="B888" s="11"/>
      <c r="M888" s="10"/>
    </row>
    <row r="889" spans="2:13" ht="15.75" customHeight="1" x14ac:dyDescent="0.2">
      <c r="B889" s="11"/>
      <c r="M889" s="10"/>
    </row>
    <row r="890" spans="2:13" ht="15.75" customHeight="1" x14ac:dyDescent="0.2">
      <c r="B890" s="11"/>
      <c r="M890" s="10"/>
    </row>
    <row r="891" spans="2:13" ht="15.75" customHeight="1" x14ac:dyDescent="0.2">
      <c r="B891" s="11"/>
      <c r="M891" s="10"/>
    </row>
    <row r="892" spans="2:13" ht="15.75" customHeight="1" x14ac:dyDescent="0.2">
      <c r="B892" s="11"/>
      <c r="M892" s="10"/>
    </row>
    <row r="893" spans="2:13" ht="15.75" customHeight="1" x14ac:dyDescent="0.2">
      <c r="B893" s="11"/>
      <c r="M893" s="10"/>
    </row>
    <row r="894" spans="2:13" ht="15.75" customHeight="1" x14ac:dyDescent="0.2">
      <c r="B894" s="11"/>
      <c r="M894" s="10"/>
    </row>
    <row r="895" spans="2:13" ht="15.75" customHeight="1" x14ac:dyDescent="0.2">
      <c r="B895" s="11"/>
      <c r="M895" s="10"/>
    </row>
    <row r="896" spans="2:13" ht="15.75" customHeight="1" x14ac:dyDescent="0.2">
      <c r="B896" s="11"/>
      <c r="M896" s="10"/>
    </row>
    <row r="897" spans="2:13" ht="15.75" customHeight="1" x14ac:dyDescent="0.2">
      <c r="B897" s="11"/>
      <c r="M897" s="10"/>
    </row>
    <row r="898" spans="2:13" ht="15.75" customHeight="1" x14ac:dyDescent="0.2">
      <c r="B898" s="11"/>
      <c r="M898" s="10"/>
    </row>
    <row r="899" spans="2:13" ht="15.75" customHeight="1" x14ac:dyDescent="0.2">
      <c r="B899" s="11"/>
      <c r="M899" s="10"/>
    </row>
    <row r="900" spans="2:13" ht="15.75" customHeight="1" x14ac:dyDescent="0.2">
      <c r="B900" s="11"/>
      <c r="M900" s="10"/>
    </row>
    <row r="901" spans="2:13" ht="15.75" customHeight="1" x14ac:dyDescent="0.2">
      <c r="B901" s="11"/>
      <c r="M901" s="10"/>
    </row>
    <row r="902" spans="2:13" ht="15.75" customHeight="1" x14ac:dyDescent="0.2">
      <c r="B902" s="11"/>
      <c r="M902" s="10"/>
    </row>
    <row r="903" spans="2:13" ht="15.75" customHeight="1" x14ac:dyDescent="0.2">
      <c r="B903" s="11"/>
      <c r="M903" s="10"/>
    </row>
    <row r="904" spans="2:13" ht="15.75" customHeight="1" x14ac:dyDescent="0.2">
      <c r="B904" s="11"/>
      <c r="M904" s="10"/>
    </row>
    <row r="905" spans="2:13" ht="15.75" customHeight="1" x14ac:dyDescent="0.2">
      <c r="B905" s="11"/>
      <c r="M905" s="10"/>
    </row>
    <row r="906" spans="2:13" ht="15.75" customHeight="1" x14ac:dyDescent="0.2">
      <c r="B906" s="11"/>
      <c r="M906" s="10"/>
    </row>
    <row r="907" spans="2:13" ht="15.75" customHeight="1" x14ac:dyDescent="0.2">
      <c r="B907" s="11"/>
      <c r="M907" s="10"/>
    </row>
    <row r="908" spans="2:13" ht="15.75" customHeight="1" x14ac:dyDescent="0.2">
      <c r="B908" s="11"/>
      <c r="M908" s="10"/>
    </row>
    <row r="909" spans="2:13" ht="15.75" customHeight="1" x14ac:dyDescent="0.2">
      <c r="B909" s="11"/>
      <c r="M909" s="10"/>
    </row>
    <row r="910" spans="2:13" ht="15.75" customHeight="1" x14ac:dyDescent="0.2">
      <c r="B910" s="11"/>
      <c r="M910" s="10"/>
    </row>
    <row r="911" spans="2:13" ht="15.75" customHeight="1" x14ac:dyDescent="0.2">
      <c r="B911" s="11"/>
      <c r="M911" s="10"/>
    </row>
    <row r="912" spans="2:13" ht="15.75" customHeight="1" x14ac:dyDescent="0.2">
      <c r="B912" s="11"/>
      <c r="M912" s="10"/>
    </row>
    <row r="913" spans="2:13" ht="15.75" customHeight="1" x14ac:dyDescent="0.2">
      <c r="B913" s="11"/>
      <c r="M913" s="10"/>
    </row>
    <row r="914" spans="2:13" ht="15.75" customHeight="1" x14ac:dyDescent="0.2">
      <c r="B914" s="11"/>
      <c r="M914" s="10"/>
    </row>
    <row r="915" spans="2:13" ht="15.75" customHeight="1" x14ac:dyDescent="0.2">
      <c r="B915" s="11"/>
      <c r="M915" s="10"/>
    </row>
    <row r="916" spans="2:13" ht="15.75" customHeight="1" x14ac:dyDescent="0.2">
      <c r="B916" s="11"/>
      <c r="M916" s="10"/>
    </row>
    <row r="917" spans="2:13" ht="15.75" customHeight="1" x14ac:dyDescent="0.2">
      <c r="B917" s="11"/>
      <c r="M917" s="10"/>
    </row>
    <row r="918" spans="2:13" ht="15.75" customHeight="1" x14ac:dyDescent="0.2">
      <c r="B918" s="11"/>
      <c r="M918" s="10"/>
    </row>
    <row r="919" spans="2:13" ht="15.75" customHeight="1" x14ac:dyDescent="0.2">
      <c r="B919" s="11"/>
      <c r="M919" s="10"/>
    </row>
    <row r="920" spans="2:13" ht="15.75" customHeight="1" x14ac:dyDescent="0.2">
      <c r="B920" s="11"/>
      <c r="M920" s="10"/>
    </row>
    <row r="921" spans="2:13" ht="15.75" customHeight="1" x14ac:dyDescent="0.2">
      <c r="B921" s="11"/>
      <c r="M921" s="10"/>
    </row>
    <row r="922" spans="2:13" ht="15.75" customHeight="1" x14ac:dyDescent="0.2">
      <c r="B922" s="11"/>
      <c r="M922" s="10"/>
    </row>
    <row r="923" spans="2:13" ht="15.75" customHeight="1" x14ac:dyDescent="0.2">
      <c r="B923" s="11"/>
      <c r="M923" s="10"/>
    </row>
    <row r="924" spans="2:13" ht="15.75" customHeight="1" x14ac:dyDescent="0.2">
      <c r="B924" s="11"/>
      <c r="M924" s="10"/>
    </row>
    <row r="925" spans="2:13" ht="15.75" customHeight="1" x14ac:dyDescent="0.2">
      <c r="B925" s="11"/>
      <c r="M925" s="10"/>
    </row>
    <row r="926" spans="2:13" ht="15.75" customHeight="1" x14ac:dyDescent="0.2">
      <c r="B926" s="11"/>
      <c r="M926" s="10"/>
    </row>
    <row r="927" spans="2:13" ht="15.75" customHeight="1" x14ac:dyDescent="0.2">
      <c r="B927" s="11"/>
      <c r="M927" s="10"/>
    </row>
    <row r="928" spans="2:13" ht="15.75" customHeight="1" x14ac:dyDescent="0.2">
      <c r="B928" s="11"/>
      <c r="M928" s="10"/>
    </row>
    <row r="929" spans="2:13" ht="15.75" customHeight="1" x14ac:dyDescent="0.2">
      <c r="B929" s="11"/>
      <c r="M929" s="10"/>
    </row>
    <row r="930" spans="2:13" ht="15.75" customHeight="1" x14ac:dyDescent="0.2">
      <c r="B930" s="11"/>
      <c r="M930" s="10"/>
    </row>
    <row r="931" spans="2:13" ht="15.75" customHeight="1" x14ac:dyDescent="0.2">
      <c r="B931" s="11"/>
      <c r="M931" s="10"/>
    </row>
    <row r="932" spans="2:13" ht="15.75" customHeight="1" x14ac:dyDescent="0.2">
      <c r="B932" s="11"/>
      <c r="M932" s="10"/>
    </row>
    <row r="933" spans="2:13" ht="15.75" customHeight="1" x14ac:dyDescent="0.2">
      <c r="B933" s="11"/>
      <c r="M933" s="10"/>
    </row>
    <row r="934" spans="2:13" ht="15.75" customHeight="1" x14ac:dyDescent="0.2">
      <c r="B934" s="11"/>
      <c r="M934" s="10"/>
    </row>
    <row r="935" spans="2:13" ht="15.75" customHeight="1" x14ac:dyDescent="0.2">
      <c r="B935" s="11"/>
      <c r="M935" s="10"/>
    </row>
    <row r="936" spans="2:13" ht="15.75" customHeight="1" x14ac:dyDescent="0.2">
      <c r="B936" s="11"/>
      <c r="M936" s="10"/>
    </row>
    <row r="937" spans="2:13" ht="15.75" customHeight="1" x14ac:dyDescent="0.2">
      <c r="B937" s="11"/>
      <c r="M937" s="10"/>
    </row>
    <row r="938" spans="2:13" ht="15.75" customHeight="1" x14ac:dyDescent="0.2">
      <c r="B938" s="11"/>
      <c r="M938" s="10"/>
    </row>
    <row r="939" spans="2:13" ht="15.75" customHeight="1" x14ac:dyDescent="0.2">
      <c r="B939" s="11"/>
      <c r="M939" s="10"/>
    </row>
    <row r="940" spans="2:13" ht="15.75" customHeight="1" x14ac:dyDescent="0.2">
      <c r="B940" s="11"/>
      <c r="M940" s="10"/>
    </row>
    <row r="941" spans="2:13" ht="15.75" customHeight="1" x14ac:dyDescent="0.2">
      <c r="B941" s="11"/>
      <c r="M941" s="10"/>
    </row>
    <row r="942" spans="2:13" ht="15.75" customHeight="1" x14ac:dyDescent="0.2">
      <c r="B942" s="11"/>
      <c r="M942" s="10"/>
    </row>
    <row r="943" spans="2:13" ht="15.75" customHeight="1" x14ac:dyDescent="0.2">
      <c r="B943" s="11"/>
      <c r="M943" s="10"/>
    </row>
    <row r="944" spans="2:13" ht="15.75" customHeight="1" x14ac:dyDescent="0.2">
      <c r="B944" s="11"/>
      <c r="M944" s="10"/>
    </row>
    <row r="945" spans="2:13" ht="15.75" customHeight="1" x14ac:dyDescent="0.2">
      <c r="B945" s="11"/>
      <c r="M945" s="10"/>
    </row>
    <row r="946" spans="2:13" ht="15.75" customHeight="1" x14ac:dyDescent="0.2">
      <c r="B946" s="11"/>
      <c r="M946" s="10"/>
    </row>
    <row r="947" spans="2:13" ht="15.75" customHeight="1" x14ac:dyDescent="0.2">
      <c r="B947" s="11"/>
      <c r="M947" s="10"/>
    </row>
    <row r="948" spans="2:13" ht="15.75" customHeight="1" x14ac:dyDescent="0.2">
      <c r="B948" s="11"/>
      <c r="M948" s="10"/>
    </row>
    <row r="949" spans="2:13" ht="15.75" customHeight="1" x14ac:dyDescent="0.2">
      <c r="B949" s="11"/>
      <c r="M949" s="10"/>
    </row>
    <row r="950" spans="2:13" ht="15.75" customHeight="1" x14ac:dyDescent="0.2">
      <c r="B950" s="11"/>
      <c r="M950" s="10"/>
    </row>
    <row r="951" spans="2:13" ht="15.75" customHeight="1" x14ac:dyDescent="0.2">
      <c r="B951" s="11"/>
      <c r="M951" s="10"/>
    </row>
    <row r="952" spans="2:13" ht="15.75" customHeight="1" x14ac:dyDescent="0.2">
      <c r="B952" s="11"/>
      <c r="M952" s="10"/>
    </row>
    <row r="953" spans="2:13" ht="15.75" customHeight="1" x14ac:dyDescent="0.2">
      <c r="B953" s="11"/>
      <c r="M953" s="10"/>
    </row>
    <row r="954" spans="2:13" ht="15.75" customHeight="1" x14ac:dyDescent="0.2">
      <c r="B954" s="11"/>
      <c r="M954" s="10"/>
    </row>
    <row r="955" spans="2:13" ht="15.75" customHeight="1" x14ac:dyDescent="0.2">
      <c r="B955" s="11"/>
      <c r="M955" s="10"/>
    </row>
    <row r="956" spans="2:13" ht="15.75" customHeight="1" x14ac:dyDescent="0.2">
      <c r="B956" s="11"/>
      <c r="M956" s="10"/>
    </row>
    <row r="957" spans="2:13" ht="15.75" customHeight="1" x14ac:dyDescent="0.2">
      <c r="B957" s="11"/>
      <c r="M957" s="10"/>
    </row>
    <row r="958" spans="2:13" ht="15.75" customHeight="1" x14ac:dyDescent="0.2">
      <c r="B958" s="11"/>
      <c r="M958" s="10"/>
    </row>
    <row r="959" spans="2:13" ht="15.75" customHeight="1" x14ac:dyDescent="0.2">
      <c r="B959" s="11"/>
      <c r="M959" s="10"/>
    </row>
    <row r="960" spans="2:13" ht="15.75" customHeight="1" x14ac:dyDescent="0.2">
      <c r="B960" s="11"/>
      <c r="M960" s="10"/>
    </row>
    <row r="961" spans="2:13" ht="15.75" customHeight="1" x14ac:dyDescent="0.2">
      <c r="B961" s="11"/>
      <c r="M961" s="10"/>
    </row>
    <row r="962" spans="2:13" ht="15.75" customHeight="1" x14ac:dyDescent="0.2">
      <c r="B962" s="11"/>
      <c r="M962" s="10"/>
    </row>
    <row r="963" spans="2:13" ht="15.75" customHeight="1" x14ac:dyDescent="0.2">
      <c r="B963" s="11"/>
      <c r="M963" s="10"/>
    </row>
    <row r="964" spans="2:13" ht="15.75" customHeight="1" x14ac:dyDescent="0.2">
      <c r="B964" s="11"/>
      <c r="M964" s="10"/>
    </row>
    <row r="965" spans="2:13" ht="15.75" customHeight="1" x14ac:dyDescent="0.2">
      <c r="B965" s="11"/>
      <c r="M965" s="10"/>
    </row>
    <row r="966" spans="2:13" ht="15.75" customHeight="1" x14ac:dyDescent="0.2">
      <c r="B966" s="11"/>
      <c r="M966" s="10"/>
    </row>
    <row r="967" spans="2:13" ht="15.75" customHeight="1" x14ac:dyDescent="0.2">
      <c r="B967" s="11"/>
      <c r="M967" s="10"/>
    </row>
    <row r="968" spans="2:13" ht="15.75" customHeight="1" x14ac:dyDescent="0.2">
      <c r="B968" s="11"/>
      <c r="M968" s="10"/>
    </row>
    <row r="969" spans="2:13" ht="15.75" customHeight="1" x14ac:dyDescent="0.2">
      <c r="B969" s="11"/>
      <c r="M969" s="10"/>
    </row>
    <row r="970" spans="2:13" ht="15.75" customHeight="1" x14ac:dyDescent="0.2">
      <c r="B970" s="11"/>
      <c r="M970" s="10"/>
    </row>
    <row r="971" spans="2:13" ht="15.75" customHeight="1" x14ac:dyDescent="0.2">
      <c r="B971" s="11"/>
      <c r="M971" s="10"/>
    </row>
    <row r="972" spans="2:13" ht="15.75" customHeight="1" x14ac:dyDescent="0.2">
      <c r="B972" s="11"/>
      <c r="M972" s="10"/>
    </row>
    <row r="973" spans="2:13" ht="15.75" customHeight="1" x14ac:dyDescent="0.2">
      <c r="B973" s="11"/>
      <c r="M973" s="10"/>
    </row>
    <row r="974" spans="2:13" ht="15.75" customHeight="1" x14ac:dyDescent="0.2">
      <c r="B974" s="11"/>
      <c r="M974" s="10"/>
    </row>
    <row r="975" spans="2:13" ht="15.75" customHeight="1" x14ac:dyDescent="0.2">
      <c r="B975" s="11"/>
      <c r="M975" s="10"/>
    </row>
    <row r="976" spans="2:13" ht="15.75" customHeight="1" x14ac:dyDescent="0.2">
      <c r="B976" s="11"/>
      <c r="M976" s="10"/>
    </row>
    <row r="977" spans="2:13" ht="15.75" customHeight="1" x14ac:dyDescent="0.2">
      <c r="B977" s="11"/>
      <c r="M977" s="10"/>
    </row>
    <row r="978" spans="2:13" ht="15.75" customHeight="1" x14ac:dyDescent="0.2">
      <c r="B978" s="11"/>
      <c r="M978" s="10"/>
    </row>
    <row r="979" spans="2:13" ht="15.75" customHeight="1" x14ac:dyDescent="0.2">
      <c r="B979" s="11"/>
      <c r="M979" s="10"/>
    </row>
    <row r="980" spans="2:13" ht="15.75" customHeight="1" x14ac:dyDescent="0.2">
      <c r="B980" s="11"/>
      <c r="M980" s="10"/>
    </row>
    <row r="981" spans="2:13" ht="15.75" customHeight="1" x14ac:dyDescent="0.2">
      <c r="B981" s="11"/>
      <c r="M981" s="10"/>
    </row>
    <row r="982" spans="2:13" ht="15.75" customHeight="1" x14ac:dyDescent="0.2">
      <c r="B982" s="11"/>
      <c r="M982" s="10"/>
    </row>
    <row r="983" spans="2:13" ht="15.75" customHeight="1" x14ac:dyDescent="0.2">
      <c r="B983" s="11"/>
      <c r="M983" s="10"/>
    </row>
    <row r="984" spans="2:13" ht="15.75" customHeight="1" x14ac:dyDescent="0.2">
      <c r="B984" s="11"/>
      <c r="M984" s="10"/>
    </row>
    <row r="985" spans="2:13" ht="15.75" customHeight="1" x14ac:dyDescent="0.2">
      <c r="B985" s="11"/>
      <c r="M985" s="10"/>
    </row>
    <row r="986" spans="2:13" ht="15.75" customHeight="1" x14ac:dyDescent="0.2">
      <c r="B986" s="11"/>
      <c r="M986" s="10"/>
    </row>
    <row r="987" spans="2:13" ht="15.75" customHeight="1" x14ac:dyDescent="0.2">
      <c r="B987" s="11"/>
      <c r="M987" s="10"/>
    </row>
    <row r="988" spans="2:13" ht="15.75" customHeight="1" x14ac:dyDescent="0.2">
      <c r="B988" s="11"/>
      <c r="M988" s="10"/>
    </row>
    <row r="989" spans="2:13" ht="15.75" customHeight="1" x14ac:dyDescent="0.2">
      <c r="B989" s="11"/>
      <c r="M989" s="10"/>
    </row>
    <row r="990" spans="2:13" ht="15.75" customHeight="1" x14ac:dyDescent="0.2">
      <c r="B990" s="11"/>
      <c r="M990" s="10"/>
    </row>
    <row r="991" spans="2:13" ht="15.75" customHeight="1" x14ac:dyDescent="0.2">
      <c r="B991" s="11"/>
      <c r="M991" s="10"/>
    </row>
    <row r="992" spans="2:13" ht="15.75" customHeight="1" x14ac:dyDescent="0.2">
      <c r="B992" s="11"/>
      <c r="M992" s="10"/>
    </row>
    <row r="993" spans="2:13" ht="15.75" customHeight="1" x14ac:dyDescent="0.2">
      <c r="B993" s="11"/>
      <c r="M993" s="10"/>
    </row>
    <row r="994" spans="2:13" ht="15.75" customHeight="1" x14ac:dyDescent="0.2">
      <c r="B994" s="11"/>
      <c r="M994" s="10"/>
    </row>
    <row r="995" spans="2:13" ht="15.75" customHeight="1" x14ac:dyDescent="0.2">
      <c r="B995" s="11"/>
      <c r="M995" s="10"/>
    </row>
    <row r="996" spans="2:13" ht="15.75" customHeight="1" x14ac:dyDescent="0.2">
      <c r="B996" s="11"/>
      <c r="M996" s="10"/>
    </row>
    <row r="997" spans="2:13" ht="15.75" customHeight="1" x14ac:dyDescent="0.2">
      <c r="B997" s="11"/>
      <c r="M997" s="10"/>
    </row>
    <row r="998" spans="2:13" ht="15.75" customHeight="1" x14ac:dyDescent="0.2">
      <c r="B998" s="11"/>
      <c r="M998" s="10"/>
    </row>
    <row r="999" spans="2:13" ht="15.75" customHeight="1" x14ac:dyDescent="0.2">
      <c r="B999" s="11"/>
      <c r="M999" s="10"/>
    </row>
    <row r="1000" spans="2:13" ht="15.75" customHeight="1" x14ac:dyDescent="0.2">
      <c r="B1000" s="11"/>
      <c r="M1000" s="1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73"/>
  <sheetViews>
    <sheetView workbookViewId="0"/>
  </sheetViews>
  <sheetFormatPr baseColWidth="10" defaultColWidth="10.140625" defaultRowHeight="15" customHeight="1" x14ac:dyDescent="0.2"/>
  <sheetData>
    <row r="1" spans="1:29" x14ac:dyDescent="0.2">
      <c r="A1" s="7" t="s">
        <v>67</v>
      </c>
      <c r="B1" s="7" t="s">
        <v>68</v>
      </c>
      <c r="C1" s="7" t="s">
        <v>69</v>
      </c>
      <c r="D1" s="7" t="s">
        <v>70</v>
      </c>
      <c r="E1" s="7" t="s">
        <v>71</v>
      </c>
      <c r="F1" s="11" t="s">
        <v>72</v>
      </c>
      <c r="G1" s="7" t="s">
        <v>73</v>
      </c>
      <c r="H1" s="7" t="s">
        <v>74</v>
      </c>
      <c r="I1" s="7" t="s">
        <v>75</v>
      </c>
      <c r="J1" s="7" t="s">
        <v>76</v>
      </c>
      <c r="K1" s="7" t="s">
        <v>77</v>
      </c>
      <c r="L1" s="7" t="s">
        <v>78</v>
      </c>
      <c r="M1" s="7" t="s">
        <v>79</v>
      </c>
      <c r="N1" s="7" t="s">
        <v>80</v>
      </c>
      <c r="O1" s="7" t="s">
        <v>81</v>
      </c>
      <c r="P1" s="7" t="s">
        <v>82</v>
      </c>
      <c r="Q1" s="7" t="s">
        <v>83</v>
      </c>
      <c r="R1" s="7" t="s">
        <v>84</v>
      </c>
      <c r="S1" s="7" t="s">
        <v>85</v>
      </c>
      <c r="T1" s="7" t="s">
        <v>86</v>
      </c>
      <c r="U1" s="7" t="s">
        <v>87</v>
      </c>
      <c r="V1" s="7" t="s">
        <v>88</v>
      </c>
      <c r="W1" s="7" t="s">
        <v>89</v>
      </c>
      <c r="X1" s="7" t="s">
        <v>90</v>
      </c>
      <c r="Y1" s="7" t="s">
        <v>91</v>
      </c>
      <c r="Z1" s="7" t="s">
        <v>92</v>
      </c>
      <c r="AA1" s="7" t="s">
        <v>93</v>
      </c>
      <c r="AB1" s="7" t="s">
        <v>94</v>
      </c>
    </row>
    <row r="2" spans="1:29" x14ac:dyDescent="0.2">
      <c r="A2" s="7">
        <v>22024</v>
      </c>
      <c r="B2" s="7">
        <v>1610612745</v>
      </c>
      <c r="C2" s="7" t="s">
        <v>95</v>
      </c>
      <c r="D2" s="7" t="s">
        <v>96</v>
      </c>
      <c r="E2" s="7">
        <v>22401143</v>
      </c>
      <c r="F2" s="11">
        <v>45753</v>
      </c>
      <c r="G2" s="7" t="s">
        <v>97</v>
      </c>
      <c r="H2" s="7" t="s">
        <v>98</v>
      </c>
      <c r="I2" s="7">
        <v>240</v>
      </c>
      <c r="J2" s="7">
        <v>106</v>
      </c>
      <c r="K2" s="7">
        <v>45</v>
      </c>
      <c r="L2" s="7">
        <v>93</v>
      </c>
      <c r="M2" s="7">
        <v>0.48399999999999999</v>
      </c>
      <c r="N2" s="7">
        <v>10</v>
      </c>
      <c r="O2" s="7">
        <v>30</v>
      </c>
      <c r="P2" s="7">
        <v>0.33300000000000002</v>
      </c>
      <c r="Q2" s="7">
        <v>6</v>
      </c>
      <c r="R2" s="7">
        <v>16</v>
      </c>
      <c r="S2" s="7">
        <v>0.375</v>
      </c>
      <c r="T2" s="7">
        <v>16</v>
      </c>
      <c r="U2" s="7">
        <v>33</v>
      </c>
      <c r="V2" s="7">
        <v>49</v>
      </c>
      <c r="W2" s="7">
        <v>26</v>
      </c>
      <c r="X2" s="7">
        <v>11</v>
      </c>
      <c r="Y2" s="7">
        <v>7</v>
      </c>
      <c r="Z2" s="7">
        <v>15</v>
      </c>
      <c r="AA2" s="7">
        <v>15</v>
      </c>
      <c r="AB2" s="7">
        <v>10</v>
      </c>
      <c r="AC2" s="7">
        <v>45753</v>
      </c>
    </row>
    <row r="3" spans="1:29" x14ac:dyDescent="0.2">
      <c r="A3" s="7">
        <v>22024</v>
      </c>
      <c r="B3" s="7">
        <v>1610612745</v>
      </c>
      <c r="C3" s="7" t="s">
        <v>95</v>
      </c>
      <c r="D3" s="7" t="s">
        <v>96</v>
      </c>
      <c r="E3" s="7">
        <v>22401123</v>
      </c>
      <c r="F3" s="11">
        <v>45751</v>
      </c>
      <c r="G3" s="7" t="s">
        <v>99</v>
      </c>
      <c r="H3" s="7" t="s">
        <v>98</v>
      </c>
      <c r="I3" s="7">
        <v>241</v>
      </c>
      <c r="J3" s="7">
        <v>125</v>
      </c>
      <c r="K3" s="7">
        <v>45</v>
      </c>
      <c r="L3" s="7">
        <v>92</v>
      </c>
      <c r="M3" s="7">
        <v>0.48899999999999999</v>
      </c>
      <c r="N3" s="7">
        <v>13</v>
      </c>
      <c r="O3" s="7">
        <v>29</v>
      </c>
      <c r="P3" s="7">
        <v>0.44800000000000001</v>
      </c>
      <c r="Q3" s="7">
        <v>22</v>
      </c>
      <c r="R3" s="7">
        <v>26</v>
      </c>
      <c r="S3" s="7">
        <v>0.84599999999999997</v>
      </c>
      <c r="T3" s="7">
        <v>14</v>
      </c>
      <c r="U3" s="7">
        <v>34</v>
      </c>
      <c r="V3" s="7">
        <v>48</v>
      </c>
      <c r="W3" s="7">
        <v>24</v>
      </c>
      <c r="X3" s="7">
        <v>10</v>
      </c>
      <c r="Y3" s="7">
        <v>5</v>
      </c>
      <c r="Z3" s="7">
        <v>13</v>
      </c>
      <c r="AA3" s="7">
        <v>16</v>
      </c>
      <c r="AB3" s="7">
        <v>14</v>
      </c>
      <c r="AC3" s="7">
        <v>45751</v>
      </c>
    </row>
    <row r="4" spans="1:29" x14ac:dyDescent="0.2">
      <c r="A4" s="7">
        <v>22024</v>
      </c>
      <c r="B4" s="7">
        <v>1610612745</v>
      </c>
      <c r="C4" s="7" t="s">
        <v>95</v>
      </c>
      <c r="D4" s="7" t="s">
        <v>96</v>
      </c>
      <c r="E4" s="7">
        <v>22401107</v>
      </c>
      <c r="F4" s="11">
        <v>45749</v>
      </c>
      <c r="G4" s="7" t="s">
        <v>100</v>
      </c>
      <c r="H4" s="7" t="s">
        <v>98</v>
      </c>
      <c r="I4" s="7">
        <v>241</v>
      </c>
      <c r="J4" s="7">
        <v>143</v>
      </c>
      <c r="K4" s="7">
        <v>56</v>
      </c>
      <c r="L4" s="7">
        <v>104</v>
      </c>
      <c r="M4" s="7">
        <v>0.53800000000000003</v>
      </c>
      <c r="N4" s="7">
        <v>19</v>
      </c>
      <c r="O4" s="7">
        <v>45</v>
      </c>
      <c r="P4" s="7">
        <v>0.42199999999999999</v>
      </c>
      <c r="Q4" s="7">
        <v>12</v>
      </c>
      <c r="R4" s="7">
        <v>19</v>
      </c>
      <c r="S4" s="7">
        <v>0.63200000000000001</v>
      </c>
      <c r="T4" s="7">
        <v>18</v>
      </c>
      <c r="U4" s="7">
        <v>45</v>
      </c>
      <c r="V4" s="7">
        <v>63</v>
      </c>
      <c r="W4" s="7">
        <v>30</v>
      </c>
      <c r="X4" s="7">
        <v>4</v>
      </c>
      <c r="Y4" s="7">
        <v>6</v>
      </c>
      <c r="Z4" s="7">
        <v>10</v>
      </c>
      <c r="AA4" s="7">
        <v>18</v>
      </c>
      <c r="AB4" s="7">
        <v>38</v>
      </c>
      <c r="AC4" s="7">
        <v>45749</v>
      </c>
    </row>
    <row r="5" spans="1:29" x14ac:dyDescent="0.2">
      <c r="A5" s="7">
        <v>22024</v>
      </c>
      <c r="B5" s="7">
        <v>1610612745</v>
      </c>
      <c r="C5" s="7" t="s">
        <v>95</v>
      </c>
      <c r="D5" s="7" t="s">
        <v>96</v>
      </c>
      <c r="E5" s="7">
        <v>22401096</v>
      </c>
      <c r="F5" s="11">
        <v>45747</v>
      </c>
      <c r="G5" s="7" t="s">
        <v>101</v>
      </c>
      <c r="H5" s="7" t="s">
        <v>102</v>
      </c>
      <c r="I5" s="7">
        <v>241</v>
      </c>
      <c r="J5" s="7">
        <v>98</v>
      </c>
      <c r="K5" s="7">
        <v>37</v>
      </c>
      <c r="L5" s="7">
        <v>89</v>
      </c>
      <c r="M5" s="7">
        <v>0.41599999999999998</v>
      </c>
      <c r="N5" s="7">
        <v>10</v>
      </c>
      <c r="O5" s="7">
        <v>32</v>
      </c>
      <c r="P5" s="7">
        <v>0.313</v>
      </c>
      <c r="Q5" s="7">
        <v>14</v>
      </c>
      <c r="R5" s="7">
        <v>17</v>
      </c>
      <c r="S5" s="7">
        <v>0.82399999999999995</v>
      </c>
      <c r="T5" s="7">
        <v>10</v>
      </c>
      <c r="U5" s="7">
        <v>41</v>
      </c>
      <c r="V5" s="7">
        <v>51</v>
      </c>
      <c r="W5" s="7">
        <v>26</v>
      </c>
      <c r="X5" s="7">
        <v>7</v>
      </c>
      <c r="Y5" s="7">
        <v>5</v>
      </c>
      <c r="Z5" s="7">
        <v>15</v>
      </c>
      <c r="AA5" s="7">
        <v>20</v>
      </c>
      <c r="AB5" s="7">
        <v>-6</v>
      </c>
      <c r="AC5" s="7">
        <v>45747</v>
      </c>
    </row>
    <row r="6" spans="1:29" x14ac:dyDescent="0.2">
      <c r="A6" s="7">
        <v>22024</v>
      </c>
      <c r="B6" s="7">
        <v>1610612745</v>
      </c>
      <c r="C6" s="7" t="s">
        <v>95</v>
      </c>
      <c r="D6" s="7" t="s">
        <v>96</v>
      </c>
      <c r="E6" s="7">
        <v>22401088</v>
      </c>
      <c r="F6" s="11">
        <v>45746</v>
      </c>
      <c r="G6" s="7" t="s">
        <v>103</v>
      </c>
      <c r="H6" s="7" t="s">
        <v>98</v>
      </c>
      <c r="I6" s="7">
        <v>240</v>
      </c>
      <c r="J6" s="7">
        <v>148</v>
      </c>
      <c r="K6" s="7">
        <v>56</v>
      </c>
      <c r="L6" s="7">
        <v>98</v>
      </c>
      <c r="M6" s="7">
        <v>0.57099999999999995</v>
      </c>
      <c r="N6" s="7">
        <v>18</v>
      </c>
      <c r="O6" s="7">
        <v>31</v>
      </c>
      <c r="P6" s="7">
        <v>0.58099999999999996</v>
      </c>
      <c r="Q6" s="7">
        <v>18</v>
      </c>
      <c r="R6" s="7">
        <v>25</v>
      </c>
      <c r="S6" s="7">
        <v>0.72</v>
      </c>
      <c r="T6" s="7">
        <v>13</v>
      </c>
      <c r="U6" s="7">
        <v>32</v>
      </c>
      <c r="V6" s="7">
        <v>45</v>
      </c>
      <c r="W6" s="7">
        <v>37</v>
      </c>
      <c r="X6" s="7">
        <v>14</v>
      </c>
      <c r="Y6" s="7">
        <v>4</v>
      </c>
      <c r="Z6" s="7">
        <v>9</v>
      </c>
      <c r="AA6" s="7">
        <v>15</v>
      </c>
      <c r="AB6" s="7">
        <v>39</v>
      </c>
      <c r="AC6" s="7">
        <v>45746</v>
      </c>
    </row>
    <row r="7" spans="1:29" x14ac:dyDescent="0.2">
      <c r="A7" s="7">
        <v>22024</v>
      </c>
      <c r="B7" s="7">
        <v>1610612745</v>
      </c>
      <c r="C7" s="7" t="s">
        <v>95</v>
      </c>
      <c r="D7" s="7" t="s">
        <v>96</v>
      </c>
      <c r="E7" s="7">
        <v>22401065</v>
      </c>
      <c r="F7" s="11">
        <v>45743</v>
      </c>
      <c r="G7" s="7" t="s">
        <v>104</v>
      </c>
      <c r="H7" s="7" t="s">
        <v>98</v>
      </c>
      <c r="I7" s="7">
        <v>239</v>
      </c>
      <c r="J7" s="7">
        <v>121</v>
      </c>
      <c r="K7" s="7">
        <v>47</v>
      </c>
      <c r="L7" s="7">
        <v>102</v>
      </c>
      <c r="M7" s="7">
        <v>0.46100000000000002</v>
      </c>
      <c r="N7" s="7">
        <v>12</v>
      </c>
      <c r="O7" s="7">
        <v>37</v>
      </c>
      <c r="P7" s="7">
        <v>0.32400000000000001</v>
      </c>
      <c r="Q7" s="7">
        <v>15</v>
      </c>
      <c r="R7" s="7">
        <v>19</v>
      </c>
      <c r="S7" s="7">
        <v>0.78900000000000003</v>
      </c>
      <c r="T7" s="7">
        <v>18</v>
      </c>
      <c r="U7" s="7">
        <v>33</v>
      </c>
      <c r="V7" s="7">
        <v>51</v>
      </c>
      <c r="W7" s="7">
        <v>26</v>
      </c>
      <c r="X7" s="7">
        <v>7</v>
      </c>
      <c r="Y7" s="7">
        <v>5</v>
      </c>
      <c r="Z7" s="7">
        <v>9</v>
      </c>
      <c r="AA7" s="7">
        <v>14</v>
      </c>
      <c r="AB7" s="7">
        <v>11</v>
      </c>
      <c r="AC7" s="7">
        <v>45743</v>
      </c>
    </row>
    <row r="8" spans="1:29" x14ac:dyDescent="0.2">
      <c r="A8" s="7">
        <v>22024</v>
      </c>
      <c r="B8" s="7">
        <v>1610612745</v>
      </c>
      <c r="C8" s="7" t="s">
        <v>95</v>
      </c>
      <c r="D8" s="7" t="s">
        <v>96</v>
      </c>
      <c r="E8" s="7">
        <v>22401049</v>
      </c>
      <c r="F8" s="11">
        <v>45741</v>
      </c>
      <c r="G8" s="7" t="s">
        <v>105</v>
      </c>
      <c r="H8" s="7" t="s">
        <v>98</v>
      </c>
      <c r="I8" s="7">
        <v>240</v>
      </c>
      <c r="J8" s="7">
        <v>121</v>
      </c>
      <c r="K8" s="7">
        <v>42</v>
      </c>
      <c r="L8" s="7">
        <v>93</v>
      </c>
      <c r="M8" s="7">
        <v>0.45200000000000001</v>
      </c>
      <c r="N8" s="7">
        <v>11</v>
      </c>
      <c r="O8" s="7">
        <v>39</v>
      </c>
      <c r="P8" s="7">
        <v>0.28199999999999997</v>
      </c>
      <c r="Q8" s="7">
        <v>26</v>
      </c>
      <c r="R8" s="7">
        <v>29</v>
      </c>
      <c r="S8" s="7">
        <v>0.89700000000000002</v>
      </c>
      <c r="T8" s="7">
        <v>14</v>
      </c>
      <c r="U8" s="7">
        <v>37</v>
      </c>
      <c r="V8" s="7">
        <v>51</v>
      </c>
      <c r="W8" s="7">
        <v>17</v>
      </c>
      <c r="X8" s="7">
        <v>8</v>
      </c>
      <c r="Y8" s="7">
        <v>2</v>
      </c>
      <c r="Z8" s="7">
        <v>13</v>
      </c>
      <c r="AA8" s="7">
        <v>12</v>
      </c>
      <c r="AB8" s="7">
        <v>7</v>
      </c>
      <c r="AC8" s="7">
        <v>45741</v>
      </c>
    </row>
    <row r="9" spans="1:29" x14ac:dyDescent="0.2">
      <c r="A9" s="7">
        <v>22024</v>
      </c>
      <c r="B9" s="7">
        <v>1610612745</v>
      </c>
      <c r="C9" s="7" t="s">
        <v>95</v>
      </c>
      <c r="D9" s="7" t="s">
        <v>96</v>
      </c>
      <c r="E9" s="7">
        <v>22401035</v>
      </c>
      <c r="F9" s="11">
        <v>45739</v>
      </c>
      <c r="G9" s="7" t="s">
        <v>106</v>
      </c>
      <c r="H9" s="7" t="s">
        <v>102</v>
      </c>
      <c r="I9" s="7">
        <v>241</v>
      </c>
      <c r="J9" s="7">
        <v>111</v>
      </c>
      <c r="K9" s="7">
        <v>39</v>
      </c>
      <c r="L9" s="7">
        <v>89</v>
      </c>
      <c r="M9" s="7">
        <v>0.438</v>
      </c>
      <c r="N9" s="7">
        <v>11</v>
      </c>
      <c r="O9" s="7">
        <v>34</v>
      </c>
      <c r="P9" s="7">
        <v>0.32400000000000001</v>
      </c>
      <c r="Q9" s="7">
        <v>22</v>
      </c>
      <c r="R9" s="7">
        <v>34</v>
      </c>
      <c r="S9" s="7">
        <v>0.64700000000000002</v>
      </c>
      <c r="T9" s="7">
        <v>16</v>
      </c>
      <c r="U9" s="7">
        <v>29</v>
      </c>
      <c r="V9" s="7">
        <v>45</v>
      </c>
      <c r="W9" s="7">
        <v>25</v>
      </c>
      <c r="X9" s="7">
        <v>4</v>
      </c>
      <c r="Y9" s="7">
        <v>7</v>
      </c>
      <c r="Z9" s="7">
        <v>6</v>
      </c>
      <c r="AA9" s="7">
        <v>20</v>
      </c>
      <c r="AB9" s="7">
        <v>-5</v>
      </c>
      <c r="AC9" s="7">
        <v>45739</v>
      </c>
    </row>
    <row r="10" spans="1:29" x14ac:dyDescent="0.2">
      <c r="A10" s="7">
        <v>22024</v>
      </c>
      <c r="B10" s="7">
        <v>1610612745</v>
      </c>
      <c r="C10" s="7" t="s">
        <v>95</v>
      </c>
      <c r="D10" s="7" t="s">
        <v>96</v>
      </c>
      <c r="E10" s="7">
        <v>22401015</v>
      </c>
      <c r="F10" s="11">
        <v>45737</v>
      </c>
      <c r="G10" s="7" t="s">
        <v>107</v>
      </c>
      <c r="H10" s="7" t="s">
        <v>98</v>
      </c>
      <c r="I10" s="7">
        <v>240</v>
      </c>
      <c r="J10" s="7">
        <v>102</v>
      </c>
      <c r="K10" s="7">
        <v>39</v>
      </c>
      <c r="L10" s="7">
        <v>84</v>
      </c>
      <c r="M10" s="7">
        <v>0.46400000000000002</v>
      </c>
      <c r="N10" s="7">
        <v>14</v>
      </c>
      <c r="O10" s="7">
        <v>28</v>
      </c>
      <c r="P10" s="7">
        <v>0.5</v>
      </c>
      <c r="Q10" s="7">
        <v>10</v>
      </c>
      <c r="R10" s="7">
        <v>21</v>
      </c>
      <c r="S10" s="7">
        <v>0.47599999999999998</v>
      </c>
      <c r="T10" s="7">
        <v>15</v>
      </c>
      <c r="U10" s="7">
        <v>31</v>
      </c>
      <c r="V10" s="7">
        <v>46</v>
      </c>
      <c r="W10" s="7">
        <v>14</v>
      </c>
      <c r="X10" s="7">
        <v>17</v>
      </c>
      <c r="Y10" s="7">
        <v>4</v>
      </c>
      <c r="Z10" s="7">
        <v>15</v>
      </c>
      <c r="AA10" s="7">
        <v>14</v>
      </c>
      <c r="AB10" s="7">
        <v>4</v>
      </c>
      <c r="AC10" s="7">
        <v>45737</v>
      </c>
    </row>
    <row r="11" spans="1:29" x14ac:dyDescent="0.2">
      <c r="A11" s="7">
        <v>22024</v>
      </c>
      <c r="B11" s="7">
        <v>1610612745</v>
      </c>
      <c r="C11" s="7" t="s">
        <v>95</v>
      </c>
      <c r="D11" s="7" t="s">
        <v>96</v>
      </c>
      <c r="E11" s="7">
        <v>22400999</v>
      </c>
      <c r="F11" s="11">
        <v>45735</v>
      </c>
      <c r="G11" s="7" t="s">
        <v>108</v>
      </c>
      <c r="H11" s="7" t="s">
        <v>98</v>
      </c>
      <c r="I11" s="7">
        <v>240</v>
      </c>
      <c r="J11" s="7">
        <v>116</v>
      </c>
      <c r="K11" s="7">
        <v>38</v>
      </c>
      <c r="L11" s="7">
        <v>81</v>
      </c>
      <c r="M11" s="7">
        <v>0.46899999999999997</v>
      </c>
      <c r="N11" s="7">
        <v>11</v>
      </c>
      <c r="O11" s="7">
        <v>35</v>
      </c>
      <c r="P11" s="7">
        <v>0.314</v>
      </c>
      <c r="Q11" s="7">
        <v>29</v>
      </c>
      <c r="R11" s="7">
        <v>32</v>
      </c>
      <c r="S11" s="7">
        <v>0.90600000000000003</v>
      </c>
      <c r="T11" s="7">
        <v>12</v>
      </c>
      <c r="U11" s="7">
        <v>34</v>
      </c>
      <c r="V11" s="7">
        <v>46</v>
      </c>
      <c r="W11" s="7">
        <v>18</v>
      </c>
      <c r="X11" s="7">
        <v>10</v>
      </c>
      <c r="Y11" s="7">
        <v>5</v>
      </c>
      <c r="Z11" s="7">
        <v>15</v>
      </c>
      <c r="AA11" s="7">
        <v>18</v>
      </c>
      <c r="AB11" s="7">
        <v>8</v>
      </c>
      <c r="AC11" s="7">
        <v>45735</v>
      </c>
    </row>
    <row r="12" spans="1:29" x14ac:dyDescent="0.2">
      <c r="A12" s="7">
        <v>22024</v>
      </c>
      <c r="B12" s="7">
        <v>1610612745</v>
      </c>
      <c r="C12" s="7" t="s">
        <v>95</v>
      </c>
      <c r="D12" s="7" t="s">
        <v>96</v>
      </c>
      <c r="E12" s="7">
        <v>22400985</v>
      </c>
      <c r="F12" s="11">
        <v>45733</v>
      </c>
      <c r="G12" s="7" t="s">
        <v>109</v>
      </c>
      <c r="H12" s="7" t="s">
        <v>98</v>
      </c>
      <c r="I12" s="7">
        <v>265</v>
      </c>
      <c r="J12" s="7">
        <v>144</v>
      </c>
      <c r="K12" s="7">
        <v>51</v>
      </c>
      <c r="L12" s="7">
        <v>107</v>
      </c>
      <c r="M12" s="7">
        <v>0.47699999999999998</v>
      </c>
      <c r="N12" s="7">
        <v>22</v>
      </c>
      <c r="O12" s="7">
        <v>53</v>
      </c>
      <c r="P12" s="7">
        <v>0.41499999999999998</v>
      </c>
      <c r="Q12" s="7">
        <v>20</v>
      </c>
      <c r="R12" s="7">
        <v>24</v>
      </c>
      <c r="S12" s="7">
        <v>0.83299999999999996</v>
      </c>
      <c r="T12" s="7">
        <v>23</v>
      </c>
      <c r="U12" s="7">
        <v>35</v>
      </c>
      <c r="V12" s="7">
        <v>58</v>
      </c>
      <c r="W12" s="7">
        <v>35</v>
      </c>
      <c r="X12" s="7">
        <v>8</v>
      </c>
      <c r="Y12" s="7">
        <v>5</v>
      </c>
      <c r="Z12" s="7">
        <v>15</v>
      </c>
      <c r="AA12" s="7">
        <v>27</v>
      </c>
      <c r="AB12" s="7">
        <v>7</v>
      </c>
      <c r="AC12" s="7">
        <v>45733</v>
      </c>
    </row>
    <row r="13" spans="1:29" x14ac:dyDescent="0.2">
      <c r="A13" s="7">
        <v>22024</v>
      </c>
      <c r="B13" s="7">
        <v>1610612745</v>
      </c>
      <c r="C13" s="7" t="s">
        <v>95</v>
      </c>
      <c r="D13" s="7" t="s">
        <v>96</v>
      </c>
      <c r="E13" s="7">
        <v>22400970</v>
      </c>
      <c r="F13" s="11">
        <v>45731</v>
      </c>
      <c r="G13" s="7" t="s">
        <v>110</v>
      </c>
      <c r="H13" s="7" t="s">
        <v>98</v>
      </c>
      <c r="I13" s="7">
        <v>239</v>
      </c>
      <c r="J13" s="7">
        <v>117</v>
      </c>
      <c r="K13" s="7">
        <v>44</v>
      </c>
      <c r="L13" s="7">
        <v>98</v>
      </c>
      <c r="M13" s="7">
        <v>0.44900000000000001</v>
      </c>
      <c r="N13" s="7">
        <v>14</v>
      </c>
      <c r="O13" s="7">
        <v>44</v>
      </c>
      <c r="P13" s="7">
        <v>0.318</v>
      </c>
      <c r="Q13" s="7">
        <v>15</v>
      </c>
      <c r="R13" s="7">
        <v>26</v>
      </c>
      <c r="S13" s="7">
        <v>0.57699999999999996</v>
      </c>
      <c r="T13" s="7">
        <v>16</v>
      </c>
      <c r="U13" s="7">
        <v>38</v>
      </c>
      <c r="V13" s="7">
        <v>54</v>
      </c>
      <c r="W13" s="7">
        <v>24</v>
      </c>
      <c r="X13" s="7">
        <v>4</v>
      </c>
      <c r="Y13" s="7">
        <v>6</v>
      </c>
      <c r="Z13" s="7">
        <v>11</v>
      </c>
      <c r="AA13" s="7">
        <v>18</v>
      </c>
      <c r="AB13" s="7">
        <v>3</v>
      </c>
      <c r="AC13" s="7">
        <v>45731</v>
      </c>
    </row>
    <row r="14" spans="1:29" x14ac:dyDescent="0.2">
      <c r="A14" s="7">
        <v>22024</v>
      </c>
      <c r="B14" s="7">
        <v>1610612745</v>
      </c>
      <c r="C14" s="7" t="s">
        <v>95</v>
      </c>
      <c r="D14" s="7" t="s">
        <v>96</v>
      </c>
      <c r="E14" s="7">
        <v>22400961</v>
      </c>
      <c r="F14" s="11">
        <v>45730</v>
      </c>
      <c r="G14" s="7" t="s">
        <v>111</v>
      </c>
      <c r="H14" s="7" t="s">
        <v>98</v>
      </c>
      <c r="I14" s="7">
        <v>240</v>
      </c>
      <c r="J14" s="7">
        <v>133</v>
      </c>
      <c r="K14" s="7">
        <v>54</v>
      </c>
      <c r="L14" s="7">
        <v>105</v>
      </c>
      <c r="M14" s="7">
        <v>0.51400000000000001</v>
      </c>
      <c r="N14" s="7">
        <v>15</v>
      </c>
      <c r="O14" s="7">
        <v>31</v>
      </c>
      <c r="P14" s="7">
        <v>0.48399999999999999</v>
      </c>
      <c r="Q14" s="7">
        <v>10</v>
      </c>
      <c r="R14" s="7">
        <v>12</v>
      </c>
      <c r="S14" s="7">
        <v>0.83299999999999996</v>
      </c>
      <c r="T14" s="7">
        <v>17</v>
      </c>
      <c r="U14" s="7">
        <v>50</v>
      </c>
      <c r="V14" s="7">
        <v>67</v>
      </c>
      <c r="W14" s="7">
        <v>27</v>
      </c>
      <c r="X14" s="7">
        <v>5</v>
      </c>
      <c r="Y14" s="7">
        <v>6</v>
      </c>
      <c r="Z14" s="7">
        <v>10</v>
      </c>
      <c r="AA14" s="7">
        <v>13</v>
      </c>
      <c r="AB14" s="7">
        <v>37</v>
      </c>
      <c r="AC14" s="7">
        <v>45730</v>
      </c>
    </row>
    <row r="15" spans="1:29" x14ac:dyDescent="0.2">
      <c r="A15" s="7">
        <v>22024</v>
      </c>
      <c r="B15" s="7">
        <v>1610612745</v>
      </c>
      <c r="C15" s="7" t="s">
        <v>95</v>
      </c>
      <c r="D15" s="7" t="s">
        <v>96</v>
      </c>
      <c r="E15" s="7">
        <v>22400949</v>
      </c>
      <c r="F15" s="11">
        <v>45728</v>
      </c>
      <c r="G15" s="7" t="s">
        <v>112</v>
      </c>
      <c r="H15" s="7" t="s">
        <v>98</v>
      </c>
      <c r="I15" s="7">
        <v>242</v>
      </c>
      <c r="J15" s="7">
        <v>111</v>
      </c>
      <c r="K15" s="7">
        <v>40</v>
      </c>
      <c r="L15" s="7">
        <v>88</v>
      </c>
      <c r="M15" s="7">
        <v>0.45500000000000002</v>
      </c>
      <c r="N15" s="7">
        <v>12</v>
      </c>
      <c r="O15" s="7">
        <v>38</v>
      </c>
      <c r="P15" s="7">
        <v>0.316</v>
      </c>
      <c r="Q15" s="7">
        <v>19</v>
      </c>
      <c r="R15" s="7">
        <v>25</v>
      </c>
      <c r="S15" s="7">
        <v>0.76</v>
      </c>
      <c r="T15" s="7">
        <v>11</v>
      </c>
      <c r="U15" s="7">
        <v>27</v>
      </c>
      <c r="V15" s="7">
        <v>38</v>
      </c>
      <c r="W15" s="7">
        <v>25</v>
      </c>
      <c r="X15" s="7">
        <v>11</v>
      </c>
      <c r="Y15" s="7">
        <v>3</v>
      </c>
      <c r="Z15" s="7">
        <v>9</v>
      </c>
      <c r="AA15" s="7">
        <v>19</v>
      </c>
      <c r="AB15" s="7">
        <v>7</v>
      </c>
      <c r="AC15" s="7">
        <v>45728</v>
      </c>
    </row>
    <row r="16" spans="1:29" x14ac:dyDescent="0.2">
      <c r="A16" s="7">
        <v>22024</v>
      </c>
      <c r="B16" s="7">
        <v>1610612745</v>
      </c>
      <c r="C16" s="7" t="s">
        <v>95</v>
      </c>
      <c r="D16" s="7" t="s">
        <v>96</v>
      </c>
      <c r="E16" s="7">
        <v>22400934</v>
      </c>
      <c r="F16" s="11">
        <v>45726</v>
      </c>
      <c r="G16" s="7" t="s">
        <v>113</v>
      </c>
      <c r="H16" s="7" t="s">
        <v>98</v>
      </c>
      <c r="I16" s="7">
        <v>238</v>
      </c>
      <c r="J16" s="7">
        <v>97</v>
      </c>
      <c r="K16" s="7">
        <v>35</v>
      </c>
      <c r="L16" s="7">
        <v>89</v>
      </c>
      <c r="M16" s="7">
        <v>0.39300000000000002</v>
      </c>
      <c r="N16" s="7">
        <v>16</v>
      </c>
      <c r="O16" s="7">
        <v>43</v>
      </c>
      <c r="P16" s="7">
        <v>0.372</v>
      </c>
      <c r="Q16" s="7">
        <v>11</v>
      </c>
      <c r="R16" s="7">
        <v>18</v>
      </c>
      <c r="S16" s="7">
        <v>0.61099999999999999</v>
      </c>
      <c r="T16" s="7">
        <v>20</v>
      </c>
      <c r="U16" s="7">
        <v>43</v>
      </c>
      <c r="V16" s="7">
        <v>63</v>
      </c>
      <c r="W16" s="7">
        <v>20</v>
      </c>
      <c r="X16" s="7">
        <v>4</v>
      </c>
      <c r="Y16" s="7">
        <v>4</v>
      </c>
      <c r="Z16" s="7">
        <v>19</v>
      </c>
      <c r="AA16" s="7">
        <v>18</v>
      </c>
      <c r="AB16" s="7">
        <v>13</v>
      </c>
      <c r="AC16" s="7">
        <v>45726</v>
      </c>
    </row>
    <row r="17" spans="1:29" x14ac:dyDescent="0.2">
      <c r="A17" s="7">
        <v>22024</v>
      </c>
      <c r="B17" s="7">
        <v>1610612745</v>
      </c>
      <c r="C17" s="7" t="s">
        <v>95</v>
      </c>
      <c r="D17" s="7" t="s">
        <v>96</v>
      </c>
      <c r="E17" s="7">
        <v>22400913</v>
      </c>
      <c r="F17" s="11">
        <v>45724</v>
      </c>
      <c r="G17" s="7" t="s">
        <v>114</v>
      </c>
      <c r="H17" s="7" t="s">
        <v>98</v>
      </c>
      <c r="I17" s="7">
        <v>241</v>
      </c>
      <c r="J17" s="7">
        <v>146</v>
      </c>
      <c r="K17" s="7">
        <v>55</v>
      </c>
      <c r="L17" s="7">
        <v>99</v>
      </c>
      <c r="M17" s="7">
        <v>0.55600000000000005</v>
      </c>
      <c r="N17" s="7">
        <v>17</v>
      </c>
      <c r="O17" s="7">
        <v>40</v>
      </c>
      <c r="P17" s="7">
        <v>0.42499999999999999</v>
      </c>
      <c r="Q17" s="7">
        <v>19</v>
      </c>
      <c r="R17" s="7">
        <v>21</v>
      </c>
      <c r="S17" s="7">
        <v>0.90500000000000003</v>
      </c>
      <c r="T17" s="7">
        <v>15</v>
      </c>
      <c r="U17" s="7">
        <v>33</v>
      </c>
      <c r="V17" s="7">
        <v>48</v>
      </c>
      <c r="W17" s="7">
        <v>32</v>
      </c>
      <c r="X17" s="7">
        <v>9</v>
      </c>
      <c r="Y17" s="7">
        <v>7</v>
      </c>
      <c r="Z17" s="7">
        <v>10</v>
      </c>
      <c r="AA17" s="7">
        <v>13</v>
      </c>
      <c r="AB17" s="7">
        <v>29</v>
      </c>
      <c r="AC17" s="7">
        <v>45724</v>
      </c>
    </row>
    <row r="18" spans="1:29" x14ac:dyDescent="0.2">
      <c r="A18" s="7">
        <v>22024</v>
      </c>
      <c r="B18" s="7">
        <v>1610612745</v>
      </c>
      <c r="C18" s="7" t="s">
        <v>95</v>
      </c>
      <c r="D18" s="7" t="s">
        <v>96</v>
      </c>
      <c r="E18" s="7">
        <v>22400902</v>
      </c>
      <c r="F18" s="11">
        <v>45722</v>
      </c>
      <c r="G18" s="7" t="s">
        <v>115</v>
      </c>
      <c r="H18" s="7" t="s">
        <v>98</v>
      </c>
      <c r="I18" s="7">
        <v>239</v>
      </c>
      <c r="J18" s="7">
        <v>109</v>
      </c>
      <c r="K18" s="7">
        <v>46</v>
      </c>
      <c r="L18" s="7">
        <v>81</v>
      </c>
      <c r="M18" s="7">
        <v>0.56799999999999995</v>
      </c>
      <c r="N18" s="7">
        <v>9</v>
      </c>
      <c r="O18" s="7">
        <v>29</v>
      </c>
      <c r="P18" s="7">
        <v>0.31</v>
      </c>
      <c r="Q18" s="7">
        <v>8</v>
      </c>
      <c r="R18" s="7">
        <v>18</v>
      </c>
      <c r="S18" s="7">
        <v>0.44400000000000001</v>
      </c>
      <c r="T18" s="7">
        <v>9</v>
      </c>
      <c r="U18" s="7">
        <v>32</v>
      </c>
      <c r="V18" s="7">
        <v>41</v>
      </c>
      <c r="W18" s="7">
        <v>33</v>
      </c>
      <c r="X18" s="7">
        <v>10</v>
      </c>
      <c r="Y18" s="7">
        <v>6</v>
      </c>
      <c r="Z18" s="7">
        <v>19</v>
      </c>
      <c r="AA18" s="7">
        <v>24</v>
      </c>
      <c r="AB18" s="7">
        <v>12</v>
      </c>
      <c r="AC18" s="7">
        <v>45722</v>
      </c>
    </row>
    <row r="19" spans="1:29" x14ac:dyDescent="0.2">
      <c r="A19" s="7">
        <v>22024</v>
      </c>
      <c r="B19" s="7">
        <v>1610612745</v>
      </c>
      <c r="C19" s="7" t="s">
        <v>95</v>
      </c>
      <c r="D19" s="7" t="s">
        <v>96</v>
      </c>
      <c r="E19" s="7">
        <v>22400882</v>
      </c>
      <c r="F19" s="11">
        <v>45720</v>
      </c>
      <c r="G19" s="7" t="s">
        <v>116</v>
      </c>
      <c r="H19" s="7" t="s">
        <v>102</v>
      </c>
      <c r="I19" s="7">
        <v>243</v>
      </c>
      <c r="J19" s="7">
        <v>102</v>
      </c>
      <c r="K19" s="7">
        <v>40</v>
      </c>
      <c r="L19" s="7">
        <v>98</v>
      </c>
      <c r="M19" s="7">
        <v>0.40799999999999997</v>
      </c>
      <c r="N19" s="7">
        <v>9</v>
      </c>
      <c r="O19" s="7">
        <v>30</v>
      </c>
      <c r="P19" s="7">
        <v>0.3</v>
      </c>
      <c r="Q19" s="7">
        <v>13</v>
      </c>
      <c r="R19" s="7">
        <v>26</v>
      </c>
      <c r="S19" s="7">
        <v>0.5</v>
      </c>
      <c r="T19" s="7">
        <v>24</v>
      </c>
      <c r="U19" s="7">
        <v>34</v>
      </c>
      <c r="V19" s="7">
        <v>58</v>
      </c>
      <c r="W19" s="7">
        <v>22</v>
      </c>
      <c r="X19" s="7">
        <v>6</v>
      </c>
      <c r="Y19" s="7">
        <v>0</v>
      </c>
      <c r="Z19" s="7">
        <v>14</v>
      </c>
      <c r="AA19" s="7">
        <v>14</v>
      </c>
      <c r="AB19" s="7">
        <v>-13</v>
      </c>
      <c r="AC19" s="7">
        <v>45720</v>
      </c>
    </row>
    <row r="20" spans="1:29" x14ac:dyDescent="0.2">
      <c r="A20" s="7">
        <v>22024</v>
      </c>
      <c r="B20" s="7">
        <v>1610612745</v>
      </c>
      <c r="C20" s="7" t="s">
        <v>95</v>
      </c>
      <c r="D20" s="7" t="s">
        <v>96</v>
      </c>
      <c r="E20" s="7">
        <v>22400879</v>
      </c>
      <c r="F20" s="11">
        <v>45719</v>
      </c>
      <c r="G20" s="7" t="s">
        <v>117</v>
      </c>
      <c r="H20" s="7" t="s">
        <v>102</v>
      </c>
      <c r="I20" s="7">
        <v>240</v>
      </c>
      <c r="J20" s="7">
        <v>128</v>
      </c>
      <c r="K20" s="7">
        <v>49</v>
      </c>
      <c r="L20" s="7">
        <v>101</v>
      </c>
      <c r="M20" s="7">
        <v>0.48499999999999999</v>
      </c>
      <c r="N20" s="7">
        <v>16</v>
      </c>
      <c r="O20" s="7">
        <v>35</v>
      </c>
      <c r="P20" s="7">
        <v>0.45700000000000002</v>
      </c>
      <c r="Q20" s="7">
        <v>14</v>
      </c>
      <c r="R20" s="7">
        <v>17</v>
      </c>
      <c r="S20" s="7">
        <v>0.82399999999999995</v>
      </c>
      <c r="T20" s="7">
        <v>15</v>
      </c>
      <c r="U20" s="7">
        <v>34</v>
      </c>
      <c r="V20" s="7">
        <v>49</v>
      </c>
      <c r="W20" s="7">
        <v>20</v>
      </c>
      <c r="X20" s="7">
        <v>8</v>
      </c>
      <c r="Y20" s="7">
        <v>7</v>
      </c>
      <c r="Z20" s="7">
        <v>16</v>
      </c>
      <c r="AA20" s="7">
        <v>21</v>
      </c>
      <c r="AB20" s="7">
        <v>-9</v>
      </c>
      <c r="AC20" s="7">
        <v>45719</v>
      </c>
    </row>
    <row r="21" spans="1:29" x14ac:dyDescent="0.2">
      <c r="A21" s="7">
        <v>22024</v>
      </c>
      <c r="B21" s="7">
        <v>1610612745</v>
      </c>
      <c r="C21" s="7" t="s">
        <v>95</v>
      </c>
      <c r="D21" s="7" t="s">
        <v>96</v>
      </c>
      <c r="E21" s="7">
        <v>22400862</v>
      </c>
      <c r="F21" s="11">
        <v>45717</v>
      </c>
      <c r="G21" s="7" t="s">
        <v>118</v>
      </c>
      <c r="H21" s="7" t="s">
        <v>102</v>
      </c>
      <c r="I21" s="7">
        <v>240</v>
      </c>
      <c r="J21" s="7">
        <v>103</v>
      </c>
      <c r="K21" s="7">
        <v>37</v>
      </c>
      <c r="L21" s="7">
        <v>86</v>
      </c>
      <c r="M21" s="7">
        <v>0.43</v>
      </c>
      <c r="N21" s="7">
        <v>13</v>
      </c>
      <c r="O21" s="7">
        <v>35</v>
      </c>
      <c r="P21" s="7">
        <v>0.371</v>
      </c>
      <c r="Q21" s="7">
        <v>16</v>
      </c>
      <c r="R21" s="7">
        <v>23</v>
      </c>
      <c r="S21" s="7">
        <v>0.69599999999999995</v>
      </c>
      <c r="T21" s="7">
        <v>13</v>
      </c>
      <c r="U21" s="7">
        <v>30</v>
      </c>
      <c r="V21" s="7">
        <v>43</v>
      </c>
      <c r="W21" s="7">
        <v>18</v>
      </c>
      <c r="X21" s="7">
        <v>7</v>
      </c>
      <c r="Y21" s="7">
        <v>2</v>
      </c>
      <c r="Z21" s="7">
        <v>15</v>
      </c>
      <c r="AA21" s="7">
        <v>16</v>
      </c>
      <c r="AB21" s="7">
        <v>-10</v>
      </c>
      <c r="AC21" s="7">
        <v>45717</v>
      </c>
    </row>
    <row r="22" spans="1:29" x14ac:dyDescent="0.2">
      <c r="A22" s="7">
        <v>22024</v>
      </c>
      <c r="B22" s="7">
        <v>1610612745</v>
      </c>
      <c r="C22" s="7" t="s">
        <v>95</v>
      </c>
      <c r="D22" s="7" t="s">
        <v>96</v>
      </c>
      <c r="E22" s="7">
        <v>22400844</v>
      </c>
      <c r="F22" s="11">
        <v>45714</v>
      </c>
      <c r="G22" s="7" t="s">
        <v>119</v>
      </c>
      <c r="H22" s="7" t="s">
        <v>98</v>
      </c>
      <c r="I22" s="7">
        <v>241</v>
      </c>
      <c r="J22" s="7">
        <v>118</v>
      </c>
      <c r="K22" s="7">
        <v>48</v>
      </c>
      <c r="L22" s="7">
        <v>102</v>
      </c>
      <c r="M22" s="7">
        <v>0.47099999999999997</v>
      </c>
      <c r="N22" s="7">
        <v>11</v>
      </c>
      <c r="O22" s="7">
        <v>38</v>
      </c>
      <c r="P22" s="7">
        <v>0.28899999999999998</v>
      </c>
      <c r="Q22" s="7">
        <v>11</v>
      </c>
      <c r="R22" s="7">
        <v>14</v>
      </c>
      <c r="S22" s="7">
        <v>0.78600000000000003</v>
      </c>
      <c r="T22" s="7">
        <v>20</v>
      </c>
      <c r="U22" s="7">
        <v>40</v>
      </c>
      <c r="V22" s="7">
        <v>60</v>
      </c>
      <c r="W22" s="7">
        <v>22</v>
      </c>
      <c r="X22" s="7">
        <v>4</v>
      </c>
      <c r="Y22" s="7">
        <v>5</v>
      </c>
      <c r="Z22" s="7">
        <v>14</v>
      </c>
      <c r="AA22" s="7">
        <v>14</v>
      </c>
      <c r="AB22" s="7">
        <v>12</v>
      </c>
      <c r="AC22" s="7">
        <v>45714</v>
      </c>
    </row>
    <row r="23" spans="1:29" x14ac:dyDescent="0.2">
      <c r="A23" s="7">
        <v>22024</v>
      </c>
      <c r="B23" s="7">
        <v>1610612745</v>
      </c>
      <c r="C23" s="7" t="s">
        <v>95</v>
      </c>
      <c r="D23" s="7" t="s">
        <v>96</v>
      </c>
      <c r="E23" s="7">
        <v>22400831</v>
      </c>
      <c r="F23" s="11">
        <v>45713</v>
      </c>
      <c r="G23" s="7" t="s">
        <v>120</v>
      </c>
      <c r="H23" s="7" t="s">
        <v>98</v>
      </c>
      <c r="I23" s="7">
        <v>240</v>
      </c>
      <c r="J23" s="7">
        <v>100</v>
      </c>
      <c r="K23" s="7">
        <v>37</v>
      </c>
      <c r="L23" s="7">
        <v>91</v>
      </c>
      <c r="M23" s="7">
        <v>0.40699999999999997</v>
      </c>
      <c r="N23" s="7">
        <v>12</v>
      </c>
      <c r="O23" s="7">
        <v>35</v>
      </c>
      <c r="P23" s="7">
        <v>0.34300000000000003</v>
      </c>
      <c r="Q23" s="7">
        <v>14</v>
      </c>
      <c r="R23" s="7">
        <v>18</v>
      </c>
      <c r="S23" s="7">
        <v>0.77800000000000002</v>
      </c>
      <c r="T23" s="7">
        <v>16</v>
      </c>
      <c r="U23" s="7">
        <v>37</v>
      </c>
      <c r="V23" s="7">
        <v>53</v>
      </c>
      <c r="W23" s="7">
        <v>18</v>
      </c>
      <c r="X23" s="7">
        <v>6</v>
      </c>
      <c r="Y23" s="7">
        <v>9</v>
      </c>
      <c r="Z23" s="7">
        <v>15</v>
      </c>
      <c r="AA23" s="7">
        <v>17</v>
      </c>
      <c r="AB23" s="7">
        <v>3</v>
      </c>
      <c r="AC23" s="7">
        <v>45713</v>
      </c>
    </row>
    <row r="24" spans="1:29" x14ac:dyDescent="0.2">
      <c r="A24" s="7">
        <v>22024</v>
      </c>
      <c r="B24" s="7">
        <v>1610612745</v>
      </c>
      <c r="C24" s="7" t="s">
        <v>95</v>
      </c>
      <c r="D24" s="7" t="s">
        <v>96</v>
      </c>
      <c r="E24" s="7">
        <v>22400809</v>
      </c>
      <c r="F24" s="11">
        <v>45710</v>
      </c>
      <c r="G24" s="7" t="s">
        <v>104</v>
      </c>
      <c r="H24" s="7" t="s">
        <v>102</v>
      </c>
      <c r="I24" s="7">
        <v>241</v>
      </c>
      <c r="J24" s="7">
        <v>115</v>
      </c>
      <c r="K24" s="7">
        <v>44</v>
      </c>
      <c r="L24" s="7">
        <v>100</v>
      </c>
      <c r="M24" s="7">
        <v>0.44</v>
      </c>
      <c r="N24" s="7">
        <v>17</v>
      </c>
      <c r="O24" s="7">
        <v>43</v>
      </c>
      <c r="P24" s="7">
        <v>0.39500000000000002</v>
      </c>
      <c r="Q24" s="7">
        <v>10</v>
      </c>
      <c r="R24" s="7">
        <v>18</v>
      </c>
      <c r="S24" s="7">
        <v>0.55600000000000005</v>
      </c>
      <c r="T24" s="7">
        <v>8</v>
      </c>
      <c r="U24" s="7">
        <v>33</v>
      </c>
      <c r="V24" s="7">
        <v>41</v>
      </c>
      <c r="W24" s="7">
        <v>33</v>
      </c>
      <c r="X24" s="7">
        <v>3</v>
      </c>
      <c r="Y24" s="7">
        <v>2</v>
      </c>
      <c r="Z24" s="7">
        <v>7</v>
      </c>
      <c r="AA24" s="7">
        <v>17</v>
      </c>
      <c r="AB24" s="7">
        <v>-9</v>
      </c>
      <c r="AC24" s="7">
        <v>45710</v>
      </c>
    </row>
    <row r="25" spans="1:29" x14ac:dyDescent="0.2">
      <c r="A25" s="7">
        <v>22024</v>
      </c>
      <c r="B25" s="7">
        <v>1610612745</v>
      </c>
      <c r="C25" s="7" t="s">
        <v>95</v>
      </c>
      <c r="D25" s="7" t="s">
        <v>96</v>
      </c>
      <c r="E25" s="7">
        <v>22400801</v>
      </c>
      <c r="F25" s="11">
        <v>45709</v>
      </c>
      <c r="G25" s="7" t="s">
        <v>121</v>
      </c>
      <c r="H25" s="7" t="s">
        <v>98</v>
      </c>
      <c r="I25" s="7">
        <v>240</v>
      </c>
      <c r="J25" s="7">
        <v>121</v>
      </c>
      <c r="K25" s="7">
        <v>42</v>
      </c>
      <c r="L25" s="7">
        <v>84</v>
      </c>
      <c r="M25" s="7">
        <v>0.5</v>
      </c>
      <c r="N25" s="7">
        <v>13</v>
      </c>
      <c r="O25" s="7">
        <v>26</v>
      </c>
      <c r="P25" s="7">
        <v>0.5</v>
      </c>
      <c r="Q25" s="7">
        <v>24</v>
      </c>
      <c r="R25" s="7">
        <v>32</v>
      </c>
      <c r="S25" s="7">
        <v>0.75</v>
      </c>
      <c r="T25" s="7">
        <v>9</v>
      </c>
      <c r="U25" s="7">
        <v>39</v>
      </c>
      <c r="V25" s="7">
        <v>48</v>
      </c>
      <c r="W25" s="7">
        <v>18</v>
      </c>
      <c r="X25" s="7">
        <v>5</v>
      </c>
      <c r="Y25" s="7">
        <v>6</v>
      </c>
      <c r="Z25" s="7">
        <v>20</v>
      </c>
      <c r="AA25" s="7">
        <v>25</v>
      </c>
      <c r="AB25" s="7">
        <v>6</v>
      </c>
      <c r="AC25" s="7">
        <v>45709</v>
      </c>
    </row>
    <row r="26" spans="1:29" x14ac:dyDescent="0.2">
      <c r="A26" s="7">
        <v>22024</v>
      </c>
      <c r="B26" s="7">
        <v>1610612745</v>
      </c>
      <c r="C26" s="7" t="s">
        <v>95</v>
      </c>
      <c r="D26" s="7" t="s">
        <v>96</v>
      </c>
      <c r="E26" s="7">
        <v>22400784</v>
      </c>
      <c r="F26" s="11">
        <v>45701</v>
      </c>
      <c r="G26" s="7" t="s">
        <v>122</v>
      </c>
      <c r="H26" s="7" t="s">
        <v>102</v>
      </c>
      <c r="I26" s="7">
        <v>240</v>
      </c>
      <c r="J26" s="7">
        <v>98</v>
      </c>
      <c r="K26" s="7">
        <v>38</v>
      </c>
      <c r="L26" s="7">
        <v>93</v>
      </c>
      <c r="M26" s="7">
        <v>0.40899999999999997</v>
      </c>
      <c r="N26" s="7">
        <v>12</v>
      </c>
      <c r="O26" s="7">
        <v>36</v>
      </c>
      <c r="P26" s="7">
        <v>0.33300000000000002</v>
      </c>
      <c r="Q26" s="7">
        <v>10</v>
      </c>
      <c r="R26" s="7">
        <v>18</v>
      </c>
      <c r="S26" s="7">
        <v>0.55600000000000005</v>
      </c>
      <c r="T26" s="7">
        <v>15</v>
      </c>
      <c r="U26" s="7">
        <v>37</v>
      </c>
      <c r="V26" s="7">
        <v>52</v>
      </c>
      <c r="W26" s="7">
        <v>24</v>
      </c>
      <c r="X26" s="7">
        <v>7</v>
      </c>
      <c r="Y26" s="7">
        <v>5</v>
      </c>
      <c r="Z26" s="7">
        <v>20</v>
      </c>
      <c r="AA26" s="7">
        <v>20</v>
      </c>
      <c r="AB26" s="7">
        <v>-7</v>
      </c>
      <c r="AC26" s="7">
        <v>45701</v>
      </c>
    </row>
    <row r="27" spans="1:29" x14ac:dyDescent="0.2">
      <c r="A27" s="7">
        <v>22024</v>
      </c>
      <c r="B27" s="7">
        <v>1610612745</v>
      </c>
      <c r="C27" s="7" t="s">
        <v>95</v>
      </c>
      <c r="D27" s="7" t="s">
        <v>96</v>
      </c>
      <c r="E27" s="7">
        <v>22400779</v>
      </c>
      <c r="F27" s="11">
        <v>45700</v>
      </c>
      <c r="G27" s="7" t="s">
        <v>112</v>
      </c>
      <c r="H27" s="7" t="s">
        <v>98</v>
      </c>
      <c r="I27" s="7">
        <v>239</v>
      </c>
      <c r="J27" s="7">
        <v>119</v>
      </c>
      <c r="K27" s="7">
        <v>46</v>
      </c>
      <c r="L27" s="7">
        <v>97</v>
      </c>
      <c r="M27" s="7">
        <v>0.47399999999999998</v>
      </c>
      <c r="N27" s="7">
        <v>13</v>
      </c>
      <c r="O27" s="7">
        <v>42</v>
      </c>
      <c r="P27" s="7">
        <v>0.31</v>
      </c>
      <c r="Q27" s="7">
        <v>14</v>
      </c>
      <c r="R27" s="7">
        <v>24</v>
      </c>
      <c r="S27" s="7">
        <v>0.58299999999999996</v>
      </c>
      <c r="T27" s="7">
        <v>17</v>
      </c>
      <c r="U27" s="7">
        <v>30</v>
      </c>
      <c r="V27" s="7">
        <v>47</v>
      </c>
      <c r="W27" s="7">
        <v>32</v>
      </c>
      <c r="X27" s="7">
        <v>10</v>
      </c>
      <c r="Y27" s="7">
        <v>4</v>
      </c>
      <c r="Z27" s="7">
        <v>11</v>
      </c>
      <c r="AA27" s="7">
        <v>15</v>
      </c>
      <c r="AB27" s="7">
        <v>8</v>
      </c>
      <c r="AC27" s="7">
        <v>45700</v>
      </c>
    </row>
    <row r="28" spans="1:29" x14ac:dyDescent="0.2">
      <c r="A28" s="7">
        <v>22024</v>
      </c>
      <c r="B28" s="7">
        <v>1610612745</v>
      </c>
      <c r="C28" s="7" t="s">
        <v>95</v>
      </c>
      <c r="D28" s="7" t="s">
        <v>96</v>
      </c>
      <c r="E28" s="7">
        <v>22400753</v>
      </c>
      <c r="F28" s="11">
        <v>45697</v>
      </c>
      <c r="G28" s="7" t="s">
        <v>123</v>
      </c>
      <c r="H28" s="7" t="s">
        <v>98</v>
      </c>
      <c r="I28" s="7">
        <v>240</v>
      </c>
      <c r="J28" s="7">
        <v>94</v>
      </c>
      <c r="K28" s="7">
        <v>31</v>
      </c>
      <c r="L28" s="7">
        <v>86</v>
      </c>
      <c r="M28" s="7">
        <v>0.36</v>
      </c>
      <c r="N28" s="7">
        <v>10</v>
      </c>
      <c r="O28" s="7">
        <v>38</v>
      </c>
      <c r="P28" s="7">
        <v>0.26300000000000001</v>
      </c>
      <c r="Q28" s="7">
        <v>22</v>
      </c>
      <c r="R28" s="7">
        <v>28</v>
      </c>
      <c r="S28" s="7">
        <v>0.78600000000000003</v>
      </c>
      <c r="T28" s="7">
        <v>10</v>
      </c>
      <c r="U28" s="7">
        <v>48</v>
      </c>
      <c r="V28" s="7">
        <v>58</v>
      </c>
      <c r="W28" s="7">
        <v>17</v>
      </c>
      <c r="X28" s="7">
        <v>8</v>
      </c>
      <c r="Y28" s="7">
        <v>3</v>
      </c>
      <c r="Z28" s="7">
        <v>15</v>
      </c>
      <c r="AA28" s="7">
        <v>19</v>
      </c>
      <c r="AB28" s="7">
        <v>7</v>
      </c>
      <c r="AC28" s="7">
        <v>45697</v>
      </c>
    </row>
    <row r="29" spans="1:29" x14ac:dyDescent="0.2">
      <c r="A29" s="7">
        <v>22024</v>
      </c>
      <c r="B29" s="7">
        <v>1610612745</v>
      </c>
      <c r="C29" s="7" t="s">
        <v>95</v>
      </c>
      <c r="D29" s="7" t="s">
        <v>96</v>
      </c>
      <c r="E29" s="7">
        <v>22400741</v>
      </c>
      <c r="F29" s="11">
        <v>45696</v>
      </c>
      <c r="G29" s="7" t="s">
        <v>124</v>
      </c>
      <c r="H29" s="7" t="s">
        <v>102</v>
      </c>
      <c r="I29" s="7">
        <v>240</v>
      </c>
      <c r="J29" s="7">
        <v>105</v>
      </c>
      <c r="K29" s="7">
        <v>40</v>
      </c>
      <c r="L29" s="7">
        <v>100</v>
      </c>
      <c r="M29" s="7">
        <v>0.4</v>
      </c>
      <c r="N29" s="7">
        <v>8</v>
      </c>
      <c r="O29" s="7">
        <v>28</v>
      </c>
      <c r="P29" s="7">
        <v>0.28599999999999998</v>
      </c>
      <c r="Q29" s="7">
        <v>17</v>
      </c>
      <c r="R29" s="7">
        <v>22</v>
      </c>
      <c r="S29" s="7">
        <v>0.77300000000000002</v>
      </c>
      <c r="T29" s="7">
        <v>19</v>
      </c>
      <c r="U29" s="7">
        <v>29</v>
      </c>
      <c r="V29" s="7">
        <v>48</v>
      </c>
      <c r="W29" s="7">
        <v>21</v>
      </c>
      <c r="X29" s="7">
        <v>2</v>
      </c>
      <c r="Y29" s="7">
        <v>5</v>
      </c>
      <c r="Z29" s="7">
        <v>8</v>
      </c>
      <c r="AA29" s="7">
        <v>22</v>
      </c>
      <c r="AB29" s="7">
        <v>-11</v>
      </c>
      <c r="AC29" s="7">
        <v>45696</v>
      </c>
    </row>
    <row r="30" spans="1:29" x14ac:dyDescent="0.2">
      <c r="A30" s="7">
        <v>22024</v>
      </c>
      <c r="B30" s="7">
        <v>1610612745</v>
      </c>
      <c r="C30" s="7" t="s">
        <v>95</v>
      </c>
      <c r="D30" s="7" t="s">
        <v>96</v>
      </c>
      <c r="E30" s="7">
        <v>22400729</v>
      </c>
      <c r="F30" s="11">
        <v>45694</v>
      </c>
      <c r="G30" s="7" t="s">
        <v>125</v>
      </c>
      <c r="H30" s="7" t="s">
        <v>102</v>
      </c>
      <c r="I30" s="7">
        <v>240</v>
      </c>
      <c r="J30" s="7">
        <v>114</v>
      </c>
      <c r="K30" s="7">
        <v>41</v>
      </c>
      <c r="L30" s="7">
        <v>84</v>
      </c>
      <c r="M30" s="7">
        <v>0.48799999999999999</v>
      </c>
      <c r="N30" s="7">
        <v>12</v>
      </c>
      <c r="O30" s="7">
        <v>31</v>
      </c>
      <c r="P30" s="7">
        <v>0.38700000000000001</v>
      </c>
      <c r="Q30" s="7">
        <v>20</v>
      </c>
      <c r="R30" s="7">
        <v>28</v>
      </c>
      <c r="S30" s="7">
        <v>0.71399999999999997</v>
      </c>
      <c r="T30" s="7">
        <v>12</v>
      </c>
      <c r="U30" s="7">
        <v>27</v>
      </c>
      <c r="V30" s="7">
        <v>39</v>
      </c>
      <c r="W30" s="7">
        <v>26</v>
      </c>
      <c r="X30" s="7">
        <v>12</v>
      </c>
      <c r="Y30" s="7">
        <v>7</v>
      </c>
      <c r="Z30" s="7">
        <v>10</v>
      </c>
      <c r="AA30" s="7">
        <v>18</v>
      </c>
      <c r="AB30" s="7">
        <v>-13</v>
      </c>
      <c r="AC30" s="7">
        <v>45694</v>
      </c>
    </row>
    <row r="31" spans="1:29" x14ac:dyDescent="0.2">
      <c r="A31" s="7">
        <v>22024</v>
      </c>
      <c r="B31" s="7">
        <v>1610612745</v>
      </c>
      <c r="C31" s="7" t="s">
        <v>95</v>
      </c>
      <c r="D31" s="7" t="s">
        <v>96</v>
      </c>
      <c r="E31" s="7">
        <v>22400711</v>
      </c>
      <c r="F31" s="11">
        <v>45692</v>
      </c>
      <c r="G31" s="7" t="s">
        <v>126</v>
      </c>
      <c r="H31" s="7" t="s">
        <v>102</v>
      </c>
      <c r="I31" s="7">
        <v>240</v>
      </c>
      <c r="J31" s="7">
        <v>97</v>
      </c>
      <c r="K31" s="7">
        <v>34</v>
      </c>
      <c r="L31" s="7">
        <v>83</v>
      </c>
      <c r="M31" s="7">
        <v>0.41</v>
      </c>
      <c r="N31" s="7">
        <v>11</v>
      </c>
      <c r="O31" s="7">
        <v>32</v>
      </c>
      <c r="P31" s="7">
        <v>0.34399999999999997</v>
      </c>
      <c r="Q31" s="7">
        <v>18</v>
      </c>
      <c r="R31" s="7">
        <v>27</v>
      </c>
      <c r="S31" s="7">
        <v>0.66700000000000004</v>
      </c>
      <c r="T31" s="7">
        <v>16</v>
      </c>
      <c r="U31" s="7">
        <v>29</v>
      </c>
      <c r="V31" s="7">
        <v>45</v>
      </c>
      <c r="W31" s="7">
        <v>23</v>
      </c>
      <c r="X31" s="7">
        <v>6</v>
      </c>
      <c r="Y31" s="7">
        <v>6</v>
      </c>
      <c r="Z31" s="7">
        <v>16</v>
      </c>
      <c r="AA31" s="7">
        <v>18</v>
      </c>
      <c r="AB31" s="7">
        <v>-2</v>
      </c>
      <c r="AC31" s="7">
        <v>45692</v>
      </c>
    </row>
    <row r="32" spans="1:29" x14ac:dyDescent="0.2">
      <c r="A32" s="7">
        <v>22024</v>
      </c>
      <c r="B32" s="7">
        <v>1610612745</v>
      </c>
      <c r="C32" s="7" t="s">
        <v>95</v>
      </c>
      <c r="D32" s="7" t="s">
        <v>96</v>
      </c>
      <c r="E32" s="7">
        <v>22400702</v>
      </c>
      <c r="F32" s="11">
        <v>45691</v>
      </c>
      <c r="G32" s="7" t="s">
        <v>127</v>
      </c>
      <c r="H32" s="7" t="s">
        <v>102</v>
      </c>
      <c r="I32" s="7">
        <v>241</v>
      </c>
      <c r="J32" s="7">
        <v>118</v>
      </c>
      <c r="K32" s="7">
        <v>48</v>
      </c>
      <c r="L32" s="7">
        <v>104</v>
      </c>
      <c r="M32" s="7">
        <v>0.46200000000000002</v>
      </c>
      <c r="N32" s="7">
        <v>8</v>
      </c>
      <c r="O32" s="7">
        <v>28</v>
      </c>
      <c r="P32" s="7">
        <v>0.28599999999999998</v>
      </c>
      <c r="Q32" s="7">
        <v>14</v>
      </c>
      <c r="R32" s="7">
        <v>15</v>
      </c>
      <c r="S32" s="7">
        <v>0.93300000000000005</v>
      </c>
      <c r="T32" s="7">
        <v>20</v>
      </c>
      <c r="U32" s="7">
        <v>30</v>
      </c>
      <c r="V32" s="7">
        <v>50</v>
      </c>
      <c r="W32" s="7">
        <v>27</v>
      </c>
      <c r="X32" s="7">
        <v>8</v>
      </c>
      <c r="Y32" s="7">
        <v>6</v>
      </c>
      <c r="Z32" s="7">
        <v>15</v>
      </c>
      <c r="AA32" s="7">
        <v>26</v>
      </c>
      <c r="AB32" s="7">
        <v>-6</v>
      </c>
      <c r="AC32" s="7">
        <v>45691</v>
      </c>
    </row>
    <row r="33" spans="1:29" x14ac:dyDescent="0.2">
      <c r="A33" s="7">
        <v>22024</v>
      </c>
      <c r="B33" s="7">
        <v>1610612745</v>
      </c>
      <c r="C33" s="7" t="s">
        <v>95</v>
      </c>
      <c r="D33" s="7" t="s">
        <v>96</v>
      </c>
      <c r="E33" s="7">
        <v>22400689</v>
      </c>
      <c r="F33" s="11">
        <v>45689</v>
      </c>
      <c r="G33" s="7" t="s">
        <v>128</v>
      </c>
      <c r="H33" s="7" t="s">
        <v>102</v>
      </c>
      <c r="I33" s="7">
        <v>240</v>
      </c>
      <c r="J33" s="7">
        <v>98</v>
      </c>
      <c r="K33" s="7">
        <v>38</v>
      </c>
      <c r="L33" s="7">
        <v>95</v>
      </c>
      <c r="M33" s="7">
        <v>0.4</v>
      </c>
      <c r="N33" s="7">
        <v>12</v>
      </c>
      <c r="O33" s="7">
        <v>39</v>
      </c>
      <c r="P33" s="7">
        <v>0.308</v>
      </c>
      <c r="Q33" s="7">
        <v>10</v>
      </c>
      <c r="R33" s="7">
        <v>15</v>
      </c>
      <c r="S33" s="7">
        <v>0.66700000000000004</v>
      </c>
      <c r="T33" s="7">
        <v>14</v>
      </c>
      <c r="U33" s="7">
        <v>30</v>
      </c>
      <c r="V33" s="7">
        <v>44</v>
      </c>
      <c r="W33" s="7">
        <v>18</v>
      </c>
      <c r="X33" s="7">
        <v>6</v>
      </c>
      <c r="Y33" s="7">
        <v>6</v>
      </c>
      <c r="Z33" s="7">
        <v>10</v>
      </c>
      <c r="AA33" s="7">
        <v>20</v>
      </c>
      <c r="AB33" s="7">
        <v>-12</v>
      </c>
      <c r="AC33" s="7">
        <v>45689</v>
      </c>
    </row>
    <row r="34" spans="1:29" x14ac:dyDescent="0.2">
      <c r="A34" s="7">
        <v>22024</v>
      </c>
      <c r="B34" s="7">
        <v>1610612745</v>
      </c>
      <c r="C34" s="7" t="s">
        <v>95</v>
      </c>
      <c r="D34" s="7" t="s">
        <v>96</v>
      </c>
      <c r="E34" s="7">
        <v>22400676</v>
      </c>
      <c r="F34" s="11">
        <v>45687</v>
      </c>
      <c r="G34" s="7" t="s">
        <v>129</v>
      </c>
      <c r="H34" s="7" t="s">
        <v>102</v>
      </c>
      <c r="I34" s="7">
        <v>240</v>
      </c>
      <c r="J34" s="7">
        <v>119</v>
      </c>
      <c r="K34" s="7">
        <v>42</v>
      </c>
      <c r="L34" s="7">
        <v>97</v>
      </c>
      <c r="M34" s="7">
        <v>0.433</v>
      </c>
      <c r="N34" s="7">
        <v>13</v>
      </c>
      <c r="O34" s="7">
        <v>32</v>
      </c>
      <c r="P34" s="7">
        <v>0.40600000000000003</v>
      </c>
      <c r="Q34" s="7">
        <v>22</v>
      </c>
      <c r="R34" s="7">
        <v>28</v>
      </c>
      <c r="S34" s="7">
        <v>0.78600000000000003</v>
      </c>
      <c r="T34" s="7">
        <v>19</v>
      </c>
      <c r="U34" s="7">
        <v>26</v>
      </c>
      <c r="V34" s="7">
        <v>45</v>
      </c>
      <c r="W34" s="7">
        <v>22</v>
      </c>
      <c r="X34" s="7">
        <v>6</v>
      </c>
      <c r="Y34" s="7">
        <v>5</v>
      </c>
      <c r="Z34" s="7">
        <v>12</v>
      </c>
      <c r="AA34" s="7">
        <v>20</v>
      </c>
      <c r="AB34" s="7">
        <v>-1</v>
      </c>
      <c r="AC34" s="7">
        <v>45687</v>
      </c>
    </row>
    <row r="35" spans="1:29" x14ac:dyDescent="0.2">
      <c r="A35" s="7">
        <v>22024</v>
      </c>
      <c r="B35" s="7">
        <v>1610612745</v>
      </c>
      <c r="C35" s="7" t="s">
        <v>95</v>
      </c>
      <c r="D35" s="7" t="s">
        <v>96</v>
      </c>
      <c r="E35" s="7">
        <v>22400532</v>
      </c>
      <c r="F35" s="11">
        <v>45685</v>
      </c>
      <c r="G35" s="7" t="s">
        <v>130</v>
      </c>
      <c r="H35" s="7" t="s">
        <v>98</v>
      </c>
      <c r="I35" s="7">
        <v>239</v>
      </c>
      <c r="J35" s="7">
        <v>100</v>
      </c>
      <c r="K35" s="7">
        <v>37</v>
      </c>
      <c r="L35" s="7">
        <v>79</v>
      </c>
      <c r="M35" s="7">
        <v>0.46800000000000003</v>
      </c>
      <c r="N35" s="7">
        <v>7</v>
      </c>
      <c r="O35" s="7">
        <v>30</v>
      </c>
      <c r="P35" s="7">
        <v>0.23300000000000001</v>
      </c>
      <c r="Q35" s="7">
        <v>19</v>
      </c>
      <c r="R35" s="7">
        <v>20</v>
      </c>
      <c r="S35" s="7">
        <v>0.95</v>
      </c>
      <c r="T35" s="7">
        <v>6</v>
      </c>
      <c r="U35" s="7">
        <v>38</v>
      </c>
      <c r="V35" s="7">
        <v>44</v>
      </c>
      <c r="W35" s="7">
        <v>19</v>
      </c>
      <c r="X35" s="7">
        <v>12</v>
      </c>
      <c r="Y35" s="7">
        <v>4</v>
      </c>
      <c r="Z35" s="7">
        <v>21</v>
      </c>
      <c r="AA35" s="7">
        <v>20</v>
      </c>
      <c r="AB35" s="7">
        <v>4</v>
      </c>
      <c r="AC35" s="7">
        <v>45685</v>
      </c>
    </row>
    <row r="36" spans="1:29" x14ac:dyDescent="0.2">
      <c r="A36" s="7">
        <v>22024</v>
      </c>
      <c r="B36" s="7">
        <v>1610612745</v>
      </c>
      <c r="C36" s="7" t="s">
        <v>95</v>
      </c>
      <c r="D36" s="7" t="s">
        <v>96</v>
      </c>
      <c r="E36" s="7">
        <v>22400650</v>
      </c>
      <c r="F36" s="11">
        <v>45684</v>
      </c>
      <c r="G36" s="7" t="s">
        <v>131</v>
      </c>
      <c r="H36" s="7" t="s">
        <v>98</v>
      </c>
      <c r="I36" s="7">
        <v>242</v>
      </c>
      <c r="J36" s="7">
        <v>114</v>
      </c>
      <c r="K36" s="7">
        <v>41</v>
      </c>
      <c r="L36" s="7">
        <v>92</v>
      </c>
      <c r="M36" s="7">
        <v>0.44600000000000001</v>
      </c>
      <c r="N36" s="7">
        <v>17</v>
      </c>
      <c r="O36" s="7">
        <v>41</v>
      </c>
      <c r="P36" s="7">
        <v>0.41499999999999998</v>
      </c>
      <c r="Q36" s="7">
        <v>15</v>
      </c>
      <c r="R36" s="7">
        <v>21</v>
      </c>
      <c r="S36" s="7">
        <v>0.71399999999999997</v>
      </c>
      <c r="T36" s="7">
        <v>12</v>
      </c>
      <c r="U36" s="7">
        <v>27</v>
      </c>
      <c r="V36" s="7">
        <v>39</v>
      </c>
      <c r="W36" s="7">
        <v>29</v>
      </c>
      <c r="X36" s="7">
        <v>7</v>
      </c>
      <c r="Y36" s="7">
        <v>1</v>
      </c>
      <c r="Z36" s="7">
        <v>7</v>
      </c>
      <c r="AA36" s="7">
        <v>22</v>
      </c>
      <c r="AB36" s="7">
        <v>2</v>
      </c>
      <c r="AC36" s="7">
        <v>45684</v>
      </c>
    </row>
    <row r="37" spans="1:29" x14ac:dyDescent="0.2">
      <c r="A37" s="7">
        <v>22024</v>
      </c>
      <c r="B37" s="7">
        <v>1610612745</v>
      </c>
      <c r="C37" s="7" t="s">
        <v>95</v>
      </c>
      <c r="D37" s="7" t="s">
        <v>96</v>
      </c>
      <c r="E37" s="7">
        <v>22400640</v>
      </c>
      <c r="F37" s="11">
        <v>45682</v>
      </c>
      <c r="G37" s="7" t="s">
        <v>132</v>
      </c>
      <c r="H37" s="7" t="s">
        <v>98</v>
      </c>
      <c r="I37" s="7">
        <v>240</v>
      </c>
      <c r="J37" s="7">
        <v>135</v>
      </c>
      <c r="K37" s="7">
        <v>45</v>
      </c>
      <c r="L37" s="7">
        <v>82</v>
      </c>
      <c r="M37" s="7">
        <v>0.54900000000000004</v>
      </c>
      <c r="N37" s="7">
        <v>13</v>
      </c>
      <c r="O37" s="7">
        <v>28</v>
      </c>
      <c r="P37" s="7">
        <v>0.46400000000000002</v>
      </c>
      <c r="Q37" s="7">
        <v>32</v>
      </c>
      <c r="R37" s="7">
        <v>45</v>
      </c>
      <c r="S37" s="7">
        <v>0.71099999999999997</v>
      </c>
      <c r="T37" s="7">
        <v>14</v>
      </c>
      <c r="U37" s="7">
        <v>31</v>
      </c>
      <c r="V37" s="7">
        <v>45</v>
      </c>
      <c r="W37" s="7">
        <v>26</v>
      </c>
      <c r="X37" s="7">
        <v>5</v>
      </c>
      <c r="Y37" s="7">
        <v>4</v>
      </c>
      <c r="Z37" s="7">
        <v>11</v>
      </c>
      <c r="AA37" s="7">
        <v>23</v>
      </c>
      <c r="AB37" s="7">
        <v>4</v>
      </c>
      <c r="AC37" s="7">
        <v>45682</v>
      </c>
    </row>
    <row r="38" spans="1:29" x14ac:dyDescent="0.2">
      <c r="A38" s="7">
        <v>22024</v>
      </c>
      <c r="B38" s="7">
        <v>1610612745</v>
      </c>
      <c r="C38" s="7" t="s">
        <v>95</v>
      </c>
      <c r="D38" s="7" t="s">
        <v>96</v>
      </c>
      <c r="E38" s="7">
        <v>22400615</v>
      </c>
      <c r="F38" s="11">
        <v>45679</v>
      </c>
      <c r="G38" s="7" t="s">
        <v>133</v>
      </c>
      <c r="H38" s="7" t="s">
        <v>98</v>
      </c>
      <c r="I38" s="7">
        <v>240</v>
      </c>
      <c r="J38" s="7">
        <v>109</v>
      </c>
      <c r="K38" s="7">
        <v>40</v>
      </c>
      <c r="L38" s="7">
        <v>91</v>
      </c>
      <c r="M38" s="7">
        <v>0.44</v>
      </c>
      <c r="N38" s="7">
        <v>15</v>
      </c>
      <c r="O38" s="7">
        <v>34</v>
      </c>
      <c r="P38" s="7">
        <v>0.441</v>
      </c>
      <c r="Q38" s="7">
        <v>14</v>
      </c>
      <c r="R38" s="7">
        <v>20</v>
      </c>
      <c r="S38" s="7">
        <v>0.7</v>
      </c>
      <c r="T38" s="7">
        <v>20</v>
      </c>
      <c r="U38" s="7">
        <v>33</v>
      </c>
      <c r="V38" s="7">
        <v>53</v>
      </c>
      <c r="W38" s="7">
        <v>25</v>
      </c>
      <c r="X38" s="7">
        <v>8</v>
      </c>
      <c r="Y38" s="7">
        <v>5</v>
      </c>
      <c r="Z38" s="7">
        <v>22</v>
      </c>
      <c r="AA38" s="7">
        <v>20</v>
      </c>
      <c r="AB38" s="7">
        <v>1</v>
      </c>
      <c r="AC38" s="7">
        <v>45679</v>
      </c>
    </row>
    <row r="39" spans="1:29" x14ac:dyDescent="0.2">
      <c r="A39" s="7">
        <v>22024</v>
      </c>
      <c r="B39" s="7">
        <v>1610612745</v>
      </c>
      <c r="C39" s="7" t="s">
        <v>95</v>
      </c>
      <c r="D39" s="7" t="s">
        <v>96</v>
      </c>
      <c r="E39" s="7">
        <v>22400600</v>
      </c>
      <c r="F39" s="11">
        <v>45677</v>
      </c>
      <c r="G39" s="7" t="s">
        <v>134</v>
      </c>
      <c r="H39" s="7" t="s">
        <v>102</v>
      </c>
      <c r="I39" s="7">
        <v>239</v>
      </c>
      <c r="J39" s="7">
        <v>96</v>
      </c>
      <c r="K39" s="7">
        <v>37</v>
      </c>
      <c r="L39" s="7">
        <v>94</v>
      </c>
      <c r="M39" s="7">
        <v>0.39400000000000002</v>
      </c>
      <c r="N39" s="7">
        <v>11</v>
      </c>
      <c r="O39" s="7">
        <v>39</v>
      </c>
      <c r="P39" s="7">
        <v>0.28199999999999997</v>
      </c>
      <c r="Q39" s="7">
        <v>11</v>
      </c>
      <c r="R39" s="7">
        <v>16</v>
      </c>
      <c r="S39" s="7">
        <v>0.68799999999999994</v>
      </c>
      <c r="T39" s="7">
        <v>15</v>
      </c>
      <c r="U39" s="7">
        <v>24</v>
      </c>
      <c r="V39" s="7">
        <v>39</v>
      </c>
      <c r="W39" s="7">
        <v>19</v>
      </c>
      <c r="X39" s="7">
        <v>18</v>
      </c>
      <c r="Y39" s="7">
        <v>1</v>
      </c>
      <c r="Z39" s="7">
        <v>16</v>
      </c>
      <c r="AA39" s="7">
        <v>17</v>
      </c>
      <c r="AB39" s="7">
        <v>-11</v>
      </c>
      <c r="AC39" s="7">
        <v>45677</v>
      </c>
    </row>
    <row r="40" spans="1:29" x14ac:dyDescent="0.2">
      <c r="A40" s="7">
        <v>22024</v>
      </c>
      <c r="B40" s="7">
        <v>1610612745</v>
      </c>
      <c r="C40" s="7" t="s">
        <v>95</v>
      </c>
      <c r="D40" s="7" t="s">
        <v>96</v>
      </c>
      <c r="E40" s="7">
        <v>22400591</v>
      </c>
      <c r="F40" s="11">
        <v>45675</v>
      </c>
      <c r="G40" s="7" t="s">
        <v>135</v>
      </c>
      <c r="H40" s="7" t="s">
        <v>98</v>
      </c>
      <c r="I40" s="7">
        <v>240</v>
      </c>
      <c r="J40" s="7">
        <v>125</v>
      </c>
      <c r="K40" s="7">
        <v>48</v>
      </c>
      <c r="L40" s="7">
        <v>108</v>
      </c>
      <c r="M40" s="7">
        <v>0.44400000000000001</v>
      </c>
      <c r="N40" s="7">
        <v>14</v>
      </c>
      <c r="O40" s="7">
        <v>31</v>
      </c>
      <c r="P40" s="7">
        <v>0.45200000000000001</v>
      </c>
      <c r="Q40" s="7">
        <v>15</v>
      </c>
      <c r="R40" s="7">
        <v>22</v>
      </c>
      <c r="S40" s="7">
        <v>0.68200000000000005</v>
      </c>
      <c r="T40" s="7">
        <v>23</v>
      </c>
      <c r="U40" s="7">
        <v>38</v>
      </c>
      <c r="V40" s="7">
        <v>61</v>
      </c>
      <c r="W40" s="7">
        <v>25</v>
      </c>
      <c r="X40" s="7">
        <v>13</v>
      </c>
      <c r="Y40" s="7">
        <v>4</v>
      </c>
      <c r="Z40" s="7">
        <v>12</v>
      </c>
      <c r="AA40" s="7">
        <v>18</v>
      </c>
      <c r="AB40" s="7">
        <v>22</v>
      </c>
      <c r="AC40" s="7">
        <v>45675</v>
      </c>
    </row>
    <row r="41" spans="1:29" x14ac:dyDescent="0.2">
      <c r="A41" s="7">
        <v>22024</v>
      </c>
      <c r="B41" s="7">
        <v>1610612745</v>
      </c>
      <c r="C41" s="7" t="s">
        <v>95</v>
      </c>
      <c r="D41" s="7" t="s">
        <v>96</v>
      </c>
      <c r="E41" s="7">
        <v>22400576</v>
      </c>
      <c r="F41" s="11">
        <v>45673</v>
      </c>
      <c r="G41" s="7" t="s">
        <v>136</v>
      </c>
      <c r="H41" s="7" t="s">
        <v>102</v>
      </c>
      <c r="I41" s="7">
        <v>240</v>
      </c>
      <c r="J41" s="7">
        <v>127</v>
      </c>
      <c r="K41" s="7">
        <v>49</v>
      </c>
      <c r="L41" s="7">
        <v>93</v>
      </c>
      <c r="M41" s="7">
        <v>0.52700000000000002</v>
      </c>
      <c r="N41" s="7">
        <v>12</v>
      </c>
      <c r="O41" s="7">
        <v>33</v>
      </c>
      <c r="P41" s="7">
        <v>0.36399999999999999</v>
      </c>
      <c r="Q41" s="7">
        <v>17</v>
      </c>
      <c r="R41" s="7">
        <v>24</v>
      </c>
      <c r="S41" s="7">
        <v>0.70799999999999996</v>
      </c>
      <c r="T41" s="7">
        <v>12</v>
      </c>
      <c r="U41" s="7">
        <v>34</v>
      </c>
      <c r="V41" s="7">
        <v>46</v>
      </c>
      <c r="W41" s="7">
        <v>24</v>
      </c>
      <c r="X41" s="7">
        <v>10</v>
      </c>
      <c r="Y41" s="7">
        <v>6</v>
      </c>
      <c r="Z41" s="7">
        <v>14</v>
      </c>
      <c r="AA41" s="7">
        <v>18</v>
      </c>
      <c r="AB41" s="7">
        <v>-5</v>
      </c>
      <c r="AC41" s="7">
        <v>45673</v>
      </c>
    </row>
    <row r="42" spans="1:29" x14ac:dyDescent="0.2">
      <c r="A42" s="7">
        <v>22024</v>
      </c>
      <c r="B42" s="7">
        <v>1610612745</v>
      </c>
      <c r="C42" s="7" t="s">
        <v>95</v>
      </c>
      <c r="D42" s="7" t="s">
        <v>96</v>
      </c>
      <c r="E42" s="7">
        <v>22400568</v>
      </c>
      <c r="F42" s="11">
        <v>45672</v>
      </c>
      <c r="G42" s="7" t="s">
        <v>137</v>
      </c>
      <c r="H42" s="7" t="s">
        <v>98</v>
      </c>
      <c r="I42" s="7">
        <v>242</v>
      </c>
      <c r="J42" s="7">
        <v>128</v>
      </c>
      <c r="K42" s="7">
        <v>49</v>
      </c>
      <c r="L42" s="7">
        <v>94</v>
      </c>
      <c r="M42" s="7">
        <v>0.52100000000000002</v>
      </c>
      <c r="N42" s="7">
        <v>17</v>
      </c>
      <c r="O42" s="7">
        <v>38</v>
      </c>
      <c r="P42" s="7">
        <v>0.44700000000000001</v>
      </c>
      <c r="Q42" s="7">
        <v>13</v>
      </c>
      <c r="R42" s="7">
        <v>17</v>
      </c>
      <c r="S42" s="7">
        <v>0.76500000000000001</v>
      </c>
      <c r="T42" s="7">
        <v>14</v>
      </c>
      <c r="U42" s="7">
        <v>26</v>
      </c>
      <c r="V42" s="7">
        <v>40</v>
      </c>
      <c r="W42" s="7">
        <v>28</v>
      </c>
      <c r="X42" s="7">
        <v>14</v>
      </c>
      <c r="Y42" s="7">
        <v>6</v>
      </c>
      <c r="Z42" s="7">
        <v>8</v>
      </c>
      <c r="AA42" s="7">
        <v>19</v>
      </c>
      <c r="AB42" s="7">
        <v>20</v>
      </c>
      <c r="AC42" s="7">
        <v>45672</v>
      </c>
    </row>
    <row r="43" spans="1:29" x14ac:dyDescent="0.2">
      <c r="A43" s="7">
        <v>22024</v>
      </c>
      <c r="B43" s="7">
        <v>1610612745</v>
      </c>
      <c r="C43" s="7" t="s">
        <v>95</v>
      </c>
      <c r="D43" s="7" t="s">
        <v>96</v>
      </c>
      <c r="E43" s="7">
        <v>22400551</v>
      </c>
      <c r="F43" s="11">
        <v>45670</v>
      </c>
      <c r="G43" s="7" t="s">
        <v>138</v>
      </c>
      <c r="H43" s="7" t="s">
        <v>98</v>
      </c>
      <c r="I43" s="7">
        <v>239</v>
      </c>
      <c r="J43" s="7">
        <v>120</v>
      </c>
      <c r="K43" s="7">
        <v>41</v>
      </c>
      <c r="L43" s="7">
        <v>81</v>
      </c>
      <c r="M43" s="7">
        <v>0.50600000000000001</v>
      </c>
      <c r="N43" s="7">
        <v>16</v>
      </c>
      <c r="O43" s="7">
        <v>31</v>
      </c>
      <c r="P43" s="7">
        <v>0.51600000000000001</v>
      </c>
      <c r="Q43" s="7">
        <v>22</v>
      </c>
      <c r="R43" s="7">
        <v>31</v>
      </c>
      <c r="S43" s="7">
        <v>0.71</v>
      </c>
      <c r="T43" s="7">
        <v>15</v>
      </c>
      <c r="U43" s="7">
        <v>25</v>
      </c>
      <c r="V43" s="7">
        <v>40</v>
      </c>
      <c r="W43" s="7">
        <v>28</v>
      </c>
      <c r="X43" s="7">
        <v>13</v>
      </c>
      <c r="Y43" s="7">
        <v>8</v>
      </c>
      <c r="Z43" s="7">
        <v>22</v>
      </c>
      <c r="AA43" s="7">
        <v>16</v>
      </c>
      <c r="AB43" s="7">
        <v>2</v>
      </c>
      <c r="AC43" s="7">
        <v>45670</v>
      </c>
    </row>
    <row r="44" spans="1:29" x14ac:dyDescent="0.2">
      <c r="A44" s="7">
        <v>22024</v>
      </c>
      <c r="B44" s="7">
        <v>1610612745</v>
      </c>
      <c r="C44" s="7" t="s">
        <v>95</v>
      </c>
      <c r="D44" s="7" t="s">
        <v>96</v>
      </c>
      <c r="E44" s="7">
        <v>22400520</v>
      </c>
      <c r="F44" s="11">
        <v>45666</v>
      </c>
      <c r="G44" s="7" t="s">
        <v>129</v>
      </c>
      <c r="H44" s="7" t="s">
        <v>98</v>
      </c>
      <c r="I44" s="7">
        <v>240</v>
      </c>
      <c r="J44" s="7">
        <v>119</v>
      </c>
      <c r="K44" s="7">
        <v>41</v>
      </c>
      <c r="L44" s="7">
        <v>96</v>
      </c>
      <c r="M44" s="7">
        <v>0.42699999999999999</v>
      </c>
      <c r="N44" s="7">
        <v>13</v>
      </c>
      <c r="O44" s="7">
        <v>34</v>
      </c>
      <c r="P44" s="7">
        <v>0.38200000000000001</v>
      </c>
      <c r="Q44" s="7">
        <v>24</v>
      </c>
      <c r="R44" s="7">
        <v>41</v>
      </c>
      <c r="S44" s="7">
        <v>0.58499999999999996</v>
      </c>
      <c r="T44" s="7">
        <v>16</v>
      </c>
      <c r="U44" s="7">
        <v>28</v>
      </c>
      <c r="V44" s="7">
        <v>44</v>
      </c>
      <c r="W44" s="7">
        <v>21</v>
      </c>
      <c r="X44" s="7">
        <v>13</v>
      </c>
      <c r="Y44" s="7">
        <v>3</v>
      </c>
      <c r="Z44" s="7">
        <v>12</v>
      </c>
      <c r="AA44" s="7">
        <v>23</v>
      </c>
      <c r="AB44" s="7">
        <v>4</v>
      </c>
      <c r="AC44" s="7">
        <v>45666</v>
      </c>
    </row>
    <row r="45" spans="1:29" x14ac:dyDescent="0.2">
      <c r="A45" s="7">
        <v>22024</v>
      </c>
      <c r="B45" s="7">
        <v>1610612745</v>
      </c>
      <c r="C45" s="7" t="s">
        <v>95</v>
      </c>
      <c r="D45" s="7" t="s">
        <v>96</v>
      </c>
      <c r="E45" s="7">
        <v>22400503</v>
      </c>
      <c r="F45" s="11">
        <v>45664</v>
      </c>
      <c r="G45" s="7" t="s">
        <v>139</v>
      </c>
      <c r="H45" s="7" t="s">
        <v>98</v>
      </c>
      <c r="I45" s="7">
        <v>239</v>
      </c>
      <c r="J45" s="7">
        <v>135</v>
      </c>
      <c r="K45" s="7">
        <v>50</v>
      </c>
      <c r="L45" s="7">
        <v>97</v>
      </c>
      <c r="M45" s="7">
        <v>0.51500000000000001</v>
      </c>
      <c r="N45" s="7">
        <v>15</v>
      </c>
      <c r="O45" s="7">
        <v>38</v>
      </c>
      <c r="P45" s="7">
        <v>0.39500000000000002</v>
      </c>
      <c r="Q45" s="7">
        <v>20</v>
      </c>
      <c r="R45" s="7">
        <v>23</v>
      </c>
      <c r="S45" s="7">
        <v>0.87</v>
      </c>
      <c r="T45" s="7">
        <v>19</v>
      </c>
      <c r="U45" s="7">
        <v>30</v>
      </c>
      <c r="V45" s="7">
        <v>49</v>
      </c>
      <c r="W45" s="7">
        <v>31</v>
      </c>
      <c r="X45" s="7">
        <v>15</v>
      </c>
      <c r="Y45" s="7">
        <v>2</v>
      </c>
      <c r="Z45" s="7">
        <v>10</v>
      </c>
      <c r="AA45" s="7">
        <v>17</v>
      </c>
      <c r="AB45" s="7">
        <v>23</v>
      </c>
      <c r="AC45" s="7">
        <v>45664</v>
      </c>
    </row>
    <row r="46" spans="1:29" x14ac:dyDescent="0.2">
      <c r="A46" s="7">
        <v>22024</v>
      </c>
      <c r="B46" s="7">
        <v>1610612745</v>
      </c>
      <c r="C46" s="7" t="s">
        <v>95</v>
      </c>
      <c r="D46" s="7" t="s">
        <v>96</v>
      </c>
      <c r="E46" s="7">
        <v>22400491</v>
      </c>
      <c r="F46" s="11">
        <v>45662</v>
      </c>
      <c r="G46" s="7" t="s">
        <v>140</v>
      </c>
      <c r="H46" s="7" t="s">
        <v>98</v>
      </c>
      <c r="I46" s="7">
        <v>240</v>
      </c>
      <c r="J46" s="7">
        <v>119</v>
      </c>
      <c r="K46" s="7">
        <v>47</v>
      </c>
      <c r="L46" s="7">
        <v>99</v>
      </c>
      <c r="M46" s="7">
        <v>0.47499999999999998</v>
      </c>
      <c r="N46" s="7">
        <v>14</v>
      </c>
      <c r="O46" s="7">
        <v>40</v>
      </c>
      <c r="P46" s="7">
        <v>0.35</v>
      </c>
      <c r="Q46" s="7">
        <v>11</v>
      </c>
      <c r="R46" s="7">
        <v>19</v>
      </c>
      <c r="S46" s="7">
        <v>0.57899999999999996</v>
      </c>
      <c r="T46" s="7">
        <v>18</v>
      </c>
      <c r="U46" s="7">
        <v>31</v>
      </c>
      <c r="V46" s="7">
        <v>49</v>
      </c>
      <c r="W46" s="7">
        <v>19</v>
      </c>
      <c r="X46" s="7">
        <v>3</v>
      </c>
      <c r="Y46" s="7">
        <v>4</v>
      </c>
      <c r="Z46" s="7">
        <v>6</v>
      </c>
      <c r="AA46" s="7">
        <v>22</v>
      </c>
      <c r="AB46" s="7">
        <v>4</v>
      </c>
      <c r="AC46" s="7">
        <v>45662</v>
      </c>
    </row>
    <row r="47" spans="1:29" x14ac:dyDescent="0.2">
      <c r="A47" s="7">
        <v>22024</v>
      </c>
      <c r="B47" s="7">
        <v>1610612745</v>
      </c>
      <c r="C47" s="7" t="s">
        <v>95</v>
      </c>
      <c r="D47" s="7" t="s">
        <v>96</v>
      </c>
      <c r="E47" s="7">
        <v>22400471</v>
      </c>
      <c r="F47" s="11">
        <v>45660</v>
      </c>
      <c r="G47" s="7" t="s">
        <v>141</v>
      </c>
      <c r="H47" s="7" t="s">
        <v>102</v>
      </c>
      <c r="I47" s="7">
        <v>241</v>
      </c>
      <c r="J47" s="7">
        <v>86</v>
      </c>
      <c r="K47" s="7">
        <v>32</v>
      </c>
      <c r="L47" s="7">
        <v>88</v>
      </c>
      <c r="M47" s="7">
        <v>0.36399999999999999</v>
      </c>
      <c r="N47" s="7">
        <v>10</v>
      </c>
      <c r="O47" s="7">
        <v>36</v>
      </c>
      <c r="P47" s="7">
        <v>0.27800000000000002</v>
      </c>
      <c r="Q47" s="7">
        <v>12</v>
      </c>
      <c r="R47" s="7">
        <v>12</v>
      </c>
      <c r="S47" s="7">
        <v>1</v>
      </c>
      <c r="T47" s="7">
        <v>14</v>
      </c>
      <c r="U47" s="7">
        <v>23</v>
      </c>
      <c r="V47" s="7">
        <v>37</v>
      </c>
      <c r="W47" s="7">
        <v>9</v>
      </c>
      <c r="X47" s="7">
        <v>6</v>
      </c>
      <c r="Y47" s="7">
        <v>4</v>
      </c>
      <c r="Z47" s="7">
        <v>11</v>
      </c>
      <c r="AA47" s="7">
        <v>21</v>
      </c>
      <c r="AB47" s="7">
        <v>-23</v>
      </c>
      <c r="AC47" s="7">
        <v>45660</v>
      </c>
    </row>
    <row r="48" spans="1:29" x14ac:dyDescent="0.2">
      <c r="A48" s="7">
        <v>22024</v>
      </c>
      <c r="B48" s="7">
        <v>1610612745</v>
      </c>
      <c r="C48" s="7" t="s">
        <v>95</v>
      </c>
      <c r="D48" s="7" t="s">
        <v>96</v>
      </c>
      <c r="E48" s="7">
        <v>22400460</v>
      </c>
      <c r="F48" s="11">
        <v>45658</v>
      </c>
      <c r="G48" s="7" t="s">
        <v>111</v>
      </c>
      <c r="H48" s="7" t="s">
        <v>98</v>
      </c>
      <c r="I48" s="7">
        <v>241</v>
      </c>
      <c r="J48" s="7">
        <v>110</v>
      </c>
      <c r="K48" s="7">
        <v>42</v>
      </c>
      <c r="L48" s="7">
        <v>89</v>
      </c>
      <c r="M48" s="7">
        <v>0.47199999999999998</v>
      </c>
      <c r="N48" s="7">
        <v>8</v>
      </c>
      <c r="O48" s="7">
        <v>25</v>
      </c>
      <c r="P48" s="7">
        <v>0.32</v>
      </c>
      <c r="Q48" s="7">
        <v>18</v>
      </c>
      <c r="R48" s="7">
        <v>23</v>
      </c>
      <c r="S48" s="7">
        <v>0.78300000000000003</v>
      </c>
      <c r="T48" s="7">
        <v>4</v>
      </c>
      <c r="U48" s="7">
        <v>31</v>
      </c>
      <c r="V48" s="7">
        <v>35</v>
      </c>
      <c r="W48" s="7">
        <v>16</v>
      </c>
      <c r="X48" s="7">
        <v>17</v>
      </c>
      <c r="Y48" s="7">
        <v>1</v>
      </c>
      <c r="Z48" s="7">
        <v>12</v>
      </c>
      <c r="AA48" s="7">
        <v>18</v>
      </c>
      <c r="AB48" s="7">
        <v>11</v>
      </c>
      <c r="AC48" s="7">
        <v>45658</v>
      </c>
    </row>
    <row r="49" spans="1:29" x14ac:dyDescent="0.2">
      <c r="A49" s="7">
        <v>22024</v>
      </c>
      <c r="B49" s="7">
        <v>1610612745</v>
      </c>
      <c r="C49" s="7" t="s">
        <v>95</v>
      </c>
      <c r="D49" s="7" t="s">
        <v>96</v>
      </c>
      <c r="E49" s="7">
        <v>22400439</v>
      </c>
      <c r="F49" s="11">
        <v>45655</v>
      </c>
      <c r="G49" s="7" t="s">
        <v>142</v>
      </c>
      <c r="H49" s="7" t="s">
        <v>102</v>
      </c>
      <c r="I49" s="7">
        <v>240</v>
      </c>
      <c r="J49" s="7">
        <v>100</v>
      </c>
      <c r="K49" s="7">
        <v>38</v>
      </c>
      <c r="L49" s="7">
        <v>97</v>
      </c>
      <c r="M49" s="7">
        <v>0.39200000000000002</v>
      </c>
      <c r="N49" s="7">
        <v>13</v>
      </c>
      <c r="O49" s="7">
        <v>40</v>
      </c>
      <c r="P49" s="7">
        <v>0.32500000000000001</v>
      </c>
      <c r="Q49" s="7">
        <v>11</v>
      </c>
      <c r="R49" s="7">
        <v>13</v>
      </c>
      <c r="S49" s="7">
        <v>0.84599999999999997</v>
      </c>
      <c r="T49" s="7">
        <v>19</v>
      </c>
      <c r="U49" s="7">
        <v>33</v>
      </c>
      <c r="V49" s="7">
        <v>52</v>
      </c>
      <c r="W49" s="7">
        <v>24</v>
      </c>
      <c r="X49" s="7">
        <v>5</v>
      </c>
      <c r="Y49" s="7">
        <v>4</v>
      </c>
      <c r="Z49" s="7">
        <v>12</v>
      </c>
      <c r="AA49" s="7">
        <v>21</v>
      </c>
      <c r="AB49" s="7">
        <v>-4</v>
      </c>
      <c r="AC49" s="7">
        <v>45655</v>
      </c>
    </row>
    <row r="50" spans="1:29" x14ac:dyDescent="0.2">
      <c r="A50" s="7">
        <v>22024</v>
      </c>
      <c r="B50" s="7">
        <v>1610612745</v>
      </c>
      <c r="C50" s="7" t="s">
        <v>95</v>
      </c>
      <c r="D50" s="7" t="s">
        <v>96</v>
      </c>
      <c r="E50" s="7">
        <v>22400422</v>
      </c>
      <c r="F50" s="11">
        <v>45653</v>
      </c>
      <c r="G50" s="7" t="s">
        <v>121</v>
      </c>
      <c r="H50" s="7" t="s">
        <v>102</v>
      </c>
      <c r="I50" s="7">
        <v>241</v>
      </c>
      <c r="J50" s="7">
        <v>112</v>
      </c>
      <c r="K50" s="7">
        <v>45</v>
      </c>
      <c r="L50" s="7">
        <v>92</v>
      </c>
      <c r="M50" s="7">
        <v>0.48899999999999999</v>
      </c>
      <c r="N50" s="7">
        <v>10</v>
      </c>
      <c r="O50" s="7">
        <v>30</v>
      </c>
      <c r="P50" s="7">
        <v>0.33300000000000002</v>
      </c>
      <c r="Q50" s="7">
        <v>12</v>
      </c>
      <c r="R50" s="7">
        <v>19</v>
      </c>
      <c r="S50" s="7">
        <v>0.63200000000000001</v>
      </c>
      <c r="T50" s="7">
        <v>16</v>
      </c>
      <c r="U50" s="7">
        <v>31</v>
      </c>
      <c r="V50" s="7">
        <v>47</v>
      </c>
      <c r="W50" s="7">
        <v>19</v>
      </c>
      <c r="X50" s="7">
        <v>7</v>
      </c>
      <c r="Y50" s="7">
        <v>3</v>
      </c>
      <c r="Z50" s="7">
        <v>13</v>
      </c>
      <c r="AA50" s="7">
        <v>16</v>
      </c>
      <c r="AB50" s="7">
        <v>-1</v>
      </c>
      <c r="AC50" s="7">
        <v>45653</v>
      </c>
    </row>
    <row r="51" spans="1:29" x14ac:dyDescent="0.2">
      <c r="A51" s="7">
        <v>22024</v>
      </c>
      <c r="B51" s="7">
        <v>1610612745</v>
      </c>
      <c r="C51" s="7" t="s">
        <v>95</v>
      </c>
      <c r="D51" s="7" t="s">
        <v>96</v>
      </c>
      <c r="E51" s="7">
        <v>22400416</v>
      </c>
      <c r="F51" s="11">
        <v>45652</v>
      </c>
      <c r="G51" s="7" t="s">
        <v>115</v>
      </c>
      <c r="H51" s="7" t="s">
        <v>98</v>
      </c>
      <c r="I51" s="7">
        <v>240</v>
      </c>
      <c r="J51" s="7">
        <v>128</v>
      </c>
      <c r="K51" s="7">
        <v>46</v>
      </c>
      <c r="L51" s="7">
        <v>97</v>
      </c>
      <c r="M51" s="7">
        <v>0.47399999999999998</v>
      </c>
      <c r="N51" s="7">
        <v>18</v>
      </c>
      <c r="O51" s="7">
        <v>47</v>
      </c>
      <c r="P51" s="7">
        <v>0.38300000000000001</v>
      </c>
      <c r="Q51" s="7">
        <v>18</v>
      </c>
      <c r="R51" s="7">
        <v>23</v>
      </c>
      <c r="S51" s="7">
        <v>0.78300000000000003</v>
      </c>
      <c r="T51" s="7">
        <v>18</v>
      </c>
      <c r="U51" s="7">
        <v>36</v>
      </c>
      <c r="V51" s="7">
        <v>54</v>
      </c>
      <c r="W51" s="7">
        <v>19</v>
      </c>
      <c r="X51" s="7">
        <v>7</v>
      </c>
      <c r="Y51" s="7">
        <v>9</v>
      </c>
      <c r="Z51" s="7">
        <v>15</v>
      </c>
      <c r="AA51" s="7">
        <v>14</v>
      </c>
      <c r="AB51" s="7">
        <v>17</v>
      </c>
      <c r="AC51" s="7">
        <v>45652</v>
      </c>
    </row>
    <row r="52" spans="1:29" x14ac:dyDescent="0.2">
      <c r="A52" s="7">
        <v>22024</v>
      </c>
      <c r="B52" s="7">
        <v>1610612745</v>
      </c>
      <c r="C52" s="7" t="s">
        <v>95</v>
      </c>
      <c r="D52" s="7" t="s">
        <v>96</v>
      </c>
      <c r="E52" s="7">
        <v>22400391</v>
      </c>
      <c r="F52" s="11">
        <v>45649</v>
      </c>
      <c r="G52" s="7" t="s">
        <v>143</v>
      </c>
      <c r="H52" s="7" t="s">
        <v>98</v>
      </c>
      <c r="I52" s="7">
        <v>241</v>
      </c>
      <c r="J52" s="7">
        <v>114</v>
      </c>
      <c r="K52" s="7">
        <v>43</v>
      </c>
      <c r="L52" s="7">
        <v>99</v>
      </c>
      <c r="M52" s="7">
        <v>0.434</v>
      </c>
      <c r="N52" s="7">
        <v>13</v>
      </c>
      <c r="O52" s="7">
        <v>42</v>
      </c>
      <c r="P52" s="7">
        <v>0.31</v>
      </c>
      <c r="Q52" s="7">
        <v>15</v>
      </c>
      <c r="R52" s="7">
        <v>19</v>
      </c>
      <c r="S52" s="7">
        <v>0.78900000000000003</v>
      </c>
      <c r="T52" s="7">
        <v>21</v>
      </c>
      <c r="U52" s="7">
        <v>39</v>
      </c>
      <c r="V52" s="7">
        <v>60</v>
      </c>
      <c r="W52" s="7">
        <v>23</v>
      </c>
      <c r="X52" s="7">
        <v>4</v>
      </c>
      <c r="Y52" s="7">
        <v>8</v>
      </c>
      <c r="Z52" s="7">
        <v>11</v>
      </c>
      <c r="AA52" s="7">
        <v>16</v>
      </c>
      <c r="AB52" s="7">
        <v>13</v>
      </c>
      <c r="AC52" s="7">
        <v>45649</v>
      </c>
    </row>
    <row r="53" spans="1:29" x14ac:dyDescent="0.2">
      <c r="A53" s="7">
        <v>22024</v>
      </c>
      <c r="B53" s="7">
        <v>1610612745</v>
      </c>
      <c r="C53" s="7" t="s">
        <v>95</v>
      </c>
      <c r="D53" s="7" t="s">
        <v>96</v>
      </c>
      <c r="E53" s="7">
        <v>22400388</v>
      </c>
      <c r="F53" s="11">
        <v>45648</v>
      </c>
      <c r="G53" s="7" t="s">
        <v>144</v>
      </c>
      <c r="H53" s="7" t="s">
        <v>98</v>
      </c>
      <c r="I53" s="7">
        <v>240</v>
      </c>
      <c r="J53" s="7">
        <v>114</v>
      </c>
      <c r="K53" s="7">
        <v>40</v>
      </c>
      <c r="L53" s="7">
        <v>89</v>
      </c>
      <c r="M53" s="7">
        <v>0.44900000000000001</v>
      </c>
      <c r="N53" s="7">
        <v>7</v>
      </c>
      <c r="O53" s="7">
        <v>28</v>
      </c>
      <c r="P53" s="7">
        <v>0.25</v>
      </c>
      <c r="Q53" s="7">
        <v>27</v>
      </c>
      <c r="R53" s="7">
        <v>33</v>
      </c>
      <c r="S53" s="7">
        <v>0.81799999999999995</v>
      </c>
      <c r="T53" s="7">
        <v>18</v>
      </c>
      <c r="U53" s="7">
        <v>35</v>
      </c>
      <c r="V53" s="7">
        <v>53</v>
      </c>
      <c r="W53" s="7">
        <v>18</v>
      </c>
      <c r="X53" s="7">
        <v>12</v>
      </c>
      <c r="Y53" s="7">
        <v>6</v>
      </c>
      <c r="Z53" s="7">
        <v>21</v>
      </c>
      <c r="AA53" s="7">
        <v>14</v>
      </c>
      <c r="AB53" s="7">
        <v>4</v>
      </c>
      <c r="AC53" s="7">
        <v>45648</v>
      </c>
    </row>
    <row r="54" spans="1:29" x14ac:dyDescent="0.2">
      <c r="A54" s="7">
        <v>22024</v>
      </c>
      <c r="B54" s="7">
        <v>1610612745</v>
      </c>
      <c r="C54" s="7" t="s">
        <v>95</v>
      </c>
      <c r="D54" s="7" t="s">
        <v>96</v>
      </c>
      <c r="E54" s="7">
        <v>22400365</v>
      </c>
      <c r="F54" s="11">
        <v>45645</v>
      </c>
      <c r="G54" s="7" t="s">
        <v>114</v>
      </c>
      <c r="H54" s="7" t="s">
        <v>98</v>
      </c>
      <c r="I54" s="7">
        <v>239</v>
      </c>
      <c r="J54" s="7">
        <v>133</v>
      </c>
      <c r="K54" s="7">
        <v>50</v>
      </c>
      <c r="L54" s="7">
        <v>87</v>
      </c>
      <c r="M54" s="7">
        <v>0.57499999999999996</v>
      </c>
      <c r="N54" s="7">
        <v>17</v>
      </c>
      <c r="O54" s="7">
        <v>39</v>
      </c>
      <c r="P54" s="7">
        <v>0.436</v>
      </c>
      <c r="Q54" s="7">
        <v>16</v>
      </c>
      <c r="R54" s="7">
        <v>19</v>
      </c>
      <c r="S54" s="7">
        <v>0.84199999999999997</v>
      </c>
      <c r="T54" s="7">
        <v>6</v>
      </c>
      <c r="U54" s="7">
        <v>36</v>
      </c>
      <c r="V54" s="7">
        <v>42</v>
      </c>
      <c r="W54" s="7">
        <v>34</v>
      </c>
      <c r="X54" s="7">
        <v>7</v>
      </c>
      <c r="Y54" s="7">
        <v>6</v>
      </c>
      <c r="Z54" s="7">
        <v>11</v>
      </c>
      <c r="AA54" s="7">
        <v>20</v>
      </c>
      <c r="AB54" s="7">
        <v>20</v>
      </c>
      <c r="AC54" s="7">
        <v>45645</v>
      </c>
    </row>
    <row r="55" spans="1:29" x14ac:dyDescent="0.2">
      <c r="A55" s="7">
        <v>22024</v>
      </c>
      <c r="B55" s="7">
        <v>1610612745</v>
      </c>
      <c r="C55" s="7" t="s">
        <v>95</v>
      </c>
      <c r="D55" s="7" t="s">
        <v>96</v>
      </c>
      <c r="E55" s="7">
        <v>22401230</v>
      </c>
      <c r="F55" s="11">
        <v>45640</v>
      </c>
      <c r="G55" s="7" t="s">
        <v>117</v>
      </c>
      <c r="H55" s="7" t="s">
        <v>102</v>
      </c>
      <c r="I55" s="7">
        <v>240</v>
      </c>
      <c r="J55" s="7">
        <v>96</v>
      </c>
      <c r="K55" s="7">
        <v>35</v>
      </c>
      <c r="L55" s="7">
        <v>96</v>
      </c>
      <c r="M55" s="7">
        <v>0.36499999999999999</v>
      </c>
      <c r="N55" s="7">
        <v>11</v>
      </c>
      <c r="O55" s="7">
        <v>46</v>
      </c>
      <c r="P55" s="7">
        <v>0.23899999999999999</v>
      </c>
      <c r="Q55" s="7">
        <v>15</v>
      </c>
      <c r="R55" s="7">
        <v>25</v>
      </c>
      <c r="S55" s="7">
        <v>0.6</v>
      </c>
      <c r="T55" s="7">
        <v>19</v>
      </c>
      <c r="U55" s="7">
        <v>30</v>
      </c>
      <c r="V55" s="7">
        <v>49</v>
      </c>
      <c r="W55" s="7">
        <v>17</v>
      </c>
      <c r="X55" s="7">
        <v>7</v>
      </c>
      <c r="Y55" s="7">
        <v>3</v>
      </c>
      <c r="Z55" s="7">
        <v>16</v>
      </c>
      <c r="AA55" s="7">
        <v>25</v>
      </c>
      <c r="AB55" s="7">
        <v>-15</v>
      </c>
      <c r="AC55" s="7">
        <v>45640</v>
      </c>
    </row>
    <row r="56" spans="1:29" x14ac:dyDescent="0.2">
      <c r="A56" s="7">
        <v>22024</v>
      </c>
      <c r="B56" s="7">
        <v>1610612745</v>
      </c>
      <c r="C56" s="7" t="s">
        <v>95</v>
      </c>
      <c r="D56" s="7" t="s">
        <v>96</v>
      </c>
      <c r="E56" s="7">
        <v>22401204</v>
      </c>
      <c r="F56" s="11">
        <v>45637</v>
      </c>
      <c r="G56" s="7" t="s">
        <v>122</v>
      </c>
      <c r="H56" s="7" t="s">
        <v>98</v>
      </c>
      <c r="I56" s="7">
        <v>240</v>
      </c>
      <c r="J56" s="7">
        <v>91</v>
      </c>
      <c r="K56" s="7">
        <v>38</v>
      </c>
      <c r="L56" s="7">
        <v>83</v>
      </c>
      <c r="M56" s="7">
        <v>0.45800000000000002</v>
      </c>
      <c r="N56" s="7">
        <v>6</v>
      </c>
      <c r="O56" s="7">
        <v>27</v>
      </c>
      <c r="P56" s="7">
        <v>0.222</v>
      </c>
      <c r="Q56" s="7">
        <v>9</v>
      </c>
      <c r="R56" s="7">
        <v>10</v>
      </c>
      <c r="S56" s="7">
        <v>0.9</v>
      </c>
      <c r="T56" s="7">
        <v>7</v>
      </c>
      <c r="U56" s="7">
        <v>29</v>
      </c>
      <c r="V56" s="7">
        <v>36</v>
      </c>
      <c r="W56" s="7">
        <v>23</v>
      </c>
      <c r="X56" s="7">
        <v>10</v>
      </c>
      <c r="Y56" s="7">
        <v>5</v>
      </c>
      <c r="Z56" s="7">
        <v>16</v>
      </c>
      <c r="AA56" s="7">
        <v>14</v>
      </c>
      <c r="AB56" s="7">
        <v>1</v>
      </c>
      <c r="AC56" s="7">
        <v>45637</v>
      </c>
    </row>
    <row r="57" spans="1:29" x14ac:dyDescent="0.2">
      <c r="A57" s="7">
        <v>22024</v>
      </c>
      <c r="B57" s="7">
        <v>1610612745</v>
      </c>
      <c r="C57" s="7" t="s">
        <v>95</v>
      </c>
      <c r="D57" s="7" t="s">
        <v>96</v>
      </c>
      <c r="E57" s="7">
        <v>22400356</v>
      </c>
      <c r="F57" s="11">
        <v>45634</v>
      </c>
      <c r="G57" s="7" t="s">
        <v>145</v>
      </c>
      <c r="H57" s="7" t="s">
        <v>98</v>
      </c>
      <c r="I57" s="7">
        <v>241</v>
      </c>
      <c r="J57" s="7">
        <v>117</v>
      </c>
      <c r="K57" s="7">
        <v>40</v>
      </c>
      <c r="L57" s="7">
        <v>82</v>
      </c>
      <c r="M57" s="7">
        <v>0.48799999999999999</v>
      </c>
      <c r="N57" s="7">
        <v>15</v>
      </c>
      <c r="O57" s="7">
        <v>41</v>
      </c>
      <c r="P57" s="7">
        <v>0.36599999999999999</v>
      </c>
      <c r="Q57" s="7">
        <v>22</v>
      </c>
      <c r="R57" s="7">
        <v>26</v>
      </c>
      <c r="S57" s="7">
        <v>0.84599999999999997</v>
      </c>
      <c r="T57" s="7">
        <v>12</v>
      </c>
      <c r="U57" s="7">
        <v>38</v>
      </c>
      <c r="V57" s="7">
        <v>50</v>
      </c>
      <c r="W57" s="7">
        <v>23</v>
      </c>
      <c r="X57" s="7">
        <v>4</v>
      </c>
      <c r="Y57" s="7">
        <v>4</v>
      </c>
      <c r="Z57" s="7">
        <v>15</v>
      </c>
      <c r="AA57" s="7">
        <v>16</v>
      </c>
      <c r="AB57" s="7">
        <v>11</v>
      </c>
      <c r="AC57" s="7">
        <v>45634</v>
      </c>
    </row>
    <row r="58" spans="1:29" x14ac:dyDescent="0.2">
      <c r="A58" s="7">
        <v>22024</v>
      </c>
      <c r="B58" s="7">
        <v>1610612745</v>
      </c>
      <c r="C58" s="7" t="s">
        <v>95</v>
      </c>
      <c r="D58" s="7" t="s">
        <v>96</v>
      </c>
      <c r="E58" s="7">
        <v>22400332</v>
      </c>
      <c r="F58" s="11">
        <v>45631</v>
      </c>
      <c r="G58" s="7" t="s">
        <v>97</v>
      </c>
      <c r="H58" s="7" t="s">
        <v>102</v>
      </c>
      <c r="I58" s="7">
        <v>241</v>
      </c>
      <c r="J58" s="7">
        <v>93</v>
      </c>
      <c r="K58" s="7">
        <v>35</v>
      </c>
      <c r="L58" s="7">
        <v>93</v>
      </c>
      <c r="M58" s="7">
        <v>0.376</v>
      </c>
      <c r="N58" s="7">
        <v>10</v>
      </c>
      <c r="O58" s="7">
        <v>38</v>
      </c>
      <c r="P58" s="7">
        <v>0.26300000000000001</v>
      </c>
      <c r="Q58" s="7">
        <v>13</v>
      </c>
      <c r="R58" s="7">
        <v>17</v>
      </c>
      <c r="S58" s="7">
        <v>0.76500000000000001</v>
      </c>
      <c r="T58" s="7">
        <v>11</v>
      </c>
      <c r="U58" s="7">
        <v>34</v>
      </c>
      <c r="V58" s="7">
        <v>45</v>
      </c>
      <c r="W58" s="7">
        <v>20</v>
      </c>
      <c r="X58" s="7">
        <v>9</v>
      </c>
      <c r="Y58" s="7">
        <v>9</v>
      </c>
      <c r="Z58" s="7">
        <v>8</v>
      </c>
      <c r="AA58" s="7">
        <v>20</v>
      </c>
      <c r="AB58" s="7">
        <v>-6</v>
      </c>
      <c r="AC58" s="7">
        <v>45631</v>
      </c>
    </row>
    <row r="59" spans="1:29" x14ac:dyDescent="0.2">
      <c r="A59" s="7">
        <v>22024</v>
      </c>
      <c r="B59" s="7">
        <v>1610612745</v>
      </c>
      <c r="C59" s="7" t="s">
        <v>95</v>
      </c>
      <c r="D59" s="7" t="s">
        <v>96</v>
      </c>
      <c r="E59" s="7">
        <v>22400059</v>
      </c>
      <c r="F59" s="11">
        <v>45629</v>
      </c>
      <c r="G59" s="7" t="s">
        <v>136</v>
      </c>
      <c r="H59" s="7" t="s">
        <v>102</v>
      </c>
      <c r="I59" s="7">
        <v>241</v>
      </c>
      <c r="J59" s="7">
        <v>111</v>
      </c>
      <c r="K59" s="7">
        <v>41</v>
      </c>
      <c r="L59" s="7">
        <v>93</v>
      </c>
      <c r="M59" s="7">
        <v>0.441</v>
      </c>
      <c r="N59" s="7">
        <v>14</v>
      </c>
      <c r="O59" s="7">
        <v>39</v>
      </c>
      <c r="P59" s="7">
        <v>0.35899999999999999</v>
      </c>
      <c r="Q59" s="7">
        <v>15</v>
      </c>
      <c r="R59" s="7">
        <v>21</v>
      </c>
      <c r="S59" s="7">
        <v>0.71399999999999997</v>
      </c>
      <c r="T59" s="7">
        <v>18</v>
      </c>
      <c r="U59" s="7">
        <v>35</v>
      </c>
      <c r="V59" s="7">
        <v>53</v>
      </c>
      <c r="W59" s="7">
        <v>14</v>
      </c>
      <c r="X59" s="7">
        <v>6</v>
      </c>
      <c r="Y59" s="7">
        <v>1</v>
      </c>
      <c r="Z59" s="7">
        <v>15</v>
      </c>
      <c r="AA59" s="7">
        <v>23</v>
      </c>
      <c r="AB59" s="7">
        <v>-9</v>
      </c>
      <c r="AC59" s="7">
        <v>45629</v>
      </c>
    </row>
    <row r="60" spans="1:29" x14ac:dyDescent="0.2">
      <c r="A60" s="7">
        <v>22024</v>
      </c>
      <c r="B60" s="7">
        <v>1610612745</v>
      </c>
      <c r="C60" s="7" t="s">
        <v>95</v>
      </c>
      <c r="D60" s="7" t="s">
        <v>96</v>
      </c>
      <c r="E60" s="7">
        <v>22400310</v>
      </c>
      <c r="F60" s="11">
        <v>45627</v>
      </c>
      <c r="G60" s="7" t="s">
        <v>99</v>
      </c>
      <c r="H60" s="7" t="s">
        <v>98</v>
      </c>
      <c r="I60" s="7">
        <v>240</v>
      </c>
      <c r="J60" s="7">
        <v>119</v>
      </c>
      <c r="K60" s="7">
        <v>38</v>
      </c>
      <c r="L60" s="7">
        <v>92</v>
      </c>
      <c r="M60" s="7">
        <v>0.41299999999999998</v>
      </c>
      <c r="N60" s="7">
        <v>13</v>
      </c>
      <c r="O60" s="7">
        <v>37</v>
      </c>
      <c r="P60" s="7">
        <v>0.35099999999999998</v>
      </c>
      <c r="Q60" s="7">
        <v>30</v>
      </c>
      <c r="R60" s="7">
        <v>39</v>
      </c>
      <c r="S60" s="7">
        <v>0.76900000000000002</v>
      </c>
      <c r="T60" s="7">
        <v>15</v>
      </c>
      <c r="U60" s="7">
        <v>36</v>
      </c>
      <c r="V60" s="7">
        <v>51</v>
      </c>
      <c r="W60" s="7">
        <v>20</v>
      </c>
      <c r="X60" s="7">
        <v>3</v>
      </c>
      <c r="Y60" s="7">
        <v>6</v>
      </c>
      <c r="Z60" s="7">
        <v>10</v>
      </c>
      <c r="AA60" s="7">
        <v>21</v>
      </c>
      <c r="AB60" s="7">
        <v>3</v>
      </c>
      <c r="AC60" s="7">
        <v>45627</v>
      </c>
    </row>
    <row r="61" spans="1:29" x14ac:dyDescent="0.2">
      <c r="A61" s="7">
        <v>22024</v>
      </c>
      <c r="B61" s="7">
        <v>1610612745</v>
      </c>
      <c r="C61" s="7" t="s">
        <v>95</v>
      </c>
      <c r="D61" s="7" t="s">
        <v>96</v>
      </c>
      <c r="E61" s="7">
        <v>22400290</v>
      </c>
      <c r="F61" s="11">
        <v>45623</v>
      </c>
      <c r="G61" s="7" t="s">
        <v>146</v>
      </c>
      <c r="H61" s="7" t="s">
        <v>98</v>
      </c>
      <c r="I61" s="7">
        <v>264</v>
      </c>
      <c r="J61" s="7">
        <v>122</v>
      </c>
      <c r="K61" s="7">
        <v>40</v>
      </c>
      <c r="L61" s="7">
        <v>88</v>
      </c>
      <c r="M61" s="7">
        <v>0.45500000000000002</v>
      </c>
      <c r="N61" s="7">
        <v>10</v>
      </c>
      <c r="O61" s="7">
        <v>31</v>
      </c>
      <c r="P61" s="7">
        <v>0.32300000000000001</v>
      </c>
      <c r="Q61" s="7">
        <v>32</v>
      </c>
      <c r="R61" s="7">
        <v>38</v>
      </c>
      <c r="S61" s="7">
        <v>0.84199999999999997</v>
      </c>
      <c r="T61" s="7">
        <v>14</v>
      </c>
      <c r="U61" s="7">
        <v>37</v>
      </c>
      <c r="V61" s="7">
        <v>51</v>
      </c>
      <c r="W61" s="7">
        <v>23</v>
      </c>
      <c r="X61" s="7">
        <v>10</v>
      </c>
      <c r="Y61" s="7">
        <v>14</v>
      </c>
      <c r="Z61" s="7">
        <v>20</v>
      </c>
      <c r="AA61" s="7">
        <v>19</v>
      </c>
      <c r="AB61" s="7">
        <v>7</v>
      </c>
      <c r="AC61" s="7">
        <v>45623</v>
      </c>
    </row>
    <row r="62" spans="1:29" x14ac:dyDescent="0.2">
      <c r="A62" s="7">
        <v>22024</v>
      </c>
      <c r="B62" s="7">
        <v>1610612745</v>
      </c>
      <c r="C62" s="7" t="s">
        <v>95</v>
      </c>
      <c r="D62" s="7" t="s">
        <v>96</v>
      </c>
      <c r="E62" s="7">
        <v>22400037</v>
      </c>
      <c r="F62" s="11">
        <v>45622</v>
      </c>
      <c r="G62" s="7" t="s">
        <v>125</v>
      </c>
      <c r="H62" s="7" t="s">
        <v>98</v>
      </c>
      <c r="I62" s="7">
        <v>265</v>
      </c>
      <c r="J62" s="7">
        <v>117</v>
      </c>
      <c r="K62" s="7">
        <v>45</v>
      </c>
      <c r="L62" s="7">
        <v>99</v>
      </c>
      <c r="M62" s="7">
        <v>0.45500000000000002</v>
      </c>
      <c r="N62" s="7">
        <v>15</v>
      </c>
      <c r="O62" s="7">
        <v>37</v>
      </c>
      <c r="P62" s="7">
        <v>0.40500000000000003</v>
      </c>
      <c r="Q62" s="7">
        <v>12</v>
      </c>
      <c r="R62" s="7">
        <v>13</v>
      </c>
      <c r="S62" s="7">
        <v>0.92300000000000004</v>
      </c>
      <c r="T62" s="7">
        <v>7</v>
      </c>
      <c r="U62" s="7">
        <v>37</v>
      </c>
      <c r="V62" s="7">
        <v>44</v>
      </c>
      <c r="W62" s="7">
        <v>31</v>
      </c>
      <c r="X62" s="7">
        <v>12</v>
      </c>
      <c r="Y62" s="7">
        <v>9</v>
      </c>
      <c r="Z62" s="7">
        <v>10</v>
      </c>
      <c r="AA62" s="7">
        <v>20</v>
      </c>
      <c r="AB62" s="7">
        <v>6</v>
      </c>
      <c r="AC62" s="7">
        <v>45622</v>
      </c>
    </row>
    <row r="63" spans="1:29" x14ac:dyDescent="0.2">
      <c r="A63" s="7">
        <v>22024</v>
      </c>
      <c r="B63" s="7">
        <v>1610612745</v>
      </c>
      <c r="C63" s="7" t="s">
        <v>95</v>
      </c>
      <c r="D63" s="7" t="s">
        <v>96</v>
      </c>
      <c r="E63" s="7">
        <v>22400267</v>
      </c>
      <c r="F63" s="11">
        <v>45619</v>
      </c>
      <c r="G63" s="7" t="s">
        <v>147</v>
      </c>
      <c r="H63" s="7" t="s">
        <v>102</v>
      </c>
      <c r="I63" s="7">
        <v>240</v>
      </c>
      <c r="J63" s="7">
        <v>98</v>
      </c>
      <c r="K63" s="7">
        <v>32</v>
      </c>
      <c r="L63" s="7">
        <v>90</v>
      </c>
      <c r="M63" s="7">
        <v>0.35599999999999998</v>
      </c>
      <c r="N63" s="7">
        <v>8</v>
      </c>
      <c r="O63" s="7">
        <v>32</v>
      </c>
      <c r="P63" s="7">
        <v>0.25</v>
      </c>
      <c r="Q63" s="7">
        <v>26</v>
      </c>
      <c r="R63" s="7">
        <v>33</v>
      </c>
      <c r="S63" s="7">
        <v>0.78800000000000003</v>
      </c>
      <c r="T63" s="7">
        <v>14</v>
      </c>
      <c r="U63" s="7">
        <v>29</v>
      </c>
      <c r="V63" s="7">
        <v>43</v>
      </c>
      <c r="W63" s="7">
        <v>17</v>
      </c>
      <c r="X63" s="7">
        <v>8</v>
      </c>
      <c r="Y63" s="7">
        <v>5</v>
      </c>
      <c r="Z63" s="7">
        <v>9</v>
      </c>
      <c r="AA63" s="7">
        <v>19</v>
      </c>
      <c r="AB63" s="7">
        <v>-6</v>
      </c>
      <c r="AC63" s="7">
        <v>45619</v>
      </c>
    </row>
    <row r="64" spans="1:29" x14ac:dyDescent="0.2">
      <c r="A64" s="7">
        <v>22024</v>
      </c>
      <c r="B64" s="7">
        <v>1610612745</v>
      </c>
      <c r="C64" s="7" t="s">
        <v>95</v>
      </c>
      <c r="D64" s="7" t="s">
        <v>96</v>
      </c>
      <c r="E64" s="7">
        <v>22400031</v>
      </c>
      <c r="F64" s="11">
        <v>45618</v>
      </c>
      <c r="G64" s="7" t="s">
        <v>147</v>
      </c>
      <c r="H64" s="7" t="s">
        <v>98</v>
      </c>
      <c r="I64" s="7">
        <v>241</v>
      </c>
      <c r="J64" s="7">
        <v>116</v>
      </c>
      <c r="K64" s="7">
        <v>42</v>
      </c>
      <c r="L64" s="7">
        <v>93</v>
      </c>
      <c r="M64" s="7">
        <v>0.45200000000000001</v>
      </c>
      <c r="N64" s="7">
        <v>15</v>
      </c>
      <c r="O64" s="7">
        <v>39</v>
      </c>
      <c r="P64" s="7">
        <v>0.38500000000000001</v>
      </c>
      <c r="Q64" s="7">
        <v>17</v>
      </c>
      <c r="R64" s="7">
        <v>25</v>
      </c>
      <c r="S64" s="7">
        <v>0.68</v>
      </c>
      <c r="T64" s="7">
        <v>13</v>
      </c>
      <c r="U64" s="7">
        <v>38</v>
      </c>
      <c r="V64" s="7">
        <v>51</v>
      </c>
      <c r="W64" s="7">
        <v>27</v>
      </c>
      <c r="X64" s="7">
        <v>14</v>
      </c>
      <c r="Y64" s="7">
        <v>5</v>
      </c>
      <c r="Z64" s="7">
        <v>17</v>
      </c>
      <c r="AA64" s="7">
        <v>20</v>
      </c>
      <c r="AB64" s="7">
        <v>28</v>
      </c>
      <c r="AC64" s="7">
        <v>45618</v>
      </c>
    </row>
    <row r="65" spans="1:29" x14ac:dyDescent="0.2">
      <c r="A65" s="7">
        <v>22024</v>
      </c>
      <c r="B65" s="7">
        <v>1610612745</v>
      </c>
      <c r="C65" s="7" t="s">
        <v>95</v>
      </c>
      <c r="D65" s="7" t="s">
        <v>96</v>
      </c>
      <c r="E65" s="7">
        <v>22400254</v>
      </c>
      <c r="F65" s="11">
        <v>45616</v>
      </c>
      <c r="G65" s="7" t="s">
        <v>148</v>
      </c>
      <c r="H65" s="7" t="s">
        <v>98</v>
      </c>
      <c r="I65" s="7">
        <v>238</v>
      </c>
      <c r="J65" s="7">
        <v>130</v>
      </c>
      <c r="K65" s="7">
        <v>47</v>
      </c>
      <c r="L65" s="7">
        <v>102</v>
      </c>
      <c r="M65" s="7">
        <v>0.46100000000000002</v>
      </c>
      <c r="N65" s="7">
        <v>12</v>
      </c>
      <c r="O65" s="7">
        <v>36</v>
      </c>
      <c r="P65" s="7">
        <v>0.33300000000000002</v>
      </c>
      <c r="Q65" s="7">
        <v>24</v>
      </c>
      <c r="R65" s="7">
        <v>33</v>
      </c>
      <c r="S65" s="7">
        <v>0.72699999999999998</v>
      </c>
      <c r="T65" s="7">
        <v>13</v>
      </c>
      <c r="U65" s="7">
        <v>34</v>
      </c>
      <c r="V65" s="7">
        <v>47</v>
      </c>
      <c r="W65" s="7">
        <v>25</v>
      </c>
      <c r="X65" s="7">
        <v>16</v>
      </c>
      <c r="Y65" s="7">
        <v>2</v>
      </c>
      <c r="Z65" s="7">
        <v>13</v>
      </c>
      <c r="AA65" s="7">
        <v>21</v>
      </c>
      <c r="AB65" s="7">
        <v>17</v>
      </c>
      <c r="AC65" s="7">
        <v>45616</v>
      </c>
    </row>
    <row r="66" spans="1:29" x14ac:dyDescent="0.2">
      <c r="A66" s="7">
        <v>22024</v>
      </c>
      <c r="B66" s="7">
        <v>1610612745</v>
      </c>
      <c r="C66" s="7" t="s">
        <v>95</v>
      </c>
      <c r="D66" s="7" t="s">
        <v>96</v>
      </c>
      <c r="E66" s="7">
        <v>22400248</v>
      </c>
      <c r="F66" s="11">
        <v>45614</v>
      </c>
      <c r="G66" s="7" t="s">
        <v>149</v>
      </c>
      <c r="H66" s="7" t="s">
        <v>102</v>
      </c>
      <c r="I66" s="7">
        <v>240</v>
      </c>
      <c r="J66" s="7">
        <v>100</v>
      </c>
      <c r="K66" s="7">
        <v>40</v>
      </c>
      <c r="L66" s="7">
        <v>100</v>
      </c>
      <c r="M66" s="7">
        <v>0.4</v>
      </c>
      <c r="N66" s="7">
        <v>9</v>
      </c>
      <c r="O66" s="7">
        <v>32</v>
      </c>
      <c r="P66" s="7">
        <v>0.28100000000000003</v>
      </c>
      <c r="Q66" s="7">
        <v>11</v>
      </c>
      <c r="R66" s="7">
        <v>13</v>
      </c>
      <c r="S66" s="7">
        <v>0.84599999999999997</v>
      </c>
      <c r="T66" s="7">
        <v>16</v>
      </c>
      <c r="U66" s="7">
        <v>37</v>
      </c>
      <c r="V66" s="7">
        <v>53</v>
      </c>
      <c r="W66" s="7">
        <v>19</v>
      </c>
      <c r="X66" s="7">
        <v>9</v>
      </c>
      <c r="Y66" s="7">
        <v>6</v>
      </c>
      <c r="Z66" s="7">
        <v>12</v>
      </c>
      <c r="AA66" s="7">
        <v>15</v>
      </c>
      <c r="AB66" s="7">
        <v>-1</v>
      </c>
      <c r="AC66" s="7">
        <v>45614</v>
      </c>
    </row>
    <row r="67" spans="1:29" x14ac:dyDescent="0.2">
      <c r="A67" s="7">
        <v>22024</v>
      </c>
      <c r="B67" s="7">
        <v>1610612745</v>
      </c>
      <c r="C67" s="7" t="s">
        <v>95</v>
      </c>
      <c r="D67" s="7" t="s">
        <v>96</v>
      </c>
      <c r="E67" s="7">
        <v>22400241</v>
      </c>
      <c r="F67" s="11">
        <v>45613</v>
      </c>
      <c r="G67" s="7" t="s">
        <v>150</v>
      </c>
      <c r="H67" s="7" t="s">
        <v>98</v>
      </c>
      <c r="I67" s="7">
        <v>240</v>
      </c>
      <c r="J67" s="7">
        <v>143</v>
      </c>
      <c r="K67" s="7">
        <v>55</v>
      </c>
      <c r="L67" s="7">
        <v>105</v>
      </c>
      <c r="M67" s="7">
        <v>0.52400000000000002</v>
      </c>
      <c r="N67" s="7">
        <v>10</v>
      </c>
      <c r="O67" s="7">
        <v>34</v>
      </c>
      <c r="P67" s="7">
        <v>0.29399999999999998</v>
      </c>
      <c r="Q67" s="7">
        <v>23</v>
      </c>
      <c r="R67" s="7">
        <v>32</v>
      </c>
      <c r="S67" s="7">
        <v>0.71899999999999997</v>
      </c>
      <c r="T67" s="7">
        <v>14</v>
      </c>
      <c r="U67" s="7">
        <v>52</v>
      </c>
      <c r="V67" s="7">
        <v>66</v>
      </c>
      <c r="W67" s="7">
        <v>34</v>
      </c>
      <c r="X67" s="7">
        <v>8</v>
      </c>
      <c r="Y67" s="7">
        <v>9</v>
      </c>
      <c r="Z67" s="7">
        <v>10</v>
      </c>
      <c r="AA67" s="7">
        <v>18</v>
      </c>
      <c r="AB67" s="7">
        <v>36</v>
      </c>
      <c r="AC67" s="7">
        <v>45613</v>
      </c>
    </row>
    <row r="68" spans="1:29" x14ac:dyDescent="0.2">
      <c r="A68" s="7">
        <v>22024</v>
      </c>
      <c r="B68" s="7">
        <v>1610612745</v>
      </c>
      <c r="C68" s="7" t="s">
        <v>95</v>
      </c>
      <c r="D68" s="7" t="s">
        <v>96</v>
      </c>
      <c r="E68" s="7">
        <v>22400016</v>
      </c>
      <c r="F68" s="11">
        <v>45611</v>
      </c>
      <c r="G68" s="7" t="s">
        <v>151</v>
      </c>
      <c r="H68" s="7" t="s">
        <v>98</v>
      </c>
      <c r="I68" s="7">
        <v>240</v>
      </c>
      <c r="J68" s="7">
        <v>125</v>
      </c>
      <c r="K68" s="7">
        <v>46</v>
      </c>
      <c r="L68" s="7">
        <v>95</v>
      </c>
      <c r="M68" s="7">
        <v>0.48399999999999999</v>
      </c>
      <c r="N68" s="7">
        <v>19</v>
      </c>
      <c r="O68" s="7">
        <v>44</v>
      </c>
      <c r="P68" s="7">
        <v>0.432</v>
      </c>
      <c r="Q68" s="7">
        <v>14</v>
      </c>
      <c r="R68" s="7">
        <v>18</v>
      </c>
      <c r="S68" s="7">
        <v>0.77800000000000002</v>
      </c>
      <c r="T68" s="7">
        <v>9</v>
      </c>
      <c r="U68" s="7">
        <v>39</v>
      </c>
      <c r="V68" s="7">
        <v>48</v>
      </c>
      <c r="W68" s="7">
        <v>31</v>
      </c>
      <c r="X68" s="7">
        <v>11</v>
      </c>
      <c r="Y68" s="7">
        <v>3</v>
      </c>
      <c r="Z68" s="7">
        <v>12</v>
      </c>
      <c r="AA68" s="7">
        <v>25</v>
      </c>
      <c r="AB68" s="7">
        <v>21</v>
      </c>
      <c r="AC68" s="7">
        <v>45611</v>
      </c>
    </row>
    <row r="69" spans="1:29" x14ac:dyDescent="0.2">
      <c r="A69" s="7">
        <v>22024</v>
      </c>
      <c r="B69" s="7">
        <v>1610612745</v>
      </c>
      <c r="C69" s="7" t="s">
        <v>95</v>
      </c>
      <c r="D69" s="7" t="s">
        <v>96</v>
      </c>
      <c r="E69" s="7">
        <v>22400222</v>
      </c>
      <c r="F69" s="11">
        <v>45609</v>
      </c>
      <c r="G69" s="7" t="s">
        <v>151</v>
      </c>
      <c r="H69" s="7" t="s">
        <v>98</v>
      </c>
      <c r="I69" s="7">
        <v>239</v>
      </c>
      <c r="J69" s="7">
        <v>111</v>
      </c>
      <c r="K69" s="7">
        <v>42</v>
      </c>
      <c r="L69" s="7">
        <v>97</v>
      </c>
      <c r="M69" s="7">
        <v>0.433</v>
      </c>
      <c r="N69" s="7">
        <v>15</v>
      </c>
      <c r="O69" s="7">
        <v>40</v>
      </c>
      <c r="P69" s="7">
        <v>0.375</v>
      </c>
      <c r="Q69" s="7">
        <v>12</v>
      </c>
      <c r="R69" s="7">
        <v>17</v>
      </c>
      <c r="S69" s="7">
        <v>0.70599999999999996</v>
      </c>
      <c r="T69" s="7">
        <v>18</v>
      </c>
      <c r="U69" s="7">
        <v>41</v>
      </c>
      <c r="V69" s="7">
        <v>59</v>
      </c>
      <c r="W69" s="7">
        <v>28</v>
      </c>
      <c r="X69" s="7">
        <v>8</v>
      </c>
      <c r="Y69" s="7">
        <v>11</v>
      </c>
      <c r="Z69" s="7">
        <v>13</v>
      </c>
      <c r="AA69" s="7">
        <v>17</v>
      </c>
      <c r="AB69" s="7">
        <v>8</v>
      </c>
      <c r="AC69" s="7">
        <v>45609</v>
      </c>
    </row>
    <row r="70" spans="1:29" x14ac:dyDescent="0.2">
      <c r="A70" s="7">
        <v>22024</v>
      </c>
      <c r="B70" s="7">
        <v>1610612745</v>
      </c>
      <c r="C70" s="7" t="s">
        <v>95</v>
      </c>
      <c r="D70" s="7" t="s">
        <v>96</v>
      </c>
      <c r="E70" s="7">
        <v>22400213</v>
      </c>
      <c r="F70" s="11">
        <v>45607</v>
      </c>
      <c r="G70" s="7" t="s">
        <v>152</v>
      </c>
      <c r="H70" s="7" t="s">
        <v>98</v>
      </c>
      <c r="I70" s="7">
        <v>240</v>
      </c>
      <c r="J70" s="7">
        <v>107</v>
      </c>
      <c r="K70" s="7">
        <v>40</v>
      </c>
      <c r="L70" s="7">
        <v>87</v>
      </c>
      <c r="M70" s="7">
        <v>0.46</v>
      </c>
      <c r="N70" s="7">
        <v>5</v>
      </c>
      <c r="O70" s="7">
        <v>23</v>
      </c>
      <c r="P70" s="7">
        <v>0.217</v>
      </c>
      <c r="Q70" s="7">
        <v>22</v>
      </c>
      <c r="R70" s="7">
        <v>25</v>
      </c>
      <c r="S70" s="7">
        <v>0.88</v>
      </c>
      <c r="T70" s="7">
        <v>17</v>
      </c>
      <c r="U70" s="7">
        <v>41</v>
      </c>
      <c r="V70" s="7">
        <v>58</v>
      </c>
      <c r="W70" s="7">
        <v>13</v>
      </c>
      <c r="X70" s="7">
        <v>12</v>
      </c>
      <c r="Y70" s="7">
        <v>10</v>
      </c>
      <c r="Z70" s="7">
        <v>19</v>
      </c>
      <c r="AA70" s="7">
        <v>17</v>
      </c>
      <c r="AB70" s="7">
        <v>15</v>
      </c>
      <c r="AC70" s="7">
        <v>45607</v>
      </c>
    </row>
    <row r="71" spans="1:29" x14ac:dyDescent="0.2">
      <c r="A71" s="7">
        <v>22024</v>
      </c>
      <c r="B71" s="7">
        <v>1610612745</v>
      </c>
      <c r="C71" s="7" t="s">
        <v>95</v>
      </c>
      <c r="D71" s="7" t="s">
        <v>96</v>
      </c>
      <c r="E71" s="7">
        <v>22400201</v>
      </c>
      <c r="F71" s="11">
        <v>45606</v>
      </c>
      <c r="G71" s="7" t="s">
        <v>153</v>
      </c>
      <c r="H71" s="7" t="s">
        <v>98</v>
      </c>
      <c r="I71" s="7">
        <v>239</v>
      </c>
      <c r="J71" s="7">
        <v>101</v>
      </c>
      <c r="K71" s="7">
        <v>38</v>
      </c>
      <c r="L71" s="7">
        <v>93</v>
      </c>
      <c r="M71" s="7">
        <v>0.40899999999999997</v>
      </c>
      <c r="N71" s="7">
        <v>7</v>
      </c>
      <c r="O71" s="7">
        <v>34</v>
      </c>
      <c r="P71" s="7">
        <v>0.20599999999999999</v>
      </c>
      <c r="Q71" s="7">
        <v>18</v>
      </c>
      <c r="R71" s="7">
        <v>24</v>
      </c>
      <c r="S71" s="7">
        <v>0.75</v>
      </c>
      <c r="T71" s="7">
        <v>17</v>
      </c>
      <c r="U71" s="7">
        <v>36</v>
      </c>
      <c r="V71" s="7">
        <v>53</v>
      </c>
      <c r="W71" s="7">
        <v>19</v>
      </c>
      <c r="X71" s="7">
        <v>10</v>
      </c>
      <c r="Y71" s="7">
        <v>5</v>
      </c>
      <c r="Z71" s="7">
        <v>11</v>
      </c>
      <c r="AA71" s="7">
        <v>21</v>
      </c>
      <c r="AB71" s="7">
        <v>2</v>
      </c>
      <c r="AC71" s="7">
        <v>45606</v>
      </c>
    </row>
    <row r="72" spans="1:29" x14ac:dyDescent="0.2">
      <c r="A72" s="7">
        <v>22024</v>
      </c>
      <c r="B72" s="7">
        <v>1610612745</v>
      </c>
      <c r="C72" s="7" t="s">
        <v>95</v>
      </c>
      <c r="D72" s="7" t="s">
        <v>96</v>
      </c>
      <c r="E72" s="7">
        <v>22400192</v>
      </c>
      <c r="F72" s="11">
        <v>45604</v>
      </c>
      <c r="G72" s="7" t="s">
        <v>117</v>
      </c>
      <c r="H72" s="7" t="s">
        <v>102</v>
      </c>
      <c r="I72" s="7">
        <v>241</v>
      </c>
      <c r="J72" s="7">
        <v>107</v>
      </c>
      <c r="K72" s="7">
        <v>39</v>
      </c>
      <c r="L72" s="7">
        <v>90</v>
      </c>
      <c r="M72" s="7">
        <v>0.433</v>
      </c>
      <c r="N72" s="7">
        <v>11</v>
      </c>
      <c r="O72" s="7">
        <v>30</v>
      </c>
      <c r="P72" s="7">
        <v>0.36699999999999999</v>
      </c>
      <c r="Q72" s="7">
        <v>18</v>
      </c>
      <c r="R72" s="7">
        <v>26</v>
      </c>
      <c r="S72" s="7">
        <v>0.69199999999999995</v>
      </c>
      <c r="T72" s="7">
        <v>14</v>
      </c>
      <c r="U72" s="7">
        <v>34</v>
      </c>
      <c r="V72" s="7">
        <v>48</v>
      </c>
      <c r="W72" s="7">
        <v>19</v>
      </c>
      <c r="X72" s="7">
        <v>7</v>
      </c>
      <c r="Y72" s="7">
        <v>3</v>
      </c>
      <c r="Z72" s="7">
        <v>17</v>
      </c>
      <c r="AA72" s="7">
        <v>18</v>
      </c>
      <c r="AB72" s="7">
        <v>-19</v>
      </c>
      <c r="AC72" s="7">
        <v>45604</v>
      </c>
    </row>
    <row r="73" spans="1:29" x14ac:dyDescent="0.2">
      <c r="A73" s="7">
        <v>22024</v>
      </c>
      <c r="B73" s="7">
        <v>1610612745</v>
      </c>
      <c r="C73" s="7" t="s">
        <v>95</v>
      </c>
      <c r="D73" s="7" t="s">
        <v>96</v>
      </c>
      <c r="E73" s="7">
        <v>22400173</v>
      </c>
      <c r="F73" s="11">
        <v>45602</v>
      </c>
      <c r="G73" s="7" t="s">
        <v>119</v>
      </c>
      <c r="H73" s="7" t="s">
        <v>98</v>
      </c>
      <c r="I73" s="7">
        <v>239</v>
      </c>
      <c r="J73" s="7">
        <v>127</v>
      </c>
      <c r="K73" s="7">
        <v>54</v>
      </c>
      <c r="L73" s="7">
        <v>96</v>
      </c>
      <c r="M73" s="7">
        <v>0.56299999999999994</v>
      </c>
      <c r="N73" s="7">
        <v>10</v>
      </c>
      <c r="O73" s="7">
        <v>27</v>
      </c>
      <c r="P73" s="7">
        <v>0.37</v>
      </c>
      <c r="Q73" s="7">
        <v>9</v>
      </c>
      <c r="R73" s="7">
        <v>15</v>
      </c>
      <c r="S73" s="7">
        <v>0.6</v>
      </c>
      <c r="T73" s="7">
        <v>11</v>
      </c>
      <c r="U73" s="7">
        <v>34</v>
      </c>
      <c r="V73" s="7">
        <v>45</v>
      </c>
      <c r="W73" s="7">
        <v>28</v>
      </c>
      <c r="X73" s="7">
        <v>10</v>
      </c>
      <c r="Y73" s="7">
        <v>5</v>
      </c>
      <c r="Z73" s="7">
        <v>11</v>
      </c>
      <c r="AA73" s="7">
        <v>13</v>
      </c>
      <c r="AB73" s="7">
        <v>27</v>
      </c>
      <c r="AC73" s="7">
        <v>45602</v>
      </c>
    </row>
    <row r="74" spans="1:29" x14ac:dyDescent="0.2">
      <c r="A74" s="7">
        <v>22024</v>
      </c>
      <c r="B74" s="7">
        <v>1610612745</v>
      </c>
      <c r="C74" s="7" t="s">
        <v>95</v>
      </c>
      <c r="D74" s="7" t="s">
        <v>96</v>
      </c>
      <c r="E74" s="7">
        <v>22400161</v>
      </c>
      <c r="F74" s="11">
        <v>45600</v>
      </c>
      <c r="G74" s="7" t="s">
        <v>154</v>
      </c>
      <c r="H74" s="7" t="s">
        <v>98</v>
      </c>
      <c r="I74" s="7">
        <v>240</v>
      </c>
      <c r="J74" s="7">
        <v>109</v>
      </c>
      <c r="K74" s="7">
        <v>43</v>
      </c>
      <c r="L74" s="7">
        <v>88</v>
      </c>
      <c r="M74" s="7">
        <v>0.48899999999999999</v>
      </c>
      <c r="N74" s="7">
        <v>8</v>
      </c>
      <c r="O74" s="7">
        <v>33</v>
      </c>
      <c r="P74" s="7">
        <v>0.24199999999999999</v>
      </c>
      <c r="Q74" s="7">
        <v>15</v>
      </c>
      <c r="R74" s="7">
        <v>18</v>
      </c>
      <c r="S74" s="7">
        <v>0.83299999999999996</v>
      </c>
      <c r="T74" s="7">
        <v>11</v>
      </c>
      <c r="U74" s="7">
        <v>39</v>
      </c>
      <c r="V74" s="7">
        <v>50</v>
      </c>
      <c r="W74" s="7">
        <v>21</v>
      </c>
      <c r="X74" s="7">
        <v>4</v>
      </c>
      <c r="Y74" s="7">
        <v>6</v>
      </c>
      <c r="Z74" s="7">
        <v>10</v>
      </c>
      <c r="AA74" s="7">
        <v>20</v>
      </c>
      <c r="AB74" s="7">
        <v>12</v>
      </c>
      <c r="AC74" s="7">
        <v>45600</v>
      </c>
    </row>
    <row r="75" spans="1:29" x14ac:dyDescent="0.2">
      <c r="A75" s="7">
        <v>22024</v>
      </c>
      <c r="B75" s="7">
        <v>1610612745</v>
      </c>
      <c r="C75" s="7" t="s">
        <v>95</v>
      </c>
      <c r="D75" s="7" t="s">
        <v>96</v>
      </c>
      <c r="E75" s="7">
        <v>22400144</v>
      </c>
      <c r="F75" s="11">
        <v>45598</v>
      </c>
      <c r="G75" s="7" t="s">
        <v>122</v>
      </c>
      <c r="H75" s="7" t="s">
        <v>102</v>
      </c>
      <c r="I75" s="7">
        <v>264</v>
      </c>
      <c r="J75" s="7">
        <v>121</v>
      </c>
      <c r="K75" s="7">
        <v>44</v>
      </c>
      <c r="L75" s="7">
        <v>107</v>
      </c>
      <c r="M75" s="7">
        <v>0.41099999999999998</v>
      </c>
      <c r="N75" s="7">
        <v>15</v>
      </c>
      <c r="O75" s="7">
        <v>45</v>
      </c>
      <c r="P75" s="7">
        <v>0.33300000000000002</v>
      </c>
      <c r="Q75" s="7">
        <v>18</v>
      </c>
      <c r="R75" s="7">
        <v>24</v>
      </c>
      <c r="S75" s="7">
        <v>0.75</v>
      </c>
      <c r="T75" s="7">
        <v>18</v>
      </c>
      <c r="U75" s="7">
        <v>31</v>
      </c>
      <c r="V75" s="7">
        <v>49</v>
      </c>
      <c r="W75" s="7">
        <v>27</v>
      </c>
      <c r="X75" s="7">
        <v>10</v>
      </c>
      <c r="Y75" s="7">
        <v>6</v>
      </c>
      <c r="Z75" s="7">
        <v>11</v>
      </c>
      <c r="AA75" s="7">
        <v>32</v>
      </c>
      <c r="AB75" s="7">
        <v>-6</v>
      </c>
      <c r="AC75" s="7">
        <v>45598</v>
      </c>
    </row>
    <row r="76" spans="1:29" x14ac:dyDescent="0.2">
      <c r="A76" s="7">
        <v>22024</v>
      </c>
      <c r="B76" s="7">
        <v>1610612745</v>
      </c>
      <c r="C76" s="7" t="s">
        <v>95</v>
      </c>
      <c r="D76" s="7" t="s">
        <v>96</v>
      </c>
      <c r="E76" s="7">
        <v>22400129</v>
      </c>
      <c r="F76" s="11">
        <v>45596</v>
      </c>
      <c r="G76" s="7" t="s">
        <v>124</v>
      </c>
      <c r="H76" s="7" t="s">
        <v>98</v>
      </c>
      <c r="I76" s="7">
        <v>240</v>
      </c>
      <c r="J76" s="7">
        <v>108</v>
      </c>
      <c r="K76" s="7">
        <v>40</v>
      </c>
      <c r="L76" s="7">
        <v>97</v>
      </c>
      <c r="M76" s="7">
        <v>0.41199999999999998</v>
      </c>
      <c r="N76" s="7">
        <v>8</v>
      </c>
      <c r="O76" s="7">
        <v>34</v>
      </c>
      <c r="P76" s="7">
        <v>0.23499999999999999</v>
      </c>
      <c r="Q76" s="7">
        <v>20</v>
      </c>
      <c r="R76" s="7">
        <v>27</v>
      </c>
      <c r="S76" s="7">
        <v>0.74099999999999999</v>
      </c>
      <c r="T76" s="7">
        <v>18</v>
      </c>
      <c r="U76" s="7">
        <v>32</v>
      </c>
      <c r="V76" s="7">
        <v>50</v>
      </c>
      <c r="W76" s="7">
        <v>21</v>
      </c>
      <c r="X76" s="7">
        <v>4</v>
      </c>
      <c r="Y76" s="7">
        <v>4</v>
      </c>
      <c r="Z76" s="7">
        <v>8</v>
      </c>
      <c r="AA76" s="7">
        <v>20</v>
      </c>
      <c r="AB76" s="7">
        <v>6</v>
      </c>
      <c r="AC76" s="7">
        <v>45596</v>
      </c>
    </row>
    <row r="77" spans="1:29" x14ac:dyDescent="0.2">
      <c r="A77" s="7">
        <v>22024</v>
      </c>
      <c r="B77" s="7">
        <v>1610612745</v>
      </c>
      <c r="C77" s="7" t="s">
        <v>95</v>
      </c>
      <c r="D77" s="7" t="s">
        <v>96</v>
      </c>
      <c r="E77" s="7">
        <v>22400109</v>
      </c>
      <c r="F77" s="11">
        <v>45593</v>
      </c>
      <c r="G77" s="7" t="s">
        <v>155</v>
      </c>
      <c r="H77" s="7" t="s">
        <v>98</v>
      </c>
      <c r="I77" s="7">
        <v>241</v>
      </c>
      <c r="J77" s="7">
        <v>106</v>
      </c>
      <c r="K77" s="7">
        <v>35</v>
      </c>
      <c r="L77" s="7">
        <v>85</v>
      </c>
      <c r="M77" s="7">
        <v>0.41199999999999998</v>
      </c>
      <c r="N77" s="7">
        <v>15</v>
      </c>
      <c r="O77" s="7">
        <v>37</v>
      </c>
      <c r="P77" s="7">
        <v>0.40500000000000003</v>
      </c>
      <c r="Q77" s="7">
        <v>21</v>
      </c>
      <c r="R77" s="7">
        <v>24</v>
      </c>
      <c r="S77" s="7">
        <v>0.875</v>
      </c>
      <c r="T77" s="7">
        <v>13</v>
      </c>
      <c r="U77" s="7">
        <v>30</v>
      </c>
      <c r="V77" s="7">
        <v>43</v>
      </c>
      <c r="W77" s="7">
        <v>20</v>
      </c>
      <c r="X77" s="7">
        <v>6</v>
      </c>
      <c r="Y77" s="7">
        <v>2</v>
      </c>
      <c r="Z77" s="7">
        <v>12</v>
      </c>
      <c r="AA77" s="7">
        <v>23</v>
      </c>
      <c r="AB77" s="7">
        <v>5</v>
      </c>
      <c r="AC77" s="7">
        <v>45593</v>
      </c>
    </row>
    <row r="78" spans="1:29" x14ac:dyDescent="0.2">
      <c r="A78" s="7">
        <v>22024</v>
      </c>
      <c r="B78" s="7">
        <v>1610612745</v>
      </c>
      <c r="C78" s="7" t="s">
        <v>95</v>
      </c>
      <c r="D78" s="7" t="s">
        <v>96</v>
      </c>
      <c r="E78" s="7">
        <v>22400094</v>
      </c>
      <c r="F78" s="11">
        <v>45591</v>
      </c>
      <c r="G78" s="7" t="s">
        <v>155</v>
      </c>
      <c r="H78" s="7" t="s">
        <v>102</v>
      </c>
      <c r="I78" s="7">
        <v>240</v>
      </c>
      <c r="J78" s="7">
        <v>106</v>
      </c>
      <c r="K78" s="7">
        <v>38</v>
      </c>
      <c r="L78" s="7">
        <v>92</v>
      </c>
      <c r="M78" s="7">
        <v>0.41299999999999998</v>
      </c>
      <c r="N78" s="7">
        <v>13</v>
      </c>
      <c r="O78" s="7">
        <v>41</v>
      </c>
      <c r="P78" s="7">
        <v>0.317</v>
      </c>
      <c r="Q78" s="7">
        <v>17</v>
      </c>
      <c r="R78" s="7">
        <v>21</v>
      </c>
      <c r="S78" s="7">
        <v>0.81</v>
      </c>
      <c r="T78" s="7">
        <v>8</v>
      </c>
      <c r="U78" s="7">
        <v>26</v>
      </c>
      <c r="V78" s="7">
        <v>34</v>
      </c>
      <c r="W78" s="7">
        <v>21</v>
      </c>
      <c r="X78" s="7">
        <v>10</v>
      </c>
      <c r="Y78" s="7">
        <v>3</v>
      </c>
      <c r="Z78" s="7">
        <v>10</v>
      </c>
      <c r="AA78" s="7">
        <v>24</v>
      </c>
      <c r="AB78" s="7">
        <v>-3</v>
      </c>
      <c r="AC78" s="7">
        <v>45591</v>
      </c>
    </row>
    <row r="79" spans="1:29" x14ac:dyDescent="0.2">
      <c r="A79" s="7">
        <v>22024</v>
      </c>
      <c r="B79" s="7">
        <v>1610612745</v>
      </c>
      <c r="C79" s="7" t="s">
        <v>95</v>
      </c>
      <c r="D79" s="7" t="s">
        <v>96</v>
      </c>
      <c r="E79" s="7">
        <v>22400082</v>
      </c>
      <c r="F79" s="11">
        <v>45590</v>
      </c>
      <c r="G79" s="7" t="s">
        <v>138</v>
      </c>
      <c r="H79" s="7" t="s">
        <v>98</v>
      </c>
      <c r="I79" s="7">
        <v>240</v>
      </c>
      <c r="J79" s="7">
        <v>128</v>
      </c>
      <c r="K79" s="7">
        <v>43</v>
      </c>
      <c r="L79" s="7">
        <v>98</v>
      </c>
      <c r="M79" s="7">
        <v>0.439</v>
      </c>
      <c r="N79" s="7">
        <v>17</v>
      </c>
      <c r="O79" s="7">
        <v>43</v>
      </c>
      <c r="P79" s="7">
        <v>0.39500000000000002</v>
      </c>
      <c r="Q79" s="7">
        <v>25</v>
      </c>
      <c r="R79" s="7">
        <v>36</v>
      </c>
      <c r="S79" s="7">
        <v>0.69399999999999995</v>
      </c>
      <c r="T79" s="7">
        <v>23</v>
      </c>
      <c r="U79" s="7">
        <v>41</v>
      </c>
      <c r="V79" s="7">
        <v>64</v>
      </c>
      <c r="W79" s="7">
        <v>20</v>
      </c>
      <c r="X79" s="7">
        <v>10</v>
      </c>
      <c r="Y79" s="7">
        <v>4</v>
      </c>
      <c r="Z79" s="7">
        <v>17</v>
      </c>
      <c r="AA79" s="7">
        <v>32</v>
      </c>
      <c r="AB79" s="7">
        <v>20</v>
      </c>
      <c r="AC79" s="7">
        <v>45590</v>
      </c>
    </row>
    <row r="80" spans="1:29" x14ac:dyDescent="0.2">
      <c r="A80" s="7">
        <v>22024</v>
      </c>
      <c r="B80" s="7">
        <v>1610612745</v>
      </c>
      <c r="C80" s="7" t="s">
        <v>95</v>
      </c>
      <c r="D80" s="7" t="s">
        <v>96</v>
      </c>
      <c r="E80" s="7">
        <v>22400068</v>
      </c>
      <c r="F80" s="11">
        <v>45588</v>
      </c>
      <c r="G80" s="7" t="s">
        <v>156</v>
      </c>
      <c r="H80" s="7" t="s">
        <v>102</v>
      </c>
      <c r="I80" s="7">
        <v>239</v>
      </c>
      <c r="J80" s="7">
        <v>105</v>
      </c>
      <c r="K80" s="7">
        <v>38</v>
      </c>
      <c r="L80" s="7">
        <v>103</v>
      </c>
      <c r="M80" s="7">
        <v>0.36899999999999999</v>
      </c>
      <c r="N80" s="7">
        <v>13</v>
      </c>
      <c r="O80" s="7">
        <v>43</v>
      </c>
      <c r="P80" s="7">
        <v>0.30199999999999999</v>
      </c>
      <c r="Q80" s="7">
        <v>16</v>
      </c>
      <c r="R80" s="7">
        <v>20</v>
      </c>
      <c r="S80" s="7">
        <v>0.8</v>
      </c>
      <c r="T80" s="7">
        <v>16</v>
      </c>
      <c r="U80" s="7">
        <v>27</v>
      </c>
      <c r="V80" s="7">
        <v>43</v>
      </c>
      <c r="W80" s="7">
        <v>19</v>
      </c>
      <c r="X80" s="7">
        <v>8</v>
      </c>
      <c r="Y80" s="7">
        <v>4</v>
      </c>
      <c r="Z80" s="7">
        <v>8</v>
      </c>
      <c r="AA80" s="7">
        <v>18</v>
      </c>
      <c r="AB80" s="7">
        <v>-5</v>
      </c>
      <c r="AC80" s="7">
        <v>45588</v>
      </c>
    </row>
    <row r="81" spans="1:30" x14ac:dyDescent="0.2">
      <c r="A81" s="12">
        <v>12024</v>
      </c>
      <c r="B81" s="12">
        <v>1610612745</v>
      </c>
      <c r="C81" s="12" t="s">
        <v>95</v>
      </c>
      <c r="D81" s="12" t="s">
        <v>96</v>
      </c>
      <c r="E81" s="12">
        <v>12400063</v>
      </c>
      <c r="F81" s="13">
        <v>45582</v>
      </c>
      <c r="G81" s="12" t="s">
        <v>119</v>
      </c>
      <c r="H81" s="12" t="s">
        <v>98</v>
      </c>
      <c r="I81" s="12">
        <v>240</v>
      </c>
      <c r="J81" s="12">
        <v>129</v>
      </c>
      <c r="K81" s="12">
        <v>48</v>
      </c>
      <c r="L81" s="12">
        <v>92</v>
      </c>
      <c r="M81" s="12">
        <v>0.52200000000000002</v>
      </c>
      <c r="N81" s="12">
        <v>15</v>
      </c>
      <c r="O81" s="12">
        <v>43</v>
      </c>
      <c r="P81" s="12">
        <v>0.34899999999999998</v>
      </c>
      <c r="Q81" s="12">
        <v>18</v>
      </c>
      <c r="R81" s="12">
        <v>27</v>
      </c>
      <c r="S81" s="12">
        <v>0.66700000000000004</v>
      </c>
      <c r="T81" s="12">
        <v>16</v>
      </c>
      <c r="U81" s="12">
        <v>39</v>
      </c>
      <c r="V81" s="12">
        <v>55</v>
      </c>
      <c r="W81" s="12">
        <v>25</v>
      </c>
      <c r="X81" s="12">
        <v>6</v>
      </c>
      <c r="Y81" s="12">
        <v>7</v>
      </c>
      <c r="Z81" s="12">
        <v>17</v>
      </c>
      <c r="AA81" s="12">
        <v>21</v>
      </c>
      <c r="AB81" s="12">
        <v>22</v>
      </c>
      <c r="AC81" s="12" t="e">
        <v>#N/A</v>
      </c>
      <c r="AD81" s="12"/>
    </row>
    <row r="82" spans="1:30" x14ac:dyDescent="0.2">
      <c r="A82" s="12">
        <v>12024</v>
      </c>
      <c r="B82" s="12">
        <v>1610612745</v>
      </c>
      <c r="C82" s="12" t="s">
        <v>95</v>
      </c>
      <c r="D82" s="12" t="s">
        <v>96</v>
      </c>
      <c r="E82" s="12">
        <v>12400053</v>
      </c>
      <c r="F82" s="13">
        <v>45580</v>
      </c>
      <c r="G82" s="12" t="s">
        <v>114</v>
      </c>
      <c r="H82" s="12" t="s">
        <v>98</v>
      </c>
      <c r="I82" s="12">
        <v>240</v>
      </c>
      <c r="J82" s="12">
        <v>118</v>
      </c>
      <c r="K82" s="12">
        <v>46</v>
      </c>
      <c r="L82" s="12">
        <v>97</v>
      </c>
      <c r="M82" s="12">
        <v>0.47399999999999998</v>
      </c>
      <c r="N82" s="12">
        <v>12</v>
      </c>
      <c r="O82" s="12">
        <v>37</v>
      </c>
      <c r="P82" s="12">
        <v>0.32400000000000001</v>
      </c>
      <c r="Q82" s="12">
        <v>14</v>
      </c>
      <c r="R82" s="12">
        <v>27</v>
      </c>
      <c r="S82" s="12">
        <v>0.51900000000000002</v>
      </c>
      <c r="T82" s="12">
        <v>16</v>
      </c>
      <c r="U82" s="12">
        <v>46</v>
      </c>
      <c r="V82" s="12">
        <v>62</v>
      </c>
      <c r="W82" s="12">
        <v>30</v>
      </c>
      <c r="X82" s="12">
        <v>8</v>
      </c>
      <c r="Y82" s="12">
        <v>5</v>
      </c>
      <c r="Z82" s="12">
        <v>12</v>
      </c>
      <c r="AA82" s="12">
        <v>13</v>
      </c>
      <c r="AB82" s="12">
        <v>20</v>
      </c>
      <c r="AC82" s="12" t="e">
        <v>#N/A</v>
      </c>
      <c r="AD82" s="12"/>
    </row>
    <row r="83" spans="1:30" x14ac:dyDescent="0.2">
      <c r="A83" s="12">
        <v>12024</v>
      </c>
      <c r="B83" s="12">
        <v>1610612745</v>
      </c>
      <c r="C83" s="12" t="s">
        <v>95</v>
      </c>
      <c r="D83" s="12" t="s">
        <v>96</v>
      </c>
      <c r="E83" s="12">
        <v>12400021</v>
      </c>
      <c r="F83" s="13">
        <v>45574</v>
      </c>
      <c r="G83" s="12" t="s">
        <v>117</v>
      </c>
      <c r="H83" s="12" t="s">
        <v>98</v>
      </c>
      <c r="I83" s="12">
        <v>266</v>
      </c>
      <c r="J83" s="12">
        <v>122</v>
      </c>
      <c r="K83" s="12">
        <v>40</v>
      </c>
      <c r="L83" s="12">
        <v>98</v>
      </c>
      <c r="M83" s="12">
        <v>0.40799999999999997</v>
      </c>
      <c r="N83" s="12">
        <v>13</v>
      </c>
      <c r="O83" s="12">
        <v>42</v>
      </c>
      <c r="P83" s="12">
        <v>0.31</v>
      </c>
      <c r="Q83" s="12">
        <v>29</v>
      </c>
      <c r="R83" s="12">
        <v>39</v>
      </c>
      <c r="S83" s="12">
        <v>0.74399999999999999</v>
      </c>
      <c r="T83" s="12">
        <v>15</v>
      </c>
      <c r="U83" s="12">
        <v>43</v>
      </c>
      <c r="V83" s="12">
        <v>58</v>
      </c>
      <c r="W83" s="12">
        <v>23</v>
      </c>
      <c r="X83" s="12">
        <v>8</v>
      </c>
      <c r="Y83" s="12">
        <v>0</v>
      </c>
      <c r="Z83" s="12">
        <v>19</v>
      </c>
      <c r="AA83" s="12">
        <v>20</v>
      </c>
      <c r="AB83" s="12">
        <v>9</v>
      </c>
      <c r="AC83" s="12" t="e">
        <v>#N/A</v>
      </c>
      <c r="AD83" s="12"/>
    </row>
    <row r="84" spans="1:30" x14ac:dyDescent="0.2">
      <c r="A84" s="12">
        <v>12024</v>
      </c>
      <c r="B84" s="12">
        <v>1610612745</v>
      </c>
      <c r="C84" s="12" t="s">
        <v>95</v>
      </c>
      <c r="D84" s="12" t="s">
        <v>96</v>
      </c>
      <c r="E84" s="12">
        <v>12400014</v>
      </c>
      <c r="F84" s="13">
        <v>45572</v>
      </c>
      <c r="G84" s="12" t="s">
        <v>104</v>
      </c>
      <c r="H84" s="12" t="s">
        <v>102</v>
      </c>
      <c r="I84" s="12">
        <v>240</v>
      </c>
      <c r="J84" s="12">
        <v>113</v>
      </c>
      <c r="K84" s="12">
        <v>41</v>
      </c>
      <c r="L84" s="12">
        <v>87</v>
      </c>
      <c r="M84" s="12">
        <v>0.47099999999999997</v>
      </c>
      <c r="N84" s="12">
        <v>13</v>
      </c>
      <c r="O84" s="12">
        <v>39</v>
      </c>
      <c r="P84" s="12">
        <v>0.33300000000000002</v>
      </c>
      <c r="Q84" s="12">
        <v>18</v>
      </c>
      <c r="R84" s="12">
        <v>22</v>
      </c>
      <c r="S84" s="12">
        <v>0.81799999999999995</v>
      </c>
      <c r="T84" s="12">
        <v>8</v>
      </c>
      <c r="U84" s="12">
        <v>26</v>
      </c>
      <c r="V84" s="12">
        <v>34</v>
      </c>
      <c r="W84" s="12">
        <v>27</v>
      </c>
      <c r="X84" s="12">
        <v>13</v>
      </c>
      <c r="Y84" s="12">
        <v>7</v>
      </c>
      <c r="Z84" s="12">
        <v>21</v>
      </c>
      <c r="AA84" s="12">
        <v>33</v>
      </c>
      <c r="AB84" s="12">
        <v>-9</v>
      </c>
      <c r="AC84" s="12" t="e">
        <v>#N/A</v>
      </c>
      <c r="AD84" s="12"/>
    </row>
    <row r="85" spans="1:30" x14ac:dyDescent="0.2">
      <c r="A85" s="12">
        <v>22024</v>
      </c>
      <c r="B85" s="12">
        <v>1610612745</v>
      </c>
      <c r="C85" s="12" t="s">
        <v>95</v>
      </c>
      <c r="D85" s="12" t="s">
        <v>96</v>
      </c>
      <c r="E85" s="12">
        <v>1522400075</v>
      </c>
      <c r="F85" s="13">
        <v>45494</v>
      </c>
      <c r="G85" s="12" t="s">
        <v>135</v>
      </c>
      <c r="H85" s="12" t="s">
        <v>102</v>
      </c>
      <c r="I85" s="12">
        <v>201</v>
      </c>
      <c r="J85" s="12">
        <v>95</v>
      </c>
      <c r="K85" s="12">
        <v>35</v>
      </c>
      <c r="L85" s="12">
        <v>90</v>
      </c>
      <c r="M85" s="12">
        <v>0.38900000000000001</v>
      </c>
      <c r="N85" s="12">
        <v>11</v>
      </c>
      <c r="O85" s="12">
        <v>28</v>
      </c>
      <c r="P85" s="12">
        <v>0.39300000000000002</v>
      </c>
      <c r="Q85" s="12">
        <v>14</v>
      </c>
      <c r="R85" s="12">
        <v>19</v>
      </c>
      <c r="S85" s="12">
        <v>0.73699999999999999</v>
      </c>
      <c r="T85" s="12">
        <v>16</v>
      </c>
      <c r="U85" s="12">
        <v>35</v>
      </c>
      <c r="V85" s="12">
        <v>51</v>
      </c>
      <c r="W85" s="12">
        <v>22</v>
      </c>
      <c r="X85" s="12">
        <v>11</v>
      </c>
      <c r="Y85" s="12">
        <v>6</v>
      </c>
      <c r="Z85" s="12">
        <v>18</v>
      </c>
      <c r="AA85" s="12">
        <v>20</v>
      </c>
      <c r="AB85" s="12">
        <v>-14.2</v>
      </c>
      <c r="AC85" s="12" t="e">
        <v>#N/A</v>
      </c>
      <c r="AD85" s="12"/>
    </row>
    <row r="86" spans="1:30" x14ac:dyDescent="0.2">
      <c r="A86" s="12">
        <v>22024</v>
      </c>
      <c r="B86" s="12">
        <v>1610612745</v>
      </c>
      <c r="C86" s="12" t="s">
        <v>95</v>
      </c>
      <c r="D86" s="12" t="s">
        <v>96</v>
      </c>
      <c r="E86" s="12">
        <v>1522400052</v>
      </c>
      <c r="F86" s="13">
        <v>45491</v>
      </c>
      <c r="G86" s="12" t="s">
        <v>121</v>
      </c>
      <c r="H86" s="12" t="s">
        <v>102</v>
      </c>
      <c r="I86" s="12">
        <v>200</v>
      </c>
      <c r="J86" s="12">
        <v>83</v>
      </c>
      <c r="K86" s="12">
        <v>29</v>
      </c>
      <c r="L86" s="12">
        <v>64</v>
      </c>
      <c r="M86" s="12">
        <v>0.45300000000000001</v>
      </c>
      <c r="N86" s="12">
        <v>6</v>
      </c>
      <c r="O86" s="12">
        <v>24</v>
      </c>
      <c r="P86" s="12">
        <v>0.25</v>
      </c>
      <c r="Q86" s="12">
        <v>19</v>
      </c>
      <c r="R86" s="12">
        <v>23</v>
      </c>
      <c r="S86" s="12">
        <v>0.82599999999999996</v>
      </c>
      <c r="T86" s="12">
        <v>9</v>
      </c>
      <c r="U86" s="12">
        <v>37</v>
      </c>
      <c r="V86" s="12">
        <v>46</v>
      </c>
      <c r="W86" s="12">
        <v>14</v>
      </c>
      <c r="X86" s="12">
        <v>8</v>
      </c>
      <c r="Y86" s="12">
        <v>4</v>
      </c>
      <c r="Z86" s="12">
        <v>24</v>
      </c>
      <c r="AA86" s="12">
        <v>28</v>
      </c>
      <c r="AB86" s="12">
        <v>-8.8000000000000007</v>
      </c>
      <c r="AC86" s="12" t="e">
        <v>#N/A</v>
      </c>
      <c r="AD86" s="12"/>
    </row>
    <row r="87" spans="1:30" x14ac:dyDescent="0.2">
      <c r="A87" s="12">
        <v>22024</v>
      </c>
      <c r="B87" s="12">
        <v>1610612745</v>
      </c>
      <c r="C87" s="12" t="s">
        <v>95</v>
      </c>
      <c r="D87" s="12" t="s">
        <v>96</v>
      </c>
      <c r="E87" s="12">
        <v>1522400025</v>
      </c>
      <c r="F87" s="13">
        <v>45488</v>
      </c>
      <c r="G87" s="12" t="s">
        <v>134</v>
      </c>
      <c r="H87" s="12" t="s">
        <v>102</v>
      </c>
      <c r="I87" s="12">
        <v>200</v>
      </c>
      <c r="J87" s="12">
        <v>73</v>
      </c>
      <c r="K87" s="12">
        <v>29</v>
      </c>
      <c r="L87" s="12">
        <v>77</v>
      </c>
      <c r="M87" s="12">
        <v>0.377</v>
      </c>
      <c r="N87" s="12">
        <v>5</v>
      </c>
      <c r="O87" s="12">
        <v>17</v>
      </c>
      <c r="P87" s="12">
        <v>0.29399999999999998</v>
      </c>
      <c r="Q87" s="12">
        <v>10</v>
      </c>
      <c r="R87" s="12">
        <v>13</v>
      </c>
      <c r="S87" s="12">
        <v>0.76900000000000002</v>
      </c>
      <c r="T87" s="12">
        <v>12</v>
      </c>
      <c r="U87" s="12">
        <v>27</v>
      </c>
      <c r="V87" s="12">
        <v>39</v>
      </c>
      <c r="W87" s="12">
        <v>14</v>
      </c>
      <c r="X87" s="12">
        <v>9</v>
      </c>
      <c r="Y87" s="12">
        <v>4</v>
      </c>
      <c r="Z87" s="12">
        <v>13</v>
      </c>
      <c r="AA87" s="12">
        <v>21</v>
      </c>
      <c r="AB87" s="12">
        <v>-14</v>
      </c>
      <c r="AC87" s="12" t="e">
        <v>#N/A</v>
      </c>
      <c r="AD87" s="12"/>
    </row>
    <row r="88" spans="1:30" x14ac:dyDescent="0.2">
      <c r="A88" s="12">
        <v>22024</v>
      </c>
      <c r="B88" s="12">
        <v>1610612745</v>
      </c>
      <c r="C88" s="12" t="s">
        <v>95</v>
      </c>
      <c r="D88" s="12" t="s">
        <v>96</v>
      </c>
      <c r="E88" s="12">
        <v>1522400019</v>
      </c>
      <c r="F88" s="13">
        <v>45487</v>
      </c>
      <c r="G88" s="12" t="s">
        <v>139</v>
      </c>
      <c r="H88" s="12" t="s">
        <v>98</v>
      </c>
      <c r="I88" s="12">
        <v>201</v>
      </c>
      <c r="J88" s="12">
        <v>109</v>
      </c>
      <c r="K88" s="12">
        <v>43</v>
      </c>
      <c r="L88" s="12">
        <v>90</v>
      </c>
      <c r="M88" s="12">
        <v>0.47799999999999998</v>
      </c>
      <c r="N88" s="12">
        <v>6</v>
      </c>
      <c r="O88" s="12">
        <v>26</v>
      </c>
      <c r="P88" s="12">
        <v>0.23100000000000001</v>
      </c>
      <c r="Q88" s="12">
        <v>17</v>
      </c>
      <c r="R88" s="12">
        <v>24</v>
      </c>
      <c r="S88" s="12">
        <v>0.70799999999999996</v>
      </c>
      <c r="T88" s="12">
        <v>17</v>
      </c>
      <c r="U88" s="12">
        <v>31</v>
      </c>
      <c r="V88" s="12">
        <v>48</v>
      </c>
      <c r="W88" s="12">
        <v>20</v>
      </c>
      <c r="X88" s="12">
        <v>14</v>
      </c>
      <c r="Y88" s="12">
        <v>4</v>
      </c>
      <c r="Z88" s="12">
        <v>10</v>
      </c>
      <c r="AA88" s="12">
        <v>19</v>
      </c>
      <c r="AB88" s="12">
        <v>18</v>
      </c>
      <c r="AC88" s="12" t="e">
        <v>#N/A</v>
      </c>
      <c r="AD88" s="12"/>
    </row>
    <row r="89" spans="1:30" x14ac:dyDescent="0.2">
      <c r="A89" s="12">
        <v>22024</v>
      </c>
      <c r="B89" s="12">
        <v>1610612745</v>
      </c>
      <c r="C89" s="12" t="s">
        <v>95</v>
      </c>
      <c r="D89" s="12" t="s">
        <v>96</v>
      </c>
      <c r="E89" s="12">
        <v>1522400004</v>
      </c>
      <c r="F89" s="13">
        <v>45485</v>
      </c>
      <c r="G89" s="12" t="s">
        <v>101</v>
      </c>
      <c r="H89" s="12" t="s">
        <v>98</v>
      </c>
      <c r="I89" s="12">
        <v>198</v>
      </c>
      <c r="J89" s="12">
        <v>99</v>
      </c>
      <c r="K89" s="12">
        <v>37</v>
      </c>
      <c r="L89" s="12">
        <v>81</v>
      </c>
      <c r="M89" s="12">
        <v>0.45700000000000002</v>
      </c>
      <c r="N89" s="12">
        <v>7</v>
      </c>
      <c r="O89" s="12">
        <v>24</v>
      </c>
      <c r="P89" s="12">
        <v>0.29199999999999998</v>
      </c>
      <c r="Q89" s="12">
        <v>18</v>
      </c>
      <c r="R89" s="12">
        <v>26</v>
      </c>
      <c r="S89" s="12">
        <v>0.69199999999999995</v>
      </c>
      <c r="T89" s="12">
        <v>17</v>
      </c>
      <c r="U89" s="12">
        <v>31</v>
      </c>
      <c r="V89" s="12">
        <v>48</v>
      </c>
      <c r="W89" s="12">
        <v>15</v>
      </c>
      <c r="X89" s="12">
        <v>10</v>
      </c>
      <c r="Y89" s="12">
        <v>9</v>
      </c>
      <c r="Z89" s="12">
        <v>12</v>
      </c>
      <c r="AA89" s="12">
        <v>18</v>
      </c>
      <c r="AB89" s="12">
        <v>19.399999999999999</v>
      </c>
      <c r="AC89" s="12" t="e">
        <v>#N/A</v>
      </c>
      <c r="AD89" s="12"/>
    </row>
    <row r="90" spans="1:30" x14ac:dyDescent="0.2">
      <c r="A90" s="7">
        <v>22023</v>
      </c>
      <c r="B90" s="7">
        <v>1610612745</v>
      </c>
      <c r="C90" s="7" t="s">
        <v>95</v>
      </c>
      <c r="D90" s="7" t="s">
        <v>96</v>
      </c>
      <c r="E90" s="7">
        <v>22301199</v>
      </c>
      <c r="F90" s="11">
        <v>45396</v>
      </c>
      <c r="G90" s="7" t="s">
        <v>145</v>
      </c>
      <c r="H90" s="7" t="s">
        <v>98</v>
      </c>
      <c r="I90" s="7">
        <v>240</v>
      </c>
      <c r="J90" s="7">
        <v>116</v>
      </c>
      <c r="K90" s="7">
        <v>50</v>
      </c>
      <c r="L90" s="7">
        <v>103</v>
      </c>
      <c r="M90" s="7">
        <v>0.48499999999999999</v>
      </c>
      <c r="N90" s="7">
        <v>11</v>
      </c>
      <c r="O90" s="7">
        <v>38</v>
      </c>
      <c r="P90" s="7">
        <v>0.28899999999999998</v>
      </c>
      <c r="Q90" s="7">
        <v>5</v>
      </c>
      <c r="R90" s="7">
        <v>14</v>
      </c>
      <c r="S90" s="7">
        <v>0.35699999999999998</v>
      </c>
      <c r="T90" s="7">
        <v>17</v>
      </c>
      <c r="U90" s="7">
        <v>42</v>
      </c>
      <c r="V90" s="7">
        <v>59</v>
      </c>
      <c r="W90" s="7">
        <v>31</v>
      </c>
      <c r="X90" s="7">
        <v>7</v>
      </c>
      <c r="Y90" s="7">
        <v>8</v>
      </c>
      <c r="Z90" s="7">
        <v>18</v>
      </c>
      <c r="AA90" s="7">
        <v>13</v>
      </c>
      <c r="AB90" s="7">
        <v>11</v>
      </c>
      <c r="AC90" s="7">
        <v>45396</v>
      </c>
    </row>
    <row r="91" spans="1:30" x14ac:dyDescent="0.2">
      <c r="A91" s="7">
        <v>22023</v>
      </c>
      <c r="B91" s="7">
        <v>1610612745</v>
      </c>
      <c r="C91" s="7" t="s">
        <v>95</v>
      </c>
      <c r="D91" s="7" t="s">
        <v>96</v>
      </c>
      <c r="E91" s="7">
        <v>22301183</v>
      </c>
      <c r="F91" s="11">
        <v>45394</v>
      </c>
      <c r="G91" s="7" t="s">
        <v>135</v>
      </c>
      <c r="H91" s="7" t="s">
        <v>98</v>
      </c>
      <c r="I91" s="7">
        <v>240</v>
      </c>
      <c r="J91" s="7">
        <v>116</v>
      </c>
      <c r="K91" s="7">
        <v>44</v>
      </c>
      <c r="L91" s="7">
        <v>92</v>
      </c>
      <c r="M91" s="7">
        <v>0.47799999999999998</v>
      </c>
      <c r="N91" s="7">
        <v>11</v>
      </c>
      <c r="O91" s="7">
        <v>39</v>
      </c>
      <c r="P91" s="7">
        <v>0.28199999999999997</v>
      </c>
      <c r="Q91" s="7">
        <v>17</v>
      </c>
      <c r="R91" s="7">
        <v>20</v>
      </c>
      <c r="S91" s="7">
        <v>0.85</v>
      </c>
      <c r="T91" s="7">
        <v>10</v>
      </c>
      <c r="U91" s="7">
        <v>38</v>
      </c>
      <c r="V91" s="7">
        <v>48</v>
      </c>
      <c r="W91" s="7">
        <v>25</v>
      </c>
      <c r="X91" s="7">
        <v>3</v>
      </c>
      <c r="Y91" s="7">
        <v>5</v>
      </c>
      <c r="Z91" s="7">
        <v>8</v>
      </c>
      <c r="AA91" s="7">
        <v>20</v>
      </c>
      <c r="AB91" s="7">
        <v>9</v>
      </c>
      <c r="AC91" s="7">
        <v>45394</v>
      </c>
    </row>
    <row r="92" spans="1:30" x14ac:dyDescent="0.2">
      <c r="A92" s="7">
        <v>22023</v>
      </c>
      <c r="B92" s="7">
        <v>1610612745</v>
      </c>
      <c r="C92" s="7" t="s">
        <v>95</v>
      </c>
      <c r="D92" s="7" t="s">
        <v>96</v>
      </c>
      <c r="E92" s="7">
        <v>22301168</v>
      </c>
      <c r="F92" s="11">
        <v>45393</v>
      </c>
      <c r="G92" s="7" t="s">
        <v>104</v>
      </c>
      <c r="H92" s="7" t="s">
        <v>102</v>
      </c>
      <c r="I92" s="7">
        <v>239</v>
      </c>
      <c r="J92" s="7">
        <v>121</v>
      </c>
      <c r="K92" s="7">
        <v>40</v>
      </c>
      <c r="L92" s="7">
        <v>95</v>
      </c>
      <c r="M92" s="7">
        <v>0.42099999999999999</v>
      </c>
      <c r="N92" s="7">
        <v>21</v>
      </c>
      <c r="O92" s="7">
        <v>47</v>
      </c>
      <c r="P92" s="7">
        <v>0.44700000000000001</v>
      </c>
      <c r="Q92" s="7">
        <v>20</v>
      </c>
      <c r="R92" s="7">
        <v>22</v>
      </c>
      <c r="S92" s="7">
        <v>0.90900000000000003</v>
      </c>
      <c r="T92" s="7">
        <v>16</v>
      </c>
      <c r="U92" s="7">
        <v>23</v>
      </c>
      <c r="V92" s="7">
        <v>39</v>
      </c>
      <c r="W92" s="7">
        <v>22</v>
      </c>
      <c r="X92" s="7">
        <v>8</v>
      </c>
      <c r="Y92" s="7">
        <v>6</v>
      </c>
      <c r="Z92" s="7">
        <v>10</v>
      </c>
      <c r="AA92" s="7">
        <v>18</v>
      </c>
      <c r="AB92" s="7">
        <v>-3</v>
      </c>
      <c r="AC92" s="7">
        <v>45393</v>
      </c>
    </row>
    <row r="93" spans="1:30" x14ac:dyDescent="0.2">
      <c r="A93" s="7">
        <v>22023</v>
      </c>
      <c r="B93" s="7">
        <v>1610612745</v>
      </c>
      <c r="C93" s="7" t="s">
        <v>95</v>
      </c>
      <c r="D93" s="7" t="s">
        <v>96</v>
      </c>
      <c r="E93" s="7">
        <v>22301150</v>
      </c>
      <c r="F93" s="11">
        <v>45391</v>
      </c>
      <c r="G93" s="7" t="s">
        <v>113</v>
      </c>
      <c r="H93" s="7" t="s">
        <v>98</v>
      </c>
      <c r="I93" s="7">
        <v>241</v>
      </c>
      <c r="J93" s="7">
        <v>118</v>
      </c>
      <c r="K93" s="7">
        <v>45</v>
      </c>
      <c r="L93" s="7">
        <v>86</v>
      </c>
      <c r="M93" s="7">
        <v>0.52300000000000002</v>
      </c>
      <c r="N93" s="7">
        <v>15</v>
      </c>
      <c r="O93" s="7">
        <v>35</v>
      </c>
      <c r="P93" s="7">
        <v>0.42899999999999999</v>
      </c>
      <c r="Q93" s="7">
        <v>13</v>
      </c>
      <c r="R93" s="7">
        <v>18</v>
      </c>
      <c r="S93" s="7">
        <v>0.72199999999999998</v>
      </c>
      <c r="T93" s="7">
        <v>6</v>
      </c>
      <c r="U93" s="7">
        <v>31</v>
      </c>
      <c r="V93" s="7">
        <v>37</v>
      </c>
      <c r="W93" s="7">
        <v>29</v>
      </c>
      <c r="X93" s="7">
        <v>8</v>
      </c>
      <c r="Y93" s="7">
        <v>7</v>
      </c>
      <c r="Z93" s="7">
        <v>12</v>
      </c>
      <c r="AA93" s="7">
        <v>21</v>
      </c>
      <c r="AB93" s="7">
        <v>12</v>
      </c>
      <c r="AC93" s="7">
        <v>45391</v>
      </c>
    </row>
    <row r="94" spans="1:30" x14ac:dyDescent="0.2">
      <c r="A94" s="7">
        <v>22023</v>
      </c>
      <c r="B94" s="7">
        <v>1610612745</v>
      </c>
      <c r="C94" s="7" t="s">
        <v>95</v>
      </c>
      <c r="D94" s="7" t="s">
        <v>96</v>
      </c>
      <c r="E94" s="7">
        <v>22301131</v>
      </c>
      <c r="F94" s="11">
        <v>45389</v>
      </c>
      <c r="G94" s="7" t="s">
        <v>124</v>
      </c>
      <c r="H94" s="7" t="s">
        <v>102</v>
      </c>
      <c r="I94" s="7">
        <v>264</v>
      </c>
      <c r="J94" s="7">
        <v>136</v>
      </c>
      <c r="K94" s="7">
        <v>46</v>
      </c>
      <c r="L94" s="7">
        <v>93</v>
      </c>
      <c r="M94" s="7">
        <v>0.495</v>
      </c>
      <c r="N94" s="7">
        <v>17</v>
      </c>
      <c r="O94" s="7">
        <v>41</v>
      </c>
      <c r="P94" s="7">
        <v>0.41499999999999998</v>
      </c>
      <c r="Q94" s="7">
        <v>27</v>
      </c>
      <c r="R94" s="7">
        <v>35</v>
      </c>
      <c r="S94" s="7">
        <v>0.77100000000000002</v>
      </c>
      <c r="T94" s="7">
        <v>4</v>
      </c>
      <c r="U94" s="7">
        <v>28</v>
      </c>
      <c r="V94" s="7">
        <v>32</v>
      </c>
      <c r="W94" s="7">
        <v>31</v>
      </c>
      <c r="X94" s="7">
        <v>11</v>
      </c>
      <c r="Y94" s="7">
        <v>6</v>
      </c>
      <c r="Z94" s="7">
        <v>10</v>
      </c>
      <c r="AA94" s="7">
        <v>34</v>
      </c>
      <c r="AB94" s="7">
        <v>-11</v>
      </c>
      <c r="AC94" s="7">
        <v>45389</v>
      </c>
    </row>
    <row r="95" spans="1:30" x14ac:dyDescent="0.2">
      <c r="A95" s="7">
        <v>22023</v>
      </c>
      <c r="B95" s="7">
        <v>1610612745</v>
      </c>
      <c r="C95" s="7" t="s">
        <v>95</v>
      </c>
      <c r="D95" s="7" t="s">
        <v>96</v>
      </c>
      <c r="E95" s="7">
        <v>22301120</v>
      </c>
      <c r="F95" s="11">
        <v>45387</v>
      </c>
      <c r="G95" s="7" t="s">
        <v>142</v>
      </c>
      <c r="H95" s="7" t="s">
        <v>102</v>
      </c>
      <c r="I95" s="7">
        <v>239</v>
      </c>
      <c r="J95" s="7">
        <v>104</v>
      </c>
      <c r="K95" s="7">
        <v>34</v>
      </c>
      <c r="L95" s="7">
        <v>90</v>
      </c>
      <c r="M95" s="7">
        <v>0.378</v>
      </c>
      <c r="N95" s="7">
        <v>14</v>
      </c>
      <c r="O95" s="7">
        <v>44</v>
      </c>
      <c r="P95" s="7">
        <v>0.318</v>
      </c>
      <c r="Q95" s="7">
        <v>22</v>
      </c>
      <c r="R95" s="7">
        <v>25</v>
      </c>
      <c r="S95" s="7">
        <v>0.88</v>
      </c>
      <c r="T95" s="7">
        <v>12</v>
      </c>
      <c r="U95" s="7">
        <v>33</v>
      </c>
      <c r="V95" s="7">
        <v>45</v>
      </c>
      <c r="W95" s="7">
        <v>25</v>
      </c>
      <c r="X95" s="7">
        <v>7</v>
      </c>
      <c r="Y95" s="7">
        <v>2</v>
      </c>
      <c r="Z95" s="7">
        <v>9</v>
      </c>
      <c r="AA95" s="7">
        <v>13</v>
      </c>
      <c r="AB95" s="7">
        <v>-15</v>
      </c>
      <c r="AC95" s="7">
        <v>45387</v>
      </c>
    </row>
    <row r="96" spans="1:30" x14ac:dyDescent="0.2">
      <c r="A96" s="7">
        <v>22023</v>
      </c>
      <c r="B96" s="7">
        <v>1610612745</v>
      </c>
      <c r="C96" s="7" t="s">
        <v>95</v>
      </c>
      <c r="D96" s="7" t="s">
        <v>96</v>
      </c>
      <c r="E96" s="7">
        <v>22301113</v>
      </c>
      <c r="F96" s="11">
        <v>45386</v>
      </c>
      <c r="G96" s="7" t="s">
        <v>122</v>
      </c>
      <c r="H96" s="7" t="s">
        <v>102</v>
      </c>
      <c r="I96" s="7">
        <v>241</v>
      </c>
      <c r="J96" s="7">
        <v>110</v>
      </c>
      <c r="K96" s="7">
        <v>36</v>
      </c>
      <c r="L96" s="7">
        <v>86</v>
      </c>
      <c r="M96" s="7">
        <v>0.41899999999999998</v>
      </c>
      <c r="N96" s="7">
        <v>12</v>
      </c>
      <c r="O96" s="7">
        <v>40</v>
      </c>
      <c r="P96" s="7">
        <v>0.3</v>
      </c>
      <c r="Q96" s="7">
        <v>26</v>
      </c>
      <c r="R96" s="7">
        <v>30</v>
      </c>
      <c r="S96" s="7">
        <v>0.86699999999999999</v>
      </c>
      <c r="T96" s="7">
        <v>12</v>
      </c>
      <c r="U96" s="7">
        <v>17</v>
      </c>
      <c r="V96" s="7">
        <v>29</v>
      </c>
      <c r="W96" s="7">
        <v>23</v>
      </c>
      <c r="X96" s="7">
        <v>11</v>
      </c>
      <c r="Y96" s="7">
        <v>1</v>
      </c>
      <c r="Z96" s="7">
        <v>12</v>
      </c>
      <c r="AA96" s="7">
        <v>19</v>
      </c>
      <c r="AB96" s="7">
        <v>-23</v>
      </c>
      <c r="AC96" s="7">
        <v>45386</v>
      </c>
    </row>
    <row r="97" spans="1:29" x14ac:dyDescent="0.2">
      <c r="A97" s="7">
        <v>22023</v>
      </c>
      <c r="B97" s="7">
        <v>1610612745</v>
      </c>
      <c r="C97" s="7" t="s">
        <v>95</v>
      </c>
      <c r="D97" s="7" t="s">
        <v>96</v>
      </c>
      <c r="E97" s="7">
        <v>22301098</v>
      </c>
      <c r="F97" s="11">
        <v>45384</v>
      </c>
      <c r="G97" s="7" t="s">
        <v>125</v>
      </c>
      <c r="H97" s="7" t="s">
        <v>102</v>
      </c>
      <c r="I97" s="7">
        <v>240</v>
      </c>
      <c r="J97" s="7">
        <v>106</v>
      </c>
      <c r="K97" s="7">
        <v>41</v>
      </c>
      <c r="L97" s="7">
        <v>92</v>
      </c>
      <c r="M97" s="7">
        <v>0.44600000000000001</v>
      </c>
      <c r="N97" s="7">
        <v>14</v>
      </c>
      <c r="O97" s="7">
        <v>48</v>
      </c>
      <c r="P97" s="7">
        <v>0.29199999999999998</v>
      </c>
      <c r="Q97" s="7">
        <v>10</v>
      </c>
      <c r="R97" s="7">
        <v>14</v>
      </c>
      <c r="S97" s="7">
        <v>0.71399999999999997</v>
      </c>
      <c r="T97" s="7">
        <v>12</v>
      </c>
      <c r="U97" s="7">
        <v>25</v>
      </c>
      <c r="V97" s="7">
        <v>37</v>
      </c>
      <c r="W97" s="7">
        <v>23</v>
      </c>
      <c r="X97" s="7">
        <v>10</v>
      </c>
      <c r="Y97" s="7">
        <v>0</v>
      </c>
      <c r="Z97" s="7">
        <v>14</v>
      </c>
      <c r="AA97" s="7">
        <v>23</v>
      </c>
      <c r="AB97" s="7">
        <v>-7</v>
      </c>
      <c r="AC97" s="7">
        <v>45384</v>
      </c>
    </row>
    <row r="98" spans="1:29" x14ac:dyDescent="0.2">
      <c r="A98" s="7">
        <v>22023</v>
      </c>
      <c r="B98" s="7">
        <v>1610612745</v>
      </c>
      <c r="C98" s="7" t="s">
        <v>95</v>
      </c>
      <c r="D98" s="7" t="s">
        <v>96</v>
      </c>
      <c r="E98" s="7">
        <v>22301083</v>
      </c>
      <c r="F98" s="11">
        <v>45382</v>
      </c>
      <c r="G98" s="7" t="s">
        <v>111</v>
      </c>
      <c r="H98" s="7" t="s">
        <v>102</v>
      </c>
      <c r="I98" s="7">
        <v>240</v>
      </c>
      <c r="J98" s="7">
        <v>107</v>
      </c>
      <c r="K98" s="7">
        <v>39</v>
      </c>
      <c r="L98" s="7">
        <v>92</v>
      </c>
      <c r="M98" s="7">
        <v>0.42399999999999999</v>
      </c>
      <c r="N98" s="7">
        <v>13</v>
      </c>
      <c r="O98" s="7">
        <v>38</v>
      </c>
      <c r="P98" s="7">
        <v>0.34200000000000003</v>
      </c>
      <c r="Q98" s="7">
        <v>16</v>
      </c>
      <c r="R98" s="7">
        <v>19</v>
      </c>
      <c r="S98" s="7">
        <v>0.84199999999999997</v>
      </c>
      <c r="T98" s="7">
        <v>12</v>
      </c>
      <c r="U98" s="7">
        <v>31</v>
      </c>
      <c r="V98" s="7">
        <v>43</v>
      </c>
      <c r="W98" s="7">
        <v>22</v>
      </c>
      <c r="X98" s="7">
        <v>9</v>
      </c>
      <c r="Y98" s="7">
        <v>3</v>
      </c>
      <c r="Z98" s="7">
        <v>10</v>
      </c>
      <c r="AA98" s="7">
        <v>14</v>
      </c>
      <c r="AB98" s="7">
        <v>-18</v>
      </c>
      <c r="AC98" s="7">
        <v>45382</v>
      </c>
    </row>
    <row r="99" spans="1:29" x14ac:dyDescent="0.2">
      <c r="A99" s="7">
        <v>22023</v>
      </c>
      <c r="B99" s="7">
        <v>1610612745</v>
      </c>
      <c r="C99" s="7" t="s">
        <v>95</v>
      </c>
      <c r="D99" s="7" t="s">
        <v>96</v>
      </c>
      <c r="E99" s="7">
        <v>22301072</v>
      </c>
      <c r="F99" s="11">
        <v>45380</v>
      </c>
      <c r="G99" s="7" t="s">
        <v>104</v>
      </c>
      <c r="H99" s="7" t="s">
        <v>98</v>
      </c>
      <c r="I99" s="7">
        <v>239</v>
      </c>
      <c r="J99" s="7">
        <v>101</v>
      </c>
      <c r="K99" s="7">
        <v>35</v>
      </c>
      <c r="L99" s="7">
        <v>91</v>
      </c>
      <c r="M99" s="7">
        <v>0.38500000000000001</v>
      </c>
      <c r="N99" s="7">
        <v>13</v>
      </c>
      <c r="O99" s="7">
        <v>42</v>
      </c>
      <c r="P99" s="7">
        <v>0.31</v>
      </c>
      <c r="Q99" s="7">
        <v>18</v>
      </c>
      <c r="R99" s="7">
        <v>28</v>
      </c>
      <c r="S99" s="7">
        <v>0.64300000000000002</v>
      </c>
      <c r="T99" s="7">
        <v>15</v>
      </c>
      <c r="U99" s="7">
        <v>30</v>
      </c>
      <c r="V99" s="7">
        <v>45</v>
      </c>
      <c r="W99" s="7">
        <v>19</v>
      </c>
      <c r="X99" s="7">
        <v>10</v>
      </c>
      <c r="Y99" s="7">
        <v>6</v>
      </c>
      <c r="Z99" s="7">
        <v>10</v>
      </c>
      <c r="AA99" s="7">
        <v>18</v>
      </c>
      <c r="AB99" s="7">
        <v>1</v>
      </c>
      <c r="AC99" s="7">
        <v>45380</v>
      </c>
    </row>
    <row r="100" spans="1:29" x14ac:dyDescent="0.2">
      <c r="A100" s="7">
        <v>22023</v>
      </c>
      <c r="B100" s="7">
        <v>1610612745</v>
      </c>
      <c r="C100" s="7" t="s">
        <v>95</v>
      </c>
      <c r="D100" s="7" t="s">
        <v>96</v>
      </c>
      <c r="E100" s="7">
        <v>22301057</v>
      </c>
      <c r="F100" s="11">
        <v>45378</v>
      </c>
      <c r="G100" s="7" t="s">
        <v>117</v>
      </c>
      <c r="H100" s="7" t="s">
        <v>98</v>
      </c>
      <c r="I100" s="7">
        <v>265</v>
      </c>
      <c r="J100" s="7">
        <v>132</v>
      </c>
      <c r="K100" s="7">
        <v>50</v>
      </c>
      <c r="L100" s="7">
        <v>104</v>
      </c>
      <c r="M100" s="7">
        <v>0.48099999999999998</v>
      </c>
      <c r="N100" s="7">
        <v>15</v>
      </c>
      <c r="O100" s="7">
        <v>43</v>
      </c>
      <c r="P100" s="7">
        <v>0.34899999999999998</v>
      </c>
      <c r="Q100" s="7">
        <v>17</v>
      </c>
      <c r="R100" s="7">
        <v>23</v>
      </c>
      <c r="S100" s="7">
        <v>0.73899999999999999</v>
      </c>
      <c r="T100" s="7">
        <v>16</v>
      </c>
      <c r="U100" s="7">
        <v>34</v>
      </c>
      <c r="V100" s="7">
        <v>50</v>
      </c>
      <c r="W100" s="7">
        <v>25</v>
      </c>
      <c r="X100" s="7">
        <v>10</v>
      </c>
      <c r="Y100" s="7">
        <v>3</v>
      </c>
      <c r="Z100" s="7">
        <v>16</v>
      </c>
      <c r="AA100" s="7">
        <v>24</v>
      </c>
      <c r="AB100" s="7">
        <v>6</v>
      </c>
      <c r="AC100" s="7">
        <v>45378</v>
      </c>
    </row>
    <row r="101" spans="1:29" x14ac:dyDescent="0.2">
      <c r="A101" s="7">
        <v>22023</v>
      </c>
      <c r="B101" s="7">
        <v>1610612745</v>
      </c>
      <c r="C101" s="7" t="s">
        <v>95</v>
      </c>
      <c r="D101" s="7" t="s">
        <v>96</v>
      </c>
      <c r="E101" s="7">
        <v>22301038</v>
      </c>
      <c r="F101" s="11">
        <v>45376</v>
      </c>
      <c r="G101" s="7" t="s">
        <v>147</v>
      </c>
      <c r="H101" s="7" t="s">
        <v>98</v>
      </c>
      <c r="I101" s="7">
        <v>240</v>
      </c>
      <c r="J101" s="7">
        <v>110</v>
      </c>
      <c r="K101" s="7">
        <v>37</v>
      </c>
      <c r="L101" s="7">
        <v>93</v>
      </c>
      <c r="M101" s="7">
        <v>0.39800000000000002</v>
      </c>
      <c r="N101" s="7">
        <v>12</v>
      </c>
      <c r="O101" s="7">
        <v>39</v>
      </c>
      <c r="P101" s="7">
        <v>0.308</v>
      </c>
      <c r="Q101" s="7">
        <v>24</v>
      </c>
      <c r="R101" s="7">
        <v>25</v>
      </c>
      <c r="S101" s="7">
        <v>0.96</v>
      </c>
      <c r="T101" s="7">
        <v>13</v>
      </c>
      <c r="U101" s="7">
        <v>32</v>
      </c>
      <c r="V101" s="7">
        <v>45</v>
      </c>
      <c r="W101" s="7">
        <v>19</v>
      </c>
      <c r="X101" s="7">
        <v>7</v>
      </c>
      <c r="Y101" s="7">
        <v>7</v>
      </c>
      <c r="Z101" s="7">
        <v>8</v>
      </c>
      <c r="AA101" s="7">
        <v>16</v>
      </c>
      <c r="AB101" s="7">
        <v>18</v>
      </c>
      <c r="AC101" s="7">
        <v>45376</v>
      </c>
    </row>
    <row r="102" spans="1:29" x14ac:dyDescent="0.2">
      <c r="A102" s="7">
        <v>22023</v>
      </c>
      <c r="B102" s="7">
        <v>1610612745</v>
      </c>
      <c r="C102" s="7" t="s">
        <v>95</v>
      </c>
      <c r="D102" s="7" t="s">
        <v>96</v>
      </c>
      <c r="E102" s="7">
        <v>22301024</v>
      </c>
      <c r="F102" s="11">
        <v>45374</v>
      </c>
      <c r="G102" s="7" t="s">
        <v>100</v>
      </c>
      <c r="H102" s="7" t="s">
        <v>98</v>
      </c>
      <c r="I102" s="7">
        <v>241</v>
      </c>
      <c r="J102" s="7">
        <v>147</v>
      </c>
      <c r="K102" s="7">
        <v>54</v>
      </c>
      <c r="L102" s="7">
        <v>97</v>
      </c>
      <c r="M102" s="7">
        <v>0.55700000000000005</v>
      </c>
      <c r="N102" s="7">
        <v>27</v>
      </c>
      <c r="O102" s="7">
        <v>49</v>
      </c>
      <c r="P102" s="7">
        <v>0.55100000000000005</v>
      </c>
      <c r="Q102" s="7">
        <v>12</v>
      </c>
      <c r="R102" s="7">
        <v>14</v>
      </c>
      <c r="S102" s="7">
        <v>0.85699999999999998</v>
      </c>
      <c r="T102" s="7">
        <v>12</v>
      </c>
      <c r="U102" s="7">
        <v>32</v>
      </c>
      <c r="V102" s="7">
        <v>44</v>
      </c>
      <c r="W102" s="7">
        <v>31</v>
      </c>
      <c r="X102" s="7">
        <v>7</v>
      </c>
      <c r="Y102" s="7">
        <v>3</v>
      </c>
      <c r="Z102" s="7">
        <v>9</v>
      </c>
      <c r="AA102" s="7">
        <v>26</v>
      </c>
      <c r="AB102" s="7">
        <v>28</v>
      </c>
      <c r="AC102" s="7">
        <v>45374</v>
      </c>
    </row>
    <row r="103" spans="1:29" x14ac:dyDescent="0.2">
      <c r="A103" s="7">
        <v>22023</v>
      </c>
      <c r="B103" s="7">
        <v>1610612745</v>
      </c>
      <c r="C103" s="7" t="s">
        <v>95</v>
      </c>
      <c r="D103" s="7" t="s">
        <v>96</v>
      </c>
      <c r="E103" s="7">
        <v>22301006</v>
      </c>
      <c r="F103" s="11">
        <v>45372</v>
      </c>
      <c r="G103" s="7" t="s">
        <v>110</v>
      </c>
      <c r="H103" s="7" t="s">
        <v>98</v>
      </c>
      <c r="I103" s="7">
        <v>238</v>
      </c>
      <c r="J103" s="7">
        <v>127</v>
      </c>
      <c r="K103" s="7">
        <v>47</v>
      </c>
      <c r="L103" s="7">
        <v>93</v>
      </c>
      <c r="M103" s="7">
        <v>0.505</v>
      </c>
      <c r="N103" s="7">
        <v>17</v>
      </c>
      <c r="O103" s="7">
        <v>45</v>
      </c>
      <c r="P103" s="7">
        <v>0.378</v>
      </c>
      <c r="Q103" s="7">
        <v>16</v>
      </c>
      <c r="R103" s="7">
        <v>20</v>
      </c>
      <c r="S103" s="7">
        <v>0.8</v>
      </c>
      <c r="T103" s="7">
        <v>13</v>
      </c>
      <c r="U103" s="7">
        <v>36</v>
      </c>
      <c r="V103" s="7">
        <v>49</v>
      </c>
      <c r="W103" s="7">
        <v>27</v>
      </c>
      <c r="X103" s="7">
        <v>7</v>
      </c>
      <c r="Y103" s="7">
        <v>6</v>
      </c>
      <c r="Z103" s="7">
        <v>14</v>
      </c>
      <c r="AA103" s="7">
        <v>21</v>
      </c>
      <c r="AB103" s="7">
        <v>10</v>
      </c>
      <c r="AC103" s="7">
        <v>45372</v>
      </c>
    </row>
    <row r="104" spans="1:29" x14ac:dyDescent="0.2">
      <c r="A104" s="7">
        <v>22023</v>
      </c>
      <c r="B104" s="7">
        <v>1610612745</v>
      </c>
      <c r="C104" s="7" t="s">
        <v>95</v>
      </c>
      <c r="D104" s="7" t="s">
        <v>96</v>
      </c>
      <c r="E104" s="7">
        <v>22300992</v>
      </c>
      <c r="F104" s="11">
        <v>45370</v>
      </c>
      <c r="G104" s="7" t="s">
        <v>139</v>
      </c>
      <c r="H104" s="7" t="s">
        <v>98</v>
      </c>
      <c r="I104" s="7">
        <v>240</v>
      </c>
      <c r="J104" s="7">
        <v>137</v>
      </c>
      <c r="K104" s="7">
        <v>47</v>
      </c>
      <c r="L104" s="7">
        <v>91</v>
      </c>
      <c r="M104" s="7">
        <v>0.51600000000000001</v>
      </c>
      <c r="N104" s="7">
        <v>13</v>
      </c>
      <c r="O104" s="7">
        <v>39</v>
      </c>
      <c r="P104" s="7">
        <v>0.33300000000000002</v>
      </c>
      <c r="Q104" s="7">
        <v>30</v>
      </c>
      <c r="R104" s="7">
        <v>36</v>
      </c>
      <c r="S104" s="7">
        <v>0.83299999999999996</v>
      </c>
      <c r="T104" s="7">
        <v>12</v>
      </c>
      <c r="U104" s="7">
        <v>35</v>
      </c>
      <c r="V104" s="7">
        <v>47</v>
      </c>
      <c r="W104" s="7">
        <v>25</v>
      </c>
      <c r="X104" s="7">
        <v>6</v>
      </c>
      <c r="Y104" s="7">
        <v>11</v>
      </c>
      <c r="Z104" s="7">
        <v>7</v>
      </c>
      <c r="AA104" s="7">
        <v>15</v>
      </c>
      <c r="AB104" s="7">
        <v>23</v>
      </c>
      <c r="AC104" s="7">
        <v>45370</v>
      </c>
    </row>
    <row r="105" spans="1:29" x14ac:dyDescent="0.2">
      <c r="A105" s="7">
        <v>22023</v>
      </c>
      <c r="B105" s="7">
        <v>1610612745</v>
      </c>
      <c r="C105" s="7" t="s">
        <v>95</v>
      </c>
      <c r="D105" s="7" t="s">
        <v>96</v>
      </c>
      <c r="E105" s="7">
        <v>22300967</v>
      </c>
      <c r="F105" s="11">
        <v>45367</v>
      </c>
      <c r="G105" s="7" t="s">
        <v>133</v>
      </c>
      <c r="H105" s="7" t="s">
        <v>98</v>
      </c>
      <c r="I105" s="7">
        <v>240</v>
      </c>
      <c r="J105" s="7">
        <v>117</v>
      </c>
      <c r="K105" s="7">
        <v>47</v>
      </c>
      <c r="L105" s="7">
        <v>98</v>
      </c>
      <c r="M105" s="7">
        <v>0.48</v>
      </c>
      <c r="N105" s="7">
        <v>15</v>
      </c>
      <c r="O105" s="7">
        <v>42</v>
      </c>
      <c r="P105" s="7">
        <v>0.35699999999999998</v>
      </c>
      <c r="Q105" s="7">
        <v>8</v>
      </c>
      <c r="R105" s="7">
        <v>12</v>
      </c>
      <c r="S105" s="7">
        <v>0.66700000000000004</v>
      </c>
      <c r="T105" s="7">
        <v>11</v>
      </c>
      <c r="U105" s="7">
        <v>37</v>
      </c>
      <c r="V105" s="7">
        <v>48</v>
      </c>
      <c r="W105" s="7">
        <v>28</v>
      </c>
      <c r="X105" s="7">
        <v>9</v>
      </c>
      <c r="Y105" s="7">
        <v>7</v>
      </c>
      <c r="Z105" s="7">
        <v>9</v>
      </c>
      <c r="AA105" s="7">
        <v>19</v>
      </c>
      <c r="AB105" s="7">
        <v>14</v>
      </c>
      <c r="AC105" s="7">
        <v>45367</v>
      </c>
    </row>
    <row r="106" spans="1:29" x14ac:dyDescent="0.2">
      <c r="A106" s="7">
        <v>22023</v>
      </c>
      <c r="B106" s="7">
        <v>1610612745</v>
      </c>
      <c r="C106" s="7" t="s">
        <v>95</v>
      </c>
      <c r="D106" s="7" t="s">
        <v>96</v>
      </c>
      <c r="E106" s="7">
        <v>22300957</v>
      </c>
      <c r="F106" s="11">
        <v>45365</v>
      </c>
      <c r="G106" s="7" t="s">
        <v>152</v>
      </c>
      <c r="H106" s="7" t="s">
        <v>98</v>
      </c>
      <c r="I106" s="7">
        <v>241</v>
      </c>
      <c r="J106" s="7">
        <v>135</v>
      </c>
      <c r="K106" s="7">
        <v>51</v>
      </c>
      <c r="L106" s="7">
        <v>87</v>
      </c>
      <c r="M106" s="7">
        <v>0.58599999999999997</v>
      </c>
      <c r="N106" s="7">
        <v>12</v>
      </c>
      <c r="O106" s="7">
        <v>28</v>
      </c>
      <c r="P106" s="7">
        <v>0.42899999999999999</v>
      </c>
      <c r="Q106" s="7">
        <v>21</v>
      </c>
      <c r="R106" s="7">
        <v>24</v>
      </c>
      <c r="S106" s="7">
        <v>0.875</v>
      </c>
      <c r="T106" s="7">
        <v>8</v>
      </c>
      <c r="U106" s="7">
        <v>39</v>
      </c>
      <c r="V106" s="7">
        <v>47</v>
      </c>
      <c r="W106" s="7">
        <v>24</v>
      </c>
      <c r="X106" s="7">
        <v>7</v>
      </c>
      <c r="Y106" s="7">
        <v>1</v>
      </c>
      <c r="Z106" s="7">
        <v>17</v>
      </c>
      <c r="AA106" s="7">
        <v>19</v>
      </c>
      <c r="AB106" s="7">
        <v>16</v>
      </c>
      <c r="AC106" s="7">
        <v>45365</v>
      </c>
    </row>
    <row r="107" spans="1:29" x14ac:dyDescent="0.2">
      <c r="A107" s="7">
        <v>22023</v>
      </c>
      <c r="B107" s="7">
        <v>1610612745</v>
      </c>
      <c r="C107" s="7" t="s">
        <v>95</v>
      </c>
      <c r="D107" s="7" t="s">
        <v>96</v>
      </c>
      <c r="E107" s="7">
        <v>22300942</v>
      </c>
      <c r="F107" s="11">
        <v>45363</v>
      </c>
      <c r="G107" s="7" t="s">
        <v>155</v>
      </c>
      <c r="H107" s="7" t="s">
        <v>98</v>
      </c>
      <c r="I107" s="7">
        <v>240</v>
      </c>
      <c r="J107" s="7">
        <v>103</v>
      </c>
      <c r="K107" s="7">
        <v>37</v>
      </c>
      <c r="L107" s="7">
        <v>80</v>
      </c>
      <c r="M107" s="7">
        <v>0.46300000000000002</v>
      </c>
      <c r="N107" s="7">
        <v>10</v>
      </c>
      <c r="O107" s="7">
        <v>32</v>
      </c>
      <c r="P107" s="7">
        <v>0.313</v>
      </c>
      <c r="Q107" s="7">
        <v>19</v>
      </c>
      <c r="R107" s="7">
        <v>21</v>
      </c>
      <c r="S107" s="7">
        <v>0.90500000000000003</v>
      </c>
      <c r="T107" s="7">
        <v>8</v>
      </c>
      <c r="U107" s="7">
        <v>28</v>
      </c>
      <c r="V107" s="7">
        <v>36</v>
      </c>
      <c r="W107" s="7">
        <v>21</v>
      </c>
      <c r="X107" s="7">
        <v>10</v>
      </c>
      <c r="Y107" s="7">
        <v>5</v>
      </c>
      <c r="Z107" s="7">
        <v>12</v>
      </c>
      <c r="AA107" s="7">
        <v>19</v>
      </c>
      <c r="AB107" s="7">
        <v>2</v>
      </c>
      <c r="AC107" s="7">
        <v>45363</v>
      </c>
    </row>
    <row r="108" spans="1:29" x14ac:dyDescent="0.2">
      <c r="A108" s="7">
        <v>22023</v>
      </c>
      <c r="B108" s="7">
        <v>1610612745</v>
      </c>
      <c r="C108" s="7" t="s">
        <v>95</v>
      </c>
      <c r="D108" s="7" t="s">
        <v>96</v>
      </c>
      <c r="E108" s="7">
        <v>22300929</v>
      </c>
      <c r="F108" s="11">
        <v>45361</v>
      </c>
      <c r="G108" s="7" t="s">
        <v>136</v>
      </c>
      <c r="H108" s="7" t="s">
        <v>98</v>
      </c>
      <c r="I108" s="7">
        <v>240</v>
      </c>
      <c r="J108" s="7">
        <v>112</v>
      </c>
      <c r="K108" s="7">
        <v>39</v>
      </c>
      <c r="L108" s="7">
        <v>84</v>
      </c>
      <c r="M108" s="7">
        <v>0.46400000000000002</v>
      </c>
      <c r="N108" s="7">
        <v>12</v>
      </c>
      <c r="O108" s="7">
        <v>29</v>
      </c>
      <c r="P108" s="7">
        <v>0.41399999999999998</v>
      </c>
      <c r="Q108" s="7">
        <v>22</v>
      </c>
      <c r="R108" s="7">
        <v>27</v>
      </c>
      <c r="S108" s="7">
        <v>0.81499999999999995</v>
      </c>
      <c r="T108" s="7">
        <v>6</v>
      </c>
      <c r="U108" s="7">
        <v>36</v>
      </c>
      <c r="V108" s="7">
        <v>42</v>
      </c>
      <c r="W108" s="7">
        <v>23</v>
      </c>
      <c r="X108" s="7">
        <v>8</v>
      </c>
      <c r="Y108" s="7">
        <v>1</v>
      </c>
      <c r="Z108" s="7">
        <v>12</v>
      </c>
      <c r="AA108" s="7">
        <v>18</v>
      </c>
      <c r="AB108" s="7">
        <v>8</v>
      </c>
      <c r="AC108" s="7">
        <v>45361</v>
      </c>
    </row>
    <row r="109" spans="1:29" x14ac:dyDescent="0.2">
      <c r="A109" s="7">
        <v>22023</v>
      </c>
      <c r="B109" s="7">
        <v>1610612745</v>
      </c>
      <c r="C109" s="7" t="s">
        <v>95</v>
      </c>
      <c r="D109" s="7" t="s">
        <v>96</v>
      </c>
      <c r="E109" s="7">
        <v>22300916</v>
      </c>
      <c r="F109" s="11">
        <v>45359</v>
      </c>
      <c r="G109" s="7" t="s">
        <v>135</v>
      </c>
      <c r="H109" s="7" t="s">
        <v>98</v>
      </c>
      <c r="I109" s="7">
        <v>239</v>
      </c>
      <c r="J109" s="7">
        <v>123</v>
      </c>
      <c r="K109" s="7">
        <v>45</v>
      </c>
      <c r="L109" s="7">
        <v>94</v>
      </c>
      <c r="M109" s="7">
        <v>0.47899999999999998</v>
      </c>
      <c r="N109" s="7">
        <v>14</v>
      </c>
      <c r="O109" s="7">
        <v>37</v>
      </c>
      <c r="P109" s="7">
        <v>0.378</v>
      </c>
      <c r="Q109" s="7">
        <v>19</v>
      </c>
      <c r="R109" s="7">
        <v>26</v>
      </c>
      <c r="S109" s="7">
        <v>0.73099999999999998</v>
      </c>
      <c r="T109" s="7">
        <v>14</v>
      </c>
      <c r="U109" s="7">
        <v>33</v>
      </c>
      <c r="V109" s="7">
        <v>47</v>
      </c>
      <c r="W109" s="7">
        <v>33</v>
      </c>
      <c r="X109" s="7">
        <v>12</v>
      </c>
      <c r="Y109" s="7">
        <v>10</v>
      </c>
      <c r="Z109" s="7">
        <v>7</v>
      </c>
      <c r="AA109" s="7">
        <v>15</v>
      </c>
      <c r="AB109" s="7">
        <v>16</v>
      </c>
      <c r="AC109" s="7">
        <v>45359</v>
      </c>
    </row>
    <row r="110" spans="1:29" x14ac:dyDescent="0.2">
      <c r="A110" s="7">
        <v>22023</v>
      </c>
      <c r="B110" s="7">
        <v>1610612745</v>
      </c>
      <c r="C110" s="7" t="s">
        <v>95</v>
      </c>
      <c r="D110" s="7" t="s">
        <v>96</v>
      </c>
      <c r="E110" s="7">
        <v>22300897</v>
      </c>
      <c r="F110" s="11">
        <v>45357</v>
      </c>
      <c r="G110" s="7" t="s">
        <v>151</v>
      </c>
      <c r="H110" s="7" t="s">
        <v>102</v>
      </c>
      <c r="I110" s="7">
        <v>242</v>
      </c>
      <c r="J110" s="7">
        <v>116</v>
      </c>
      <c r="K110" s="7">
        <v>45</v>
      </c>
      <c r="L110" s="7">
        <v>94</v>
      </c>
      <c r="M110" s="7">
        <v>0.47899999999999998</v>
      </c>
      <c r="N110" s="7">
        <v>16</v>
      </c>
      <c r="O110" s="7">
        <v>37</v>
      </c>
      <c r="P110" s="7">
        <v>0.432</v>
      </c>
      <c r="Q110" s="7">
        <v>10</v>
      </c>
      <c r="R110" s="7">
        <v>17</v>
      </c>
      <c r="S110" s="7">
        <v>0.58799999999999997</v>
      </c>
      <c r="T110" s="7">
        <v>13</v>
      </c>
      <c r="U110" s="7">
        <v>25</v>
      </c>
      <c r="V110" s="7">
        <v>38</v>
      </c>
      <c r="W110" s="7">
        <v>33</v>
      </c>
      <c r="X110" s="7">
        <v>6</v>
      </c>
      <c r="Y110" s="7">
        <v>2</v>
      </c>
      <c r="Z110" s="7">
        <v>8</v>
      </c>
      <c r="AA110" s="7">
        <v>21</v>
      </c>
      <c r="AB110" s="7">
        <v>-6</v>
      </c>
      <c r="AC110" s="7">
        <v>45357</v>
      </c>
    </row>
    <row r="111" spans="1:29" x14ac:dyDescent="0.2">
      <c r="A111" s="7">
        <v>22023</v>
      </c>
      <c r="B111" s="7">
        <v>1610612745</v>
      </c>
      <c r="C111" s="7" t="s">
        <v>95</v>
      </c>
      <c r="D111" s="7" t="s">
        <v>96</v>
      </c>
      <c r="E111" s="7">
        <v>22300891</v>
      </c>
      <c r="F111" s="11">
        <v>45356</v>
      </c>
      <c r="G111" s="7" t="s">
        <v>119</v>
      </c>
      <c r="H111" s="7" t="s">
        <v>98</v>
      </c>
      <c r="I111" s="7">
        <v>239</v>
      </c>
      <c r="J111" s="7">
        <v>114</v>
      </c>
      <c r="K111" s="7">
        <v>49</v>
      </c>
      <c r="L111" s="7">
        <v>105</v>
      </c>
      <c r="M111" s="7">
        <v>0.46700000000000003</v>
      </c>
      <c r="N111" s="7">
        <v>9</v>
      </c>
      <c r="O111" s="7">
        <v>34</v>
      </c>
      <c r="P111" s="7">
        <v>0.26500000000000001</v>
      </c>
      <c r="Q111" s="7">
        <v>7</v>
      </c>
      <c r="R111" s="7">
        <v>11</v>
      </c>
      <c r="S111" s="7">
        <v>0.63600000000000001</v>
      </c>
      <c r="T111" s="7">
        <v>16</v>
      </c>
      <c r="U111" s="7">
        <v>35</v>
      </c>
      <c r="V111" s="7">
        <v>51</v>
      </c>
      <c r="W111" s="7">
        <v>23</v>
      </c>
      <c r="X111" s="7">
        <v>15</v>
      </c>
      <c r="Y111" s="7">
        <v>5</v>
      </c>
      <c r="Z111" s="7">
        <v>5</v>
      </c>
      <c r="AA111" s="7">
        <v>15</v>
      </c>
      <c r="AB111" s="7">
        <v>13</v>
      </c>
      <c r="AC111" s="7">
        <v>45356</v>
      </c>
    </row>
    <row r="112" spans="1:29" x14ac:dyDescent="0.2">
      <c r="A112" s="7">
        <v>22023</v>
      </c>
      <c r="B112" s="7">
        <v>1610612745</v>
      </c>
      <c r="C112" s="7" t="s">
        <v>95</v>
      </c>
      <c r="D112" s="7" t="s">
        <v>96</v>
      </c>
      <c r="E112" s="7">
        <v>22300870</v>
      </c>
      <c r="F112" s="11">
        <v>45353</v>
      </c>
      <c r="G112" s="7" t="s">
        <v>103</v>
      </c>
      <c r="H112" s="7" t="s">
        <v>98</v>
      </c>
      <c r="I112" s="7">
        <v>240</v>
      </c>
      <c r="J112" s="7">
        <v>118</v>
      </c>
      <c r="K112" s="7">
        <v>42</v>
      </c>
      <c r="L112" s="7">
        <v>96</v>
      </c>
      <c r="M112" s="7">
        <v>0.438</v>
      </c>
      <c r="N112" s="7">
        <v>16</v>
      </c>
      <c r="O112" s="7">
        <v>42</v>
      </c>
      <c r="P112" s="7">
        <v>0.38100000000000001</v>
      </c>
      <c r="Q112" s="7">
        <v>18</v>
      </c>
      <c r="R112" s="7">
        <v>26</v>
      </c>
      <c r="S112" s="7">
        <v>0.69199999999999995</v>
      </c>
      <c r="T112" s="7">
        <v>13</v>
      </c>
      <c r="U112" s="7">
        <v>36</v>
      </c>
      <c r="V112" s="7">
        <v>49</v>
      </c>
      <c r="W112" s="7">
        <v>27</v>
      </c>
      <c r="X112" s="7">
        <v>13</v>
      </c>
      <c r="Y112" s="7">
        <v>3</v>
      </c>
      <c r="Z112" s="7">
        <v>12</v>
      </c>
      <c r="AA112" s="7">
        <v>22</v>
      </c>
      <c r="AB112" s="7">
        <v>9</v>
      </c>
      <c r="AC112" s="7">
        <v>45353</v>
      </c>
    </row>
    <row r="113" spans="1:29" x14ac:dyDescent="0.2">
      <c r="A113" s="7">
        <v>22023</v>
      </c>
      <c r="B113" s="7">
        <v>1610612745</v>
      </c>
      <c r="C113" s="7" t="s">
        <v>95</v>
      </c>
      <c r="D113" s="7" t="s">
        <v>96</v>
      </c>
      <c r="E113" s="7">
        <v>22300854</v>
      </c>
      <c r="F113" s="11">
        <v>45351</v>
      </c>
      <c r="G113" s="7" t="s">
        <v>103</v>
      </c>
      <c r="H113" s="7" t="s">
        <v>102</v>
      </c>
      <c r="I113" s="7">
        <v>241</v>
      </c>
      <c r="J113" s="7">
        <v>105</v>
      </c>
      <c r="K113" s="7">
        <v>33</v>
      </c>
      <c r="L113" s="7">
        <v>99</v>
      </c>
      <c r="M113" s="7">
        <v>0.33300000000000002</v>
      </c>
      <c r="N113" s="7">
        <v>11</v>
      </c>
      <c r="O113" s="7">
        <v>45</v>
      </c>
      <c r="P113" s="7">
        <v>0.24399999999999999</v>
      </c>
      <c r="Q113" s="7">
        <v>28</v>
      </c>
      <c r="R113" s="7">
        <v>31</v>
      </c>
      <c r="S113" s="7">
        <v>0.90300000000000002</v>
      </c>
      <c r="T113" s="7">
        <v>19</v>
      </c>
      <c r="U113" s="7">
        <v>39</v>
      </c>
      <c r="V113" s="7">
        <v>58</v>
      </c>
      <c r="W113" s="7">
        <v>14</v>
      </c>
      <c r="X113" s="7">
        <v>8</v>
      </c>
      <c r="Y113" s="7">
        <v>5</v>
      </c>
      <c r="Z113" s="7">
        <v>12</v>
      </c>
      <c r="AA113" s="7">
        <v>29</v>
      </c>
      <c r="AB113" s="7">
        <v>-5</v>
      </c>
      <c r="AC113" s="7">
        <v>45351</v>
      </c>
    </row>
    <row r="114" spans="1:29" x14ac:dyDescent="0.2">
      <c r="A114" s="7">
        <v>22023</v>
      </c>
      <c r="B114" s="7">
        <v>1610612745</v>
      </c>
      <c r="C114" s="7" t="s">
        <v>95</v>
      </c>
      <c r="D114" s="7" t="s">
        <v>96</v>
      </c>
      <c r="E114" s="7">
        <v>22300841</v>
      </c>
      <c r="F114" s="11">
        <v>45349</v>
      </c>
      <c r="G114" s="7" t="s">
        <v>117</v>
      </c>
      <c r="H114" s="7" t="s">
        <v>102</v>
      </c>
      <c r="I114" s="7">
        <v>239</v>
      </c>
      <c r="J114" s="7">
        <v>95</v>
      </c>
      <c r="K114" s="7">
        <v>37</v>
      </c>
      <c r="L114" s="7">
        <v>95</v>
      </c>
      <c r="M114" s="7">
        <v>0.38900000000000001</v>
      </c>
      <c r="N114" s="7">
        <v>9</v>
      </c>
      <c r="O114" s="7">
        <v>39</v>
      </c>
      <c r="P114" s="7">
        <v>0.23100000000000001</v>
      </c>
      <c r="Q114" s="7">
        <v>12</v>
      </c>
      <c r="R114" s="7">
        <v>18</v>
      </c>
      <c r="S114" s="7">
        <v>0.66700000000000004</v>
      </c>
      <c r="T114" s="7">
        <v>12</v>
      </c>
      <c r="U114" s="7">
        <v>34</v>
      </c>
      <c r="V114" s="7">
        <v>46</v>
      </c>
      <c r="W114" s="7">
        <v>22</v>
      </c>
      <c r="X114" s="7">
        <v>5</v>
      </c>
      <c r="Y114" s="7">
        <v>8</v>
      </c>
      <c r="Z114" s="7">
        <v>15</v>
      </c>
      <c r="AA114" s="7">
        <v>16</v>
      </c>
      <c r="AB114" s="7">
        <v>-17</v>
      </c>
      <c r="AC114" s="7">
        <v>45349</v>
      </c>
    </row>
    <row r="115" spans="1:29" x14ac:dyDescent="0.2">
      <c r="A115" s="7">
        <v>22023</v>
      </c>
      <c r="B115" s="7">
        <v>1610612745</v>
      </c>
      <c r="C115" s="7" t="s">
        <v>95</v>
      </c>
      <c r="D115" s="7" t="s">
        <v>96</v>
      </c>
      <c r="E115" s="7">
        <v>22300822</v>
      </c>
      <c r="F115" s="11">
        <v>45347</v>
      </c>
      <c r="G115" s="7" t="s">
        <v>99</v>
      </c>
      <c r="H115" s="7" t="s">
        <v>102</v>
      </c>
      <c r="I115" s="7">
        <v>239</v>
      </c>
      <c r="J115" s="7">
        <v>110</v>
      </c>
      <c r="K115" s="7">
        <v>38</v>
      </c>
      <c r="L115" s="7">
        <v>93</v>
      </c>
      <c r="M115" s="7">
        <v>0.40899999999999997</v>
      </c>
      <c r="N115" s="7">
        <v>16</v>
      </c>
      <c r="O115" s="7">
        <v>41</v>
      </c>
      <c r="P115" s="7">
        <v>0.39</v>
      </c>
      <c r="Q115" s="7">
        <v>18</v>
      </c>
      <c r="R115" s="7">
        <v>23</v>
      </c>
      <c r="S115" s="7">
        <v>0.78300000000000003</v>
      </c>
      <c r="T115" s="7">
        <v>13</v>
      </c>
      <c r="U115" s="7">
        <v>37</v>
      </c>
      <c r="V115" s="7">
        <v>50</v>
      </c>
      <c r="W115" s="7">
        <v>18</v>
      </c>
      <c r="X115" s="7">
        <v>6</v>
      </c>
      <c r="Y115" s="7">
        <v>7</v>
      </c>
      <c r="Z115" s="7">
        <v>18</v>
      </c>
      <c r="AA115" s="7">
        <v>16</v>
      </c>
      <c r="AB115" s="7">
        <v>-13</v>
      </c>
      <c r="AC115" s="7">
        <v>45347</v>
      </c>
    </row>
    <row r="116" spans="1:29" x14ac:dyDescent="0.2">
      <c r="A116" s="7">
        <v>22023</v>
      </c>
      <c r="B116" s="7">
        <v>1610612745</v>
      </c>
      <c r="C116" s="7" t="s">
        <v>95</v>
      </c>
      <c r="D116" s="7" t="s">
        <v>96</v>
      </c>
      <c r="E116" s="7">
        <v>22300806</v>
      </c>
      <c r="F116" s="11">
        <v>45345</v>
      </c>
      <c r="G116" s="7" t="s">
        <v>112</v>
      </c>
      <c r="H116" s="7" t="s">
        <v>98</v>
      </c>
      <c r="I116" s="7">
        <v>240</v>
      </c>
      <c r="J116" s="7">
        <v>114</v>
      </c>
      <c r="K116" s="7">
        <v>37</v>
      </c>
      <c r="L116" s="7">
        <v>93</v>
      </c>
      <c r="M116" s="7">
        <v>0.39800000000000002</v>
      </c>
      <c r="N116" s="7">
        <v>15</v>
      </c>
      <c r="O116" s="7">
        <v>45</v>
      </c>
      <c r="P116" s="7">
        <v>0.33300000000000002</v>
      </c>
      <c r="Q116" s="7">
        <v>25</v>
      </c>
      <c r="R116" s="7">
        <v>34</v>
      </c>
      <c r="S116" s="7">
        <v>0.73499999999999999</v>
      </c>
      <c r="T116" s="7">
        <v>17</v>
      </c>
      <c r="U116" s="7">
        <v>37</v>
      </c>
      <c r="V116" s="7">
        <v>54</v>
      </c>
      <c r="W116" s="7">
        <v>25</v>
      </c>
      <c r="X116" s="7">
        <v>8</v>
      </c>
      <c r="Y116" s="7">
        <v>5</v>
      </c>
      <c r="Z116" s="7">
        <v>14</v>
      </c>
      <c r="AA116" s="7">
        <v>23</v>
      </c>
      <c r="AB116" s="7">
        <v>4</v>
      </c>
      <c r="AC116" s="7">
        <v>45345</v>
      </c>
    </row>
    <row r="117" spans="1:29" x14ac:dyDescent="0.2">
      <c r="A117" s="7">
        <v>22023</v>
      </c>
      <c r="B117" s="7">
        <v>1610612745</v>
      </c>
      <c r="C117" s="7" t="s">
        <v>95</v>
      </c>
      <c r="D117" s="7" t="s">
        <v>96</v>
      </c>
      <c r="E117" s="7">
        <v>22300798</v>
      </c>
      <c r="F117" s="11">
        <v>45344</v>
      </c>
      <c r="G117" s="7" t="s">
        <v>115</v>
      </c>
      <c r="H117" s="7" t="s">
        <v>102</v>
      </c>
      <c r="I117" s="7">
        <v>240</v>
      </c>
      <c r="J117" s="7">
        <v>105</v>
      </c>
      <c r="K117" s="7">
        <v>36</v>
      </c>
      <c r="L117" s="7">
        <v>82</v>
      </c>
      <c r="M117" s="7">
        <v>0.439</v>
      </c>
      <c r="N117" s="7">
        <v>15</v>
      </c>
      <c r="O117" s="7">
        <v>41</v>
      </c>
      <c r="P117" s="7">
        <v>0.36599999999999999</v>
      </c>
      <c r="Q117" s="7">
        <v>18</v>
      </c>
      <c r="R117" s="7">
        <v>28</v>
      </c>
      <c r="S117" s="7">
        <v>0.64300000000000002</v>
      </c>
      <c r="T117" s="7">
        <v>12</v>
      </c>
      <c r="U117" s="7">
        <v>32</v>
      </c>
      <c r="V117" s="7">
        <v>44</v>
      </c>
      <c r="W117" s="7">
        <v>27</v>
      </c>
      <c r="X117" s="7">
        <v>6</v>
      </c>
      <c r="Y117" s="7">
        <v>5</v>
      </c>
      <c r="Z117" s="7">
        <v>22</v>
      </c>
      <c r="AA117" s="7">
        <v>18</v>
      </c>
      <c r="AB117" s="7">
        <v>-22</v>
      </c>
      <c r="AC117" s="7">
        <v>45344</v>
      </c>
    </row>
    <row r="118" spans="1:29" x14ac:dyDescent="0.2">
      <c r="A118" s="7">
        <v>22023</v>
      </c>
      <c r="B118" s="7">
        <v>1610612745</v>
      </c>
      <c r="C118" s="7" t="s">
        <v>95</v>
      </c>
      <c r="D118" s="7" t="s">
        <v>96</v>
      </c>
      <c r="E118" s="7">
        <v>22300783</v>
      </c>
      <c r="F118" s="11">
        <v>45336</v>
      </c>
      <c r="G118" s="7" t="s">
        <v>129</v>
      </c>
      <c r="H118" s="7" t="s">
        <v>102</v>
      </c>
      <c r="I118" s="7">
        <v>239</v>
      </c>
      <c r="J118" s="7">
        <v>113</v>
      </c>
      <c r="K118" s="7">
        <v>42</v>
      </c>
      <c r="L118" s="7">
        <v>102</v>
      </c>
      <c r="M118" s="7">
        <v>0.41199999999999998</v>
      </c>
      <c r="N118" s="7">
        <v>11</v>
      </c>
      <c r="O118" s="7">
        <v>36</v>
      </c>
      <c r="P118" s="7">
        <v>0.30599999999999999</v>
      </c>
      <c r="Q118" s="7">
        <v>18</v>
      </c>
      <c r="R118" s="7">
        <v>28</v>
      </c>
      <c r="S118" s="7">
        <v>0.64300000000000002</v>
      </c>
      <c r="T118" s="7">
        <v>22</v>
      </c>
      <c r="U118" s="7">
        <v>34</v>
      </c>
      <c r="V118" s="7">
        <v>56</v>
      </c>
      <c r="W118" s="7">
        <v>20</v>
      </c>
      <c r="X118" s="7">
        <v>9</v>
      </c>
      <c r="Y118" s="7">
        <v>4</v>
      </c>
      <c r="Z118" s="7">
        <v>9</v>
      </c>
      <c r="AA118" s="7">
        <v>25</v>
      </c>
      <c r="AB118" s="7">
        <v>-8</v>
      </c>
      <c r="AC118" s="7">
        <v>45336</v>
      </c>
    </row>
    <row r="119" spans="1:29" x14ac:dyDescent="0.2">
      <c r="A119" s="7">
        <v>22023</v>
      </c>
      <c r="B119" s="7">
        <v>1610612745</v>
      </c>
      <c r="C119" s="7" t="s">
        <v>95</v>
      </c>
      <c r="D119" s="7" t="s">
        <v>96</v>
      </c>
      <c r="E119" s="7">
        <v>22300765</v>
      </c>
      <c r="F119" s="11">
        <v>45334</v>
      </c>
      <c r="G119" s="7" t="s">
        <v>154</v>
      </c>
      <c r="H119" s="7" t="s">
        <v>98</v>
      </c>
      <c r="I119" s="7">
        <v>240</v>
      </c>
      <c r="J119" s="7">
        <v>105</v>
      </c>
      <c r="K119" s="7">
        <v>36</v>
      </c>
      <c r="L119" s="7">
        <v>80</v>
      </c>
      <c r="M119" s="7">
        <v>0.45</v>
      </c>
      <c r="N119" s="7">
        <v>10</v>
      </c>
      <c r="O119" s="7">
        <v>26</v>
      </c>
      <c r="P119" s="7">
        <v>0.38500000000000001</v>
      </c>
      <c r="Q119" s="7">
        <v>23</v>
      </c>
      <c r="R119" s="7">
        <v>33</v>
      </c>
      <c r="S119" s="7">
        <v>0.69699999999999995</v>
      </c>
      <c r="T119" s="7">
        <v>12</v>
      </c>
      <c r="U119" s="7">
        <v>27</v>
      </c>
      <c r="V119" s="7">
        <v>39</v>
      </c>
      <c r="W119" s="7">
        <v>22</v>
      </c>
      <c r="X119" s="7">
        <v>12</v>
      </c>
      <c r="Y119" s="7">
        <v>3</v>
      </c>
      <c r="Z119" s="7">
        <v>11</v>
      </c>
      <c r="AA119" s="7">
        <v>16</v>
      </c>
      <c r="AB119" s="7">
        <v>2</v>
      </c>
      <c r="AC119" s="7">
        <v>45334</v>
      </c>
    </row>
    <row r="120" spans="1:29" x14ac:dyDescent="0.2">
      <c r="A120" s="7">
        <v>22023</v>
      </c>
      <c r="B120" s="7">
        <v>1610612745</v>
      </c>
      <c r="C120" s="7" t="s">
        <v>95</v>
      </c>
      <c r="D120" s="7" t="s">
        <v>96</v>
      </c>
      <c r="E120" s="7">
        <v>22300754</v>
      </c>
      <c r="F120" s="11">
        <v>45332</v>
      </c>
      <c r="G120" s="7" t="s">
        <v>130</v>
      </c>
      <c r="H120" s="7" t="s">
        <v>102</v>
      </c>
      <c r="I120" s="7">
        <v>241</v>
      </c>
      <c r="J120" s="7">
        <v>113</v>
      </c>
      <c r="K120" s="7">
        <v>44</v>
      </c>
      <c r="L120" s="7">
        <v>100</v>
      </c>
      <c r="M120" s="7">
        <v>0.44</v>
      </c>
      <c r="N120" s="7">
        <v>13</v>
      </c>
      <c r="O120" s="7">
        <v>43</v>
      </c>
      <c r="P120" s="7">
        <v>0.30199999999999999</v>
      </c>
      <c r="Q120" s="7">
        <v>12</v>
      </c>
      <c r="R120" s="7">
        <v>19</v>
      </c>
      <c r="S120" s="7">
        <v>0.63200000000000001</v>
      </c>
      <c r="T120" s="7">
        <v>16</v>
      </c>
      <c r="U120" s="7">
        <v>42</v>
      </c>
      <c r="V120" s="7">
        <v>58</v>
      </c>
      <c r="W120" s="7">
        <v>22</v>
      </c>
      <c r="X120" s="7">
        <v>6</v>
      </c>
      <c r="Y120" s="7">
        <v>6</v>
      </c>
      <c r="Z120" s="7">
        <v>17</v>
      </c>
      <c r="AA120" s="7">
        <v>26</v>
      </c>
      <c r="AB120" s="7">
        <v>-9</v>
      </c>
      <c r="AC120" s="7">
        <v>45332</v>
      </c>
    </row>
    <row r="121" spans="1:29" x14ac:dyDescent="0.2">
      <c r="A121" s="7">
        <v>22023</v>
      </c>
      <c r="B121" s="7">
        <v>1610612745</v>
      </c>
      <c r="C121" s="7" t="s">
        <v>95</v>
      </c>
      <c r="D121" s="7" t="s">
        <v>96</v>
      </c>
      <c r="E121" s="7">
        <v>22300744</v>
      </c>
      <c r="F121" s="11">
        <v>45331</v>
      </c>
      <c r="G121" s="7" t="s">
        <v>144</v>
      </c>
      <c r="H121" s="7" t="s">
        <v>102</v>
      </c>
      <c r="I121" s="7">
        <v>240</v>
      </c>
      <c r="J121" s="7">
        <v>104</v>
      </c>
      <c r="K121" s="7">
        <v>38</v>
      </c>
      <c r="L121" s="7">
        <v>85</v>
      </c>
      <c r="M121" s="7">
        <v>0.44700000000000001</v>
      </c>
      <c r="N121" s="7">
        <v>15</v>
      </c>
      <c r="O121" s="7">
        <v>38</v>
      </c>
      <c r="P121" s="7">
        <v>0.39500000000000002</v>
      </c>
      <c r="Q121" s="7">
        <v>13</v>
      </c>
      <c r="R121" s="7">
        <v>16</v>
      </c>
      <c r="S121" s="7">
        <v>0.81299999999999994</v>
      </c>
      <c r="T121" s="7">
        <v>12</v>
      </c>
      <c r="U121" s="7">
        <v>36</v>
      </c>
      <c r="V121" s="7">
        <v>48</v>
      </c>
      <c r="W121" s="7">
        <v>22</v>
      </c>
      <c r="X121" s="7">
        <v>5</v>
      </c>
      <c r="Y121" s="7">
        <v>3</v>
      </c>
      <c r="Z121" s="7">
        <v>21</v>
      </c>
      <c r="AA121" s="7">
        <v>20</v>
      </c>
      <c r="AB121" s="7">
        <v>-3</v>
      </c>
      <c r="AC121" s="7">
        <v>45331</v>
      </c>
    </row>
    <row r="122" spans="1:29" x14ac:dyDescent="0.2">
      <c r="A122" s="7">
        <v>22023</v>
      </c>
      <c r="B122" s="7">
        <v>1610612745</v>
      </c>
      <c r="C122" s="7" t="s">
        <v>95</v>
      </c>
      <c r="D122" s="7" t="s">
        <v>96</v>
      </c>
      <c r="E122" s="7">
        <v>22300719</v>
      </c>
      <c r="F122" s="11">
        <v>45328</v>
      </c>
      <c r="G122" s="7" t="s">
        <v>116</v>
      </c>
      <c r="H122" s="7" t="s">
        <v>102</v>
      </c>
      <c r="I122" s="7">
        <v>240</v>
      </c>
      <c r="J122" s="7">
        <v>129</v>
      </c>
      <c r="K122" s="7">
        <v>50</v>
      </c>
      <c r="L122" s="7">
        <v>97</v>
      </c>
      <c r="M122" s="7">
        <v>0.51500000000000001</v>
      </c>
      <c r="N122" s="7">
        <v>12</v>
      </c>
      <c r="O122" s="7">
        <v>25</v>
      </c>
      <c r="P122" s="7">
        <v>0.48</v>
      </c>
      <c r="Q122" s="7">
        <v>17</v>
      </c>
      <c r="R122" s="7">
        <v>23</v>
      </c>
      <c r="S122" s="7">
        <v>0.73899999999999999</v>
      </c>
      <c r="T122" s="7">
        <v>20</v>
      </c>
      <c r="U122" s="7">
        <v>28</v>
      </c>
      <c r="V122" s="7">
        <v>48</v>
      </c>
      <c r="W122" s="7">
        <v>26</v>
      </c>
      <c r="X122" s="7">
        <v>5</v>
      </c>
      <c r="Y122" s="7">
        <v>3</v>
      </c>
      <c r="Z122" s="7">
        <v>15</v>
      </c>
      <c r="AA122" s="7">
        <v>16</v>
      </c>
      <c r="AB122" s="7">
        <v>-3</v>
      </c>
      <c r="AC122" s="7">
        <v>45328</v>
      </c>
    </row>
    <row r="123" spans="1:29" x14ac:dyDescent="0.2">
      <c r="A123" s="7">
        <v>22023</v>
      </c>
      <c r="B123" s="7">
        <v>1610612745</v>
      </c>
      <c r="C123" s="7" t="s">
        <v>95</v>
      </c>
      <c r="D123" s="7" t="s">
        <v>96</v>
      </c>
      <c r="E123" s="7">
        <v>22300709</v>
      </c>
      <c r="F123" s="11">
        <v>45326</v>
      </c>
      <c r="G123" s="7" t="s">
        <v>125</v>
      </c>
      <c r="H123" s="7" t="s">
        <v>102</v>
      </c>
      <c r="I123" s="7">
        <v>240</v>
      </c>
      <c r="J123" s="7">
        <v>90</v>
      </c>
      <c r="K123" s="7">
        <v>31</v>
      </c>
      <c r="L123" s="7">
        <v>88</v>
      </c>
      <c r="M123" s="7">
        <v>0.35199999999999998</v>
      </c>
      <c r="N123" s="7">
        <v>10</v>
      </c>
      <c r="O123" s="7">
        <v>30</v>
      </c>
      <c r="P123" s="7">
        <v>0.33300000000000002</v>
      </c>
      <c r="Q123" s="7">
        <v>18</v>
      </c>
      <c r="R123" s="7">
        <v>27</v>
      </c>
      <c r="S123" s="7">
        <v>0.66700000000000004</v>
      </c>
      <c r="T123" s="7">
        <v>10</v>
      </c>
      <c r="U123" s="7">
        <v>31</v>
      </c>
      <c r="V123" s="7">
        <v>41</v>
      </c>
      <c r="W123" s="7">
        <v>20</v>
      </c>
      <c r="X123" s="7">
        <v>10</v>
      </c>
      <c r="Y123" s="7">
        <v>7</v>
      </c>
      <c r="Z123" s="7">
        <v>11</v>
      </c>
      <c r="AA123" s="7">
        <v>26</v>
      </c>
      <c r="AB123" s="7">
        <v>-21</v>
      </c>
      <c r="AC123" s="7">
        <v>45326</v>
      </c>
    </row>
    <row r="124" spans="1:29" x14ac:dyDescent="0.2">
      <c r="A124" s="7">
        <v>22023</v>
      </c>
      <c r="B124" s="7">
        <v>1610612745</v>
      </c>
      <c r="C124" s="7" t="s">
        <v>95</v>
      </c>
      <c r="D124" s="7" t="s">
        <v>96</v>
      </c>
      <c r="E124" s="7">
        <v>22300692</v>
      </c>
      <c r="F124" s="11">
        <v>45324</v>
      </c>
      <c r="G124" s="7" t="s">
        <v>123</v>
      </c>
      <c r="H124" s="7" t="s">
        <v>98</v>
      </c>
      <c r="I124" s="7">
        <v>240</v>
      </c>
      <c r="J124" s="7">
        <v>135</v>
      </c>
      <c r="K124" s="7">
        <v>55</v>
      </c>
      <c r="L124" s="7">
        <v>93</v>
      </c>
      <c r="M124" s="7">
        <v>0.59099999999999997</v>
      </c>
      <c r="N124" s="7">
        <v>11</v>
      </c>
      <c r="O124" s="7">
        <v>31</v>
      </c>
      <c r="P124" s="7">
        <v>0.35499999999999998</v>
      </c>
      <c r="Q124" s="7">
        <v>14</v>
      </c>
      <c r="R124" s="7">
        <v>17</v>
      </c>
      <c r="S124" s="7">
        <v>0.82399999999999995</v>
      </c>
      <c r="T124" s="7">
        <v>7</v>
      </c>
      <c r="U124" s="7">
        <v>42</v>
      </c>
      <c r="V124" s="7">
        <v>49</v>
      </c>
      <c r="W124" s="7">
        <v>30</v>
      </c>
      <c r="X124" s="7">
        <v>9</v>
      </c>
      <c r="Y124" s="7">
        <v>3</v>
      </c>
      <c r="Z124" s="7">
        <v>14</v>
      </c>
      <c r="AA124" s="7">
        <v>20</v>
      </c>
      <c r="AB124" s="7">
        <v>29</v>
      </c>
      <c r="AC124" s="7">
        <v>45324</v>
      </c>
    </row>
    <row r="125" spans="1:29" x14ac:dyDescent="0.2">
      <c r="A125" s="7">
        <v>22023</v>
      </c>
      <c r="B125" s="7">
        <v>1610612745</v>
      </c>
      <c r="C125" s="7" t="s">
        <v>95</v>
      </c>
      <c r="D125" s="7" t="s">
        <v>96</v>
      </c>
      <c r="E125" s="7">
        <v>22300679</v>
      </c>
      <c r="F125" s="11">
        <v>45322</v>
      </c>
      <c r="G125" s="7" t="s">
        <v>114</v>
      </c>
      <c r="H125" s="7" t="s">
        <v>102</v>
      </c>
      <c r="I125" s="7">
        <v>240</v>
      </c>
      <c r="J125" s="7">
        <v>99</v>
      </c>
      <c r="K125" s="7">
        <v>35</v>
      </c>
      <c r="L125" s="7">
        <v>87</v>
      </c>
      <c r="M125" s="7">
        <v>0.40200000000000002</v>
      </c>
      <c r="N125" s="7">
        <v>13</v>
      </c>
      <c r="O125" s="7">
        <v>44</v>
      </c>
      <c r="P125" s="7">
        <v>0.29499999999999998</v>
      </c>
      <c r="Q125" s="7">
        <v>16</v>
      </c>
      <c r="R125" s="7">
        <v>17</v>
      </c>
      <c r="S125" s="7">
        <v>0.94099999999999995</v>
      </c>
      <c r="T125" s="7">
        <v>5</v>
      </c>
      <c r="U125" s="7">
        <v>24</v>
      </c>
      <c r="V125" s="7">
        <v>29</v>
      </c>
      <c r="W125" s="7">
        <v>19</v>
      </c>
      <c r="X125" s="7">
        <v>11</v>
      </c>
      <c r="Y125" s="7">
        <v>2</v>
      </c>
      <c r="Z125" s="7">
        <v>5</v>
      </c>
      <c r="AA125" s="7">
        <v>21</v>
      </c>
      <c r="AB125" s="7">
        <v>-11</v>
      </c>
      <c r="AC125" s="7">
        <v>45322</v>
      </c>
    </row>
    <row r="126" spans="1:29" x14ac:dyDescent="0.2">
      <c r="A126" s="7">
        <v>22023</v>
      </c>
      <c r="B126" s="7">
        <v>1610612745</v>
      </c>
      <c r="C126" s="7" t="s">
        <v>95</v>
      </c>
      <c r="D126" s="7" t="s">
        <v>96</v>
      </c>
      <c r="E126" s="7">
        <v>22300662</v>
      </c>
      <c r="F126" s="11">
        <v>45320</v>
      </c>
      <c r="G126" s="7" t="s">
        <v>140</v>
      </c>
      <c r="H126" s="7" t="s">
        <v>98</v>
      </c>
      <c r="I126" s="7">
        <v>238</v>
      </c>
      <c r="J126" s="7">
        <v>135</v>
      </c>
      <c r="K126" s="7">
        <v>52</v>
      </c>
      <c r="L126" s="7">
        <v>98</v>
      </c>
      <c r="M126" s="7">
        <v>0.53100000000000003</v>
      </c>
      <c r="N126" s="7">
        <v>12</v>
      </c>
      <c r="O126" s="7">
        <v>36</v>
      </c>
      <c r="P126" s="7">
        <v>0.33300000000000002</v>
      </c>
      <c r="Q126" s="7">
        <v>19</v>
      </c>
      <c r="R126" s="7">
        <v>25</v>
      </c>
      <c r="S126" s="7">
        <v>0.76</v>
      </c>
      <c r="T126" s="7">
        <v>14</v>
      </c>
      <c r="U126" s="7">
        <v>42</v>
      </c>
      <c r="V126" s="7">
        <v>56</v>
      </c>
      <c r="W126" s="7">
        <v>36</v>
      </c>
      <c r="X126" s="7">
        <v>10</v>
      </c>
      <c r="Y126" s="7">
        <v>2</v>
      </c>
      <c r="Z126" s="7">
        <v>15</v>
      </c>
      <c r="AA126" s="7">
        <v>19</v>
      </c>
      <c r="AB126" s="7">
        <v>16</v>
      </c>
      <c r="AC126" s="7">
        <v>45320</v>
      </c>
    </row>
    <row r="127" spans="1:29" x14ac:dyDescent="0.2">
      <c r="A127" s="7">
        <v>22023</v>
      </c>
      <c r="B127" s="7">
        <v>1610612745</v>
      </c>
      <c r="C127" s="7" t="s">
        <v>95</v>
      </c>
      <c r="D127" s="7" t="s">
        <v>96</v>
      </c>
      <c r="E127" s="7">
        <v>22300645</v>
      </c>
      <c r="F127" s="11">
        <v>45318</v>
      </c>
      <c r="G127" s="7" t="s">
        <v>126</v>
      </c>
      <c r="H127" s="7" t="s">
        <v>102</v>
      </c>
      <c r="I127" s="7">
        <v>240</v>
      </c>
      <c r="J127" s="7">
        <v>104</v>
      </c>
      <c r="K127" s="7">
        <v>37</v>
      </c>
      <c r="L127" s="7">
        <v>94</v>
      </c>
      <c r="M127" s="7">
        <v>0.39400000000000002</v>
      </c>
      <c r="N127" s="7">
        <v>10</v>
      </c>
      <c r="O127" s="7">
        <v>37</v>
      </c>
      <c r="P127" s="7">
        <v>0.27</v>
      </c>
      <c r="Q127" s="7">
        <v>20</v>
      </c>
      <c r="R127" s="7">
        <v>23</v>
      </c>
      <c r="S127" s="7">
        <v>0.87</v>
      </c>
      <c r="T127" s="7">
        <v>15</v>
      </c>
      <c r="U127" s="7">
        <v>40</v>
      </c>
      <c r="V127" s="7">
        <v>55</v>
      </c>
      <c r="W127" s="7">
        <v>20</v>
      </c>
      <c r="X127" s="7">
        <v>6</v>
      </c>
      <c r="Y127" s="7">
        <v>3</v>
      </c>
      <c r="Z127" s="7">
        <v>17</v>
      </c>
      <c r="AA127" s="7">
        <v>29</v>
      </c>
      <c r="AB127" s="7">
        <v>-2</v>
      </c>
      <c r="AC127" s="7">
        <v>45318</v>
      </c>
    </row>
    <row r="128" spans="1:29" x14ac:dyDescent="0.2">
      <c r="A128" s="7">
        <v>22023</v>
      </c>
      <c r="B128" s="7">
        <v>1610612745</v>
      </c>
      <c r="C128" s="7" t="s">
        <v>95</v>
      </c>
      <c r="D128" s="7" t="s">
        <v>96</v>
      </c>
      <c r="E128" s="7">
        <v>22300635</v>
      </c>
      <c r="F128" s="11">
        <v>45317</v>
      </c>
      <c r="G128" s="7" t="s">
        <v>143</v>
      </c>
      <c r="H128" s="7" t="s">
        <v>98</v>
      </c>
      <c r="I128" s="7">
        <v>241</v>
      </c>
      <c r="J128" s="7">
        <v>138</v>
      </c>
      <c r="K128" s="7">
        <v>50</v>
      </c>
      <c r="L128" s="7">
        <v>89</v>
      </c>
      <c r="M128" s="7">
        <v>0.56200000000000006</v>
      </c>
      <c r="N128" s="7">
        <v>13</v>
      </c>
      <c r="O128" s="7">
        <v>33</v>
      </c>
      <c r="P128" s="7">
        <v>0.39400000000000002</v>
      </c>
      <c r="Q128" s="7">
        <v>25</v>
      </c>
      <c r="R128" s="7">
        <v>31</v>
      </c>
      <c r="S128" s="7">
        <v>0.80600000000000005</v>
      </c>
      <c r="T128" s="7">
        <v>11</v>
      </c>
      <c r="U128" s="7">
        <v>42</v>
      </c>
      <c r="V128" s="7">
        <v>53</v>
      </c>
      <c r="W128" s="7">
        <v>34</v>
      </c>
      <c r="X128" s="7">
        <v>7</v>
      </c>
      <c r="Y128" s="7">
        <v>10</v>
      </c>
      <c r="Z128" s="7">
        <v>12</v>
      </c>
      <c r="AA128" s="7">
        <v>20</v>
      </c>
      <c r="AB128" s="7">
        <v>34</v>
      </c>
      <c r="AC128" s="7">
        <v>45317</v>
      </c>
    </row>
    <row r="129" spans="1:29" x14ac:dyDescent="0.2">
      <c r="A129" s="7">
        <v>22023</v>
      </c>
      <c r="B129" s="7">
        <v>1610612745</v>
      </c>
      <c r="C129" s="7" t="s">
        <v>95</v>
      </c>
      <c r="D129" s="7" t="s">
        <v>96</v>
      </c>
      <c r="E129" s="7">
        <v>22300623</v>
      </c>
      <c r="F129" s="11">
        <v>45315</v>
      </c>
      <c r="G129" s="7" t="s">
        <v>147</v>
      </c>
      <c r="H129" s="7" t="s">
        <v>102</v>
      </c>
      <c r="I129" s="7">
        <v>266</v>
      </c>
      <c r="J129" s="7">
        <v>131</v>
      </c>
      <c r="K129" s="7">
        <v>50</v>
      </c>
      <c r="L129" s="7">
        <v>94</v>
      </c>
      <c r="M129" s="7">
        <v>0.53200000000000003</v>
      </c>
      <c r="N129" s="7">
        <v>12</v>
      </c>
      <c r="O129" s="7">
        <v>36</v>
      </c>
      <c r="P129" s="7">
        <v>0.33300000000000002</v>
      </c>
      <c r="Q129" s="7">
        <v>19</v>
      </c>
      <c r="R129" s="7">
        <v>22</v>
      </c>
      <c r="S129" s="7">
        <v>0.86399999999999999</v>
      </c>
      <c r="T129" s="7">
        <v>8</v>
      </c>
      <c r="U129" s="7">
        <v>29</v>
      </c>
      <c r="V129" s="7">
        <v>37</v>
      </c>
      <c r="W129" s="7">
        <v>29</v>
      </c>
      <c r="X129" s="7">
        <v>8</v>
      </c>
      <c r="Y129" s="7">
        <v>6</v>
      </c>
      <c r="Z129" s="7">
        <v>8</v>
      </c>
      <c r="AA129" s="7">
        <v>19</v>
      </c>
      <c r="AB129" s="7">
        <v>-6</v>
      </c>
      <c r="AC129" s="7">
        <v>45315</v>
      </c>
    </row>
    <row r="130" spans="1:29" x14ac:dyDescent="0.2">
      <c r="A130" s="7">
        <v>22023</v>
      </c>
      <c r="B130" s="7">
        <v>1610612745</v>
      </c>
      <c r="C130" s="7" t="s">
        <v>95</v>
      </c>
      <c r="D130" s="7" t="s">
        <v>96</v>
      </c>
      <c r="E130" s="7">
        <v>22300603</v>
      </c>
      <c r="F130" s="11">
        <v>45312</v>
      </c>
      <c r="G130" s="7" t="s">
        <v>141</v>
      </c>
      <c r="H130" s="7" t="s">
        <v>102</v>
      </c>
      <c r="I130" s="7">
        <v>239</v>
      </c>
      <c r="J130" s="7">
        <v>107</v>
      </c>
      <c r="K130" s="7">
        <v>41</v>
      </c>
      <c r="L130" s="7">
        <v>94</v>
      </c>
      <c r="M130" s="7">
        <v>0.436</v>
      </c>
      <c r="N130" s="7">
        <v>10</v>
      </c>
      <c r="O130" s="7">
        <v>35</v>
      </c>
      <c r="P130" s="7">
        <v>0.28599999999999998</v>
      </c>
      <c r="Q130" s="7">
        <v>15</v>
      </c>
      <c r="R130" s="7">
        <v>22</v>
      </c>
      <c r="S130" s="7">
        <v>0.68200000000000005</v>
      </c>
      <c r="T130" s="7">
        <v>11</v>
      </c>
      <c r="U130" s="7">
        <v>38</v>
      </c>
      <c r="V130" s="7">
        <v>49</v>
      </c>
      <c r="W130" s="7">
        <v>26</v>
      </c>
      <c r="X130" s="7">
        <v>9</v>
      </c>
      <c r="Y130" s="7">
        <v>3</v>
      </c>
      <c r="Z130" s="7">
        <v>15</v>
      </c>
      <c r="AA130" s="7">
        <v>17</v>
      </c>
      <c r="AB130" s="7">
        <v>-9</v>
      </c>
      <c r="AC130" s="7">
        <v>45312</v>
      </c>
    </row>
    <row r="131" spans="1:29" x14ac:dyDescent="0.2">
      <c r="A131" s="7">
        <v>22023</v>
      </c>
      <c r="B131" s="7">
        <v>1610612745</v>
      </c>
      <c r="C131" s="7" t="s">
        <v>95</v>
      </c>
      <c r="D131" s="7" t="s">
        <v>96</v>
      </c>
      <c r="E131" s="7">
        <v>22300598</v>
      </c>
      <c r="F131" s="11">
        <v>45311</v>
      </c>
      <c r="G131" s="7" t="s">
        <v>100</v>
      </c>
      <c r="H131" s="7" t="s">
        <v>98</v>
      </c>
      <c r="I131" s="7">
        <v>264</v>
      </c>
      <c r="J131" s="7">
        <v>127</v>
      </c>
      <c r="K131" s="7">
        <v>50</v>
      </c>
      <c r="L131" s="7">
        <v>117</v>
      </c>
      <c r="M131" s="7">
        <v>0.42699999999999999</v>
      </c>
      <c r="N131" s="7">
        <v>13</v>
      </c>
      <c r="O131" s="7">
        <v>39</v>
      </c>
      <c r="P131" s="7">
        <v>0.33300000000000002</v>
      </c>
      <c r="Q131" s="7">
        <v>14</v>
      </c>
      <c r="R131" s="7">
        <v>22</v>
      </c>
      <c r="S131" s="7">
        <v>0.63600000000000001</v>
      </c>
      <c r="T131" s="7">
        <v>23</v>
      </c>
      <c r="U131" s="7">
        <v>33</v>
      </c>
      <c r="V131" s="7">
        <v>56</v>
      </c>
      <c r="W131" s="7">
        <v>27</v>
      </c>
      <c r="X131" s="7">
        <v>11</v>
      </c>
      <c r="Y131" s="7">
        <v>10</v>
      </c>
      <c r="Z131" s="7">
        <v>7</v>
      </c>
      <c r="AA131" s="7">
        <v>22</v>
      </c>
      <c r="AB131" s="7">
        <v>1</v>
      </c>
      <c r="AC131" s="7">
        <v>45311</v>
      </c>
    </row>
    <row r="132" spans="1:29" x14ac:dyDescent="0.2">
      <c r="A132" s="7">
        <v>22023</v>
      </c>
      <c r="B132" s="7">
        <v>1610612745</v>
      </c>
      <c r="C132" s="7" t="s">
        <v>95</v>
      </c>
      <c r="D132" s="7" t="s">
        <v>96</v>
      </c>
      <c r="E132" s="7">
        <v>22300573</v>
      </c>
      <c r="F132" s="11">
        <v>45308</v>
      </c>
      <c r="G132" s="7" t="s">
        <v>127</v>
      </c>
      <c r="H132" s="7" t="s">
        <v>102</v>
      </c>
      <c r="I132" s="7">
        <v>239</v>
      </c>
      <c r="J132" s="7">
        <v>94</v>
      </c>
      <c r="K132" s="7">
        <v>35</v>
      </c>
      <c r="L132" s="7">
        <v>84</v>
      </c>
      <c r="M132" s="7">
        <v>0.41699999999999998</v>
      </c>
      <c r="N132" s="7">
        <v>8</v>
      </c>
      <c r="O132" s="7">
        <v>30</v>
      </c>
      <c r="P132" s="7">
        <v>0.26700000000000002</v>
      </c>
      <c r="Q132" s="7">
        <v>16</v>
      </c>
      <c r="R132" s="7">
        <v>19</v>
      </c>
      <c r="S132" s="7">
        <v>0.84199999999999997</v>
      </c>
      <c r="T132" s="7">
        <v>6</v>
      </c>
      <c r="U132" s="7">
        <v>32</v>
      </c>
      <c r="V132" s="7">
        <v>38</v>
      </c>
      <c r="W132" s="7">
        <v>23</v>
      </c>
      <c r="X132" s="7">
        <v>6</v>
      </c>
      <c r="Y132" s="7">
        <v>9</v>
      </c>
      <c r="Z132" s="7">
        <v>10</v>
      </c>
      <c r="AA132" s="7">
        <v>18</v>
      </c>
      <c r="AB132" s="7">
        <v>-15</v>
      </c>
      <c r="AC132" s="7">
        <v>45308</v>
      </c>
    </row>
    <row r="133" spans="1:29" x14ac:dyDescent="0.2">
      <c r="A133" s="7">
        <v>22023</v>
      </c>
      <c r="B133" s="7">
        <v>1610612745</v>
      </c>
      <c r="C133" s="7" t="s">
        <v>95</v>
      </c>
      <c r="D133" s="7" t="s">
        <v>96</v>
      </c>
      <c r="E133" s="7">
        <v>22300555</v>
      </c>
      <c r="F133" s="11">
        <v>45306</v>
      </c>
      <c r="G133" s="7" t="s">
        <v>146</v>
      </c>
      <c r="H133" s="7" t="s">
        <v>102</v>
      </c>
      <c r="I133" s="7">
        <v>240</v>
      </c>
      <c r="J133" s="7">
        <v>115</v>
      </c>
      <c r="K133" s="7">
        <v>44</v>
      </c>
      <c r="L133" s="7">
        <v>88</v>
      </c>
      <c r="M133" s="7">
        <v>0.5</v>
      </c>
      <c r="N133" s="7">
        <v>8</v>
      </c>
      <c r="O133" s="7">
        <v>27</v>
      </c>
      <c r="P133" s="7">
        <v>0.29599999999999999</v>
      </c>
      <c r="Q133" s="7">
        <v>19</v>
      </c>
      <c r="R133" s="7">
        <v>32</v>
      </c>
      <c r="S133" s="7">
        <v>0.59399999999999997</v>
      </c>
      <c r="T133" s="7">
        <v>16</v>
      </c>
      <c r="U133" s="7">
        <v>30</v>
      </c>
      <c r="V133" s="7">
        <v>46</v>
      </c>
      <c r="W133" s="7">
        <v>21</v>
      </c>
      <c r="X133" s="7">
        <v>7</v>
      </c>
      <c r="Y133" s="7">
        <v>9</v>
      </c>
      <c r="Z133" s="7">
        <v>13</v>
      </c>
      <c r="AA133" s="7">
        <v>23</v>
      </c>
      <c r="AB133" s="7">
        <v>-9</v>
      </c>
      <c r="AC133" s="7">
        <v>45306</v>
      </c>
    </row>
    <row r="134" spans="1:29" x14ac:dyDescent="0.2">
      <c r="A134" s="7">
        <v>22023</v>
      </c>
      <c r="B134" s="7">
        <v>1610612745</v>
      </c>
      <c r="C134" s="7" t="s">
        <v>95</v>
      </c>
      <c r="D134" s="7" t="s">
        <v>96</v>
      </c>
      <c r="E134" s="7">
        <v>22300542</v>
      </c>
      <c r="F134" s="11">
        <v>45304</v>
      </c>
      <c r="G134" s="7" t="s">
        <v>131</v>
      </c>
      <c r="H134" s="7" t="s">
        <v>102</v>
      </c>
      <c r="I134" s="7">
        <v>240</v>
      </c>
      <c r="J134" s="7">
        <v>113</v>
      </c>
      <c r="K134" s="7">
        <v>40</v>
      </c>
      <c r="L134" s="7">
        <v>99</v>
      </c>
      <c r="M134" s="7">
        <v>0.40400000000000003</v>
      </c>
      <c r="N134" s="7">
        <v>7</v>
      </c>
      <c r="O134" s="7">
        <v>30</v>
      </c>
      <c r="P134" s="7">
        <v>0.23300000000000001</v>
      </c>
      <c r="Q134" s="7">
        <v>26</v>
      </c>
      <c r="R134" s="7">
        <v>30</v>
      </c>
      <c r="S134" s="7">
        <v>0.86699999999999999</v>
      </c>
      <c r="T134" s="7">
        <v>15</v>
      </c>
      <c r="U134" s="7">
        <v>35</v>
      </c>
      <c r="V134" s="7">
        <v>50</v>
      </c>
      <c r="W134" s="7">
        <v>20</v>
      </c>
      <c r="X134" s="7">
        <v>10</v>
      </c>
      <c r="Y134" s="7">
        <v>3</v>
      </c>
      <c r="Z134" s="7">
        <v>12</v>
      </c>
      <c r="AA134" s="7">
        <v>18</v>
      </c>
      <c r="AB134" s="7">
        <v>-32</v>
      </c>
      <c r="AC134" s="7">
        <v>45304</v>
      </c>
    </row>
    <row r="135" spans="1:29" x14ac:dyDescent="0.2">
      <c r="A135" s="7">
        <v>22023</v>
      </c>
      <c r="B135" s="7">
        <v>1610612745</v>
      </c>
      <c r="C135" s="7" t="s">
        <v>95</v>
      </c>
      <c r="D135" s="7" t="s">
        <v>96</v>
      </c>
      <c r="E135" s="7">
        <v>22300534</v>
      </c>
      <c r="F135" s="11">
        <v>45303</v>
      </c>
      <c r="G135" s="7" t="s">
        <v>153</v>
      </c>
      <c r="H135" s="7" t="s">
        <v>98</v>
      </c>
      <c r="I135" s="7">
        <v>240</v>
      </c>
      <c r="J135" s="7">
        <v>112</v>
      </c>
      <c r="K135" s="7">
        <v>41</v>
      </c>
      <c r="L135" s="7">
        <v>90</v>
      </c>
      <c r="M135" s="7">
        <v>0.45600000000000002</v>
      </c>
      <c r="N135" s="7">
        <v>8</v>
      </c>
      <c r="O135" s="7">
        <v>30</v>
      </c>
      <c r="P135" s="7">
        <v>0.26700000000000002</v>
      </c>
      <c r="Q135" s="7">
        <v>22</v>
      </c>
      <c r="R135" s="7">
        <v>25</v>
      </c>
      <c r="S135" s="7">
        <v>0.88</v>
      </c>
      <c r="T135" s="7">
        <v>10</v>
      </c>
      <c r="U135" s="7">
        <v>31</v>
      </c>
      <c r="V135" s="7">
        <v>41</v>
      </c>
      <c r="W135" s="7">
        <v>21</v>
      </c>
      <c r="X135" s="7">
        <v>8</v>
      </c>
      <c r="Y135" s="7">
        <v>5</v>
      </c>
      <c r="Z135" s="7">
        <v>9</v>
      </c>
      <c r="AA135" s="7">
        <v>16</v>
      </c>
      <c r="AB135" s="7">
        <v>2</v>
      </c>
      <c r="AC135" s="7">
        <v>45303</v>
      </c>
    </row>
    <row r="136" spans="1:29" x14ac:dyDescent="0.2">
      <c r="A136" s="7">
        <v>22023</v>
      </c>
      <c r="B136" s="7">
        <v>1610612745</v>
      </c>
      <c r="C136" s="7" t="s">
        <v>95</v>
      </c>
      <c r="D136" s="7" t="s">
        <v>96</v>
      </c>
      <c r="E136" s="7">
        <v>22300523</v>
      </c>
      <c r="F136" s="11">
        <v>45301</v>
      </c>
      <c r="G136" s="7" t="s">
        <v>150</v>
      </c>
      <c r="H136" s="7" t="s">
        <v>102</v>
      </c>
      <c r="I136" s="7">
        <v>265</v>
      </c>
      <c r="J136" s="7">
        <v>119</v>
      </c>
      <c r="K136" s="7">
        <v>48</v>
      </c>
      <c r="L136" s="7">
        <v>101</v>
      </c>
      <c r="M136" s="7">
        <v>0.47499999999999998</v>
      </c>
      <c r="N136" s="7">
        <v>11</v>
      </c>
      <c r="O136" s="7">
        <v>45</v>
      </c>
      <c r="P136" s="7">
        <v>0.24399999999999999</v>
      </c>
      <c r="Q136" s="7">
        <v>12</v>
      </c>
      <c r="R136" s="7">
        <v>20</v>
      </c>
      <c r="S136" s="7">
        <v>0.6</v>
      </c>
      <c r="T136" s="7">
        <v>9</v>
      </c>
      <c r="U136" s="7">
        <v>41</v>
      </c>
      <c r="V136" s="7">
        <v>50</v>
      </c>
      <c r="W136" s="7">
        <v>29</v>
      </c>
      <c r="X136" s="7">
        <v>9</v>
      </c>
      <c r="Y136" s="7">
        <v>4</v>
      </c>
      <c r="Z136" s="7">
        <v>14</v>
      </c>
      <c r="AA136" s="7">
        <v>18</v>
      </c>
      <c r="AB136" s="7">
        <v>-5</v>
      </c>
      <c r="AC136" s="7">
        <v>45301</v>
      </c>
    </row>
    <row r="137" spans="1:29" x14ac:dyDescent="0.2">
      <c r="A137" s="7">
        <v>22023</v>
      </c>
      <c r="B137" s="7">
        <v>1610612745</v>
      </c>
      <c r="C137" s="7" t="s">
        <v>95</v>
      </c>
      <c r="D137" s="7" t="s">
        <v>96</v>
      </c>
      <c r="E137" s="7">
        <v>22300509</v>
      </c>
      <c r="F137" s="11">
        <v>45299</v>
      </c>
      <c r="G137" s="7" t="s">
        <v>107</v>
      </c>
      <c r="H137" s="7" t="s">
        <v>102</v>
      </c>
      <c r="I137" s="7">
        <v>240</v>
      </c>
      <c r="J137" s="7">
        <v>113</v>
      </c>
      <c r="K137" s="7">
        <v>37</v>
      </c>
      <c r="L137" s="7">
        <v>88</v>
      </c>
      <c r="M137" s="7">
        <v>0.42</v>
      </c>
      <c r="N137" s="7">
        <v>14</v>
      </c>
      <c r="O137" s="7">
        <v>41</v>
      </c>
      <c r="P137" s="7">
        <v>0.34100000000000003</v>
      </c>
      <c r="Q137" s="7">
        <v>25</v>
      </c>
      <c r="R137" s="7">
        <v>28</v>
      </c>
      <c r="S137" s="7">
        <v>0.89300000000000002</v>
      </c>
      <c r="T137" s="7">
        <v>12</v>
      </c>
      <c r="U137" s="7">
        <v>30</v>
      </c>
      <c r="V137" s="7">
        <v>42</v>
      </c>
      <c r="W137" s="7">
        <v>20</v>
      </c>
      <c r="X137" s="7">
        <v>8</v>
      </c>
      <c r="Y137" s="7">
        <v>4</v>
      </c>
      <c r="Z137" s="7">
        <v>12</v>
      </c>
      <c r="AA137" s="7">
        <v>31</v>
      </c>
      <c r="AB137" s="7">
        <v>-7</v>
      </c>
      <c r="AC137" s="7">
        <v>45299</v>
      </c>
    </row>
    <row r="138" spans="1:29" x14ac:dyDescent="0.2">
      <c r="A138" s="7">
        <v>22023</v>
      </c>
      <c r="B138" s="7">
        <v>1610612745</v>
      </c>
      <c r="C138" s="7" t="s">
        <v>95</v>
      </c>
      <c r="D138" s="7" t="s">
        <v>96</v>
      </c>
      <c r="E138" s="7">
        <v>22300496</v>
      </c>
      <c r="F138" s="11">
        <v>45297</v>
      </c>
      <c r="G138" s="7" t="s">
        <v>120</v>
      </c>
      <c r="H138" s="7" t="s">
        <v>98</v>
      </c>
      <c r="I138" s="7">
        <v>239</v>
      </c>
      <c r="J138" s="7">
        <v>112</v>
      </c>
      <c r="K138" s="7">
        <v>36</v>
      </c>
      <c r="L138" s="7">
        <v>83</v>
      </c>
      <c r="M138" s="7">
        <v>0.434</v>
      </c>
      <c r="N138" s="7">
        <v>13</v>
      </c>
      <c r="O138" s="7">
        <v>34</v>
      </c>
      <c r="P138" s="7">
        <v>0.38200000000000001</v>
      </c>
      <c r="Q138" s="7">
        <v>27</v>
      </c>
      <c r="R138" s="7">
        <v>32</v>
      </c>
      <c r="S138" s="7">
        <v>0.84399999999999997</v>
      </c>
      <c r="T138" s="7">
        <v>7</v>
      </c>
      <c r="U138" s="7">
        <v>39</v>
      </c>
      <c r="V138" s="7">
        <v>46</v>
      </c>
      <c r="W138" s="7">
        <v>22</v>
      </c>
      <c r="X138" s="7">
        <v>7</v>
      </c>
      <c r="Y138" s="7">
        <v>2</v>
      </c>
      <c r="Z138" s="7">
        <v>10</v>
      </c>
      <c r="AA138" s="7">
        <v>24</v>
      </c>
      <c r="AB138" s="7">
        <v>4</v>
      </c>
      <c r="AC138" s="7">
        <v>45297</v>
      </c>
    </row>
    <row r="139" spans="1:29" x14ac:dyDescent="0.2">
      <c r="A139" s="7">
        <v>22023</v>
      </c>
      <c r="B139" s="7">
        <v>1610612745</v>
      </c>
      <c r="C139" s="7" t="s">
        <v>95</v>
      </c>
      <c r="D139" s="7" t="s">
        <v>96</v>
      </c>
      <c r="E139" s="7">
        <v>22300485</v>
      </c>
      <c r="F139" s="11">
        <v>45296</v>
      </c>
      <c r="G139" s="7" t="s">
        <v>121</v>
      </c>
      <c r="H139" s="7" t="s">
        <v>102</v>
      </c>
      <c r="I139" s="7">
        <v>240</v>
      </c>
      <c r="J139" s="7">
        <v>95</v>
      </c>
      <c r="K139" s="7">
        <v>36</v>
      </c>
      <c r="L139" s="7">
        <v>90</v>
      </c>
      <c r="M139" s="7">
        <v>0.4</v>
      </c>
      <c r="N139" s="7">
        <v>12</v>
      </c>
      <c r="O139" s="7">
        <v>32</v>
      </c>
      <c r="P139" s="7">
        <v>0.375</v>
      </c>
      <c r="Q139" s="7">
        <v>11</v>
      </c>
      <c r="R139" s="7">
        <v>15</v>
      </c>
      <c r="S139" s="7">
        <v>0.73299999999999998</v>
      </c>
      <c r="T139" s="7">
        <v>7</v>
      </c>
      <c r="U139" s="7">
        <v>31</v>
      </c>
      <c r="V139" s="7">
        <v>38</v>
      </c>
      <c r="W139" s="7">
        <v>18</v>
      </c>
      <c r="X139" s="7">
        <v>7</v>
      </c>
      <c r="Y139" s="7">
        <v>2</v>
      </c>
      <c r="Z139" s="7">
        <v>15</v>
      </c>
      <c r="AA139" s="7">
        <v>15</v>
      </c>
      <c r="AB139" s="7">
        <v>-27</v>
      </c>
      <c r="AC139" s="7">
        <v>45296</v>
      </c>
    </row>
    <row r="140" spans="1:29" x14ac:dyDescent="0.2">
      <c r="A140" s="7">
        <v>22023</v>
      </c>
      <c r="B140" s="7">
        <v>1610612745</v>
      </c>
      <c r="C140" s="7" t="s">
        <v>95</v>
      </c>
      <c r="D140" s="7" t="s">
        <v>96</v>
      </c>
      <c r="E140" s="7">
        <v>22300469</v>
      </c>
      <c r="F140" s="11">
        <v>45294</v>
      </c>
      <c r="G140" s="7" t="s">
        <v>128</v>
      </c>
      <c r="H140" s="7" t="s">
        <v>98</v>
      </c>
      <c r="I140" s="7">
        <v>241</v>
      </c>
      <c r="J140" s="7">
        <v>112</v>
      </c>
      <c r="K140" s="7">
        <v>37</v>
      </c>
      <c r="L140" s="7">
        <v>76</v>
      </c>
      <c r="M140" s="7">
        <v>0.48699999999999999</v>
      </c>
      <c r="N140" s="7">
        <v>19</v>
      </c>
      <c r="O140" s="7">
        <v>39</v>
      </c>
      <c r="P140" s="7">
        <v>0.48699999999999999</v>
      </c>
      <c r="Q140" s="7">
        <v>19</v>
      </c>
      <c r="R140" s="7">
        <v>27</v>
      </c>
      <c r="S140" s="7">
        <v>0.70399999999999996</v>
      </c>
      <c r="T140" s="7">
        <v>5</v>
      </c>
      <c r="U140" s="7">
        <v>43</v>
      </c>
      <c r="V140" s="7">
        <v>48</v>
      </c>
      <c r="W140" s="7">
        <v>27</v>
      </c>
      <c r="X140" s="7">
        <v>5</v>
      </c>
      <c r="Y140" s="7">
        <v>4</v>
      </c>
      <c r="Z140" s="7">
        <v>16</v>
      </c>
      <c r="AA140" s="7">
        <v>19</v>
      </c>
      <c r="AB140" s="7">
        <v>11</v>
      </c>
      <c r="AC140" s="7">
        <v>45294</v>
      </c>
    </row>
    <row r="141" spans="1:29" x14ac:dyDescent="0.2">
      <c r="A141" s="7">
        <v>22023</v>
      </c>
      <c r="B141" s="7">
        <v>1610612745</v>
      </c>
      <c r="C141" s="7" t="s">
        <v>95</v>
      </c>
      <c r="D141" s="7" t="s">
        <v>96</v>
      </c>
      <c r="E141" s="7">
        <v>22300453</v>
      </c>
      <c r="F141" s="11">
        <v>45292</v>
      </c>
      <c r="G141" s="7" t="s">
        <v>134</v>
      </c>
      <c r="H141" s="7" t="s">
        <v>98</v>
      </c>
      <c r="I141" s="7">
        <v>240</v>
      </c>
      <c r="J141" s="7">
        <v>136</v>
      </c>
      <c r="K141" s="7">
        <v>51</v>
      </c>
      <c r="L141" s="7">
        <v>91</v>
      </c>
      <c r="M141" s="7">
        <v>0.56000000000000005</v>
      </c>
      <c r="N141" s="7">
        <v>15</v>
      </c>
      <c r="O141" s="7">
        <v>35</v>
      </c>
      <c r="P141" s="7">
        <v>0.42899999999999999</v>
      </c>
      <c r="Q141" s="7">
        <v>19</v>
      </c>
      <c r="R141" s="7">
        <v>24</v>
      </c>
      <c r="S141" s="7">
        <v>0.79200000000000004</v>
      </c>
      <c r="T141" s="7">
        <v>6</v>
      </c>
      <c r="U141" s="7">
        <v>33</v>
      </c>
      <c r="V141" s="7">
        <v>39</v>
      </c>
      <c r="W141" s="7">
        <v>34</v>
      </c>
      <c r="X141" s="7">
        <v>11</v>
      </c>
      <c r="Y141" s="7">
        <v>1</v>
      </c>
      <c r="Z141" s="7">
        <v>9</v>
      </c>
      <c r="AA141" s="7">
        <v>19</v>
      </c>
      <c r="AB141" s="7">
        <v>23</v>
      </c>
      <c r="AC141" s="7">
        <v>45292</v>
      </c>
    </row>
    <row r="142" spans="1:29" x14ac:dyDescent="0.2">
      <c r="A142" s="7">
        <v>22023</v>
      </c>
      <c r="B142" s="7">
        <v>1610612745</v>
      </c>
      <c r="C142" s="7" t="s">
        <v>95</v>
      </c>
      <c r="D142" s="7" t="s">
        <v>96</v>
      </c>
      <c r="E142" s="7">
        <v>22300434</v>
      </c>
      <c r="F142" s="11">
        <v>45289</v>
      </c>
      <c r="G142" s="7" t="s">
        <v>109</v>
      </c>
      <c r="H142" s="7" t="s">
        <v>102</v>
      </c>
      <c r="I142" s="7">
        <v>240</v>
      </c>
      <c r="J142" s="7">
        <v>127</v>
      </c>
      <c r="K142" s="7">
        <v>49</v>
      </c>
      <c r="L142" s="7">
        <v>91</v>
      </c>
      <c r="M142" s="7">
        <v>0.53800000000000003</v>
      </c>
      <c r="N142" s="7">
        <v>14</v>
      </c>
      <c r="O142" s="7">
        <v>30</v>
      </c>
      <c r="P142" s="7">
        <v>0.46700000000000003</v>
      </c>
      <c r="Q142" s="7">
        <v>15</v>
      </c>
      <c r="R142" s="7">
        <v>21</v>
      </c>
      <c r="S142" s="7">
        <v>0.71399999999999997</v>
      </c>
      <c r="T142" s="7">
        <v>14</v>
      </c>
      <c r="U142" s="7">
        <v>28</v>
      </c>
      <c r="V142" s="7">
        <v>42</v>
      </c>
      <c r="W142" s="7">
        <v>30</v>
      </c>
      <c r="X142" s="7">
        <v>8</v>
      </c>
      <c r="Y142" s="7">
        <v>6</v>
      </c>
      <c r="Z142" s="7">
        <v>16</v>
      </c>
      <c r="AA142" s="7">
        <v>24</v>
      </c>
      <c r="AB142" s="7">
        <v>-4</v>
      </c>
      <c r="AC142" s="7">
        <v>45289</v>
      </c>
    </row>
    <row r="143" spans="1:29" x14ac:dyDescent="0.2">
      <c r="A143" s="7">
        <v>22023</v>
      </c>
      <c r="B143" s="7">
        <v>1610612745</v>
      </c>
      <c r="C143" s="7" t="s">
        <v>95</v>
      </c>
      <c r="D143" s="7" t="s">
        <v>96</v>
      </c>
      <c r="E143" s="7">
        <v>22300418</v>
      </c>
      <c r="F143" s="11">
        <v>45287</v>
      </c>
      <c r="G143" s="7" t="s">
        <v>112</v>
      </c>
      <c r="H143" s="7" t="s">
        <v>102</v>
      </c>
      <c r="I143" s="7">
        <v>240</v>
      </c>
      <c r="J143" s="7">
        <v>113</v>
      </c>
      <c r="K143" s="7">
        <v>40</v>
      </c>
      <c r="L143" s="7">
        <v>96</v>
      </c>
      <c r="M143" s="7">
        <v>0.41699999999999998</v>
      </c>
      <c r="N143" s="7">
        <v>17</v>
      </c>
      <c r="O143" s="7">
        <v>41</v>
      </c>
      <c r="P143" s="7">
        <v>0.41499999999999998</v>
      </c>
      <c r="Q143" s="7">
        <v>16</v>
      </c>
      <c r="R143" s="7">
        <v>22</v>
      </c>
      <c r="S143" s="7">
        <v>0.72699999999999998</v>
      </c>
      <c r="T143" s="7">
        <v>9</v>
      </c>
      <c r="U143" s="7">
        <v>24</v>
      </c>
      <c r="V143" s="7">
        <v>33</v>
      </c>
      <c r="W143" s="7">
        <v>20</v>
      </c>
      <c r="X143" s="7">
        <v>11</v>
      </c>
      <c r="Y143" s="7">
        <v>3</v>
      </c>
      <c r="Z143" s="7">
        <v>9</v>
      </c>
      <c r="AA143" s="7">
        <v>21</v>
      </c>
      <c r="AB143" s="7">
        <v>-16</v>
      </c>
      <c r="AC143" s="7">
        <v>45287</v>
      </c>
    </row>
    <row r="144" spans="1:29" x14ac:dyDescent="0.2">
      <c r="A144" s="7">
        <v>22023</v>
      </c>
      <c r="B144" s="7">
        <v>1610612745</v>
      </c>
      <c r="C144" s="7" t="s">
        <v>95</v>
      </c>
      <c r="D144" s="7" t="s">
        <v>96</v>
      </c>
      <c r="E144" s="7">
        <v>22300409</v>
      </c>
      <c r="F144" s="11">
        <v>45286</v>
      </c>
      <c r="G144" s="7" t="s">
        <v>148</v>
      </c>
      <c r="H144" s="7" t="s">
        <v>102</v>
      </c>
      <c r="I144" s="7">
        <v>241</v>
      </c>
      <c r="J144" s="7">
        <v>117</v>
      </c>
      <c r="K144" s="7">
        <v>47</v>
      </c>
      <c r="L144" s="7">
        <v>97</v>
      </c>
      <c r="M144" s="7">
        <v>0.48499999999999999</v>
      </c>
      <c r="N144" s="7">
        <v>5</v>
      </c>
      <c r="O144" s="7">
        <v>24</v>
      </c>
      <c r="P144" s="7">
        <v>0.20799999999999999</v>
      </c>
      <c r="Q144" s="7">
        <v>18</v>
      </c>
      <c r="R144" s="7">
        <v>22</v>
      </c>
      <c r="S144" s="7">
        <v>0.81799999999999995</v>
      </c>
      <c r="T144" s="7">
        <v>15</v>
      </c>
      <c r="U144" s="7">
        <v>29</v>
      </c>
      <c r="V144" s="7">
        <v>44</v>
      </c>
      <c r="W144" s="7">
        <v>19</v>
      </c>
      <c r="X144" s="7">
        <v>15</v>
      </c>
      <c r="Y144" s="7">
        <v>2</v>
      </c>
      <c r="Z144" s="7">
        <v>10</v>
      </c>
      <c r="AA144" s="7">
        <v>16</v>
      </c>
      <c r="AB144" s="7">
        <v>-6</v>
      </c>
      <c r="AC144" s="7">
        <v>45286</v>
      </c>
    </row>
    <row r="145" spans="1:29" x14ac:dyDescent="0.2">
      <c r="A145" s="7">
        <v>22023</v>
      </c>
      <c r="B145" s="7">
        <v>1610612745</v>
      </c>
      <c r="C145" s="7" t="s">
        <v>95</v>
      </c>
      <c r="D145" s="7" t="s">
        <v>96</v>
      </c>
      <c r="E145" s="7">
        <v>22300392</v>
      </c>
      <c r="F145" s="11">
        <v>45283</v>
      </c>
      <c r="G145" s="7" t="s">
        <v>115</v>
      </c>
      <c r="H145" s="7" t="s">
        <v>98</v>
      </c>
      <c r="I145" s="7">
        <v>238</v>
      </c>
      <c r="J145" s="7">
        <v>106</v>
      </c>
      <c r="K145" s="7">
        <v>35</v>
      </c>
      <c r="L145" s="7">
        <v>82</v>
      </c>
      <c r="M145" s="7">
        <v>0.42699999999999999</v>
      </c>
      <c r="N145" s="7">
        <v>9</v>
      </c>
      <c r="O145" s="7">
        <v>29</v>
      </c>
      <c r="P145" s="7">
        <v>0.31</v>
      </c>
      <c r="Q145" s="7">
        <v>27</v>
      </c>
      <c r="R145" s="7">
        <v>35</v>
      </c>
      <c r="S145" s="7">
        <v>0.77100000000000002</v>
      </c>
      <c r="T145" s="7">
        <v>13</v>
      </c>
      <c r="U145" s="7">
        <v>31</v>
      </c>
      <c r="V145" s="7">
        <v>44</v>
      </c>
      <c r="W145" s="7">
        <v>21</v>
      </c>
      <c r="X145" s="7">
        <v>9</v>
      </c>
      <c r="Y145" s="7">
        <v>2</v>
      </c>
      <c r="Z145" s="7">
        <v>11</v>
      </c>
      <c r="AA145" s="7">
        <v>20</v>
      </c>
      <c r="AB145" s="7">
        <v>2</v>
      </c>
      <c r="AC145" s="7">
        <v>45283</v>
      </c>
    </row>
    <row r="146" spans="1:29" x14ac:dyDescent="0.2">
      <c r="A146" s="7">
        <v>22023</v>
      </c>
      <c r="B146" s="7">
        <v>1610612745</v>
      </c>
      <c r="C146" s="7" t="s">
        <v>95</v>
      </c>
      <c r="D146" s="7" t="s">
        <v>96</v>
      </c>
      <c r="E146" s="7">
        <v>22300385</v>
      </c>
      <c r="F146" s="11">
        <v>45282</v>
      </c>
      <c r="G146" s="7" t="s">
        <v>111</v>
      </c>
      <c r="H146" s="7" t="s">
        <v>98</v>
      </c>
      <c r="I146" s="7">
        <v>243</v>
      </c>
      <c r="J146" s="7">
        <v>122</v>
      </c>
      <c r="K146" s="7">
        <v>46</v>
      </c>
      <c r="L146" s="7">
        <v>95</v>
      </c>
      <c r="M146" s="7">
        <v>0.48399999999999999</v>
      </c>
      <c r="N146" s="7">
        <v>11</v>
      </c>
      <c r="O146" s="7">
        <v>38</v>
      </c>
      <c r="P146" s="7">
        <v>0.28899999999999998</v>
      </c>
      <c r="Q146" s="7">
        <v>19</v>
      </c>
      <c r="R146" s="7">
        <v>23</v>
      </c>
      <c r="S146" s="7">
        <v>0.82599999999999996</v>
      </c>
      <c r="T146" s="7">
        <v>12</v>
      </c>
      <c r="U146" s="7">
        <v>51</v>
      </c>
      <c r="V146" s="7">
        <v>63</v>
      </c>
      <c r="W146" s="7">
        <v>21</v>
      </c>
      <c r="X146" s="7">
        <v>7</v>
      </c>
      <c r="Y146" s="7">
        <v>3</v>
      </c>
      <c r="Z146" s="7">
        <v>16</v>
      </c>
      <c r="AA146" s="7">
        <v>22</v>
      </c>
      <c r="AB146" s="7">
        <v>26</v>
      </c>
      <c r="AC146" s="7">
        <v>45282</v>
      </c>
    </row>
    <row r="147" spans="1:29" x14ac:dyDescent="0.2">
      <c r="A147" s="7">
        <v>22023</v>
      </c>
      <c r="B147" s="7">
        <v>1610612745</v>
      </c>
      <c r="C147" s="7" t="s">
        <v>95</v>
      </c>
      <c r="D147" s="7" t="s">
        <v>96</v>
      </c>
      <c r="E147" s="7">
        <v>22300371</v>
      </c>
      <c r="F147" s="11">
        <v>45280</v>
      </c>
      <c r="G147" s="7" t="s">
        <v>105</v>
      </c>
      <c r="H147" s="7" t="s">
        <v>102</v>
      </c>
      <c r="I147" s="7">
        <v>240</v>
      </c>
      <c r="J147" s="7">
        <v>127</v>
      </c>
      <c r="K147" s="7">
        <v>44</v>
      </c>
      <c r="L147" s="7">
        <v>89</v>
      </c>
      <c r="M147" s="7">
        <v>0.49399999999999999</v>
      </c>
      <c r="N147" s="7">
        <v>16</v>
      </c>
      <c r="O147" s="7">
        <v>34</v>
      </c>
      <c r="P147" s="7">
        <v>0.47099999999999997</v>
      </c>
      <c r="Q147" s="7">
        <v>23</v>
      </c>
      <c r="R147" s="7">
        <v>23</v>
      </c>
      <c r="S147" s="7">
        <v>1</v>
      </c>
      <c r="T147" s="7">
        <v>8</v>
      </c>
      <c r="U147" s="7">
        <v>29</v>
      </c>
      <c r="V147" s="7">
        <v>37</v>
      </c>
      <c r="W147" s="7">
        <v>25</v>
      </c>
      <c r="X147" s="7">
        <v>4</v>
      </c>
      <c r="Y147" s="7">
        <v>6</v>
      </c>
      <c r="Z147" s="7">
        <v>8</v>
      </c>
      <c r="AA147" s="7">
        <v>23</v>
      </c>
      <c r="AB147" s="7">
        <v>-7</v>
      </c>
      <c r="AC147" s="7">
        <v>45280</v>
      </c>
    </row>
    <row r="148" spans="1:29" x14ac:dyDescent="0.2">
      <c r="A148" s="7">
        <v>22023</v>
      </c>
      <c r="B148" s="7">
        <v>1610612745</v>
      </c>
      <c r="C148" s="7" t="s">
        <v>95</v>
      </c>
      <c r="D148" s="7" t="s">
        <v>96</v>
      </c>
      <c r="E148" s="7">
        <v>22300349</v>
      </c>
      <c r="F148" s="11">
        <v>45278</v>
      </c>
      <c r="G148" s="7" t="s">
        <v>132</v>
      </c>
      <c r="H148" s="7" t="s">
        <v>102</v>
      </c>
      <c r="I148" s="7">
        <v>265</v>
      </c>
      <c r="J148" s="7">
        <v>130</v>
      </c>
      <c r="K148" s="7">
        <v>47</v>
      </c>
      <c r="L148" s="7">
        <v>102</v>
      </c>
      <c r="M148" s="7">
        <v>0.46100000000000002</v>
      </c>
      <c r="N148" s="7">
        <v>12</v>
      </c>
      <c r="O148" s="7">
        <v>33</v>
      </c>
      <c r="P148" s="7">
        <v>0.36399999999999999</v>
      </c>
      <c r="Q148" s="7">
        <v>24</v>
      </c>
      <c r="R148" s="7">
        <v>27</v>
      </c>
      <c r="S148" s="7">
        <v>0.88900000000000001</v>
      </c>
      <c r="T148" s="7">
        <v>15</v>
      </c>
      <c r="U148" s="7">
        <v>32</v>
      </c>
      <c r="V148" s="7">
        <v>47</v>
      </c>
      <c r="W148" s="7">
        <v>34</v>
      </c>
      <c r="X148" s="7">
        <v>9</v>
      </c>
      <c r="Y148" s="7">
        <v>5</v>
      </c>
      <c r="Z148" s="7">
        <v>13</v>
      </c>
      <c r="AA148" s="7">
        <v>32</v>
      </c>
      <c r="AB148" s="7">
        <v>-5</v>
      </c>
      <c r="AC148" s="7">
        <v>45278</v>
      </c>
    </row>
    <row r="149" spans="1:29" x14ac:dyDescent="0.2">
      <c r="A149" s="7">
        <v>22023</v>
      </c>
      <c r="B149" s="7">
        <v>1610612745</v>
      </c>
      <c r="C149" s="7" t="s">
        <v>95</v>
      </c>
      <c r="D149" s="7" t="s">
        <v>96</v>
      </c>
      <c r="E149" s="7">
        <v>22300346</v>
      </c>
      <c r="F149" s="11">
        <v>45277</v>
      </c>
      <c r="G149" s="7" t="s">
        <v>149</v>
      </c>
      <c r="H149" s="7" t="s">
        <v>102</v>
      </c>
      <c r="I149" s="7">
        <v>241</v>
      </c>
      <c r="J149" s="7">
        <v>119</v>
      </c>
      <c r="K149" s="7">
        <v>45</v>
      </c>
      <c r="L149" s="7">
        <v>85</v>
      </c>
      <c r="M149" s="7">
        <v>0.52900000000000003</v>
      </c>
      <c r="N149" s="7">
        <v>11</v>
      </c>
      <c r="O149" s="7">
        <v>27</v>
      </c>
      <c r="P149" s="7">
        <v>0.40699999999999997</v>
      </c>
      <c r="Q149" s="7">
        <v>18</v>
      </c>
      <c r="R149" s="7">
        <v>21</v>
      </c>
      <c r="S149" s="7">
        <v>0.85699999999999998</v>
      </c>
      <c r="T149" s="7">
        <v>6</v>
      </c>
      <c r="U149" s="7">
        <v>25</v>
      </c>
      <c r="V149" s="7">
        <v>31</v>
      </c>
      <c r="W149" s="7">
        <v>26</v>
      </c>
      <c r="X149" s="7">
        <v>8</v>
      </c>
      <c r="Y149" s="7">
        <v>4</v>
      </c>
      <c r="Z149" s="7">
        <v>9</v>
      </c>
      <c r="AA149" s="7">
        <v>21</v>
      </c>
      <c r="AB149" s="7">
        <v>-9</v>
      </c>
      <c r="AC149" s="7">
        <v>45277</v>
      </c>
    </row>
    <row r="150" spans="1:29" x14ac:dyDescent="0.2">
      <c r="A150" s="7">
        <v>22023</v>
      </c>
      <c r="B150" s="7">
        <v>1610612745</v>
      </c>
      <c r="C150" s="7" t="s">
        <v>95</v>
      </c>
      <c r="D150" s="7" t="s">
        <v>96</v>
      </c>
      <c r="E150" s="7">
        <v>22300332</v>
      </c>
      <c r="F150" s="11">
        <v>45275</v>
      </c>
      <c r="G150" s="7" t="s">
        <v>129</v>
      </c>
      <c r="H150" s="7" t="s">
        <v>98</v>
      </c>
      <c r="I150" s="7">
        <v>239</v>
      </c>
      <c r="J150" s="7">
        <v>103</v>
      </c>
      <c r="K150" s="7">
        <v>32</v>
      </c>
      <c r="L150" s="7">
        <v>88</v>
      </c>
      <c r="M150" s="7">
        <v>0.36399999999999999</v>
      </c>
      <c r="N150" s="7">
        <v>11</v>
      </c>
      <c r="O150" s="7">
        <v>29</v>
      </c>
      <c r="P150" s="7">
        <v>0.379</v>
      </c>
      <c r="Q150" s="7">
        <v>28</v>
      </c>
      <c r="R150" s="7">
        <v>32</v>
      </c>
      <c r="S150" s="7">
        <v>0.875</v>
      </c>
      <c r="T150" s="7">
        <v>15</v>
      </c>
      <c r="U150" s="7">
        <v>36</v>
      </c>
      <c r="V150" s="7">
        <v>51</v>
      </c>
      <c r="W150" s="7">
        <v>18</v>
      </c>
      <c r="X150" s="7">
        <v>10</v>
      </c>
      <c r="Y150" s="7">
        <v>10</v>
      </c>
      <c r="Z150" s="7">
        <v>11</v>
      </c>
      <c r="AA150" s="7">
        <v>19</v>
      </c>
      <c r="AB150" s="7">
        <v>7</v>
      </c>
      <c r="AC150" s="7">
        <v>45275</v>
      </c>
    </row>
    <row r="151" spans="1:29" x14ac:dyDescent="0.2">
      <c r="A151" s="7">
        <v>22023</v>
      </c>
      <c r="B151" s="7">
        <v>1610612745</v>
      </c>
      <c r="C151" s="7" t="s">
        <v>95</v>
      </c>
      <c r="D151" s="7" t="s">
        <v>96</v>
      </c>
      <c r="E151" s="7">
        <v>22300314</v>
      </c>
      <c r="F151" s="11">
        <v>45273</v>
      </c>
      <c r="G151" s="7" t="s">
        <v>138</v>
      </c>
      <c r="H151" s="7" t="s">
        <v>98</v>
      </c>
      <c r="I151" s="7">
        <v>238</v>
      </c>
      <c r="J151" s="7">
        <v>117</v>
      </c>
      <c r="K151" s="7">
        <v>39</v>
      </c>
      <c r="L151" s="7">
        <v>86</v>
      </c>
      <c r="M151" s="7">
        <v>0.45300000000000001</v>
      </c>
      <c r="N151" s="7">
        <v>12</v>
      </c>
      <c r="O151" s="7">
        <v>32</v>
      </c>
      <c r="P151" s="7">
        <v>0.375</v>
      </c>
      <c r="Q151" s="7">
        <v>27</v>
      </c>
      <c r="R151" s="7">
        <v>37</v>
      </c>
      <c r="S151" s="7">
        <v>0.73</v>
      </c>
      <c r="T151" s="7">
        <v>15</v>
      </c>
      <c r="U151" s="7">
        <v>43</v>
      </c>
      <c r="V151" s="7">
        <v>58</v>
      </c>
      <c r="W151" s="7">
        <v>23</v>
      </c>
      <c r="X151" s="7">
        <v>6</v>
      </c>
      <c r="Y151" s="7">
        <v>3</v>
      </c>
      <c r="Z151" s="7">
        <v>19</v>
      </c>
      <c r="AA151" s="7">
        <v>28</v>
      </c>
      <c r="AB151" s="7">
        <v>13</v>
      </c>
      <c r="AC151" s="7">
        <v>45273</v>
      </c>
    </row>
    <row r="152" spans="1:29" x14ac:dyDescent="0.2">
      <c r="A152" s="7">
        <v>22023</v>
      </c>
      <c r="B152" s="7">
        <v>1610612745</v>
      </c>
      <c r="C152" s="7" t="s">
        <v>95</v>
      </c>
      <c r="D152" s="7" t="s">
        <v>96</v>
      </c>
      <c r="E152" s="7">
        <v>22300298</v>
      </c>
      <c r="F152" s="11">
        <v>45271</v>
      </c>
      <c r="G152" s="7" t="s">
        <v>119</v>
      </c>
      <c r="H152" s="7" t="s">
        <v>98</v>
      </c>
      <c r="I152" s="7">
        <v>239</v>
      </c>
      <c r="J152" s="7">
        <v>93</v>
      </c>
      <c r="K152" s="7">
        <v>32</v>
      </c>
      <c r="L152" s="7">
        <v>93</v>
      </c>
      <c r="M152" s="7">
        <v>0.34399999999999997</v>
      </c>
      <c r="N152" s="7">
        <v>12</v>
      </c>
      <c r="O152" s="7">
        <v>39</v>
      </c>
      <c r="P152" s="7">
        <v>0.308</v>
      </c>
      <c r="Q152" s="7">
        <v>17</v>
      </c>
      <c r="R152" s="7">
        <v>20</v>
      </c>
      <c r="S152" s="7">
        <v>0.85</v>
      </c>
      <c r="T152" s="7">
        <v>15</v>
      </c>
      <c r="U152" s="7">
        <v>45</v>
      </c>
      <c r="V152" s="7">
        <v>60</v>
      </c>
      <c r="W152" s="7">
        <v>20</v>
      </c>
      <c r="X152" s="7">
        <v>7</v>
      </c>
      <c r="Y152" s="7">
        <v>2</v>
      </c>
      <c r="Z152" s="7">
        <v>16</v>
      </c>
      <c r="AA152" s="7">
        <v>18</v>
      </c>
      <c r="AB152" s="7">
        <v>11</v>
      </c>
      <c r="AC152" s="7">
        <v>45271</v>
      </c>
    </row>
    <row r="153" spans="1:29" x14ac:dyDescent="0.2">
      <c r="A153" s="7">
        <v>22023</v>
      </c>
      <c r="B153" s="7">
        <v>1610612745</v>
      </c>
      <c r="C153" s="7" t="s">
        <v>95</v>
      </c>
      <c r="D153" s="7" t="s">
        <v>96</v>
      </c>
      <c r="E153" s="7">
        <v>22301224</v>
      </c>
      <c r="F153" s="11">
        <v>45268</v>
      </c>
      <c r="G153" s="7" t="s">
        <v>137</v>
      </c>
      <c r="H153" s="7" t="s">
        <v>98</v>
      </c>
      <c r="I153" s="7">
        <v>240</v>
      </c>
      <c r="J153" s="7">
        <v>114</v>
      </c>
      <c r="K153" s="7">
        <v>35</v>
      </c>
      <c r="L153" s="7">
        <v>82</v>
      </c>
      <c r="M153" s="7">
        <v>0.42699999999999999</v>
      </c>
      <c r="N153" s="7">
        <v>13</v>
      </c>
      <c r="O153" s="7">
        <v>39</v>
      </c>
      <c r="P153" s="7">
        <v>0.33300000000000002</v>
      </c>
      <c r="Q153" s="7">
        <v>31</v>
      </c>
      <c r="R153" s="7">
        <v>42</v>
      </c>
      <c r="S153" s="7">
        <v>0.73799999999999999</v>
      </c>
      <c r="T153" s="7">
        <v>11</v>
      </c>
      <c r="U153" s="7">
        <v>36</v>
      </c>
      <c r="V153" s="7">
        <v>47</v>
      </c>
      <c r="W153" s="7">
        <v>21</v>
      </c>
      <c r="X153" s="7">
        <v>3</v>
      </c>
      <c r="Y153" s="7">
        <v>3</v>
      </c>
      <c r="Z153" s="7">
        <v>9</v>
      </c>
      <c r="AA153" s="7">
        <v>20</v>
      </c>
      <c r="AB153" s="7">
        <v>8</v>
      </c>
      <c r="AC153" s="7">
        <v>45268</v>
      </c>
    </row>
    <row r="154" spans="1:29" x14ac:dyDescent="0.2">
      <c r="A154" s="7">
        <v>22023</v>
      </c>
      <c r="B154" s="7">
        <v>1610612745</v>
      </c>
      <c r="C154" s="7" t="s">
        <v>95</v>
      </c>
      <c r="D154" s="7" t="s">
        <v>96</v>
      </c>
      <c r="E154" s="7">
        <v>22301212</v>
      </c>
      <c r="F154" s="11">
        <v>45266</v>
      </c>
      <c r="G154" s="7" t="s">
        <v>99</v>
      </c>
      <c r="H154" s="7" t="s">
        <v>98</v>
      </c>
      <c r="I154" s="7">
        <v>239</v>
      </c>
      <c r="J154" s="7">
        <v>110</v>
      </c>
      <c r="K154" s="7">
        <v>40</v>
      </c>
      <c r="L154" s="7">
        <v>83</v>
      </c>
      <c r="M154" s="7">
        <v>0.48199999999999998</v>
      </c>
      <c r="N154" s="7">
        <v>15</v>
      </c>
      <c r="O154" s="7">
        <v>33</v>
      </c>
      <c r="P154" s="7">
        <v>0.45500000000000002</v>
      </c>
      <c r="Q154" s="7">
        <v>15</v>
      </c>
      <c r="R154" s="7">
        <v>22</v>
      </c>
      <c r="S154" s="7">
        <v>0.68200000000000005</v>
      </c>
      <c r="T154" s="7">
        <v>10</v>
      </c>
      <c r="U154" s="7">
        <v>43</v>
      </c>
      <c r="V154" s="7">
        <v>53</v>
      </c>
      <c r="W154" s="7">
        <v>28</v>
      </c>
      <c r="X154" s="7">
        <v>6</v>
      </c>
      <c r="Y154" s="7">
        <v>5</v>
      </c>
      <c r="Z154" s="7">
        <v>19</v>
      </c>
      <c r="AA154" s="7">
        <v>16</v>
      </c>
      <c r="AB154" s="7">
        <v>9</v>
      </c>
      <c r="AC154" s="7">
        <v>45266</v>
      </c>
    </row>
    <row r="155" spans="1:29" x14ac:dyDescent="0.2">
      <c r="A155" s="7">
        <v>22023</v>
      </c>
      <c r="B155" s="7">
        <v>1610612745</v>
      </c>
      <c r="C155" s="7" t="s">
        <v>95</v>
      </c>
      <c r="D155" s="7" t="s">
        <v>96</v>
      </c>
      <c r="E155" s="7">
        <v>22300291</v>
      </c>
      <c r="F155" s="11">
        <v>45262</v>
      </c>
      <c r="G155" s="7" t="s">
        <v>101</v>
      </c>
      <c r="H155" s="7" t="s">
        <v>102</v>
      </c>
      <c r="I155" s="7">
        <v>240</v>
      </c>
      <c r="J155" s="7">
        <v>97</v>
      </c>
      <c r="K155" s="7">
        <v>36</v>
      </c>
      <c r="L155" s="7">
        <v>89</v>
      </c>
      <c r="M155" s="7">
        <v>0.40400000000000003</v>
      </c>
      <c r="N155" s="7">
        <v>11</v>
      </c>
      <c r="O155" s="7">
        <v>31</v>
      </c>
      <c r="P155" s="7">
        <v>0.35499999999999998</v>
      </c>
      <c r="Q155" s="7">
        <v>14</v>
      </c>
      <c r="R155" s="7">
        <v>18</v>
      </c>
      <c r="S155" s="7">
        <v>0.77800000000000002</v>
      </c>
      <c r="T155" s="7">
        <v>11</v>
      </c>
      <c r="U155" s="7">
        <v>43</v>
      </c>
      <c r="V155" s="7">
        <v>54</v>
      </c>
      <c r="W155" s="7">
        <v>24</v>
      </c>
      <c r="X155" s="7">
        <v>5</v>
      </c>
      <c r="Y155" s="7">
        <v>7</v>
      </c>
      <c r="Z155" s="7">
        <v>16</v>
      </c>
      <c r="AA155" s="7">
        <v>23</v>
      </c>
      <c r="AB155" s="7">
        <v>-10</v>
      </c>
      <c r="AC155" s="7">
        <v>45262</v>
      </c>
    </row>
    <row r="156" spans="1:29" x14ac:dyDescent="0.2">
      <c r="A156" s="7">
        <v>22023</v>
      </c>
      <c r="B156" s="7">
        <v>1610612745</v>
      </c>
      <c r="C156" s="7" t="s">
        <v>95</v>
      </c>
      <c r="D156" s="7" t="s">
        <v>96</v>
      </c>
      <c r="E156" s="7">
        <v>22300263</v>
      </c>
      <c r="F156" s="11">
        <v>45259</v>
      </c>
      <c r="G156" s="7" t="s">
        <v>137</v>
      </c>
      <c r="H156" s="7" t="s">
        <v>102</v>
      </c>
      <c r="I156" s="7">
        <v>241</v>
      </c>
      <c r="J156" s="7">
        <v>124</v>
      </c>
      <c r="K156" s="7">
        <v>47</v>
      </c>
      <c r="L156" s="7">
        <v>86</v>
      </c>
      <c r="M156" s="7">
        <v>0.54700000000000004</v>
      </c>
      <c r="N156" s="7">
        <v>16</v>
      </c>
      <c r="O156" s="7">
        <v>41</v>
      </c>
      <c r="P156" s="7">
        <v>0.39</v>
      </c>
      <c r="Q156" s="7">
        <v>14</v>
      </c>
      <c r="R156" s="7">
        <v>19</v>
      </c>
      <c r="S156" s="7">
        <v>0.73699999999999999</v>
      </c>
      <c r="T156" s="7">
        <v>8</v>
      </c>
      <c r="U156" s="7">
        <v>27</v>
      </c>
      <c r="V156" s="7">
        <v>35</v>
      </c>
      <c r="W156" s="7">
        <v>27</v>
      </c>
      <c r="X156" s="7">
        <v>3</v>
      </c>
      <c r="Y156" s="7">
        <v>5</v>
      </c>
      <c r="Z156" s="7">
        <v>8</v>
      </c>
      <c r="AA156" s="7">
        <v>20</v>
      </c>
      <c r="AB156" s="7">
        <v>-10</v>
      </c>
      <c r="AC156" s="7">
        <v>45259</v>
      </c>
    </row>
    <row r="157" spans="1:29" x14ac:dyDescent="0.2">
      <c r="A157" s="7">
        <v>22023</v>
      </c>
      <c r="B157" s="7">
        <v>1610612745</v>
      </c>
      <c r="C157" s="7" t="s">
        <v>95</v>
      </c>
      <c r="D157" s="7" t="s">
        <v>96</v>
      </c>
      <c r="E157" s="7">
        <v>22300059</v>
      </c>
      <c r="F157" s="11">
        <v>45258</v>
      </c>
      <c r="G157" s="7" t="s">
        <v>124</v>
      </c>
      <c r="H157" s="7" t="s">
        <v>102</v>
      </c>
      <c r="I157" s="7">
        <v>241</v>
      </c>
      <c r="J157" s="7">
        <v>115</v>
      </c>
      <c r="K157" s="7">
        <v>42</v>
      </c>
      <c r="L157" s="7">
        <v>85</v>
      </c>
      <c r="M157" s="7">
        <v>0.49399999999999999</v>
      </c>
      <c r="N157" s="7">
        <v>8</v>
      </c>
      <c r="O157" s="7">
        <v>29</v>
      </c>
      <c r="P157" s="7">
        <v>0.27600000000000002</v>
      </c>
      <c r="Q157" s="7">
        <v>23</v>
      </c>
      <c r="R157" s="7">
        <v>29</v>
      </c>
      <c r="S157" s="7">
        <v>0.79300000000000004</v>
      </c>
      <c r="T157" s="7">
        <v>10</v>
      </c>
      <c r="U157" s="7">
        <v>30</v>
      </c>
      <c r="V157" s="7">
        <v>40</v>
      </c>
      <c r="W157" s="7">
        <v>33</v>
      </c>
      <c r="X157" s="7">
        <v>2</v>
      </c>
      <c r="Y157" s="7">
        <v>6</v>
      </c>
      <c r="Z157" s="7">
        <v>12</v>
      </c>
      <c r="AA157" s="7">
        <v>27</v>
      </c>
      <c r="AB157" s="7">
        <v>-6</v>
      </c>
      <c r="AC157" s="7">
        <v>45258</v>
      </c>
    </row>
    <row r="158" spans="1:29" x14ac:dyDescent="0.2">
      <c r="A158" s="7">
        <v>22023</v>
      </c>
      <c r="B158" s="7">
        <v>1610612745</v>
      </c>
      <c r="C158" s="7" t="s">
        <v>95</v>
      </c>
      <c r="D158" s="7" t="s">
        <v>96</v>
      </c>
      <c r="E158" s="7">
        <v>22300048</v>
      </c>
      <c r="F158" s="11">
        <v>45254</v>
      </c>
      <c r="G158" s="7" t="s">
        <v>106</v>
      </c>
      <c r="H158" s="7" t="s">
        <v>98</v>
      </c>
      <c r="I158" s="7">
        <v>241</v>
      </c>
      <c r="J158" s="7">
        <v>105</v>
      </c>
      <c r="K158" s="7">
        <v>40</v>
      </c>
      <c r="L158" s="7">
        <v>82</v>
      </c>
      <c r="M158" s="7">
        <v>0.48799999999999999</v>
      </c>
      <c r="N158" s="7">
        <v>12</v>
      </c>
      <c r="O158" s="7">
        <v>29</v>
      </c>
      <c r="P158" s="7">
        <v>0.41399999999999998</v>
      </c>
      <c r="Q158" s="7">
        <v>13</v>
      </c>
      <c r="R158" s="7">
        <v>15</v>
      </c>
      <c r="S158" s="7">
        <v>0.86699999999999999</v>
      </c>
      <c r="T158" s="7">
        <v>6</v>
      </c>
      <c r="U158" s="7">
        <v>43</v>
      </c>
      <c r="V158" s="7">
        <v>49</v>
      </c>
      <c r="W158" s="7">
        <v>25</v>
      </c>
      <c r="X158" s="7">
        <v>9</v>
      </c>
      <c r="Y158" s="7">
        <v>9</v>
      </c>
      <c r="Z158" s="7">
        <v>14</v>
      </c>
      <c r="AA158" s="7">
        <v>21</v>
      </c>
      <c r="AB158" s="7">
        <v>19</v>
      </c>
      <c r="AC158" s="7">
        <v>45254</v>
      </c>
    </row>
    <row r="159" spans="1:29" x14ac:dyDescent="0.2">
      <c r="A159" s="7">
        <v>22023</v>
      </c>
      <c r="B159" s="7">
        <v>1610612745</v>
      </c>
      <c r="C159" s="7" t="s">
        <v>95</v>
      </c>
      <c r="D159" s="7" t="s">
        <v>96</v>
      </c>
      <c r="E159" s="7">
        <v>22300231</v>
      </c>
      <c r="F159" s="11">
        <v>45252</v>
      </c>
      <c r="G159" s="7" t="s">
        <v>138</v>
      </c>
      <c r="H159" s="7" t="s">
        <v>98</v>
      </c>
      <c r="I159" s="7">
        <v>240</v>
      </c>
      <c r="J159" s="7">
        <v>111</v>
      </c>
      <c r="K159" s="7">
        <v>40</v>
      </c>
      <c r="L159" s="7">
        <v>92</v>
      </c>
      <c r="M159" s="7">
        <v>0.435</v>
      </c>
      <c r="N159" s="7">
        <v>14</v>
      </c>
      <c r="O159" s="7">
        <v>43</v>
      </c>
      <c r="P159" s="7">
        <v>0.32600000000000001</v>
      </c>
      <c r="Q159" s="7">
        <v>17</v>
      </c>
      <c r="R159" s="7">
        <v>20</v>
      </c>
      <c r="S159" s="7">
        <v>0.85</v>
      </c>
      <c r="T159" s="7">
        <v>6</v>
      </c>
      <c r="U159" s="7">
        <v>43</v>
      </c>
      <c r="V159" s="7">
        <v>49</v>
      </c>
      <c r="W159" s="7">
        <v>22</v>
      </c>
      <c r="X159" s="7">
        <v>6</v>
      </c>
      <c r="Y159" s="7">
        <v>6</v>
      </c>
      <c r="Z159" s="7">
        <v>6</v>
      </c>
      <c r="AA159" s="7">
        <v>22</v>
      </c>
      <c r="AB159" s="7">
        <v>20</v>
      </c>
      <c r="AC159" s="7">
        <v>45252</v>
      </c>
    </row>
    <row r="160" spans="1:29" x14ac:dyDescent="0.2">
      <c r="A160" s="7">
        <v>22023</v>
      </c>
      <c r="B160" s="7">
        <v>1610612745</v>
      </c>
      <c r="C160" s="7" t="s">
        <v>95</v>
      </c>
      <c r="D160" s="7" t="s">
        <v>96</v>
      </c>
      <c r="E160" s="7">
        <v>22300224</v>
      </c>
      <c r="F160" s="11">
        <v>45250</v>
      </c>
      <c r="G160" s="7" t="s">
        <v>97</v>
      </c>
      <c r="H160" s="7" t="s">
        <v>102</v>
      </c>
      <c r="I160" s="7">
        <v>239</v>
      </c>
      <c r="J160" s="7">
        <v>116</v>
      </c>
      <c r="K160" s="7">
        <v>44</v>
      </c>
      <c r="L160" s="7">
        <v>95</v>
      </c>
      <c r="M160" s="7">
        <v>0.46300000000000002</v>
      </c>
      <c r="N160" s="7">
        <v>13</v>
      </c>
      <c r="O160" s="7">
        <v>41</v>
      </c>
      <c r="P160" s="7">
        <v>0.317</v>
      </c>
      <c r="Q160" s="7">
        <v>15</v>
      </c>
      <c r="R160" s="7">
        <v>19</v>
      </c>
      <c r="S160" s="7">
        <v>0.78900000000000003</v>
      </c>
      <c r="T160" s="7">
        <v>15</v>
      </c>
      <c r="U160" s="7">
        <v>33</v>
      </c>
      <c r="V160" s="7">
        <v>48</v>
      </c>
      <c r="W160" s="7">
        <v>28</v>
      </c>
      <c r="X160" s="7">
        <v>6</v>
      </c>
      <c r="Y160" s="7">
        <v>3</v>
      </c>
      <c r="Z160" s="7">
        <v>8</v>
      </c>
      <c r="AA160" s="7">
        <v>24</v>
      </c>
      <c r="AB160" s="7">
        <v>-5</v>
      </c>
      <c r="AC160" s="7">
        <v>45250</v>
      </c>
    </row>
    <row r="161" spans="1:29" x14ac:dyDescent="0.2">
      <c r="A161" s="7">
        <v>22023</v>
      </c>
      <c r="B161" s="7">
        <v>1610612745</v>
      </c>
      <c r="C161" s="7" t="s">
        <v>95</v>
      </c>
      <c r="D161" s="7" t="s">
        <v>96</v>
      </c>
      <c r="E161" s="7">
        <v>22300216</v>
      </c>
      <c r="F161" s="11">
        <v>45249</v>
      </c>
      <c r="G161" s="7" t="s">
        <v>101</v>
      </c>
      <c r="H161" s="7" t="s">
        <v>102</v>
      </c>
      <c r="I161" s="7">
        <v>241</v>
      </c>
      <c r="J161" s="7">
        <v>104</v>
      </c>
      <c r="K161" s="7">
        <v>41</v>
      </c>
      <c r="L161" s="7">
        <v>84</v>
      </c>
      <c r="M161" s="7">
        <v>0.48799999999999999</v>
      </c>
      <c r="N161" s="7">
        <v>14</v>
      </c>
      <c r="O161" s="7">
        <v>37</v>
      </c>
      <c r="P161" s="7">
        <v>0.378</v>
      </c>
      <c r="Q161" s="7">
        <v>8</v>
      </c>
      <c r="R161" s="7">
        <v>10</v>
      </c>
      <c r="S161" s="7">
        <v>0.8</v>
      </c>
      <c r="T161" s="7">
        <v>6</v>
      </c>
      <c r="U161" s="7">
        <v>28</v>
      </c>
      <c r="V161" s="7">
        <v>34</v>
      </c>
      <c r="W161" s="7">
        <v>35</v>
      </c>
      <c r="X161" s="7">
        <v>7</v>
      </c>
      <c r="Y161" s="7">
        <v>3</v>
      </c>
      <c r="Z161" s="7">
        <v>18</v>
      </c>
      <c r="AA161" s="7">
        <v>25</v>
      </c>
      <c r="AB161" s="7">
        <v>-1</v>
      </c>
      <c r="AC161" s="7">
        <v>45249</v>
      </c>
    </row>
    <row r="162" spans="1:29" x14ac:dyDescent="0.2">
      <c r="A162" s="7">
        <v>22023</v>
      </c>
      <c r="B162" s="7">
        <v>1610612745</v>
      </c>
      <c r="C162" s="7" t="s">
        <v>95</v>
      </c>
      <c r="D162" s="7" t="s">
        <v>96</v>
      </c>
      <c r="E162" s="7">
        <v>22300037</v>
      </c>
      <c r="F162" s="11">
        <v>45247</v>
      </c>
      <c r="G162" s="7" t="s">
        <v>145</v>
      </c>
      <c r="H162" s="7" t="s">
        <v>102</v>
      </c>
      <c r="I162" s="7">
        <v>241</v>
      </c>
      <c r="J162" s="7">
        <v>100</v>
      </c>
      <c r="K162" s="7">
        <v>38</v>
      </c>
      <c r="L162" s="7">
        <v>88</v>
      </c>
      <c r="M162" s="7">
        <v>0.432</v>
      </c>
      <c r="N162" s="7">
        <v>10</v>
      </c>
      <c r="O162" s="7">
        <v>31</v>
      </c>
      <c r="P162" s="7">
        <v>0.32300000000000001</v>
      </c>
      <c r="Q162" s="7">
        <v>14</v>
      </c>
      <c r="R162" s="7">
        <v>20</v>
      </c>
      <c r="S162" s="7">
        <v>0.7</v>
      </c>
      <c r="T162" s="7">
        <v>12</v>
      </c>
      <c r="U162" s="7">
        <v>35</v>
      </c>
      <c r="V162" s="7">
        <v>47</v>
      </c>
      <c r="W162" s="7">
        <v>24</v>
      </c>
      <c r="X162" s="7">
        <v>6</v>
      </c>
      <c r="Y162" s="7">
        <v>5</v>
      </c>
      <c r="Z162" s="7">
        <v>16</v>
      </c>
      <c r="AA162" s="7">
        <v>28</v>
      </c>
      <c r="AB162" s="7">
        <v>-6</v>
      </c>
      <c r="AC162" s="7">
        <v>45247</v>
      </c>
    </row>
    <row r="163" spans="1:29" x14ac:dyDescent="0.2">
      <c r="A163" s="7">
        <v>22023</v>
      </c>
      <c r="B163" s="7">
        <v>1610612745</v>
      </c>
      <c r="C163" s="7" t="s">
        <v>95</v>
      </c>
      <c r="D163" s="7" t="s">
        <v>96</v>
      </c>
      <c r="E163" s="7">
        <v>22300182</v>
      </c>
      <c r="F163" s="11">
        <v>45242</v>
      </c>
      <c r="G163" s="7" t="s">
        <v>106</v>
      </c>
      <c r="H163" s="7" t="s">
        <v>98</v>
      </c>
      <c r="I163" s="7">
        <v>241</v>
      </c>
      <c r="J163" s="7">
        <v>107</v>
      </c>
      <c r="K163" s="7">
        <v>37</v>
      </c>
      <c r="L163" s="7">
        <v>87</v>
      </c>
      <c r="M163" s="7">
        <v>0.42499999999999999</v>
      </c>
      <c r="N163" s="7">
        <v>10</v>
      </c>
      <c r="O163" s="7">
        <v>32</v>
      </c>
      <c r="P163" s="7">
        <v>0.313</v>
      </c>
      <c r="Q163" s="7">
        <v>23</v>
      </c>
      <c r="R163" s="7">
        <v>29</v>
      </c>
      <c r="S163" s="7">
        <v>0.79300000000000004</v>
      </c>
      <c r="T163" s="7">
        <v>12</v>
      </c>
      <c r="U163" s="7">
        <v>33</v>
      </c>
      <c r="V163" s="7">
        <v>45</v>
      </c>
      <c r="W163" s="7">
        <v>20</v>
      </c>
      <c r="X163" s="7">
        <v>7</v>
      </c>
      <c r="Y163" s="7">
        <v>4</v>
      </c>
      <c r="Z163" s="7">
        <v>9</v>
      </c>
      <c r="AA163" s="7">
        <v>16</v>
      </c>
      <c r="AB163" s="7">
        <v>3</v>
      </c>
      <c r="AC163" s="7">
        <v>45242</v>
      </c>
    </row>
    <row r="164" spans="1:29" x14ac:dyDescent="0.2">
      <c r="A164" s="7">
        <v>22023</v>
      </c>
      <c r="B164" s="7">
        <v>1610612745</v>
      </c>
      <c r="C164" s="7" t="s">
        <v>95</v>
      </c>
      <c r="D164" s="7" t="s">
        <v>96</v>
      </c>
      <c r="E164" s="7">
        <v>22300011</v>
      </c>
      <c r="F164" s="11">
        <v>45240</v>
      </c>
      <c r="G164" s="7" t="s">
        <v>114</v>
      </c>
      <c r="H164" s="7" t="s">
        <v>98</v>
      </c>
      <c r="I164" s="7">
        <v>240</v>
      </c>
      <c r="J164" s="7">
        <v>104</v>
      </c>
      <c r="K164" s="7">
        <v>36</v>
      </c>
      <c r="L164" s="7">
        <v>88</v>
      </c>
      <c r="M164" s="7">
        <v>0.40899999999999997</v>
      </c>
      <c r="N164" s="7">
        <v>10</v>
      </c>
      <c r="O164" s="7">
        <v>35</v>
      </c>
      <c r="P164" s="7">
        <v>0.28599999999999998</v>
      </c>
      <c r="Q164" s="7">
        <v>22</v>
      </c>
      <c r="R164" s="7">
        <v>28</v>
      </c>
      <c r="S164" s="7">
        <v>0.78600000000000003</v>
      </c>
      <c r="T164" s="7">
        <v>9</v>
      </c>
      <c r="U164" s="7">
        <v>33</v>
      </c>
      <c r="V164" s="7">
        <v>42</v>
      </c>
      <c r="W164" s="7">
        <v>20</v>
      </c>
      <c r="X164" s="7">
        <v>9</v>
      </c>
      <c r="Y164" s="7">
        <v>5</v>
      </c>
      <c r="Z164" s="7">
        <v>9</v>
      </c>
      <c r="AA164" s="7">
        <v>22</v>
      </c>
      <c r="AB164" s="7">
        <v>3</v>
      </c>
      <c r="AC164" s="7">
        <v>45240</v>
      </c>
    </row>
    <row r="165" spans="1:29" x14ac:dyDescent="0.2">
      <c r="A165" s="7">
        <v>22023</v>
      </c>
      <c r="B165" s="7">
        <v>1610612745</v>
      </c>
      <c r="C165" s="7" t="s">
        <v>95</v>
      </c>
      <c r="D165" s="7" t="s">
        <v>96</v>
      </c>
      <c r="E165" s="7">
        <v>22300163</v>
      </c>
      <c r="F165" s="11">
        <v>45238</v>
      </c>
      <c r="G165" s="7" t="s">
        <v>140</v>
      </c>
      <c r="H165" s="7" t="s">
        <v>98</v>
      </c>
      <c r="I165" s="7">
        <v>239</v>
      </c>
      <c r="J165" s="7">
        <v>128</v>
      </c>
      <c r="K165" s="7">
        <v>51</v>
      </c>
      <c r="L165" s="7">
        <v>93</v>
      </c>
      <c r="M165" s="7">
        <v>0.54800000000000004</v>
      </c>
      <c r="N165" s="7">
        <v>14</v>
      </c>
      <c r="O165" s="7">
        <v>33</v>
      </c>
      <c r="P165" s="7">
        <v>0.42399999999999999</v>
      </c>
      <c r="Q165" s="7">
        <v>12</v>
      </c>
      <c r="R165" s="7">
        <v>19</v>
      </c>
      <c r="S165" s="7">
        <v>0.63200000000000001</v>
      </c>
      <c r="T165" s="7">
        <v>14</v>
      </c>
      <c r="U165" s="7">
        <v>43</v>
      </c>
      <c r="V165" s="7">
        <v>57</v>
      </c>
      <c r="W165" s="7">
        <v>26</v>
      </c>
      <c r="X165" s="7">
        <v>4</v>
      </c>
      <c r="Y165" s="7">
        <v>4</v>
      </c>
      <c r="Z165" s="7">
        <v>11</v>
      </c>
      <c r="AA165" s="7">
        <v>23</v>
      </c>
      <c r="AB165" s="7">
        <v>34</v>
      </c>
      <c r="AC165" s="7">
        <v>45238</v>
      </c>
    </row>
    <row r="166" spans="1:29" x14ac:dyDescent="0.2">
      <c r="A166" s="7">
        <v>22023</v>
      </c>
      <c r="B166" s="7">
        <v>1610612745</v>
      </c>
      <c r="C166" s="7" t="s">
        <v>95</v>
      </c>
      <c r="D166" s="7" t="s">
        <v>96</v>
      </c>
      <c r="E166" s="7">
        <v>22300153</v>
      </c>
      <c r="F166" s="11">
        <v>45236</v>
      </c>
      <c r="G166" s="7" t="s">
        <v>118</v>
      </c>
      <c r="H166" s="7" t="s">
        <v>98</v>
      </c>
      <c r="I166" s="7">
        <v>242</v>
      </c>
      <c r="J166" s="7">
        <v>122</v>
      </c>
      <c r="K166" s="7">
        <v>43</v>
      </c>
      <c r="L166" s="7">
        <v>75</v>
      </c>
      <c r="M166" s="7">
        <v>0.57299999999999995</v>
      </c>
      <c r="N166" s="7">
        <v>15</v>
      </c>
      <c r="O166" s="7">
        <v>31</v>
      </c>
      <c r="P166" s="7">
        <v>0.48399999999999999</v>
      </c>
      <c r="Q166" s="7">
        <v>21</v>
      </c>
      <c r="R166" s="7">
        <v>27</v>
      </c>
      <c r="S166" s="7">
        <v>0.77800000000000002</v>
      </c>
      <c r="T166" s="7">
        <v>5</v>
      </c>
      <c r="U166" s="7">
        <v>34</v>
      </c>
      <c r="V166" s="7">
        <v>39</v>
      </c>
      <c r="W166" s="7">
        <v>28</v>
      </c>
      <c r="X166" s="7">
        <v>8</v>
      </c>
      <c r="Y166" s="7">
        <v>4</v>
      </c>
      <c r="Z166" s="7">
        <v>10</v>
      </c>
      <c r="AA166" s="7">
        <v>19</v>
      </c>
      <c r="AB166" s="7">
        <v>25</v>
      </c>
      <c r="AC166" s="7">
        <v>45236</v>
      </c>
    </row>
    <row r="167" spans="1:29" x14ac:dyDescent="0.2">
      <c r="A167" s="7">
        <v>22023</v>
      </c>
      <c r="B167" s="7">
        <v>1610612745</v>
      </c>
      <c r="C167" s="7" t="s">
        <v>95</v>
      </c>
      <c r="D167" s="7" t="s">
        <v>96</v>
      </c>
      <c r="E167" s="7">
        <v>22300137</v>
      </c>
      <c r="F167" s="11">
        <v>45234</v>
      </c>
      <c r="G167" s="7" t="s">
        <v>118</v>
      </c>
      <c r="H167" s="7" t="s">
        <v>98</v>
      </c>
      <c r="I167" s="7">
        <v>239</v>
      </c>
      <c r="J167" s="7">
        <v>107</v>
      </c>
      <c r="K167" s="7">
        <v>40</v>
      </c>
      <c r="L167" s="7">
        <v>87</v>
      </c>
      <c r="M167" s="7">
        <v>0.46</v>
      </c>
      <c r="N167" s="7">
        <v>13</v>
      </c>
      <c r="O167" s="7">
        <v>36</v>
      </c>
      <c r="P167" s="7">
        <v>0.36099999999999999</v>
      </c>
      <c r="Q167" s="7">
        <v>14</v>
      </c>
      <c r="R167" s="7">
        <v>20</v>
      </c>
      <c r="S167" s="7">
        <v>0.7</v>
      </c>
      <c r="T167" s="7">
        <v>10</v>
      </c>
      <c r="U167" s="7">
        <v>43</v>
      </c>
      <c r="V167" s="7">
        <v>53</v>
      </c>
      <c r="W167" s="7">
        <v>28</v>
      </c>
      <c r="X167" s="7">
        <v>4</v>
      </c>
      <c r="Y167" s="7">
        <v>3</v>
      </c>
      <c r="Z167" s="7">
        <v>11</v>
      </c>
      <c r="AA167" s="7">
        <v>18</v>
      </c>
      <c r="AB167" s="7">
        <v>18</v>
      </c>
      <c r="AC167" s="7">
        <v>45234</v>
      </c>
    </row>
    <row r="168" spans="1:29" x14ac:dyDescent="0.2">
      <c r="A168" s="7">
        <v>22023</v>
      </c>
      <c r="B168" s="7">
        <v>1610612745</v>
      </c>
      <c r="C168" s="7" t="s">
        <v>95</v>
      </c>
      <c r="D168" s="7" t="s">
        <v>96</v>
      </c>
      <c r="E168" s="7">
        <v>22300122</v>
      </c>
      <c r="F168" s="11">
        <v>45231</v>
      </c>
      <c r="G168" s="7" t="s">
        <v>156</v>
      </c>
      <c r="H168" s="7" t="s">
        <v>98</v>
      </c>
      <c r="I168" s="7">
        <v>239</v>
      </c>
      <c r="J168" s="7">
        <v>128</v>
      </c>
      <c r="K168" s="7">
        <v>44</v>
      </c>
      <c r="L168" s="7">
        <v>84</v>
      </c>
      <c r="M168" s="7">
        <v>0.52400000000000002</v>
      </c>
      <c r="N168" s="7">
        <v>21</v>
      </c>
      <c r="O168" s="7">
        <v>37</v>
      </c>
      <c r="P168" s="7">
        <v>0.56799999999999995</v>
      </c>
      <c r="Q168" s="7">
        <v>19</v>
      </c>
      <c r="R168" s="7">
        <v>23</v>
      </c>
      <c r="S168" s="7">
        <v>0.82599999999999996</v>
      </c>
      <c r="T168" s="7">
        <v>7</v>
      </c>
      <c r="U168" s="7">
        <v>31</v>
      </c>
      <c r="V168" s="7">
        <v>38</v>
      </c>
      <c r="W168" s="7">
        <v>35</v>
      </c>
      <c r="X168" s="7">
        <v>10</v>
      </c>
      <c r="Y168" s="7">
        <v>2</v>
      </c>
      <c r="Z168" s="7">
        <v>17</v>
      </c>
      <c r="AA168" s="7">
        <v>22</v>
      </c>
      <c r="AB168" s="7">
        <v>9</v>
      </c>
      <c r="AC168" s="7">
        <v>45231</v>
      </c>
    </row>
    <row r="169" spans="1:29" x14ac:dyDescent="0.2">
      <c r="A169" s="7">
        <v>22023</v>
      </c>
      <c r="B169" s="7">
        <v>1610612745</v>
      </c>
      <c r="C169" s="7" t="s">
        <v>95</v>
      </c>
      <c r="D169" s="7" t="s">
        <v>96</v>
      </c>
      <c r="E169" s="7">
        <v>22300096</v>
      </c>
      <c r="F169" s="11">
        <v>45228</v>
      </c>
      <c r="G169" s="7" t="s">
        <v>122</v>
      </c>
      <c r="H169" s="7" t="s">
        <v>102</v>
      </c>
      <c r="I169" s="7">
        <v>240</v>
      </c>
      <c r="J169" s="7">
        <v>95</v>
      </c>
      <c r="K169" s="7">
        <v>34</v>
      </c>
      <c r="L169" s="7">
        <v>90</v>
      </c>
      <c r="M169" s="7">
        <v>0.378</v>
      </c>
      <c r="N169" s="7">
        <v>9</v>
      </c>
      <c r="O169" s="7">
        <v>33</v>
      </c>
      <c r="P169" s="7">
        <v>0.27300000000000002</v>
      </c>
      <c r="Q169" s="7">
        <v>18</v>
      </c>
      <c r="R169" s="7">
        <v>19</v>
      </c>
      <c r="S169" s="7">
        <v>0.94699999999999995</v>
      </c>
      <c r="T169" s="7">
        <v>10</v>
      </c>
      <c r="U169" s="7">
        <v>32</v>
      </c>
      <c r="V169" s="7">
        <v>42</v>
      </c>
      <c r="W169" s="7">
        <v>22</v>
      </c>
      <c r="X169" s="7">
        <v>7</v>
      </c>
      <c r="Y169" s="7">
        <v>4</v>
      </c>
      <c r="Z169" s="7">
        <v>7</v>
      </c>
      <c r="AA169" s="7">
        <v>20</v>
      </c>
      <c r="AB169" s="7">
        <v>-11</v>
      </c>
      <c r="AC169" s="7">
        <v>45228</v>
      </c>
    </row>
    <row r="170" spans="1:29" x14ac:dyDescent="0.2">
      <c r="A170" s="7">
        <v>22023</v>
      </c>
      <c r="B170" s="7">
        <v>1610612745</v>
      </c>
      <c r="C170" s="7" t="s">
        <v>95</v>
      </c>
      <c r="D170" s="7" t="s">
        <v>96</v>
      </c>
      <c r="E170" s="7">
        <v>22300083</v>
      </c>
      <c r="F170" s="11">
        <v>45226</v>
      </c>
      <c r="G170" s="7" t="s">
        <v>155</v>
      </c>
      <c r="H170" s="7" t="s">
        <v>102</v>
      </c>
      <c r="I170" s="7">
        <v>266</v>
      </c>
      <c r="J170" s="7">
        <v>122</v>
      </c>
      <c r="K170" s="7">
        <v>52</v>
      </c>
      <c r="L170" s="7">
        <v>100</v>
      </c>
      <c r="M170" s="7">
        <v>0.52</v>
      </c>
      <c r="N170" s="7">
        <v>8</v>
      </c>
      <c r="O170" s="7">
        <v>32</v>
      </c>
      <c r="P170" s="7">
        <v>0.25</v>
      </c>
      <c r="Q170" s="7">
        <v>10</v>
      </c>
      <c r="R170" s="7">
        <v>20</v>
      </c>
      <c r="S170" s="7">
        <v>0.5</v>
      </c>
      <c r="T170" s="7">
        <v>11</v>
      </c>
      <c r="U170" s="7">
        <v>32</v>
      </c>
      <c r="V170" s="7">
        <v>43</v>
      </c>
      <c r="W170" s="7">
        <v>30</v>
      </c>
      <c r="X170" s="7">
        <v>7</v>
      </c>
      <c r="Y170" s="7">
        <v>2</v>
      </c>
      <c r="Z170" s="7">
        <v>18</v>
      </c>
      <c r="AA170" s="7">
        <v>26</v>
      </c>
      <c r="AB170" s="7">
        <v>-4</v>
      </c>
      <c r="AC170" s="7">
        <v>45226</v>
      </c>
    </row>
    <row r="171" spans="1:29" x14ac:dyDescent="0.2">
      <c r="A171" s="7">
        <v>22023</v>
      </c>
      <c r="B171" s="7">
        <v>1610612745</v>
      </c>
      <c r="C171" s="7" t="s">
        <v>95</v>
      </c>
      <c r="D171" s="7" t="s">
        <v>96</v>
      </c>
      <c r="E171" s="7">
        <v>22300066</v>
      </c>
      <c r="F171" s="11">
        <v>45224</v>
      </c>
      <c r="G171" s="7" t="s">
        <v>108</v>
      </c>
      <c r="H171" s="7" t="s">
        <v>102</v>
      </c>
      <c r="I171" s="7">
        <v>240</v>
      </c>
      <c r="J171" s="7">
        <v>86</v>
      </c>
      <c r="K171" s="7">
        <v>32</v>
      </c>
      <c r="L171" s="7">
        <v>79</v>
      </c>
      <c r="M171" s="7">
        <v>0.40500000000000003</v>
      </c>
      <c r="N171" s="7">
        <v>12</v>
      </c>
      <c r="O171" s="7">
        <v>34</v>
      </c>
      <c r="P171" s="7">
        <v>0.35299999999999998</v>
      </c>
      <c r="Q171" s="7">
        <v>10</v>
      </c>
      <c r="R171" s="7">
        <v>16</v>
      </c>
      <c r="S171" s="7">
        <v>0.625</v>
      </c>
      <c r="T171" s="7">
        <v>7</v>
      </c>
      <c r="U171" s="7">
        <v>24</v>
      </c>
      <c r="V171" s="7">
        <v>31</v>
      </c>
      <c r="W171" s="7">
        <v>19</v>
      </c>
      <c r="X171" s="7">
        <v>6</v>
      </c>
      <c r="Y171" s="7">
        <v>3</v>
      </c>
      <c r="Z171" s="7">
        <v>18</v>
      </c>
      <c r="AA171" s="7">
        <v>24</v>
      </c>
      <c r="AB171" s="7">
        <v>-30</v>
      </c>
      <c r="AC171" s="7">
        <v>45224</v>
      </c>
    </row>
    <row r="172" spans="1:29" x14ac:dyDescent="0.2">
      <c r="F172" s="11"/>
    </row>
    <row r="173" spans="1:29" x14ac:dyDescent="0.2">
      <c r="F17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games_23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Kim, Nick</cp:lastModifiedBy>
  <dcterms:modified xsi:type="dcterms:W3CDTF">2025-04-20T16:06:07Z</dcterms:modified>
</cp:coreProperties>
</file>