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D:\Desktop (STORAGE)\FAC\AN 3_SEM1\SISTEME SUPORT DE DECIZIE\PROIECT\"/>
    </mc:Choice>
  </mc:AlternateContent>
  <xr:revisionPtr revIDLastSave="0" documentId="13_ncr:1_{CA5E9D16-9996-4801-A770-94C4B12F3F12}" xr6:coauthVersionLast="47" xr6:coauthVersionMax="47" xr10:uidLastSave="{00000000-0000-0000-0000-000000000000}"/>
  <bookViews>
    <workbookView xWindow="-108" yWindow="-108" windowWidth="23256" windowHeight="12576" tabRatio="601" firstSheet="7" activeTab="13" xr2:uid="{00000000-000D-0000-FFFF-FFFF00000000}"/>
  </bookViews>
  <sheets>
    <sheet name="DateAnaliza" sheetId="1" r:id="rId1"/>
    <sheet name="Indicatori_financiari" sheetId="3" r:id="rId2"/>
    <sheet name="Statistici" sheetId="5" r:id="rId3"/>
    <sheet name="CB_DATA_" sheetId="32" state="veryHidden" r:id="rId4"/>
    <sheet name="Pivot1" sheetId="26" r:id="rId5"/>
    <sheet name="Pivot2" sheetId="27" r:id="rId6"/>
    <sheet name="Pivot3" sheetId="7" r:id="rId7"/>
    <sheet name="Pivot4" sheetId="28" r:id="rId8"/>
    <sheet name="Pivot5" sheetId="29" r:id="rId9"/>
    <sheet name="Pivot6" sheetId="30" r:id="rId10"/>
    <sheet name="Dashboard" sheetId="23" r:id="rId11"/>
    <sheet name="MA + ExponentialSmoothing" sheetId="34" r:id="rId12"/>
    <sheet name="Holt-Winters" sheetId="36" r:id="rId13"/>
    <sheet name="TOPSIS" sheetId="38" r:id="rId14"/>
  </sheets>
  <definedNames>
    <definedName name="_xlnm._FilterDatabase" localSheetId="0">DateAnaliza!$A$1:$U$21</definedName>
    <definedName name="_xlnm._FilterDatabase" localSheetId="1" hidden="1">Indicatori_financiari!$A$1:$I$1</definedName>
    <definedName name="_xlchart.v1.0" hidden="1">Indicatori_financiari!$C$1</definedName>
    <definedName name="_xlchart.v1.1" hidden="1">Indicatori_financiari!$C$2:$C$18</definedName>
    <definedName name="_xlchart.v1.2" hidden="1">Indicatori_financiari!$D$1</definedName>
    <definedName name="_xlchart.v1.3" hidden="1">Indicatori_financiari!$D$2:$D$18</definedName>
    <definedName name="CB_Block_00000000000000000000000000000001" localSheetId="3" hidden="1">"'638717099256736082"</definedName>
    <definedName name="CBWorkbookPriority" localSheetId="3" hidden="1">-3220816776123260</definedName>
    <definedName name="CBx_8df6d71f622349269bcbcf00460a548b" localSheetId="3" hidden="1">"'CB_DATA_'!$A$1"</definedName>
    <definedName name="CBx_9bb9e403010c41aa81a5283fc371ef3b" localSheetId="3" hidden="1">"'CB_IndicatoriFinanciari'!$A$1"</definedName>
    <definedName name="CBx_Sheet_Guid" localSheetId="3" hidden="1">"'8df6d71f-6223-4926-9bcb-cf00460a548b"</definedName>
    <definedName name="CBx_SheetRef" localSheetId="3" hidden="1">CB_DATA_!$A$14</definedName>
    <definedName name="CBx_StorageType" localSheetId="3" hidden="1">2</definedName>
    <definedName name="DateAnaliza">DateAnaliza!$A$1:$U$21</definedName>
    <definedName name="Indicatori_financiari">Indicatori_financiari!$A$1:$I$18</definedName>
    <definedName name="Slicer_An">#N/A</definedName>
    <definedName name="Slicer_Nume_complet">#N/A</definedName>
    <definedName name="Slicer_Oras">#N/A</definedName>
    <definedName name="solver_adj" localSheetId="12" hidden="1">'Holt-Winters'!$E$23:$E$25</definedName>
    <definedName name="solver_adj" localSheetId="11" hidden="1">'MA + ExponentialSmoothing'!$E$3</definedName>
    <definedName name="solver_cvg" localSheetId="12" hidden="1">0.0001</definedName>
    <definedName name="solver_cvg" localSheetId="11" hidden="1">0.0001</definedName>
    <definedName name="solver_drv" localSheetId="12" hidden="1">2</definedName>
    <definedName name="solver_drv" localSheetId="11" hidden="1">1</definedName>
    <definedName name="solver_eng" localSheetId="12" hidden="1">1</definedName>
    <definedName name="solver_eng" localSheetId="11" hidden="1">1</definedName>
    <definedName name="solver_est" localSheetId="12" hidden="1">1</definedName>
    <definedName name="solver_est" localSheetId="11" hidden="1">1</definedName>
    <definedName name="solver_itr" localSheetId="12" hidden="1">2147483647</definedName>
    <definedName name="solver_itr" localSheetId="11" hidden="1">2147483647</definedName>
    <definedName name="solver_lhs1" localSheetId="12" hidden="1">'Holt-Winters'!$E$23:$E$25</definedName>
    <definedName name="solver_lhs1" localSheetId="11" hidden="1">'MA + ExponentialSmoothing'!$E$3</definedName>
    <definedName name="solver_lhs2" localSheetId="12" hidden="1">'Holt-Winters'!$E$23:$E$25</definedName>
    <definedName name="solver_lhs2" localSheetId="11" hidden="1">'MA + ExponentialSmoothing'!$E$3</definedName>
    <definedName name="solver_mip" localSheetId="12" hidden="1">2147483647</definedName>
    <definedName name="solver_mip" localSheetId="11" hidden="1">2147483647</definedName>
    <definedName name="solver_mni" localSheetId="12" hidden="1">30</definedName>
    <definedName name="solver_mni" localSheetId="11" hidden="1">30</definedName>
    <definedName name="solver_mrt" localSheetId="12" hidden="1">0.075</definedName>
    <definedName name="solver_mrt" localSheetId="11" hidden="1">0.075</definedName>
    <definedName name="solver_msl" localSheetId="12" hidden="1">2</definedName>
    <definedName name="solver_msl" localSheetId="11" hidden="1">2</definedName>
    <definedName name="solver_neg" localSheetId="12" hidden="1">1</definedName>
    <definedName name="solver_neg" localSheetId="11" hidden="1">1</definedName>
    <definedName name="solver_nod" localSheetId="12" hidden="1">2147483647</definedName>
    <definedName name="solver_nod" localSheetId="11" hidden="1">2147483647</definedName>
    <definedName name="solver_num" localSheetId="12" hidden="1">2</definedName>
    <definedName name="solver_num" localSheetId="11" hidden="1">2</definedName>
    <definedName name="solver_nwt" localSheetId="12" hidden="1">1</definedName>
    <definedName name="solver_nwt" localSheetId="11" hidden="1">1</definedName>
    <definedName name="solver_opt" localSheetId="12" hidden="1">'Holt-Winters'!$K$25</definedName>
    <definedName name="solver_opt" localSheetId="11" hidden="1">'MA + ExponentialSmoothing'!#REF!</definedName>
    <definedName name="solver_pre" localSheetId="12" hidden="1">0.000001</definedName>
    <definedName name="solver_pre" localSheetId="11" hidden="1">0.000001</definedName>
    <definedName name="solver_rbv" localSheetId="12" hidden="1">2</definedName>
    <definedName name="solver_rbv" localSheetId="11" hidden="1">1</definedName>
    <definedName name="solver_rel1" localSheetId="12" hidden="1">1</definedName>
    <definedName name="solver_rel1" localSheetId="11" hidden="1">1</definedName>
    <definedName name="solver_rel2" localSheetId="12" hidden="1">3</definedName>
    <definedName name="solver_rel2" localSheetId="11" hidden="1">3</definedName>
    <definedName name="solver_rhs1" localSheetId="12" hidden="1">1</definedName>
    <definedName name="solver_rhs1" localSheetId="11" hidden="1">1</definedName>
    <definedName name="solver_rhs2" localSheetId="12" hidden="1">0</definedName>
    <definedName name="solver_rhs2" localSheetId="11" hidden="1">0</definedName>
    <definedName name="solver_rlx" localSheetId="12" hidden="1">2</definedName>
    <definedName name="solver_rlx" localSheetId="11" hidden="1">2</definedName>
    <definedName name="solver_rsd" localSheetId="12" hidden="1">0</definedName>
    <definedName name="solver_rsd" localSheetId="11" hidden="1">0</definedName>
    <definedName name="solver_scl" localSheetId="12" hidden="1">2</definedName>
    <definedName name="solver_scl" localSheetId="11" hidden="1">1</definedName>
    <definedName name="solver_sho" localSheetId="12" hidden="1">2</definedName>
    <definedName name="solver_sho" localSheetId="11" hidden="1">2</definedName>
    <definedName name="solver_ssz" localSheetId="12" hidden="1">100</definedName>
    <definedName name="solver_ssz" localSheetId="11" hidden="1">100</definedName>
    <definedName name="solver_tim" localSheetId="12" hidden="1">2147483647</definedName>
    <definedName name="solver_tim" localSheetId="11" hidden="1">2147483647</definedName>
    <definedName name="solver_tol" localSheetId="12" hidden="1">0.01</definedName>
    <definedName name="solver_tol" localSheetId="11" hidden="1">0.01</definedName>
    <definedName name="solver_typ" localSheetId="12" hidden="1">2</definedName>
    <definedName name="solver_typ" localSheetId="11" hidden="1">2</definedName>
    <definedName name="solver_val" localSheetId="12" hidden="1">0</definedName>
    <definedName name="solver_val" localSheetId="11" hidden="1">0</definedName>
    <definedName name="solver_ver" localSheetId="12" hidden="1">3</definedName>
    <definedName name="solver_ver" localSheetId="11" hidden="1">3</definedName>
  </definedNames>
  <calcPr calcId="191029" concurrentCalc="0" concurrentManualCount="4"/>
  <pivotCaches>
    <pivotCache cacheId="0" r:id="rId15"/>
    <pivotCache cacheId="1"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7" i="38" l="1"/>
  <c r="C44" i="38"/>
  <c r="C29" i="38"/>
  <c r="C19" i="38"/>
  <c r="B135" i="38"/>
  <c r="E130" i="38"/>
  <c r="D130" i="38"/>
  <c r="C130" i="38"/>
  <c r="E126" i="38"/>
  <c r="D126" i="38"/>
  <c r="C126" i="38"/>
  <c r="E125" i="38"/>
  <c r="D125" i="38"/>
  <c r="C125" i="38"/>
  <c r="D120" i="38"/>
  <c r="D119" i="38"/>
  <c r="E120" i="38"/>
  <c r="E119" i="38"/>
  <c r="C120" i="38"/>
  <c r="C119" i="38"/>
  <c r="H113" i="38"/>
  <c r="G113" i="38"/>
  <c r="G114" i="38"/>
  <c r="H114" i="38"/>
  <c r="H112" i="38"/>
  <c r="G112" i="38"/>
  <c r="F113" i="38"/>
  <c r="F114" i="38"/>
  <c r="F112" i="38"/>
  <c r="E113" i="38"/>
  <c r="E114" i="38"/>
  <c r="E112" i="38"/>
  <c r="D114" i="38"/>
  <c r="D113" i="38"/>
  <c r="D112" i="38"/>
  <c r="C113" i="38"/>
  <c r="C114" i="38"/>
  <c r="C112" i="38"/>
  <c r="H104" i="38"/>
  <c r="G104" i="38"/>
  <c r="G105" i="38"/>
  <c r="H105" i="38"/>
  <c r="H103" i="38"/>
  <c r="G103" i="38"/>
  <c r="F104" i="38"/>
  <c r="F103" i="38"/>
  <c r="F105" i="38"/>
  <c r="E104" i="38"/>
  <c r="E105" i="38"/>
  <c r="E103" i="38"/>
  <c r="D103" i="38"/>
  <c r="D104" i="38"/>
  <c r="C104" i="38"/>
  <c r="C105" i="38"/>
  <c r="D105" i="38"/>
  <c r="C103" i="38"/>
  <c r="G97" i="38"/>
  <c r="E97" i="38"/>
  <c r="D97" i="38"/>
  <c r="F97" i="38"/>
  <c r="H97" i="38"/>
  <c r="C97" i="38"/>
  <c r="C76" i="38"/>
  <c r="C75" i="38"/>
  <c r="C74" i="38"/>
  <c r="C77" i="38"/>
  <c r="C62" i="38"/>
  <c r="C63" i="38"/>
  <c r="C64" i="38"/>
  <c r="E59" i="38"/>
  <c r="D59" i="38"/>
  <c r="C59" i="38"/>
  <c r="E58" i="38"/>
  <c r="D58" i="38"/>
  <c r="C58" i="38"/>
  <c r="C25" i="38"/>
  <c r="D13" i="38"/>
  <c r="C20" i="38"/>
  <c r="C30" i="38"/>
  <c r="C21" i="38"/>
  <c r="C31" i="38"/>
  <c r="C32" i="38"/>
  <c r="C34" i="38"/>
  <c r="D19" i="38"/>
  <c r="D29" i="38"/>
  <c r="D20" i="38"/>
  <c r="D30" i="38"/>
  <c r="D21" i="38"/>
  <c r="D31" i="38"/>
  <c r="D32" i="38"/>
  <c r="D34" i="38"/>
  <c r="C38" i="38"/>
  <c r="C37" i="38"/>
  <c r="C45" i="38"/>
  <c r="F13" i="38"/>
  <c r="E19" i="38"/>
  <c r="E29" i="38"/>
  <c r="E20" i="38"/>
  <c r="E30" i="38"/>
  <c r="E21" i="38"/>
  <c r="E31" i="38"/>
  <c r="E32" i="38"/>
  <c r="E34" i="38"/>
  <c r="F19" i="38"/>
  <c r="F29" i="38"/>
  <c r="F20" i="38"/>
  <c r="F30" i="38"/>
  <c r="F21" i="38"/>
  <c r="F31" i="38"/>
  <c r="F32" i="38"/>
  <c r="F34" i="38"/>
  <c r="D37" i="38"/>
  <c r="D45" i="38"/>
  <c r="H13" i="38"/>
  <c r="G19" i="38"/>
  <c r="G29" i="38"/>
  <c r="G20" i="38"/>
  <c r="G30" i="38"/>
  <c r="G21" i="38"/>
  <c r="G31" i="38"/>
  <c r="G32" i="38"/>
  <c r="G34" i="38"/>
  <c r="H19" i="38"/>
  <c r="H29" i="38"/>
  <c r="H20" i="38"/>
  <c r="H30" i="38"/>
  <c r="H21" i="38"/>
  <c r="H31" i="38"/>
  <c r="H32" i="38"/>
  <c r="H34" i="38"/>
  <c r="E37" i="38"/>
  <c r="E45" i="38"/>
  <c r="C50" i="38"/>
  <c r="D38" i="38"/>
  <c r="D44" i="38"/>
  <c r="E38" i="38"/>
  <c r="E44" i="38"/>
  <c r="E51" i="38"/>
  <c r="D51" i="38"/>
  <c r="E50" i="38"/>
  <c r="D50" i="38"/>
  <c r="C51" i="38"/>
  <c r="K22" i="36"/>
  <c r="J20" i="36"/>
  <c r="J16" i="36"/>
  <c r="F16" i="36"/>
  <c r="R25" i="34"/>
  <c r="R24" i="34"/>
  <c r="R23" i="34"/>
  <c r="R22" i="34"/>
  <c r="F60" i="34"/>
  <c r="F61" i="34"/>
  <c r="F62" i="34"/>
  <c r="F63" i="34"/>
  <c r="F59" i="34"/>
  <c r="K63" i="34"/>
  <c r="K62" i="34"/>
  <c r="K61" i="34"/>
  <c r="K60" i="34"/>
  <c r="K59" i="34"/>
  <c r="E59" i="34"/>
  <c r="E60" i="34"/>
  <c r="E61" i="34"/>
  <c r="E62" i="34"/>
  <c r="E63" i="34"/>
  <c r="K58" i="34"/>
  <c r="J58" i="34"/>
  <c r="E58" i="34"/>
  <c r="K57" i="34"/>
  <c r="J57" i="34"/>
  <c r="K56" i="34"/>
  <c r="J56" i="34"/>
  <c r="J59" i="34"/>
  <c r="K55" i="34"/>
  <c r="J55" i="34"/>
  <c r="K54" i="34"/>
  <c r="J54" i="34"/>
  <c r="K53" i="34"/>
  <c r="J53" i="34"/>
  <c r="K52" i="34"/>
  <c r="J52" i="34"/>
  <c r="K51" i="34"/>
  <c r="J51" i="34"/>
  <c r="K50" i="34"/>
  <c r="J50" i="34"/>
  <c r="K49" i="34"/>
  <c r="J49" i="34"/>
  <c r="K48" i="34"/>
  <c r="J48" i="34"/>
  <c r="K47" i="34"/>
  <c r="J47" i="34"/>
  <c r="F38" i="34"/>
  <c r="F39" i="34"/>
  <c r="F40" i="34"/>
  <c r="F41" i="34"/>
  <c r="F42" i="34"/>
  <c r="K37" i="34"/>
  <c r="J37" i="34"/>
  <c r="E37" i="34"/>
  <c r="E38" i="34"/>
  <c r="E39" i="34"/>
  <c r="K36" i="34"/>
  <c r="J36" i="34"/>
  <c r="K35" i="34"/>
  <c r="J35" i="34"/>
  <c r="J38" i="34"/>
  <c r="K34" i="34"/>
  <c r="J34" i="34"/>
  <c r="K33" i="34"/>
  <c r="J33" i="34"/>
  <c r="K32" i="34"/>
  <c r="J32" i="34"/>
  <c r="K31" i="34"/>
  <c r="J31" i="34"/>
  <c r="K30" i="34"/>
  <c r="J30" i="34"/>
  <c r="K29" i="34"/>
  <c r="J29" i="34"/>
  <c r="K28" i="34"/>
  <c r="J28" i="34"/>
  <c r="K27" i="34"/>
  <c r="J27" i="34"/>
  <c r="K26" i="34"/>
  <c r="J26" i="34"/>
  <c r="M16" i="36"/>
  <c r="L16" i="36"/>
  <c r="K16" i="36"/>
  <c r="I16" i="36"/>
  <c r="H16" i="36"/>
  <c r="F15" i="36"/>
  <c r="H15" i="36"/>
  <c r="H14" i="36"/>
  <c r="H13" i="36"/>
  <c r="E15" i="36"/>
  <c r="E16" i="36"/>
  <c r="E17" i="36"/>
  <c r="E18" i="36"/>
  <c r="E19" i="36"/>
  <c r="E20" i="36"/>
  <c r="K5" i="34"/>
  <c r="K6" i="34"/>
  <c r="K7" i="34"/>
  <c r="K8" i="34"/>
  <c r="K9" i="34"/>
  <c r="K10" i="34"/>
  <c r="K11" i="34"/>
  <c r="K12" i="34"/>
  <c r="K13" i="34"/>
  <c r="K14" i="34"/>
  <c r="K15" i="34"/>
  <c r="K4" i="34"/>
  <c r="J5" i="34"/>
  <c r="J6" i="34"/>
  <c r="J7" i="34"/>
  <c r="J8" i="34"/>
  <c r="J9" i="34"/>
  <c r="J10" i="34"/>
  <c r="J11" i="34"/>
  <c r="J12" i="34"/>
  <c r="J13" i="34"/>
  <c r="J14" i="34"/>
  <c r="J15" i="34"/>
  <c r="J4" i="34"/>
  <c r="E15" i="34"/>
  <c r="E16" i="34"/>
  <c r="E17" i="34"/>
  <c r="E18" i="34"/>
  <c r="F18" i="34"/>
  <c r="B11" i="32"/>
  <c r="A11" i="32"/>
  <c r="J2" i="3"/>
  <c r="J3" i="3"/>
  <c r="J4" i="3"/>
  <c r="J5" i="3"/>
  <c r="J6" i="3"/>
  <c r="J7" i="3"/>
  <c r="J8" i="3"/>
  <c r="J9" i="3"/>
  <c r="J10" i="3"/>
  <c r="J11" i="3"/>
  <c r="J12" i="3"/>
  <c r="J13" i="3"/>
  <c r="J14" i="3"/>
  <c r="J15" i="3"/>
  <c r="J16" i="3"/>
  <c r="J17" i="3"/>
  <c r="J18" i="3"/>
  <c r="V2" i="1"/>
  <c r="V3" i="1"/>
  <c r="V4" i="1"/>
  <c r="V5" i="1"/>
  <c r="V6" i="1"/>
  <c r="V7" i="1"/>
  <c r="V8" i="1"/>
  <c r="V9" i="1"/>
  <c r="V10" i="1"/>
  <c r="V11" i="1"/>
  <c r="V12" i="1"/>
  <c r="V13" i="1"/>
  <c r="V14" i="1"/>
  <c r="V15" i="1"/>
  <c r="V16" i="1"/>
  <c r="V17" i="1"/>
  <c r="V18" i="1"/>
  <c r="V19" i="1"/>
  <c r="V20" i="1"/>
  <c r="V21" i="1"/>
  <c r="R3" i="1"/>
  <c r="R4" i="1"/>
  <c r="R5" i="1"/>
  <c r="R6" i="1"/>
  <c r="R7" i="1"/>
  <c r="R8" i="1"/>
  <c r="R9" i="1"/>
  <c r="R10" i="1"/>
  <c r="R11" i="1"/>
  <c r="R12" i="1"/>
  <c r="R13" i="1"/>
  <c r="R14" i="1"/>
  <c r="R15" i="1"/>
  <c r="R16" i="1"/>
  <c r="R17" i="1"/>
  <c r="R18" i="1"/>
  <c r="R19" i="1"/>
  <c r="R20" i="1"/>
  <c r="R21" i="1"/>
  <c r="R2" i="1"/>
  <c r="Q3" i="1"/>
  <c r="Q4" i="1"/>
  <c r="Q5" i="1"/>
  <c r="Q6" i="1"/>
  <c r="Q7" i="1"/>
  <c r="Q8" i="1"/>
  <c r="Q9" i="1"/>
  <c r="Q10" i="1"/>
  <c r="Q11" i="1"/>
  <c r="Q12" i="1"/>
  <c r="Q13" i="1"/>
  <c r="Q14" i="1"/>
  <c r="Q15" i="1"/>
  <c r="Q16" i="1"/>
  <c r="Q17" i="1"/>
  <c r="Q18" i="1"/>
  <c r="Q19" i="1"/>
  <c r="Q20" i="1"/>
  <c r="Q21" i="1"/>
  <c r="Q2" i="1"/>
  <c r="M3" i="1"/>
  <c r="M4" i="1"/>
  <c r="M5" i="1"/>
  <c r="M6" i="1"/>
  <c r="M7" i="1"/>
  <c r="M8" i="1"/>
  <c r="M9" i="1"/>
  <c r="M10" i="1"/>
  <c r="M11" i="1"/>
  <c r="M12" i="1"/>
  <c r="M13" i="1"/>
  <c r="M14" i="1"/>
  <c r="M15" i="1"/>
  <c r="M16" i="1"/>
  <c r="M17" i="1"/>
  <c r="M18" i="1"/>
  <c r="M19" i="1"/>
  <c r="M20" i="1"/>
  <c r="M21" i="1"/>
  <c r="M2" i="1"/>
  <c r="F18" i="1"/>
  <c r="D18" i="1"/>
  <c r="G18" i="1"/>
  <c r="I18" i="1"/>
  <c r="J18" i="1"/>
  <c r="G4" i="1"/>
  <c r="H4" i="1"/>
  <c r="G11" i="1"/>
  <c r="H11" i="1"/>
  <c r="G8" i="1"/>
  <c r="H8" i="1"/>
  <c r="G13" i="1"/>
  <c r="H13" i="1"/>
  <c r="G12" i="1"/>
  <c r="H12" i="1"/>
  <c r="G5" i="1"/>
  <c r="H5" i="1"/>
  <c r="G20" i="1"/>
  <c r="H20" i="1"/>
  <c r="G16" i="1"/>
  <c r="H16" i="1"/>
  <c r="G15" i="1"/>
  <c r="H15" i="1"/>
  <c r="G9" i="1"/>
  <c r="H9" i="1"/>
  <c r="G17" i="1"/>
  <c r="H17" i="1"/>
  <c r="G6" i="1"/>
  <c r="H6" i="1"/>
  <c r="G2" i="1"/>
  <c r="H2" i="1"/>
  <c r="G3" i="1"/>
  <c r="H3" i="1"/>
  <c r="G14" i="1"/>
  <c r="H14" i="1"/>
  <c r="G21" i="1"/>
  <c r="H21" i="1"/>
  <c r="G19" i="1"/>
  <c r="H19" i="1"/>
  <c r="G10" i="1"/>
  <c r="H10" i="1"/>
  <c r="G7" i="1"/>
  <c r="H7" i="1"/>
  <c r="F4" i="1"/>
  <c r="F11" i="1"/>
  <c r="F8" i="1"/>
  <c r="F13" i="1"/>
  <c r="F12" i="1"/>
  <c r="F5" i="1"/>
  <c r="F20" i="1"/>
  <c r="F16" i="1"/>
  <c r="F15" i="1"/>
  <c r="F9" i="1"/>
  <c r="F17" i="1"/>
  <c r="F6" i="1"/>
  <c r="F2" i="1"/>
  <c r="F3" i="1"/>
  <c r="F14" i="1"/>
  <c r="F21" i="1"/>
  <c r="F19" i="1"/>
  <c r="F10" i="1"/>
  <c r="F7" i="1"/>
  <c r="D3" i="1"/>
  <c r="D4" i="1"/>
  <c r="D5" i="1"/>
  <c r="D6" i="1"/>
  <c r="D7" i="1"/>
  <c r="D8" i="1"/>
  <c r="D9" i="1"/>
  <c r="D10" i="1"/>
  <c r="D11" i="1"/>
  <c r="D12" i="1"/>
  <c r="D13" i="1"/>
  <c r="D14" i="1"/>
  <c r="D15" i="1"/>
  <c r="D16" i="1"/>
  <c r="D17" i="1"/>
  <c r="D19" i="1"/>
  <c r="D20" i="1"/>
  <c r="D21" i="1"/>
  <c r="D2" i="1"/>
  <c r="J60" i="34"/>
  <c r="G38" i="34"/>
  <c r="J39" i="34"/>
  <c r="K17" i="34"/>
  <c r="K16" i="34"/>
  <c r="K38" i="34"/>
  <c r="K39" i="34"/>
  <c r="K40" i="34"/>
  <c r="K41" i="34"/>
  <c r="K42" i="34"/>
  <c r="E40" i="34"/>
  <c r="J16" i="34"/>
  <c r="J17" i="34"/>
  <c r="F16" i="34"/>
  <c r="J18" i="34"/>
  <c r="J19" i="34"/>
  <c r="K20" i="34"/>
  <c r="K19" i="34"/>
  <c r="K18" i="34"/>
  <c r="G16" i="34"/>
  <c r="H16" i="34"/>
  <c r="E19" i="34"/>
  <c r="I18" i="34"/>
  <c r="G16" i="36"/>
  <c r="F17" i="34"/>
  <c r="G17" i="34"/>
  <c r="G18" i="34"/>
  <c r="H18" i="34"/>
  <c r="H18" i="1"/>
  <c r="I17" i="1"/>
  <c r="J17" i="1"/>
  <c r="I9" i="1"/>
  <c r="J9" i="1"/>
  <c r="I6" i="1"/>
  <c r="J6" i="1"/>
  <c r="I15" i="1"/>
  <c r="J15" i="1"/>
  <c r="I16" i="1"/>
  <c r="J16" i="1"/>
  <c r="I7" i="1"/>
  <c r="J7" i="1"/>
  <c r="I20" i="1"/>
  <c r="J20" i="1"/>
  <c r="I10" i="1"/>
  <c r="J10" i="1"/>
  <c r="I5" i="1"/>
  <c r="J5" i="1"/>
  <c r="I19" i="1"/>
  <c r="J19" i="1"/>
  <c r="I12" i="1"/>
  <c r="J12" i="1"/>
  <c r="I21" i="1"/>
  <c r="J21" i="1"/>
  <c r="I13" i="1"/>
  <c r="J13" i="1"/>
  <c r="I14" i="1"/>
  <c r="J14" i="1"/>
  <c r="I8" i="1"/>
  <c r="J8" i="1"/>
  <c r="I3" i="1"/>
  <c r="J3" i="1"/>
  <c r="I11" i="1"/>
  <c r="J11" i="1"/>
  <c r="I2" i="1"/>
  <c r="J2" i="1"/>
  <c r="I4" i="1"/>
  <c r="J4" i="1"/>
  <c r="I59" i="34"/>
  <c r="G59" i="34"/>
  <c r="H59" i="34"/>
  <c r="J61" i="34"/>
  <c r="J40" i="34"/>
  <c r="I38" i="34"/>
  <c r="H38" i="34"/>
  <c r="E41" i="34"/>
  <c r="G39" i="34"/>
  <c r="H39" i="34"/>
  <c r="I39" i="34"/>
  <c r="J20" i="34"/>
  <c r="I16" i="34"/>
  <c r="F17" i="36"/>
  <c r="G17" i="36"/>
  <c r="F18" i="36"/>
  <c r="I17" i="36"/>
  <c r="J17" i="36"/>
  <c r="E20" i="34"/>
  <c r="F20" i="34"/>
  <c r="F19" i="34"/>
  <c r="P22" i="34"/>
  <c r="I17" i="34"/>
  <c r="G60" i="34"/>
  <c r="H60" i="34"/>
  <c r="I60" i="34"/>
  <c r="I61" i="34"/>
  <c r="G61" i="34"/>
  <c r="H61" i="34"/>
  <c r="J62" i="34"/>
  <c r="J41" i="34"/>
  <c r="E42" i="34"/>
  <c r="I40" i="34"/>
  <c r="G40" i="34"/>
  <c r="H40" i="34"/>
  <c r="H17" i="36"/>
  <c r="K17" i="36"/>
  <c r="M17" i="36"/>
  <c r="I18" i="36"/>
  <c r="J18" i="36"/>
  <c r="I19" i="34"/>
  <c r="G19" i="34"/>
  <c r="I20" i="34"/>
  <c r="G20" i="34"/>
  <c r="H20" i="34"/>
  <c r="H18" i="36"/>
  <c r="G18" i="36"/>
  <c r="F19" i="36"/>
  <c r="H17" i="34"/>
  <c r="I62" i="34"/>
  <c r="G62" i="34"/>
  <c r="H62" i="34"/>
  <c r="J63" i="34"/>
  <c r="J42" i="34"/>
  <c r="I42" i="34"/>
  <c r="I41" i="34"/>
  <c r="G41" i="34"/>
  <c r="H41" i="34"/>
  <c r="P25" i="34"/>
  <c r="H19" i="34"/>
  <c r="P24" i="34"/>
  <c r="P23" i="34"/>
  <c r="K18" i="36"/>
  <c r="L18" i="36"/>
  <c r="M18" i="36"/>
  <c r="L17" i="36"/>
  <c r="I19" i="36"/>
  <c r="J19" i="36"/>
  <c r="G19" i="36"/>
  <c r="F20" i="36"/>
  <c r="H19" i="36"/>
  <c r="I63" i="34"/>
  <c r="G63" i="34"/>
  <c r="H63" i="34"/>
  <c r="Q25" i="34"/>
  <c r="Q22" i="34"/>
  <c r="G42" i="34"/>
  <c r="H42" i="34"/>
  <c r="Q24" i="34"/>
  <c r="K19" i="36"/>
  <c r="M19" i="36"/>
  <c r="I20" i="36"/>
  <c r="G20" i="36"/>
  <c r="H20" i="36"/>
  <c r="Q23" i="34"/>
  <c r="K20" i="36"/>
  <c r="L20" i="36"/>
  <c r="M20" i="36"/>
  <c r="K25" i="36"/>
  <c r="L19" i="36"/>
  <c r="K23" i="36"/>
  <c r="K24" i="36"/>
</calcChain>
</file>

<file path=xl/sharedStrings.xml><?xml version="1.0" encoding="utf-8"?>
<sst xmlns="http://schemas.openxmlformats.org/spreadsheetml/2006/main" count="633" uniqueCount="325">
  <si>
    <t>ID_angajat</t>
  </si>
  <si>
    <t>Nume</t>
  </si>
  <si>
    <t>Prenume</t>
  </si>
  <si>
    <t>CNP</t>
  </si>
  <si>
    <t>Mail</t>
  </si>
  <si>
    <t>Telefon</t>
  </si>
  <si>
    <t>Functie</t>
  </si>
  <si>
    <t>Salariu_lunar_net</t>
  </si>
  <si>
    <t>Data_angajare</t>
  </si>
  <si>
    <t>ID_sediu</t>
  </si>
  <si>
    <t>Oras</t>
  </si>
  <si>
    <t>Adresa</t>
  </si>
  <si>
    <t>Popa</t>
  </si>
  <si>
    <t>Ioana</t>
  </si>
  <si>
    <t>2701011170919</t>
  </si>
  <si>
    <t>ioana.popa@bitdefender.com</t>
  </si>
  <si>
    <t>0733456789</t>
  </si>
  <si>
    <t>Software Developer</t>
  </si>
  <si>
    <t>Bucuresti</t>
  </si>
  <si>
    <t>Radulescu</t>
  </si>
  <si>
    <t>Marius</t>
  </si>
  <si>
    <t>1701011171636</t>
  </si>
  <si>
    <t>marius.radulescu@bitdefender.com</t>
  </si>
  <si>
    <t>0745678901</t>
  </si>
  <si>
    <t>QA Engineer</t>
  </si>
  <si>
    <t>Constantinescu</t>
  </si>
  <si>
    <t>Roxana</t>
  </si>
  <si>
    <t>2710414089790</t>
  </si>
  <si>
    <t>roxana.constantinescu@bitdefender.com</t>
  </si>
  <si>
    <t>0722345678</t>
  </si>
  <si>
    <t>Project Manager</t>
  </si>
  <si>
    <t>Cluj-Napoca</t>
  </si>
  <si>
    <t>Strada Henri Barbusse 44-46, Cluj-Napoca 400394</t>
  </si>
  <si>
    <t>Matei</t>
  </si>
  <si>
    <t>Bogdan</t>
  </si>
  <si>
    <t>1710414085660</t>
  </si>
  <si>
    <t>bogdan.matei@bitdefender.com</t>
  </si>
  <si>
    <t>0731123456</t>
  </si>
  <si>
    <t>Marketing Specialist</t>
  </si>
  <si>
    <t>Iasi</t>
  </si>
  <si>
    <t>Petrescu</t>
  </si>
  <si>
    <t>Gabriela</t>
  </si>
  <si>
    <t>2890754321891</t>
  </si>
  <si>
    <t>gabriela.petrescu@bitdefender.com</t>
  </si>
  <si>
    <t>0742345678</t>
  </si>
  <si>
    <t>Network Administrator</t>
  </si>
  <si>
    <t>Timisoara</t>
  </si>
  <si>
    <t>Toma</t>
  </si>
  <si>
    <t>Iulia</t>
  </si>
  <si>
    <t>2810624082172</t>
  </si>
  <si>
    <t>iulia.toma@bitdefender.com</t>
  </si>
  <si>
    <t>0751122334</t>
  </si>
  <si>
    <t>Data Analyst</t>
  </si>
  <si>
    <t>Targu Mures</t>
  </si>
  <si>
    <t>Multinvest Business Center 2, Targu Mures</t>
  </si>
  <si>
    <t>Dumitriu</t>
  </si>
  <si>
    <t>Andrei</t>
  </si>
  <si>
    <t>1810624083711</t>
  </si>
  <si>
    <t>andrei.dumitriu@bitdefender.com</t>
  </si>
  <si>
    <t>0742345658</t>
  </si>
  <si>
    <t>Business Analyst</t>
  </si>
  <si>
    <t>Nistor</t>
  </si>
  <si>
    <t>Simona</t>
  </si>
  <si>
    <t>2890609089712</t>
  </si>
  <si>
    <t>simona.nistor@bitdefender.com</t>
  </si>
  <si>
    <t>0743220860</t>
  </si>
  <si>
    <t>HR Specialist</t>
  </si>
  <si>
    <t>Stefan</t>
  </si>
  <si>
    <t>Radu</t>
  </si>
  <si>
    <t>1890609083007</t>
  </si>
  <si>
    <t>radu.stefan@bitdefender.com</t>
  </si>
  <si>
    <t>0732345678</t>
  </si>
  <si>
    <t>IT Support Specialist</t>
  </si>
  <si>
    <t>Dima</t>
  </si>
  <si>
    <t>Vasile</t>
  </si>
  <si>
    <t>1890609033123</t>
  </si>
  <si>
    <t>vasile.dima@bitdefender.com</t>
  </si>
  <si>
    <t>0751345678</t>
  </si>
  <si>
    <t>Software Engineer</t>
  </si>
  <si>
    <t>Ilie</t>
  </si>
  <si>
    <t>Daniela</t>
  </si>
  <si>
    <t>2931009066751</t>
  </si>
  <si>
    <t>daniela.ilie@bitdefender.com</t>
  </si>
  <si>
    <t>0723456789</t>
  </si>
  <si>
    <t>Senior Developer</t>
  </si>
  <si>
    <t>Gheorghiu</t>
  </si>
  <si>
    <t>Mihai</t>
  </si>
  <si>
    <t>1970412345670</t>
  </si>
  <si>
    <t>mihai.gheorghiu@bitdefender.com</t>
  </si>
  <si>
    <t>0772345678</t>
  </si>
  <si>
    <t>Cybersecurity Analyst</t>
  </si>
  <si>
    <t>Rusu</t>
  </si>
  <si>
    <t>Alina</t>
  </si>
  <si>
    <t>2931009430837</t>
  </si>
  <si>
    <t>alina.rusu@bitdefender.com</t>
  </si>
  <si>
    <t>0781123456</t>
  </si>
  <si>
    <t>Product Manager</t>
  </si>
  <si>
    <t>Nica</t>
  </si>
  <si>
    <t>Sorin</t>
  </si>
  <si>
    <t>1780723456789</t>
  </si>
  <si>
    <t>sorin.nica@bitdefender.com</t>
  </si>
  <si>
    <t>0741456789</t>
  </si>
  <si>
    <t>Frontend Developer</t>
  </si>
  <si>
    <t>Munteanu</t>
  </si>
  <si>
    <t>Andreea</t>
  </si>
  <si>
    <t>6000629433207</t>
  </si>
  <si>
    <t>andreea.munteanu@bitdefender.com</t>
  </si>
  <si>
    <t>0752345678</t>
  </si>
  <si>
    <t>Backend Developer</t>
  </si>
  <si>
    <t>Petraru</t>
  </si>
  <si>
    <t>Vlad</t>
  </si>
  <si>
    <t>5000629439839</t>
  </si>
  <si>
    <t>vlad.petraru@bitdefender.com</t>
  </si>
  <si>
    <t>0792345678</t>
  </si>
  <si>
    <t>Chirila</t>
  </si>
  <si>
    <t>2970717434401</t>
  </si>
  <si>
    <t>ioana.chirila@bitdefender.com</t>
  </si>
  <si>
    <t>0701234567</t>
  </si>
  <si>
    <t>Cloud Engineer</t>
  </si>
  <si>
    <t>Stanciu</t>
  </si>
  <si>
    <t>1890823456789</t>
  </si>
  <si>
    <t>bogdan.stanciu@bitdefender.com</t>
  </si>
  <si>
    <t>0792345648</t>
  </si>
  <si>
    <t>Systems Administrator</t>
  </si>
  <si>
    <t>Mihaila</t>
  </si>
  <si>
    <t>Laura</t>
  </si>
  <si>
    <t>2970717042714</t>
  </si>
  <si>
    <t>laura.mihaila@bitdefender.com</t>
  </si>
  <si>
    <t>0723456489</t>
  </si>
  <si>
    <t>Sales Manager</t>
  </si>
  <si>
    <t>Silviana</t>
  </si>
  <si>
    <t>2940518045059</t>
  </si>
  <si>
    <t>silviana.rusu@bitdefender.com</t>
  </si>
  <si>
    <t>0734567891</t>
  </si>
  <si>
    <t>UX/UI Designer</t>
  </si>
  <si>
    <t>Soseaua Orhideelor 15A, 060071, Bucuresti</t>
  </si>
  <si>
    <t>Bulevardul Antenei, Timisoara</t>
  </si>
  <si>
    <t>Strada Sfantul Lazar 27, Iasi 700259</t>
  </si>
  <si>
    <t>Nume_complet</t>
  </si>
  <si>
    <t>Sex</t>
  </si>
  <si>
    <t>Cifra_sex</t>
  </si>
  <si>
    <t>Anul_nasterii</t>
  </si>
  <si>
    <t>Varsta_ang</t>
  </si>
  <si>
    <t>Dim_CNP</t>
  </si>
  <si>
    <t>Dim_telefon</t>
  </si>
  <si>
    <t>Validare_data_ang</t>
  </si>
  <si>
    <t>Vechime</t>
  </si>
  <si>
    <t xml:space="preserve">,A1)-1)_x000D_
</t>
  </si>
  <si>
    <t>Adresa_valida</t>
  </si>
  <si>
    <t>ID</t>
  </si>
  <si>
    <t>An</t>
  </si>
  <si>
    <t>Cifra_afaceri</t>
  </si>
  <si>
    <t>Profit_net</t>
  </si>
  <si>
    <t>Datorii</t>
  </si>
  <si>
    <t>Active_imobilizate</t>
  </si>
  <si>
    <t>Active_circulante</t>
  </si>
  <si>
    <t>Capitaluri_proprii</t>
  </si>
  <si>
    <t>Nr_mediu_angajati</t>
  </si>
  <si>
    <t>Mean</t>
  </si>
  <si>
    <t>Standard Error</t>
  </si>
  <si>
    <t>Median</t>
  </si>
  <si>
    <t>Mode</t>
  </si>
  <si>
    <t>Standard Deviation</t>
  </si>
  <si>
    <t>Sample Variance</t>
  </si>
  <si>
    <t>Kurtosis</t>
  </si>
  <si>
    <t>Skewness</t>
  </si>
  <si>
    <t>Range</t>
  </si>
  <si>
    <t>Minimum</t>
  </si>
  <si>
    <t>Maximum</t>
  </si>
  <si>
    <t>Sum</t>
  </si>
  <si>
    <t>Count</t>
  </si>
  <si>
    <t>Grand Total</t>
  </si>
  <si>
    <t>Row Labels</t>
  </si>
  <si>
    <t>Sum of Cifra_afaceri</t>
  </si>
  <si>
    <t>Sum of Profit_net</t>
  </si>
  <si>
    <t>Sum of Datorii</t>
  </si>
  <si>
    <t>Sum of Active_imobilizate</t>
  </si>
  <si>
    <t>Sum of Active_circulante</t>
  </si>
  <si>
    <t>Sum of Capitaluri_proprii</t>
  </si>
  <si>
    <t>Sum of Nr_mediu_angajati</t>
  </si>
  <si>
    <t>Sum of Salariu_lunar_net</t>
  </si>
  <si>
    <t>Rata_profit</t>
  </si>
  <si>
    <t>Sum of Rata_profit</t>
  </si>
  <si>
    <t>RAPORT PRIVIND PERFORMANTA FINANCIARA A COMPANIEI BITDEFENDER S.R.L.</t>
  </si>
  <si>
    <t>Contributia fiecarui an la profitul total</t>
  </si>
  <si>
    <t>Evolutia cifrei de afaceri si a profitului net</t>
  </si>
  <si>
    <t>Analiza indicatorilor financiari in perioada 2007-2023</t>
  </si>
  <si>
    <t>Distributia salariilor lunare nete pe functii</t>
  </si>
  <si>
    <t>Cresterea anuala procentuala a datoriilor si a capitalului propriu</t>
  </si>
  <si>
    <t xml:space="preserve">Top 3 ani dupa rata profitului net </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</si>
  <si>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</si>
  <si>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</si>
  <si>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</si>
  <si>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</si>
  <si>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</si>
  <si>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</si>
  <si>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</si>
  <si>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</si>
  <si>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</si>
  <si>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</si>
  <si>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</si>
  <si>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</si>
  <si>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8df6d71f-6223-4926-9bcb-cf00460a548b</t>
  </si>
  <si>
    <t>CB_Block_0</t>
  </si>
  <si>
    <t>㜸〱敤㕣㕢㙣ㅣ搷㜹摥㌳摣㔹敥㉣㐹㤱ㄶ攵㡢ㅣ㕦㤸㌸㡥ㄳ㔳愱㐵搹慡攳戴慡挲㡢㜵戱㈹㤱ㄶ㈹㌹㐱ㄲ慣㠶扢㘷挴戱㜶㘶攸㤹㔹㑡㜴っ搸㐸㥤㌸㐱㙥㐰㝡㐱㥣㌸㠹㙢ㄴ〹昲㤲戴㉦戶㜳㜹㈹㔰㈰㐱攰〰㘹㤱〲つ㤰〷㈷〸摡㠷ㄶ慤㠰扥攴㈱㐰晡㝤㘷㘶㜶㘷㜶戹㐳㝡㙤户㜴挱㈳敦捦㌳攷㌶攷㥣晦㝡晥晦㡣ぢ愲㔰㈸晣〱㠹㝦㤹㡡捣摣戲扣ㄹ㠴搲㤹㥡昳ㅡつ㔹ぢ㙤捦つ愶㘶㝣摦摣㕣戰㠳㜰〰つ㑡㔵ㅢ昵㠱㕥つ散㈷㘴戹扡㈱晤〰㡤昴㐲愱㕣㌶㌴搴㜳㄰晥挶㤲〷㠳扤㠶㡢〰㉢㜳戳㡢慢㡦㘱搴攵搰昳攵愱㠹ぢ㔱摦㘳搳搳㔳搳㔳㐷て摦㝦㘴敡昰愱㠹戹㘶㈳㙣晡昲㤸㉢㥢愱㙦㌶づ㑤㉣㌵㔷ㅢ㜶敤㘱戹戹攲㕤㤶敥㌱戹㝡昸摥㔵昳扥て㑣摦㜷昴愸昵挰〳ㅦㄸ挶慢ぢ㘷攷㘶㤷㝣㘹〵㙦搲㤸㍡愷㝣摦扣慣搹㕣㥢㤴扥敤㕥㥡㥡㥢挵㝦愹昹攳改晥愹攵㌵㈹㐳扥㕡晡搲慤挹挰㐰挷㈱㘷㈶〸㥡捥㍡㌷捦㜰㑥㘰愹㌵㌳〸㜵㘷㑥㌶ㅡ㠶㤳㡣㕡㜶ㄶ戱㜷つ㜳㜳搸㔹㤶㙥㘰㠷昶㠶ㅤ㙥㤶㥣ㄵっ㔴ㅦ㜱捥〷昲㥣改㕥㤲㘷㑤㐷敡捥挹愶㕤㉦㐶愹㌰㜰㔷㌲㐴㝡㘲㙡昹㔳㌳㠱㌳户㘶晡㙡㐶〱㌷㈶愷敤〹扦㤶㙤㝢㐷敦㜱㌹㜵昵〶㡥㜹㘷敦㜶愸戹㘰晡慤㤶㤳扤㕢挶㡢捦捥攰㥥摥敤㔳㝢㤴敤昳扥摥㝤搴㔶㘶㕢㡢愱㤸扥搵㡥㘲㌱㐶㠹㘰㤰愰㑣㐰〴ㅡㄵ㠲㈱㠲㘱〰㔱晣㙦㜰㐹扡㈳慢戴慡愹㔵㔷戵㙡㑤慢搶戵慡搴慡㤶㔶扤愴㔵搷戴慡慤㔵ㅦ搳慡㤷搱㈶㐹攵挱㐱㉤㑥㝦晤敤㑦晣换攱晦晡挷㠷㕥搶晦改㤵㘷扦㝡敢扥攱㝤㘸昴㐸㍣愹㜹摦扣〲㔲㙢㔳㌱㌸㠲晦戶攷ち㌰㠵㜵搴扡摦㥡㥥慥ㅦ㍤㙣摥㙢敡㕣㔶づ昲㌳㠴㌲㠶戶挳搶愳戶㕢昷慥㈸摣摤㌲㙢〶戲扤㜱㤳㜱摤慣搷㜴敢挱㍢戶慥㕣づ捤㔰摥摣㔹搷ㅥ愴慢摢㌲搸㑡〶敡㝤户㜵㜶扢㘰㌶㥡㜲收慡ㅤ㔵摦摡㔱敤㉣昹摥㙡敦摡ㄳ扥㝣扣㔵摢㌵愳ㄹ〸戵つ㌵㜶搷㉡愳慡㘸㕥ㄳ㜳㙢㕥㈰㕤㌵扤㐹㘷挹慥㕤㤶晥戲愴㐸㤴㜵戵搴敢㔹ㄵ㜳晤攴愲㡢㠵㠲㕢敢敦㑡㤷㕡て㕥つ挱捣戲㡥昹慥㑢㍦摣㕣㌱㔷ㅢ昲㠶㑣㤳攸㥤愸㌸㤸㈹㍥攱搵㥡挱㥣攷㠶扥搷挸搶捣搴㌷㑣㐸㥡晡ㄹ慦㉥㡢挵㠲ㄲち㄰戸〳〳㐲ㄴ敥敥捤ぢちㄱ㈹ㄴ㤳㤱㙦捡㤲摤搴㌹慣づ慢㘸㐸搲愴昶敥㙤〶攳㝣㤵㡣挹攱挰搴㥡愸㍦昸搲昷㙥㌳㙣ぢ㜳㙦㙤㘳㑤ㅢ㡦㔷晦攰㠶㜴挳㔳愶㕢㙦㐸㍦㔷晢〹捥挸ㄸ〵搰慦㐱㈰昴摣㍤慡㍡㜱㔵㙣敡㔷散㝡戸㔶㕡㤳昶愵戵㄰㘵搰㤰攵㌲户戶㉢ㄹ搷愱挸搸㑦㌰づ㔰愹ㄴ㑡〷搸愸㔴㐱㉡攸㤴㑥㌹扣㥣ㄱ攴散㤷攱攵㘱敢㠴摤〸㘵㈴㤴㐷㉤㘰㈴搲㙡ち㝤㈳㈴㔱摦慣㐵ち攳㠰㌵〷㉡㌵㙤㌷摣㙣昳㙤ㄷ㤷㐴㐴戴㈷ぢ㜶㥤㉣愰㈸挸捡㠳ㅣ㕥〳搱㜴㐸㠳晣挶㈹㈲㈲ㅢ攴㘸㜶㡣㥣㈵㌲戶捦㤱ㄱ㘸㥦㈶㐲戶㍥摣㕢㐶㤰搸扢㠹㤴㥤㝡昲攳㥥㌴摢捡㤶㡦愴搹昵搸㌸攳〶㠲ㅢ〹㙥㈲㌸〸㈰晥ㄵㄲ㡥㔲づ昹㙣㌲摥㠱㘷攳ㄶ㠲㕢〱㈰㥦っ捡㥣㔸㔴搱㠶摡㠹ㅤ挹㜶㈳戰㤳㤵㔱ㅣ㠹㈲㕡挶㉤㍢㜳挴㔱㠸㡥慤捥摤愱㙢㡢㑡挷扥愷㌷㙤愶㤷㐳㡡捣㘹㥡㕥敢㌶㑤搳ㅢ挱愶㝤敡慤摢搱搵㤸㈰㜸㈷㐰挵㜸ㄷ㈱㤴ぢつ摥㥤㔹昴㌴㈹摦ㄶ㘶㔱㘴っ昵愹攰㘳㐲收ㄱ㈰㐷挸㜵ㅤ㕦昶㙣㘸㥡㠳㤳搶摢摥㠶㍥搴㥢扦㘳愴㜷攸捤㍤扤㐳㝦搱敢戴愲敦〰㝢㠹㕦昵搴㌱㜷愲摡㜸て挱㕤〰ㅤ㍡㠶愷敦搷敢㈹㔰㘶戱㤳挲摣㝥㝡㕤㤴㤵扢戲戹㉥㤵〶ㅡ戶㔶㑣晦㤲っ攱挱㌸㍤て㕢搸昳㝤搹挰愱戶慥ち㜸㝥戹㌱㕢ㄸ㥣昰㍤㠷攵㝢㌶㜲昰戶㔰っ挵愲㌶㔰攸戰㤱㜳㙣捤㤴捦㈹㐵㌹搴挱昷昶ㄶㄲ愹㑥㔹昲㘲扦晣昳攵㥥㈴改㐳㤲扣て摢㙡摣つ〰㈹㈱晥戹愷㐴㌹挴㘶敦㔷捤戲ㄶ㉢㍤㝣㌹愷㤳づㅦ㘲㤷ㅣㄹ㡡ㅣ戶戳昰ㅦ〴㈳捥戲敤戴㠴挵㤰戳㈴晤ㅡ㝣ぢ㜶㐳㔶㈲户㉣㐵捤㥥慣㜸㥢挸㡡㠱㠱慥昳㜴㡥㝦㑤搱㐹㠷㤴挸攵昶摣捡㥣戳㜸㥢愸攸㠶愴㔰挹㜱つ戵㈴㄰㈹㡦㙤昷㐴㑣ㅦ㈲收ㅥ㙣㥣㜱㤸㘰㥡攰〸㠰晥㌳㐸㥡㥤㙥㍣挳㘱㠳ㅢ㜴㘹㔷慢㠵㌲搱愰㕣㠴慦昶ㄴ㔶㐷昹㥡㍦㈲戸ㅦ愰挳晣愱〳㌲㠷㄰ㄵ捡㔳㠴愸挲ㄸ搶〵㕢㕥㈱つ散戳㄰㔸㥡㙢〶愱攷㌰戲㌴㘲捤㝢㘷扤㜰摥づ搶ㄱ㠹ㅡ户攲捣愳㙢搲〵㜵昹戰㝤㍡捡扣昵㜵㔹㌷慣㘵慦〹搱㜶㝡㝥㌷ㅣ捣戱ㅤ戰㈵搵搹㕣ㄳ㐸晤㥤㡦㌱㠴挰㑥㉢㝦㉢扤戱㍢昲㝥昳搰㌷摡摥搱ㄵ㍢㙣挸㈱㉢㘲㍡收换ㄶ㜶ㄱ㤱㠳晡愰戵戲收㑢㌹㍦㘲㥤昴敤㝡挳㜶㈵㤱〱ㅢ㤳挱扡〵㜹〹㔱㠲㈵㡦㌱㐰捦ㅤ戱㔶㝣搳つ搶㑤〶ㄴ㌷昷㘷㥥㔴㔸㐴户㘶㙤㌷挰㙢ㄴㄶ㤹ㅦ戵㤶搷扣㉢㠸搸㌶ㅤ昷愴戹ㅥ散ち慣㤰攸愳愴㔰㈳㌴愱㘹愲慣㤵晢挵てて攴㠵〲㜹慦㐸愰㜰㔵搰改㌳捦搱摥戴敢攳ㄸつ敤㜴捥㘹ㄸ搱愳㔶攱㐰慥ㄴ㈶愷ㅡて戰捦〷〱ㅥ㍡㜹晥㜴㍢㌲昷㠶㘲搶㍡扤晣㌹㌲㕥㤱㐵㉢㄰㐲ㅦ摤扥㠸㔴㔸㐶捡〱〷〲攳㝣敡㈴扦㡡愵摡㤰晡昶戵戳㈷㄰㐹ㅡ戶ㄶ捣㔵搹㐰㍣摡㌱挳㝤搱〳捤㔸挷㙣〴㜱摤㥣攷㌸㈶㐹㡢㘴戹㕣㌳㐹挱㌳捤搰㍢㘳扢㠶〵愰攸㉦㉥㌲慦愲挸扣慡㡡㠶慤㜳っつ慡㍣挷昲㉥㤹扥ㅤ慥㌹㜶慤捣〷㠶敦㜶〵㑤㠲挹㈹㜹㤳㤴挸㡣㠹づ㙢晥㍣㑣戶㘰ち攸㥥㠲ㅣ攵搶ㄱ晤愰㕣㑤㤴昰㑦昴改㔸㠲㠰㔱㥥㔲攳㑦㌰㥡慥㙥㐷㐰攴愸㜴㉤戹㠳㜱敤㈹㤴㐴㐲㠸㔸捦㈱ㄱ㜸〵㔳㐲㥥㉥敥㤲㜵摥戵㐳㘰㡦ㄸ㍢㘱㠷昳〱㔰づ㠰慣㍡摥摥慣戰㥡敡㌴搹搲ち户㜷㔷㘵搴挴㙤摤昵㘹扤昱敥㉤慡㈳㡤㤲㔲㈴摢㌵㔲㥡㘵㡢㌹敥㈶㔵㈳㤴攲㑥戴㡤挸㜳㥢戶昷㥤㔲攴つ㈸㈶㐵㌳〵攳㑦ㄵ愱㈰搰ㅢ敢㈸晡散昳挹㈳ㄵ戱愱つ㔰愱㥥㡡捡㐶攲㤰攰㘹㕣㍢愹换㑡晣〴晥摥ㄷ㘷ㄷ㥢㘱愶挶扣㍡ㅥ搷捣㌴ㅡ㡢㉥慣㠴㥡改搷㜷〹㑢㘳㙤㤱㠶㔱摣搹慦昶㡦戶㌷挵㠸㌱ㅢ㌲㉣㤲攳〷〶ㅢ㠲戹㔲ㄱ㔵㕡㘷㈳摣敡㔶㜱㤹㑦㘷愴改㉡っ㉣㠷昵㜹戹愱捣戰戶㈵㍦慥㍡戴㑥㡢㑡㡥ㅡ搶捣㙡〰㤵ㅥ㔲㡥挷㌹挵攰㠶㜵㡥㙥㈹㕣㘲㠰搸㡤㜳㑢戵㄰愱摤搶〰㍣ㄹ散ㅥ散㘰㐷愲搰〹慤㌳㑡搰㔲づ攱㘶ㄷ㐱摥改ㄳ愳㄰愴㤶㑡晦㜹㕣㝣昵㌹愶敦ㅣ㉦㈴㤹㤸㠹ㄸ敥捡戱ㅥ㠰摣㜴㘴㤲㕣㌴㥥〴捣㈳挹愶㠴搶㜰㔲㐶ㄳ㘳㠴㈶㥦ㅦ攲ㄶて㘳㔹愳㘴㥢〶敥戹㠵㌶戴㘹㘳㜳㥦㜵摡慤㌵㥡㜵愹㔴㜱㈲慢㤵㐶摥ㄵ昸㔲㔷〰㈳㙥捡搹㤷㜸㔳㑥攳㈸挵㈵ㄳ㐹晤摢摤挶㜱㜴㔷㐲づ㘳㐴慡㡦〱挸ㅣ户㥣ち㠸㜵摤㔳愰㝤戸扦㝤㠱㐱㕤㥥㠳㐸敢㉡愲㉣㕢挰㝤扣㔶ㄴ㔹㜱㕢慡搹㠲户攰搱㘶㑦ㄵ㥤戲愳愲㕤㠱㈳慣㌳ㄲ㜸愵ㄲ㡣㤱㍥戹㠳㠳ㄴ慥挵搱摤㙢㑦愹挷挲㌵愰㐲㘱㐰㌰挶换㔳㔰〱扢ち㐶愲挱慤戵慤㙥挱攸㉦㉤㙦㘳〶㐰㌰っ㑣㠳ㄶ㉤㈳〳㘷づ昹敤つ㥣摢搱㉡㈷㐲㥡づ愶㌲㐶㌹づ㠷㍤㤰〶㙥攲㐱㝡挵㠳ㄲちて愸㡢㘱挹摤挴㐹〷㐷㈰捦扦愱愳㜰挹っ㜱晤挵㍤搸㔱㍣㔳慦搳摣㠵㝦㙥㔷㘰ㄵ㔷㌷㈲㜳昴㐰挷愵㉣戵㈶摡㜷㜷㜴㔴挴㤷〵㡦捣㑦㥤㌲挳摡摡㜲戸ㄹ㕤摣敡㤷㈴昴ㅦ挱ㅦ戱攵摢㘹㌳ㄷ㕤㕥㐴摤攰摥㔷㉥扢摥ㄵ㔷捤㑢て㜸敢てㄴ㠲㉢㤴㠳㥣㘴愵昰〷晣㔳㐹㉢攸㍦挴㠸㍢㤹㌶〷㘸㍢㐸㌸㡥㑡㤱㌴㤸㐰㍥㠷㑥㘰扢户㙥つ㤰㑥づ㜴搰㠹ㄲ〴㝢㠴攲㕥㝡搳〸㐵晣〰㘸㈵戱㐴㐷㜲散昹户挰晡攲晢㈸㈱挲昱ㅣ㡢ㄱ晤㥤挸攵愰㑥〹昲昸㡡〷㉦㠴晣晦挱㔲挲捤㕢戲搳晦〲㌳㡢㔷㍡㔱㜴ㅢ㔱昴㜲ㄷ㡡〴慦㠱㈸晥㝤〸㤹㈴改っ捦扥慥㐰㌸搷戴㜷〰㝤换㉦晣晥ㅦㅥ㐰ㄷ㘲攲㔰㌶ㅡ㐲㙤㜷攲戹㘵㈲っ㜴㤹〸っ摥㉢ㄳ攱っ㌲㠲㔱晣挸㐴㠸㝤㈰㡢㈸搸摥㐴㘰㙣㉦挷㄰㑣㠵㕡㔳㙥つ㥥挰㙥㜰攸ㅦ㍢㠵㡢户㌲㐰㍣ㅦ㑡㉢㤸㠳㐷敡挶敥攲㈵搳㌷㥤㠳慡晣愴㉦愱捣晣ㄵ摣攴㔶㕤搸攳收㉤㙢㔴愷㉤㝣ㄵ㠹㤷㝤捦㥦戲戳晢敢挰㔴㤴㈲昷扤㈸㡢搲ㅢ昰㤴〸㥥ㅢち㥦㌸昰摤㤳扦㝥攲㤹攳扣慤ㄶ搳慡㝥㌷昲晤㠴散㘹㑦㈰愸㥢扡㈸㜲㍤㍦捣㌹㠳㑦㤴散昵㠶㥣㌵㝤㘵〵〵㠶㤳㘴㈳挲㑢ㄱ㘶㐴㝣扢挱挴挴扤㠷挸挴㥣敡㜰㜷慡て㥢㤴㡢㜰㉡㌵㜱攵搳㑢挲㠶愲愷㈲敢搳摡搴晦ㄶ慡攸㜵㑥㈴㙢㈵昲搴挹㈴挴昷㍡㜵摤㔱敡扡攸㈰挳戰㝦㈲愵㄰㝦㈰㠵愴て㌲扣㄰愰愴搴㌹㘴昴㝢〰㜲㈲㙢㥤㈱㕥晡〳昶㠴㠰㙣㕤晡敢昳㈳ㄶ散㈲戰㤸昸攲晢㍤搱搲ㄶ㑤㔴ㄳ㐳戵捡愶㔹㐶㐶ㅤ㕥㔸㌰㥤㤴㘶㉣㥤㈳㈸摤戱㍢㡡㉦ㄹ㜱愲挰㕢挴搸扡㐳㕦㕢挵㜹搰㙤攲收〷昴㑣㐹㈹っ㜷㍦㡢㜱㈰㔵㌱扡愸㘹㈵㉡㈲ㅣ㡤戲慤㑥㐳㜱ㄵ㜴㤶㝢㄰愷㔲〴晦昸愵㄰敢㈷摢㐳㕦摦㔹㐳ㅤ攷づ㘲㠱晣挱晥扡㉤㠷戱昱㔶㜲っ㈴散㡥㕡㤵愳敢攱攷搱㠵㡢㉥〸愳㥤㔵捦攲㈸晥㈴㥣㌵愰㜵改㝦㐶慦ㄵ㘷㕤㘰㙦㠶戱㌳晡晦挳㈸搸㔶晦ぢ挶摥ㄴ㈲㍦ㄲ㘷昸愰㌳㝥戲㙤挸㠶㍢〲捦㌶㠲㌷敡㘰㙣愸㉣㐳摥㔱㙥ㄹㅦ慦㐶搵㑡㠲挳敦㔵散扣ㅡ搱敡㑢摢㜶愸愷〰㘴㙣㐸晦ㄶ㐴㔰捦晥㔹戹㤵㥣㙥㑢ㅦ㐵挷〳㘷散㥡敦〵㥥ㄵ㑥㉣㈳攸㍢挱㙦捦㉣搸㍣㌳攲㙦㍡㠵摡ㅤ搸㠹攱㡦愳捦搹㐵〸散戳㌲㝣戳㘲㤱㡣㉣散㉣㤲挱敦㤰挶㔲攱㈵㙡㠷攰㍡敢㤱愶搹挰愷慢㡢昰㜵㠶㉣摡ㄵ捡㉥昲㌸㜷摥搰攰搶攱㡥搶挳昰〷挹挶ㄴ㠲㘳㙡〹ㅦ晤㌸昷戵㜳て戲㙤攳戵〵㙣搹㥦捦慤愲扦〸㥣敥散㉤㔹㤲攱㍢昹㐵㜲挵愸ㄲ攲搲晥㜱晣摤戹㠳㤶愳㡤㠳捥攳て扡改〸㥢㙣挰㝤戶㠳攸昷㐵㜴ㄵ㌳〴昸ㄹ㘶㥣攱㠳愰㤷㡦慣㈸扥㠱㘵㤱〱㤰㉦㤴㙡〰扤愹晡昹慤愸㝡㉣ㄱ挸㠲㘷っ㤲㘳㐵㝣つつ戹㕤搱戲挱ㄲ㕣戶㔰㘷〹攴㡤愴〷昲〵挱戳㠴㥡挸㔷搰愱㌵ㄱㅢ愵扤㈷昲㔷㕢㑤㐴搰ち㔰ぢ㑤㡦㍦㤶㘸ㄱ愳㠱㙡挳㈱㜰〹㍣㠰㔱㡡㐵捡㥡㔲ㄴ㕡昸㍥㌱㠳昴昳昸敦㙢挷㝦昶㉡搳㝦ㅣㄷ㑡㄰愲㉡㍢㜹ち㐲㌵昹㉦愵㈷敦愳戴昷攴扦戰搵攴挷㈸㈳㌹ㄳ㈳〴ㄸㄹ㄰㔵晣㔱㡢㘹㈲挳㝤攴㑦㕣㈴挰㉦㌳㡢㌱ㄳ㈵慡敦ㄵ㘴搰㤷ㅢ慥㕡㕤㐵㈶改慢㜳晤㌹ㅦ昷㈸晢㠸ㄷ㈱改换㈹㐵捥搸㔲愴ㄵ换㑥散㠵摤ㄵ戲〱㑢攲搷戲㍤㐵㝡愹捦〸扦㜸㌶㐱捣愹㔳挹㤷㔳㕡ㅣ㜳〲㘱㐴ㄶ㈹改㠷ㅢ㈹㍥㥤㌴晥扢㤷摡㉥㔳㔴㈰㠱㝡愲挶愴㌳搵昸㔳㐹攳㈳昸㉡㑢戵㈹昰〶〱搳㙢㐹㘳搲愳㙡晣㑣搲昸摦㡦ㅣ㙣㌵㑥攸㌰ㅡ㔹㈷㤱攴搸扡捡晡㑦㝤愱㍤㡡收扡㐵晤㌹㘴㐵挵㤴㥣㉡㜴摣㔰ㅡ㜴ㄸ㤷㐱㝣㝣㈳扤㠰扢㑤戸〲〲㈱ㅢ晤慦ㄲ㑥攳捥搳扣ㄹ㥡昸〴㝡〳挱㘶摦㔰㑦散㕣戲ㄶ㝤ㄴっ㕡愷〳㥣愹敡扢㡡㐴㘰づㄴ愳晤摤挶㈹㥦㘳㍡戶昷㈳〹㤲㘹扣㐳搲㥦昲㔰㠱㤵愲昸㘴㠲搹挲搳㙤㥡㌱㥥〲㜲㈰ㅤ〱㤹㌱㥥〶㡣〲㌱扣慤㕣ㄸ㈳晦㉢收晥㈴㉢晥㡣攰ㄹ㠰㡡㈰戳㤳づ㑡㥦〲ㄸ㑤晥㐷ㄵㄳㅢ捡㕦愲㠹㈷㤲㤷愵挹挸㜸㤶ㅤ㍥〳㌰〰昷慤㠸㠹戰㘲㝣ㄶ㈵改㤷㔲㜰愸㤷㝥㡥ㄵ㥦㈷昸〲㐰㐵攷㘴㜷扣㙢㕣㔳㥦㥡敢㡢攸㉡㥥㈶挰捦昸㔲㥣攱㠳捥㝤昸攳摥戶㌲㡦挲挹㠷晤〸㜵㘶扥攰㝦㄰㕦攴㙦㜲搱〳昸ㅦ㤲攸捡戰㉦㙡ㅦ散㙦㉣㌲〱㙤㜲昵㕢挷㘶扦㠱㜱戸慥㜶〴㠵㈳㔲愹㤴戵㤲㈰扥戹㘰攱攱つ㝣换㌱㔵㈱〴㘹㐰㔵戸㜱挵㜱ㄴㄸ㝦捥愶挴㌱昱㘴晣〵㥦㠸㕡戵㠹㝦ㄹ㘷昸㈰㠸㔷搵晤戱戸㝢昲㐲攲㕡㔵搸ㅤ㉦㈴晥㔵挵㕡晡㠵捦㜱㌰㠵㉣㘴戲㕡㠹㐸㔳㌴昴㌵㘴㐶〶㐶㌹户㐷昱搳慥㡡摡挵晡挵㡢扦ㅢ㉤㑥摣㕣晣昰㠷㠶㥦㝢敤愷扦昹昲㉦㍥㜶散摦㝥晦晣昳扦昸敤㤷㕦晤晤㡦㔶㡦晤昸挵ㄷ晦攱愱㙦扥晡㥢晤搶ぢ摡㑢扦㕢㜸攱挹改换㑦㍥㙥㥤扦晢攴㤳ㅦ㜹散㤱改愵敢㈶〷〶〶〷敦ㅡ晦挹㑤敦ㅤ㝢晡昱㔷挴摦晦昲㐶㔷愸攵攲〵搹㘹㜰搹㙡ㅡ㕦㐷〶搳攰㡣摦搲㘹㜰戹㙡愳㔶攳㡤㥡㐵㐱ㄹ㍥つ㑥㐰㔵㤸搹㡡愱晦〱㐸㔳戳愲</t>
  </si>
  <si>
    <t>Decisioneering:7.0.0.0</t>
  </si>
  <si>
    <t>9bb9e403-010c-41aa-81a5-283fc371ef3b</t>
  </si>
  <si>
    <t>CB_Block_7.0.0.0:1</t>
  </si>
  <si>
    <t>㜸〱捤㔹捦㙦ㅣ㔷ㅤ㥦㤹摤㤹㥤搹㕤摢㑢㤲㤶ㄶ摡戲㘹搳㌶搴㘱㙢㈷㌶㐹〸愶㔹敦摡慥㘹ㅣ㍢㔹㈷㌹愱搵摢㥤㌷摥愹攷㠷㍢㌳㙢㝢㜳㈰㈰挴〵㜱㐲ㄵ㍤㈰㠴㔴㠹㐳㝢㐱慡㡡㄰ㅣ〱㈱挴ㅦ挰〵づ㈰愱㥥㤰ㅡ㤰㌸㜱〸摦捦㥢㔹㝢㜷扣㜱㥣㌴㐸㜹㐹摥扥㥦摦㜹摦摦㥦昷㈲挹㤲㈴摤愳㠲㕦㤴㉣ㅡ捦㌵㝡㘱挴摤㑡捤㜷ㅣ摥㡥㙣摦ぢ㉢搵㈰㘰扤㉢㜶ㄸ㘵㘸㠱搶戴㘹㍥㔴㥢愱㝤㥢敢捤㙤ㅥ㠴戴㐸㤵㈴㕤㌷ㄴ㥡〷ㄱ晣㉢昵㍢〶㜶ㄵ戳㔴慤搷收㔷㕢㙦ㄳ搵㐶攴〷晣㑣昹㘶扣㜷㙥㝡扡㌲㕤㤹㥤㍡㝦戶㌲㜵愶㕣敢㍡㔱㌷攰㜳ㅥ敦㐶〱㜳捥㤴搷扡㉤挷㙥扦挵㝢敢晥㈶昷收㜸㙢敡㕣㡢捤㕣㤸㥥㤹㥤戵㉥㕥扣㔰愴㑦㑢㔷㙢昳㙢〱户挲挷㐵㔳〳捤搵摡㝣攵㉡㡦ㅥㄷ捤ㅣ搱㈴㤲㜵摦㘵戶昷㤸㠸慡㤰敤㙣㥤户㙤㈸㠱昳挰昶㌶㉡㜴散㈱㐱㔳敦㝣愵ㅡ㠶㕤㜷ぢ晡慣㜱挷戹捥㉤㥤㜶ㅡ㙥㍤㡣搶㔸攰㠶㐵ㄷ昲攳〱昷摡㍣ㅣ㜷ㄷ㜶摢摣㐹ㄶ㠶扡㝢㤳〵㔷㤹换戳㘸㑣戸戱づ㤷㑤敥㐵㜶搴ㅢ㜳㙦㠴晣㍡昳㌶㌸㤶愸敥㔲搷㌶攵㙣㤶晥㑡㤹㔷㐷㥤㑣㈸㡡捥攳搶㍡㉣㠸㐴て㉡㥣ㅥ戵㜶挰㕣〴ㄷ㐳攷㠲㐹㤵㔳扢愰戳㠶敤扥挵〳㡦㍢昸〸㌴㌹㤹㕡㈴〴ㄴ敢㘱㑦㔲㝤㜶愰㈵戹㤰㌸〱㜸挱㔷㌴〸敢搴㔵㍦㜰挹㈰㔷㌸昳收㘶愶愷扥㍡㌵㌳㝢昶㑣㈳㌲敢㝣㝢敥攲捣挵㜳ㄷ㘶愶捦ㅢ〶慤㌴昲搸㔳愰敡㠵㥡㙤〵慣挹㉣搶㈶摤㤴㝦晢慢昲㕡攰㙦㜸晥㙤㔶㍥㍢㜵㜶挶㈸㘲昵ㄸ㔵㜲昶摦攴㠹㠳摦挵㜶愵挹㤴㘶㑢㘹戶㤵愶愹㌴戹搲戴㤴收㠶搲散㈸㑤㕢㘹扥慤㌴㌷㘹㑤扦攸戹㥣㤲㤴昷㝥昰敤㑦愴晦晣㜰攵晢户晦㙣扣晦昷晦㝥㔰㥣愰㐵搷ㄲ㥥敡〱摢㈱㉢搹㌷㐰昲㍡晣㜹戰攷㤱攳㔹戳搶㜹㙢㝡摡㥣㥤㘲攷㤸ち㕥㡦慡攲ㄲ慤㉤㕡户㙣捦昴㜷㠴捥㥦㥢㘷㈱摦㌷㠱挹㘴㙥摥敦㝡㘶昸挵搱㤳㡤㠸㐵晣ぢ改戹㝤㈲〷戶㌵㐸敡㍣ㄴ摦㝢㈱扤敤㈶㜳扡扣扡㙢挷搳捦愷愶挹ㅦ晣搶晤㘷ㄷ〳晥捥摥散㠱ㄳ㔵㈹㜰㙥ぢ摡〷戸㡣愷攲㜳㤵㙢ㅤ㍦攴㥥㌸摥愴扢㘶户㌷㜹搰攰〸扢摣ㄴ慣㍥㠵愹挴㈹㈷㔷㍤㘲㤴摣捣㝣㜱㜰搴㕡搸㡤戸㘷㜲㤳捥扢挵㠳愸户捥㕡づ㝦㝡㘸㐹晣㑤㥡㜸㜶㘸㜸搱㙦㜷挳㥡敦㐵㠱敦っ捦㔴捤㙤㐶㠱挰㕣昱㑤㑥㝥㥣㐵愱愰㥥挹挸戲昴摡㈸㘷〲摤戰㈲ㄴ㌱愰㘲戸昵㌳挳㘶㔷戹㑥摣ㄱㄷづ㠷㑤㉡愷ㅥ㐰㑣搰〵㤹㉦摦㝦攱〰㑦挸㔱㔸㝤晡晥慢挵ㄹ昷㌴昷晦㕤慣㈸挷ㄳ敥ㄷ戶㈹㔸扥挹㍣搳攱挱愱ㄹ㔶挶㠹っ㌸㡢晡㈹〵㠴晢㑡て㔱㐹摥㤵㝢敡㡥㙤㐶ㅤ慤挳敤㡤㑥㐴㘳㤴㠵㜵ㅤ愲㍤㔰㡣㘳㌴㘴ㅣ㐷㜵㠲慡㝣㕥搲㥥挲㈲㉤㙦㍣ㅤ昷㔵㠴慤㠷て挳挸昳㠶〸晢㤴愳㐳搵㕤昴㠳㌰㤳ㄹ挵攵㥢㉣散㐴㌰捦㐳㈷挱㥡昱㜹㔴捦㔰愵㈲㐴㍥㌰捡㠳攳㉣㤲搹㤸㕢攷ㄶ㈳〸㈱扣㕢㘶慡ㅢ㘷愵㍡て摢〶搲搷㌲昹捡慥㐶㉤㜲晥愲ぢ敢攷扢㔱㥤㐵㉣攷㔲㈲㈴㉤ㄹ戴㘸㔲散㡡㕢搸㌹㈶挶晡扢昳㐹㡦㈸㤴㐴㜳㠰㑡㐱っ挴㤴挸㜱挸㕦愴㑣㔲ㅦ捥〴㥤ㅤ愹㑡㑢ㅢ晡㜰㐲愳㍣㙢㉥㜱㙦扤户挵㐳㉣搷戵㐳㐵㤹㜶㉦㄰㕢㙤户㙥㐴戶ㄳ㔶攸愴㑢㠱摦摤㝡㥣㜴㐰换㜸㤶慡㝥㔱㍦㈱㉢㍥㍡㑦〰㡥戹㙤攸愶搹㈴收愸㠷ㄱ〳戹搰㠰戵ㄲ戱㝢昴㈳㡡昱㍣晤攴て㥢㔳㤱㔹ㅦ㈶昹挳昹㡡㉥㐹㘸㍤攰〲捥攸愲㐳搲ㅥ㜳㙦昹挱㘶换昷㌷㘱㑦攳愲ㄷ㜶㌸㡦〰ㄱち〹㈴ㄲ搰㐷㤶㌳㤹愱㍣㍥㠰㈵〰㉥戴㤳㔴㡤㔵ㅤ愷摣愷ㄸ㙡㉦搲㔰〶㘰攵㈵㙡㤴挸ㅡ㜹搵㘳㡥㝤㥢㔵㜶㥤㜰㔷晥㉢㜱つ㜸㤰昹挷慦㝦㔲㤴㍦慣㝥昷攷愷摦昸摤㍢㥦㕥㤲晦㤲㑣愴ㄳ扥㡡〰昲㄰㠱㕡挸搷扡㘹昳ㅤ㔸搶戸㐵㠸慥搶つ㈳㕦戸挱㤸㔵昷慦晡㔱摤づ户ㅣ搶㍢㙥㈵㡤㕢ㅤ敥㔱㤲ち㈸㔷愵挶晣慤㉤㙥ㅡ㔶挳敦〶㙤扥㕣㝦ㄲ㤲ㄸ㠹㠳㑣㐹攴㉦㐵愶昲㘸㜱㔹愲㥤ㄴ㌸愹㐸㉡愲㘹摡扤〴慥ㅣ㐸㠵愲〹㔵㑣散㑢㜴摤㡥ㅣ㕥戰㐴ㅡㄲ㙤摤㈲㈹㔲收㌷㜳搶㝡㠷捣慥㍥㘶㉤〵戶改搸ㅥ㠷㌲㑥挴㑢慦昰つ捡昲㙢㝥㘸〳挲㡦㔹敢〱昳挲㉤〴慣㜶敦搸㔰㑦㐴㌶搵㥡户扤㤰㍥㈳戴㠸昶㠴搵攸昸㍢㜴慢敢扡摥ㄲ摢ち㥦〸慤挰戹攳㈲㔴㈳㉢戲愲挸扡愲㍦慡㝥戴㔷㠸摡昱ㄸ愷㤷挹㑥愳挰㙥㜵㈱㌰昱㤱戳㔴㘷㔱〹ㅤ㑡㉡㜲㘱㍡㌴つ愸㌰㠵㉢㜰搶愱㕢搲挸ㄴ户㜷㔵ㄶ㜹晣㔵散㌹㑤搵㌷㤷㙥㉣敦㈳敥捦㜴摦㔵㤱扤㡦っ㜰㄰㌴挷㘳ㄳ〲攸㠱㐵㤱㘷㤲㈵愰㤷㌶换扣㈵搶挰㐲挷昷㥢㡢㤴㈳㡢搶ㄵ搶攲づ愵㜶㤷㐵攳㜱〷ㄸ㡢敥㐳㘱㌲㔷昳㕤㤷挱攴㜰慢㙢戴㤹挳㜵慢摡㡤晣ㄵ摢㌳㉣慡㠴㕤㈶㐳㙣㤷㠶搸㙥㥣㠴慤敢㠰晣愲つ㕡晥〶ぢ散愸攳摡㙤ㅤㅤ挰昲㈷挲㔶㜱㐷㈳㘱昶㑢㍦㤶愴戳㝡㥣㕢㐹摤ㄵ〲挲㄰ㅤ搴㑦ㄶ慤挸ㅡ晤㤱ㅦㄱㄱ㔲攴ㄱ昹捦㜸㡤愸愹攲㘵〵搰〲攵㙥晦晤收敥ㅤㅡㄱ挱㐹〶愰挳戴㌱㤹㌴搰挹〲㔳ㅤちㄷ㤰㥥昲㔷㝣㘶㉥戲㌶扤搰攴㤲昷ㄹ㥤㔴㡢㔰ㄳ㤴〰攰㙡㜴㈷愰扢挶戶㙤昲㐰挷㐰㠳摥㠱戲㠰㝥㕡慣㐳㑡㘵ㄹ㐹㔵ぢ晡愸㙦㉤昷㘹㥤㑡搲攲攰㍢搳昲〱晡晦扣㜶攱つ㍡ㄴ戱㠵㠷づ攳っ慡慦㔰㈵〳ㅡ㠲㥦搴㠲ちㄶ扣㑥㤵ち㄰㤲搶捤㌰㤶㈲挴㠵ぢ㙣㔶扣㙣〰攵改㠴㠸〴㍣㔴〵㈳㠵〱㔸愷挵㠸㑥敦㍦㤷㘸つ戲㜲㙥收攳昸ち昸〸㜵㈸㑡㤶㔴慤愵慦挴〷㍥㑢挴摣〶ㄷ㜸㑦〶挶搱愶愸㝡〵捥㐲昴㥢て㜸㌲㐸挳愰㝣摥㠸㘳㥡っ㍣搴㤷〹挸收昳㔰愸㜱づ搵っ㔵㌲挲㤱㌰㡢搹愴〱愱慡㌰愹戴愴づ㔸㌱㑣㍦㙦挱㥥ㅢ㔱捦愱ㄸ㠲㈶㈴ㄷ户㘰〳昱㌴改搳て攸㈵㌱㥢扥扡散敤〵㔶㉦㥣㐸㕤ぢ挵㌶捣挰㕤搴㍦ㄱ慥戹敦㝥㜰戰㡦ㄱ戱〷㐵㍢㑦搵㠹ㄵ扢ㅤ昸愱㙦㐵攵〶攵挷㌲慥搹㤶㈴㑤㔵搵㍦ㄲ挵㤱摦〴㘳㔹て㉦㔷摢㠰㥤昹㑤捦摦昱挴㘹搴㄰慦つ㐲㕥戹ㅣ㍥㠳敢㤱㈸㉦㤱ㄴ㑢㜰㉤㜱㔵戹㐸㡤戱㑣〹戶㠹㔲㠲㝤愲㤴㘰㡣㈸愵搷攳㕦㐹㠵愲㡥㙡ㅤ愰㉤户攴戶㙣捡㍣㥢换挹㉦愷敥戴〷慣㙡敦㔲愰㘹搰扥晡〷㘲昹㘸㥢㠶㈵㡡捤挲摢㉥㔱挳昸㍡㔵昹ㄲ㙣〸〷搲收愸㍡㔶㥢㙦ㄲ㔸敤挳㔷㔸㠱昶つㅡ㉦搲戸昰ㅣ㝡㕤っ㌵昸敤攷㘸㘴昸戵㔰扢㑣挳攳㌴㍣㤰㕤㑢㌰㑥㈱㑡挰㕦昱㜸㘶搴搰㠲㝢㤶㘰慢㘲㜲㠱ㅡ㘳ㄹㄵ攲扥㤴㤲挵攸慣㍤㤹㝥ㅡ㔹愰愷㡥ㅥ㠲㘷㠶挲㔵散攴㔹攵㙢㡦㐶ぢ搲㐶㡥ㄷ晦㝥㐳愲晥っ㜴㠶攵て㡡㕦愲㝦挶ㄲ㔵ㄳ㔰〲㐶愰㤵㠱㜲㔷㠴㐵ㅡ戸ㅣて敡挹㙦改昲〴㌴㈶㜶㝣㑢㍥昹愳慡晡户㍢㍦晢搷㠷㤷㕥晥改㉦敥㈵扦㜷㘸扥㕣㝢昷㝢㔵晡晤晤扢敦晦戸㉡㐳搸戸㉡ㄹ㈷㔱攱㌲㘲㐰ㄳ昲㉦㠹慤㤱昷㡥㡦㤳㠹〳昷㡥〵摡昶愰㝢挷挰㥢ㅣ扣㑡戵㘰㐰〵㉢ㅥ㠶㔸㈹㤰搸㡥㈳㝣戰㐸㌰㈱愰㔷戱㉢㠴㠶〹ㅣ搰换㙥㘲㑥㠴㤲ㄱ㜵晢㠹挸㄰㍤㙣搶慣搵㠰㌲㔳捥㕡づ改ㄶ㘳敡㜴慢㡦㈲㝡つ㝥ㄲ㌰〴㐵挵㉣捣てㄹ㤲昲㠵㌲㌲㈰㐱㈶㠷挰扢㝤㜹昴ㅦ扢ㄴ愰㡢㐷扢搰㘸㉢昴戱㍥㕥㌶〷昰㜲㔶晥㠸㔴㡣愰㤹㤷扥㈳摤挳㤱㈹扤㐹挶㉡晤〸〳ㄱ㜹㠴慡扣㜱つ㐳㐸㑡愲㤲㔴㔸㙤㥡㌱愴㠷㐵㜰㥥㝡慥㉡ㄴ挰㙤扦愸愰㝥㘴搶攱㌴挷挹㐸㤲晦愵〲㑥㥣㜴昰㝦㔴愳㘰挷㌰㉣㙦搰㔶ㄹ攷〶つ㘳㍤㘹愰㈳㡢㈹㡣摥愰慡㕦㑡㔸㈲㘲搰㑤㙡㔰慣敦㑦捡攸㈳㈰挹ㅦ㤰愸㄰〵收愹愳换㔲攱㝦㜱㍦㉥〸</t>
  </si>
  <si>
    <t>(All)</t>
  </si>
  <si>
    <t>FORECAST</t>
  </si>
  <si>
    <t>Perioada</t>
  </si>
  <si>
    <t>Cifra de afaceri</t>
  </si>
  <si>
    <t>Anul</t>
  </si>
  <si>
    <t>Exponential Smoothing</t>
  </si>
  <si>
    <t>Date istorice privind cifra de afaceri</t>
  </si>
  <si>
    <t>Orizontul de prognoza</t>
  </si>
  <si>
    <t>Error</t>
  </si>
  <si>
    <t>ABS</t>
  </si>
  <si>
    <t>Error %</t>
  </si>
  <si>
    <t>Sq. Error</t>
  </si>
  <si>
    <t>TREND</t>
  </si>
  <si>
    <t>EM</t>
  </si>
  <si>
    <t>EM=</t>
  </si>
  <si>
    <t>EMA=</t>
  </si>
  <si>
    <t>EPMA=</t>
  </si>
  <si>
    <t>EMP=</t>
  </si>
  <si>
    <t>ME</t>
  </si>
  <si>
    <t>MAE</t>
  </si>
  <si>
    <t>MAPE</t>
  </si>
  <si>
    <t>MSE</t>
  </si>
  <si>
    <t>Den. EN.</t>
  </si>
  <si>
    <t xml:space="preserve">Den. RO. </t>
  </si>
  <si>
    <t>Lt</t>
  </si>
  <si>
    <t>Level</t>
  </si>
  <si>
    <t>alpha</t>
  </si>
  <si>
    <t>beta</t>
  </si>
  <si>
    <t>gamma</t>
  </si>
  <si>
    <t>Tt</t>
  </si>
  <si>
    <t>Trend</t>
  </si>
  <si>
    <t>St</t>
  </si>
  <si>
    <t>Seasonal</t>
  </si>
  <si>
    <t>Ft</t>
  </si>
  <si>
    <t>Holt-Winters</t>
  </si>
  <si>
    <t>Medie mobila k=3</t>
  </si>
  <si>
    <t>Medie mobila k = 3</t>
  </si>
  <si>
    <t>Exponential Sm.</t>
  </si>
  <si>
    <t>Moving Average</t>
  </si>
  <si>
    <t>Cost implementare (mii euro)</t>
  </si>
  <si>
    <t>[500;1000]</t>
  </si>
  <si>
    <t>[200;500]</t>
  </si>
  <si>
    <t>Program B</t>
  </si>
  <si>
    <t>Program C</t>
  </si>
  <si>
    <t>[100;200]</t>
  </si>
  <si>
    <t>[1;3]</t>
  </si>
  <si>
    <t>[3;6]</t>
  </si>
  <si>
    <t>[6;9]</t>
  </si>
  <si>
    <t>[5;10]</t>
  </si>
  <si>
    <t>[10;20]</t>
  </si>
  <si>
    <t>[20;40]</t>
  </si>
  <si>
    <t>Impactul asupra reputatiei (scor de la 1-10)</t>
  </si>
  <si>
    <t>ROI (%)</t>
  </si>
  <si>
    <t>πj</t>
  </si>
  <si>
    <t>Matricea consecintelor:</t>
  </si>
  <si>
    <t>C1 (MIN)</t>
  </si>
  <si>
    <t>C2 (MAX)</t>
  </si>
  <si>
    <t>C3 (MAX)</t>
  </si>
  <si>
    <t>L</t>
  </si>
  <si>
    <t>U</t>
  </si>
  <si>
    <t>Programe</t>
  </si>
  <si>
    <t>Program A</t>
  </si>
  <si>
    <t>V1</t>
  </si>
  <si>
    <t>V2</t>
  </si>
  <si>
    <t>V3</t>
  </si>
  <si>
    <t>Normalizarea matricei consecintelor:</t>
  </si>
  <si>
    <t>Suma</t>
  </si>
  <si>
    <t>C1</t>
  </si>
  <si>
    <t>C2</t>
  </si>
  <si>
    <t>C3</t>
  </si>
  <si>
    <t>h0=</t>
  </si>
  <si>
    <t>Suma * -h0</t>
  </si>
  <si>
    <t>hj L</t>
  </si>
  <si>
    <t>hj U</t>
  </si>
  <si>
    <t>Limite inf/sup ale entropiei</t>
  </si>
  <si>
    <t>Limitele inf/sup ale gradului de diversificare</t>
  </si>
  <si>
    <t>dj L</t>
  </si>
  <si>
    <t>dj U</t>
  </si>
  <si>
    <t>Lim inf/sup ale intervalului coef de importanta</t>
  </si>
  <si>
    <t>π j L</t>
  </si>
  <si>
    <t>π j U</t>
  </si>
  <si>
    <t>wL si wU</t>
  </si>
  <si>
    <t>[0.20;0.79]</t>
  </si>
  <si>
    <t>[0.10;0.67]</t>
  </si>
  <si>
    <t>[0.16;0.68]</t>
  </si>
  <si>
    <t>nivel mediu</t>
  </si>
  <si>
    <t>jumatatea lungimii []</t>
  </si>
  <si>
    <t>Identificarea ordinii de importanta a criteriilor</t>
  </si>
  <si>
    <t>Fct de acceptabilitate</t>
  </si>
  <si>
    <t>1 vs 2</t>
  </si>
  <si>
    <t>intervalul 1 este superior lui 2</t>
  </si>
  <si>
    <t>1 vs 3</t>
  </si>
  <si>
    <t>intervalul 1 este superior lui 3</t>
  </si>
  <si>
    <t>2 vs 3</t>
  </si>
  <si>
    <t>intervalul 2 este inferior lui 3, deci 3 este superior lui 2</t>
  </si>
  <si>
    <t>interval 1</t>
  </si>
  <si>
    <t>interval 3</t>
  </si>
  <si>
    <t>interval 2</t>
  </si>
  <si>
    <t>Rang</t>
  </si>
  <si>
    <t>Ordinea de importanta este C1, C3, C2,</t>
  </si>
  <si>
    <t>Coef de imp criteriala</t>
  </si>
  <si>
    <t>Normalizarea coef de importanta criteriala:</t>
  </si>
  <si>
    <t>Acum se poate aplicaa TOPSIS</t>
  </si>
  <si>
    <t>Normalizarea matricei consecintelor</t>
  </si>
  <si>
    <t xml:space="preserve">Matricea normalizata ponderata </t>
  </si>
  <si>
    <t>Solutia ideala pozitiva si negativa</t>
  </si>
  <si>
    <t>A+</t>
  </si>
  <si>
    <t>A-</t>
  </si>
  <si>
    <t xml:space="preserve">Gradul de separare </t>
  </si>
  <si>
    <t>d+</t>
  </si>
  <si>
    <t>d-</t>
  </si>
  <si>
    <t xml:space="preserve">Coef de apropiere </t>
  </si>
  <si>
    <t>CC</t>
  </si>
  <si>
    <t>Solutia optima este varianta i* pt care Cci = max Cci</t>
  </si>
  <si>
    <t>Ierarhizarea variantelor:</t>
  </si>
  <si>
    <t>Matricea consecintelor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</si>
</sst>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0.000000000000000%"/>
  </numFmts>
  <fonts count="8" x14ac:knownFonts="1">
    <font>
      <sz val="11"/>
      <color theme="1"/>
      <name val="Calibri"/>
      <family val="2"/>
      <scheme val="minor"/>
    </font>
    <font>
      <b/>
      <sz val="11"/>
      <color theme="1"/>
      <name val="Calibri"/>
      <family val="2"/>
      <scheme val="minor"/>
    </font>
    <font>
      <b/>
      <i/>
      <sz val="11"/>
      <color theme="1"/>
      <name val="Calibri"/>
      <family val="2"/>
      <scheme val="minor"/>
    </font>
    <font>
      <b/>
      <sz val="12"/>
      <color theme="1"/>
      <name val="Times New Roman"/>
      <family val="1"/>
    </font>
    <font>
      <b/>
      <sz val="14"/>
      <color theme="0"/>
      <name val="Times New Roman"/>
      <family val="1"/>
    </font>
    <font>
      <sz val="14"/>
      <color theme="0"/>
      <name val="Calibri"/>
      <family val="2"/>
      <scheme val="minor"/>
    </font>
    <font>
      <sz val="11"/>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FF00"/>
        <bgColor indexed="64"/>
      </patternFill>
    </fill>
  </fills>
  <borders count="19">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118">
    <xf numFmtId="0" fontId="0" fillId="0" borderId="0" xfId="0"/>
    <xf numFmtId="14" fontId="0" fillId="0" borderId="0" xfId="0" applyNumberFormat="1" applyAlignment="1">
      <alignment vertical="center"/>
    </xf>
    <xf numFmtId="0" fontId="1" fillId="0" borderId="0" xfId="0" applyFont="1"/>
    <xf numFmtId="14" fontId="1" fillId="0" borderId="0" xfId="0" applyNumberFormat="1" applyFont="1"/>
    <xf numFmtId="14" fontId="0" fillId="0" borderId="0" xfId="0" applyNumberFormat="1"/>
    <xf numFmtId="0" fontId="0" fillId="0" borderId="0" xfId="0" applyAlignment="1">
      <alignment vertical="center"/>
    </xf>
    <xf numFmtId="1" fontId="1" fillId="0" borderId="0" xfId="0" applyNumberFormat="1" applyFont="1"/>
    <xf numFmtId="1" fontId="0" fillId="0" borderId="0" xfId="0" applyNumberFormat="1" applyAlignment="1">
      <alignment vertical="center"/>
    </xf>
    <xf numFmtId="1" fontId="0" fillId="0" borderId="0" xfId="0" applyNumberFormat="1"/>
    <xf numFmtId="0" fontId="0" fillId="0" borderId="0" xfId="0" applyAlignment="1">
      <alignment wrapText="1"/>
    </xf>
    <xf numFmtId="164" fontId="0" fillId="0" borderId="0" xfId="0" applyNumberFormat="1" applyAlignment="1">
      <alignment vertical="center"/>
    </xf>
    <xf numFmtId="164" fontId="0" fillId="0" borderId="0" xfId="0" applyNumberFormat="1"/>
    <xf numFmtId="0" fontId="1" fillId="0" borderId="0" xfId="0" applyFont="1" applyAlignment="1">
      <alignment wrapText="1"/>
    </xf>
    <xf numFmtId="164" fontId="1" fillId="0" borderId="0" xfId="0" applyNumberFormat="1" applyFont="1" applyAlignment="1">
      <alignment wrapText="1"/>
    </xf>
    <xf numFmtId="1" fontId="1" fillId="0" borderId="0" xfId="0" applyNumberFormat="1" applyFont="1" applyAlignment="1">
      <alignment wrapText="1"/>
    </xf>
    <xf numFmtId="0" fontId="0" fillId="0" borderId="1" xfId="0" applyBorder="1"/>
    <xf numFmtId="0" fontId="2" fillId="0" borderId="2" xfId="0" applyFont="1" applyBorder="1" applyAlignment="1">
      <alignment horizontal="center"/>
    </xf>
    <xf numFmtId="3"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0" fillId="3" borderId="0" xfId="0" applyFill="1"/>
    <xf numFmtId="0" fontId="0" fillId="4" borderId="0" xfId="0" applyFill="1"/>
    <xf numFmtId="0" fontId="0" fillId="0" borderId="0" xfId="0" quotePrefix="1"/>
    <xf numFmtId="0" fontId="0" fillId="0" borderId="10" xfId="0" applyBorder="1"/>
    <xf numFmtId="0" fontId="1" fillId="0" borderId="3" xfId="0" applyFont="1" applyBorder="1"/>
    <xf numFmtId="0" fontId="0" fillId="0" borderId="4" xfId="0" applyBorder="1"/>
    <xf numFmtId="0" fontId="0" fillId="0" borderId="14" xfId="0" applyBorder="1"/>
    <xf numFmtId="0" fontId="0" fillId="5" borderId="0" xfId="0" applyFill="1"/>
    <xf numFmtId="9" fontId="0" fillId="4" borderId="0" xfId="1" applyFont="1" applyFill="1" applyBorder="1"/>
    <xf numFmtId="0" fontId="0" fillId="5" borderId="14" xfId="0" applyFill="1" applyBorder="1"/>
    <xf numFmtId="0" fontId="0" fillId="5" borderId="10" xfId="0" applyFill="1" applyBorder="1"/>
    <xf numFmtId="0" fontId="0" fillId="4" borderId="10" xfId="0" applyFill="1" applyBorder="1"/>
    <xf numFmtId="9" fontId="0" fillId="4" borderId="10" xfId="1" applyFont="1" applyFill="1" applyBorder="1"/>
    <xf numFmtId="0" fontId="0" fillId="5" borderId="15" xfId="0" applyFill="1" applyBorder="1"/>
    <xf numFmtId="0" fontId="0" fillId="0" borderId="11" xfId="0" applyBorder="1"/>
    <xf numFmtId="0" fontId="0" fillId="0" borderId="6" xfId="0" applyBorder="1"/>
    <xf numFmtId="0" fontId="0" fillId="0" borderId="3" xfId="0" applyBorder="1"/>
    <xf numFmtId="0" fontId="0" fillId="0" borderId="13" xfId="0" applyBorder="1"/>
    <xf numFmtId="0" fontId="0" fillId="0" borderId="15" xfId="0" applyBorder="1"/>
    <xf numFmtId="0" fontId="0" fillId="5" borderId="3" xfId="0" applyFill="1" applyBorder="1"/>
    <xf numFmtId="0" fontId="0" fillId="4" borderId="6" xfId="0" applyFill="1" applyBorder="1"/>
    <xf numFmtId="9" fontId="0" fillId="4" borderId="6" xfId="1" applyFont="1" applyFill="1" applyBorder="1"/>
    <xf numFmtId="0" fontId="0" fillId="5" borderId="6" xfId="0" applyFill="1" applyBorder="1"/>
    <xf numFmtId="0" fontId="0" fillId="5" borderId="13" xfId="0" applyFill="1" applyBorder="1"/>
    <xf numFmtId="0" fontId="0" fillId="5" borderId="4" xfId="0" applyFill="1" applyBorder="1"/>
    <xf numFmtId="0" fontId="0" fillId="5" borderId="8" xfId="0" applyFill="1" applyBorder="1"/>
    <xf numFmtId="0" fontId="1" fillId="5" borderId="16"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1" fillId="5" borderId="18" xfId="0" applyFont="1" applyFill="1" applyBorder="1" applyAlignment="1">
      <alignment horizontal="center" vertical="center" wrapText="1"/>
    </xf>
    <xf numFmtId="0" fontId="0" fillId="0" borderId="5" xfId="0" applyBorder="1"/>
    <xf numFmtId="0" fontId="0" fillId="0" borderId="7" xfId="0" applyBorder="1"/>
    <xf numFmtId="0" fontId="0" fillId="0" borderId="9" xfId="0" applyBorder="1"/>
    <xf numFmtId="0" fontId="1" fillId="5" borderId="16"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18" xfId="0" applyFont="1" applyFill="1" applyBorder="1" applyAlignment="1">
      <alignment horizontal="center" vertical="center"/>
    </xf>
    <xf numFmtId="9" fontId="0" fillId="0" borderId="6" xfId="1" applyFont="1" applyBorder="1"/>
    <xf numFmtId="9" fontId="0" fillId="0" borderId="0" xfId="1" applyFont="1" applyBorder="1"/>
    <xf numFmtId="9" fontId="0" fillId="0" borderId="10" xfId="1" applyFont="1" applyBorder="1"/>
    <xf numFmtId="0" fontId="1" fillId="0" borderId="6" xfId="0" applyFont="1" applyBorder="1"/>
    <xf numFmtId="0" fontId="1" fillId="0" borderId="4" xfId="0" applyFont="1" applyBorder="1"/>
    <xf numFmtId="0" fontId="1" fillId="0" borderId="8" xfId="0" applyFont="1" applyBorder="1"/>
    <xf numFmtId="0" fontId="1" fillId="0" borderId="10" xfId="0" applyFont="1" applyBorder="1"/>
    <xf numFmtId="0" fontId="0" fillId="5" borderId="5" xfId="0" applyFill="1" applyBorder="1"/>
    <xf numFmtId="0" fontId="0" fillId="5" borderId="7" xfId="0" applyFill="1" applyBorder="1"/>
    <xf numFmtId="0" fontId="0" fillId="5" borderId="9" xfId="0" applyFill="1" applyBorder="1"/>
    <xf numFmtId="0" fontId="1" fillId="6" borderId="12" xfId="0" applyFont="1" applyFill="1" applyBorder="1" applyAlignment="1">
      <alignment horizontal="center" vertical="center" wrapText="1"/>
    </xf>
    <xf numFmtId="0" fontId="0" fillId="8" borderId="5" xfId="0" applyFill="1" applyBorder="1"/>
    <xf numFmtId="0" fontId="0" fillId="11" borderId="0" xfId="0" applyFill="1"/>
    <xf numFmtId="0" fontId="0" fillId="11" borderId="10" xfId="0" applyFill="1" applyBorder="1"/>
    <xf numFmtId="0" fontId="0" fillId="10" borderId="6" xfId="0" applyFill="1" applyBorder="1"/>
    <xf numFmtId="0" fontId="0" fillId="10" borderId="0" xfId="0" applyFill="1"/>
    <xf numFmtId="0" fontId="0" fillId="10" borderId="10" xfId="0" applyFill="1" applyBorder="1"/>
    <xf numFmtId="0" fontId="1" fillId="5" borderId="12" xfId="0" applyFont="1" applyFill="1" applyBorder="1" applyAlignment="1">
      <alignment horizontal="center" vertical="center" wrapText="1"/>
    </xf>
    <xf numFmtId="0" fontId="0" fillId="12" borderId="0" xfId="0" applyFill="1"/>
    <xf numFmtId="9" fontId="0" fillId="12" borderId="0" xfId="0" applyNumberFormat="1" applyFill="1"/>
    <xf numFmtId="0" fontId="0" fillId="9" borderId="0" xfId="0" applyFill="1"/>
    <xf numFmtId="0" fontId="7" fillId="8" borderId="9" xfId="0" applyFont="1" applyFill="1" applyBorder="1"/>
    <xf numFmtId="0" fontId="7" fillId="11" borderId="10" xfId="0" applyFont="1" applyFill="1" applyBorder="1"/>
    <xf numFmtId="0" fontId="1" fillId="13" borderId="0" xfId="0" applyFont="1" applyFill="1" applyAlignment="1">
      <alignment horizontal="center" vertical="center" wrapText="1"/>
    </xf>
    <xf numFmtId="0" fontId="1" fillId="13" borderId="0" xfId="0" applyFont="1" applyFill="1" applyAlignment="1">
      <alignment horizontal="center" wrapText="1"/>
    </xf>
    <xf numFmtId="0" fontId="2" fillId="10" borderId="0" xfId="0" applyFont="1" applyFill="1" applyAlignment="1">
      <alignment horizontal="center" vertical="center" wrapText="1"/>
    </xf>
    <xf numFmtId="0" fontId="0" fillId="10" borderId="0" xfId="0" applyFill="1" applyAlignment="1">
      <alignment horizontal="center" vertical="center" wrapText="1"/>
    </xf>
    <xf numFmtId="0" fontId="0" fillId="10" borderId="0" xfId="0" applyFill="1" applyAlignment="1">
      <alignment horizontal="center" wrapText="1"/>
    </xf>
    <xf numFmtId="9" fontId="0" fillId="10" borderId="0" xfId="0" applyNumberFormat="1" applyFill="1" applyAlignment="1">
      <alignment horizontal="center" vertical="center" wrapText="1"/>
    </xf>
    <xf numFmtId="9" fontId="0" fillId="10" borderId="0" xfId="0" applyNumberFormat="1" applyFill="1" applyAlignment="1">
      <alignment horizontal="center" wrapText="1"/>
    </xf>
    <xf numFmtId="9" fontId="0" fillId="10" borderId="0" xfId="1" applyFont="1" applyFill="1" applyAlignment="1">
      <alignment horizontal="center" wrapText="1"/>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left" vertical="center"/>
    </xf>
    <xf numFmtId="165" fontId="0" fillId="0" borderId="0" xfId="0" applyNumberFormat="1"/>
    <xf numFmtId="0" fontId="1" fillId="0" borderId="0" xfId="0" applyFont="1" applyAlignment="1">
      <alignment horizontal="left" vertical="center"/>
    </xf>
    <xf numFmtId="0" fontId="0" fillId="14" borderId="0" xfId="0" applyFill="1" applyAlignment="1">
      <alignment horizontal="center" vertical="center"/>
    </xf>
    <xf numFmtId="0" fontId="1" fillId="14" borderId="0" xfId="0" applyFont="1" applyFill="1" applyAlignment="1">
      <alignment horizontal="center" vertical="center"/>
    </xf>
    <xf numFmtId="10" fontId="0" fillId="0" borderId="0" xfId="0" applyNumberFormat="1" applyAlignment="1">
      <alignment horizontal="center" vertical="center"/>
    </xf>
    <xf numFmtId="9" fontId="0" fillId="0" borderId="0" xfId="0" applyNumberFormat="1" applyAlignment="1">
      <alignment horizontal="center" vertical="center"/>
    </xf>
    <xf numFmtId="165" fontId="0" fillId="0" borderId="0" xfId="0" applyNumberFormat="1" applyAlignment="1">
      <alignment horizontal="center" vertical="center"/>
    </xf>
    <xf numFmtId="0" fontId="3" fillId="4"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0" fillId="4" borderId="0" xfId="0" applyFill="1" applyAlignment="1">
      <alignment horizontal="center"/>
    </xf>
    <xf numFmtId="0" fontId="1" fillId="5" borderId="4"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7" xfId="0" applyFont="1" applyFill="1" applyBorder="1" applyAlignment="1">
      <alignment horizontal="center" vertical="center" wrapText="1"/>
    </xf>
    <xf numFmtId="0" fontId="1" fillId="9" borderId="9"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1" fillId="7" borderId="7" xfId="0" applyFont="1" applyFill="1" applyBorder="1" applyAlignment="1">
      <alignment horizontal="center" vertical="center" wrapText="1"/>
    </xf>
    <xf numFmtId="0" fontId="1" fillId="7" borderId="9"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center" vertical="center"/>
    </xf>
  </cellXfs>
  <cellStyles count="2">
    <cellStyle name="Normal" xfId="0" builtinId="0"/>
    <cellStyle name="Percent" xfId="1" builtinId="5"/>
  </cellStyles>
  <dxfs count="13">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 formatCode="0"/>
      <alignment horizontal="general" vertical="center" textRotation="0" wrapText="0" indent="0" justifyLastLine="0" shrinkToFit="0" readingOrder="0"/>
    </dxf>
    <dxf>
      <numFmt numFmtId="1" formatCode="0"/>
      <alignment horizontal="general" vertical="center" textRotation="0" wrapText="0" indent="0" justifyLastLine="0" shrinkToFit="0" readingOrder="0"/>
    </dxf>
    <dxf>
      <numFmt numFmtId="1" formatCode="0"/>
      <alignment horizontal="general" vertical="center" textRotation="0" wrapText="0" indent="0" justifyLastLine="0" shrinkToFit="0" readingOrder="0"/>
    </dxf>
    <dxf>
      <numFmt numFmtId="1" formatCode="0"/>
      <alignment horizontal="general" vertical="center" textRotation="0" wrapText="0" indent="0" justifyLastLine="0" shrinkToFit="0" readingOrder="0"/>
    </dxf>
    <dxf>
      <numFmt numFmtId="1" formatCode="0"/>
      <alignment horizontal="general" vertical="center" textRotation="0" wrapText="0" indent="0" justifyLastLine="0" shrinkToFit="0" readingOrder="0"/>
    </dxf>
    <dxf>
      <numFmt numFmtId="164" formatCode="#"/>
      <alignment horizontal="general" vertical="center"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Evolutia cifrei</a:t>
            </a:r>
            <a:r>
              <a:rPr lang="en-US" sz="1050" baseline="0"/>
              <a:t> de afaceri a companiei Bitdefender</a:t>
            </a:r>
          </a:p>
          <a:p>
            <a:pPr>
              <a:defRPr/>
            </a:pPr>
            <a:r>
              <a:rPr lang="en-US" sz="1050" baseline="0"/>
              <a:t> in perioada 2007-2023</a:t>
            </a:r>
            <a:endParaRPr lang="en-US"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271084864391952"/>
          <c:y val="0.19486111111111112"/>
          <c:w val="0.80153018372703411"/>
          <c:h val="0.72088764946048411"/>
        </c:manualLayout>
      </c:layout>
      <c:barChart>
        <c:barDir val="col"/>
        <c:grouping val="clustered"/>
        <c:varyColors val="0"/>
        <c:ser>
          <c:idx val="0"/>
          <c:order val="0"/>
          <c:tx>
            <c:strRef>
              <c:f>Indicatori_financiari!$C$1</c:f>
              <c:strCache>
                <c:ptCount val="1"/>
                <c:pt idx="0">
                  <c:v>Cifra_afaceri</c:v>
                </c:pt>
              </c:strCache>
            </c:strRef>
          </c:tx>
          <c:spPr>
            <a:solidFill>
              <a:schemeClr val="accent1"/>
            </a:solidFill>
            <a:ln>
              <a:noFill/>
            </a:ln>
            <a:effectLst/>
          </c:spPr>
          <c:invertIfNegative val="0"/>
          <c:val>
            <c:numRef>
              <c:f>Indicatori_financiari!$C$2:$C$18</c:f>
              <c:numCache>
                <c:formatCode>#</c:formatCode>
                <c:ptCount val="17"/>
                <c:pt idx="0">
                  <c:v>22133144</c:v>
                </c:pt>
                <c:pt idx="1">
                  <c:v>64876609</c:v>
                </c:pt>
                <c:pt idx="2">
                  <c:v>104876324</c:v>
                </c:pt>
                <c:pt idx="3">
                  <c:v>122015011</c:v>
                </c:pt>
                <c:pt idx="4">
                  <c:v>135614898</c:v>
                </c:pt>
                <c:pt idx="5">
                  <c:v>160935943</c:v>
                </c:pt>
                <c:pt idx="6">
                  <c:v>196513222</c:v>
                </c:pt>
                <c:pt idx="7">
                  <c:v>251516730</c:v>
                </c:pt>
                <c:pt idx="8">
                  <c:v>387037483</c:v>
                </c:pt>
                <c:pt idx="9">
                  <c:v>453169770</c:v>
                </c:pt>
                <c:pt idx="10">
                  <c:v>591862278</c:v>
                </c:pt>
                <c:pt idx="11">
                  <c:v>545940714</c:v>
                </c:pt>
                <c:pt idx="12">
                  <c:v>671306085</c:v>
                </c:pt>
                <c:pt idx="13">
                  <c:v>869068558</c:v>
                </c:pt>
                <c:pt idx="14">
                  <c:v>1084546939</c:v>
                </c:pt>
                <c:pt idx="15">
                  <c:v>1458858561</c:v>
                </c:pt>
                <c:pt idx="16">
                  <c:v>1029276944</c:v>
                </c:pt>
              </c:numCache>
            </c:numRef>
          </c:val>
          <c:extLst>
            <c:ext xmlns:c16="http://schemas.microsoft.com/office/drawing/2014/chart" uri="{C3380CC4-5D6E-409C-BE32-E72D297353CC}">
              <c16:uniqueId val="{00000000-E6E6-4723-9EB1-58CC5907A1B0}"/>
            </c:ext>
          </c:extLst>
        </c:ser>
        <c:dLbls>
          <c:showLegendKey val="0"/>
          <c:showVal val="0"/>
          <c:showCatName val="0"/>
          <c:showSerName val="0"/>
          <c:showPercent val="0"/>
          <c:showBubbleSize val="0"/>
        </c:dLbls>
        <c:gapWidth val="219"/>
        <c:overlap val="-27"/>
        <c:axId val="476096207"/>
        <c:axId val="476105807"/>
      </c:barChart>
      <c:catAx>
        <c:axId val="47609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105807"/>
        <c:crosses val="autoZero"/>
        <c:auto val="1"/>
        <c:lblAlgn val="ctr"/>
        <c:lblOffset val="100"/>
        <c:noMultiLvlLbl val="0"/>
      </c:catAx>
      <c:valAx>
        <c:axId val="476105807"/>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962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Rata_profit</c:v>
          </c:tx>
          <c:spPr>
            <a:solidFill>
              <a:schemeClr val="accent1"/>
            </a:solidFill>
            <a:ln>
              <a:noFill/>
            </a:ln>
            <a:effectLst/>
          </c:spPr>
          <c:invertIfNegative val="0"/>
          <c:cat>
            <c:strLit>
              <c:ptCount val="3"/>
              <c:pt idx="0">
                <c:v>2020</c:v>
              </c:pt>
              <c:pt idx="1">
                <c:v>2021</c:v>
              </c:pt>
              <c:pt idx="2">
                <c:v>2022</c:v>
              </c:pt>
            </c:strLit>
          </c:cat>
          <c:val>
            <c:numLit>
              <c:formatCode>General</c:formatCode>
              <c:ptCount val="3"/>
              <c:pt idx="0">
                <c:v>0.16160911553769503</c:v>
              </c:pt>
              <c:pt idx="1">
                <c:v>0.20027344800795202</c:v>
              </c:pt>
              <c:pt idx="2">
                <c:v>0.20037139433148926</c:v>
              </c:pt>
            </c:numLit>
          </c:val>
          <c:extLst>
            <c:ext xmlns:c16="http://schemas.microsoft.com/office/drawing/2014/chart" uri="{C3380CC4-5D6E-409C-BE32-E72D297353CC}">
              <c16:uniqueId val="{00000000-FDCF-47F5-A84A-B11E747C4A87}"/>
            </c:ext>
          </c:extLst>
        </c:ser>
        <c:ser>
          <c:idx val="1"/>
          <c:order val="1"/>
          <c:tx>
            <c:v>Sum of Profit_net</c:v>
          </c:tx>
          <c:spPr>
            <a:solidFill>
              <a:schemeClr val="accent2"/>
            </a:solidFill>
            <a:ln>
              <a:noFill/>
            </a:ln>
            <a:effectLst/>
          </c:spPr>
          <c:invertIfNegative val="0"/>
          <c:cat>
            <c:strLit>
              <c:ptCount val="3"/>
              <c:pt idx="0">
                <c:v>2020</c:v>
              </c:pt>
              <c:pt idx="1">
                <c:v>2021</c:v>
              </c:pt>
              <c:pt idx="2">
                <c:v>2022</c:v>
              </c:pt>
            </c:strLit>
          </c:cat>
          <c:val>
            <c:numLit>
              <c:formatCode>General</c:formatCode>
              <c:ptCount val="3"/>
              <c:pt idx="0">
                <c:v>140449401</c:v>
              </c:pt>
              <c:pt idx="1">
                <c:v>217205955</c:v>
              </c:pt>
              <c:pt idx="2">
                <c:v>292313524</c:v>
              </c:pt>
            </c:numLit>
          </c:val>
          <c:extLst>
            <c:ext xmlns:c16="http://schemas.microsoft.com/office/drawing/2014/chart" uri="{C3380CC4-5D6E-409C-BE32-E72D297353CC}">
              <c16:uniqueId val="{00000001-FDCF-47F5-A84A-B11E747C4A87}"/>
            </c:ext>
          </c:extLst>
        </c:ser>
        <c:ser>
          <c:idx val="2"/>
          <c:order val="2"/>
          <c:tx>
            <c:v>Sum of Cifra_afaceri</c:v>
          </c:tx>
          <c:spPr>
            <a:solidFill>
              <a:schemeClr val="accent3"/>
            </a:solidFill>
            <a:ln>
              <a:noFill/>
            </a:ln>
            <a:effectLst/>
          </c:spPr>
          <c:invertIfNegative val="0"/>
          <c:cat>
            <c:strLit>
              <c:ptCount val="3"/>
              <c:pt idx="0">
                <c:v>2020</c:v>
              </c:pt>
              <c:pt idx="1">
                <c:v>2021</c:v>
              </c:pt>
              <c:pt idx="2">
                <c:v>2022</c:v>
              </c:pt>
            </c:strLit>
          </c:cat>
          <c:val>
            <c:numLit>
              <c:formatCode>General</c:formatCode>
              <c:ptCount val="3"/>
              <c:pt idx="0">
                <c:v>869068558</c:v>
              </c:pt>
              <c:pt idx="1">
                <c:v>1084546939</c:v>
              </c:pt>
              <c:pt idx="2">
                <c:v>1458858561</c:v>
              </c:pt>
            </c:numLit>
          </c:val>
          <c:extLst>
            <c:ext xmlns:c16="http://schemas.microsoft.com/office/drawing/2014/chart" uri="{C3380CC4-5D6E-409C-BE32-E72D297353CC}">
              <c16:uniqueId val="{00000002-FDCF-47F5-A84A-B11E747C4A87}"/>
            </c:ext>
          </c:extLst>
        </c:ser>
        <c:dLbls>
          <c:showLegendKey val="0"/>
          <c:showVal val="0"/>
          <c:showCatName val="0"/>
          <c:showSerName val="0"/>
          <c:showPercent val="0"/>
          <c:showBubbleSize val="0"/>
        </c:dLbls>
        <c:gapWidth val="219"/>
        <c:overlap val="-27"/>
        <c:axId val="1126663039"/>
        <c:axId val="1126663519"/>
      </c:barChart>
      <c:catAx>
        <c:axId val="112666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663519"/>
        <c:crosses val="autoZero"/>
        <c:auto val="1"/>
        <c:lblAlgn val="ctr"/>
        <c:lblOffset val="100"/>
        <c:noMultiLvlLbl val="0"/>
      </c:catAx>
      <c:valAx>
        <c:axId val="112666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66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[DateAnaliza.xlsx]Pivot1!PivotTable20</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Pivot1!$B$3</c:f>
              <c:strCache>
                <c:ptCount val="1"/>
                <c:pt idx="0">
                  <c:v>Sum of Cifra_afaceri</c:v>
                </c:pt>
              </c:strCache>
            </c:strRef>
          </c:tx>
          <c:spPr>
            <a:ln w="28575" cap="rnd">
              <a:solidFill>
                <a:schemeClr val="accent1"/>
              </a:solidFill>
              <a:round/>
            </a:ln>
            <a:effectLst/>
          </c:spPr>
          <c:marker>
            <c:symbol val="none"/>
          </c:marker>
          <c:cat>
            <c:strRef>
              <c:f>Pivot1!$A$4:$A$21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Pivot1!$B$4:$B$21</c:f>
              <c:numCache>
                <c:formatCode>#</c:formatCode>
                <c:ptCount val="17"/>
                <c:pt idx="0">
                  <c:v>22133144</c:v>
                </c:pt>
                <c:pt idx="1">
                  <c:v>64876609</c:v>
                </c:pt>
                <c:pt idx="2">
                  <c:v>104876324</c:v>
                </c:pt>
                <c:pt idx="3">
                  <c:v>122015011</c:v>
                </c:pt>
                <c:pt idx="4">
                  <c:v>135614898</c:v>
                </c:pt>
                <c:pt idx="5">
                  <c:v>160935943</c:v>
                </c:pt>
                <c:pt idx="6">
                  <c:v>196513222</c:v>
                </c:pt>
                <c:pt idx="7">
                  <c:v>251516730</c:v>
                </c:pt>
                <c:pt idx="8">
                  <c:v>387037483</c:v>
                </c:pt>
                <c:pt idx="9">
                  <c:v>453169770</c:v>
                </c:pt>
                <c:pt idx="10">
                  <c:v>591862278</c:v>
                </c:pt>
                <c:pt idx="11">
                  <c:v>545940714</c:v>
                </c:pt>
                <c:pt idx="12">
                  <c:v>671306085</c:v>
                </c:pt>
                <c:pt idx="13">
                  <c:v>869068558</c:v>
                </c:pt>
                <c:pt idx="14">
                  <c:v>1084546939</c:v>
                </c:pt>
                <c:pt idx="15">
                  <c:v>1458858561</c:v>
                </c:pt>
                <c:pt idx="16">
                  <c:v>1029276944</c:v>
                </c:pt>
              </c:numCache>
            </c:numRef>
          </c:val>
          <c:smooth val="0"/>
          <c:extLst>
            <c:ext xmlns:c16="http://schemas.microsoft.com/office/drawing/2014/chart" uri="{C3380CC4-5D6E-409C-BE32-E72D297353CC}">
              <c16:uniqueId val="{00000000-F0E7-4F2E-B63E-E666F9E418E5}"/>
            </c:ext>
          </c:extLst>
        </c:ser>
        <c:ser>
          <c:idx val="1"/>
          <c:order val="1"/>
          <c:tx>
            <c:strRef>
              <c:f>Pivot1!$C$3</c:f>
              <c:strCache>
                <c:ptCount val="1"/>
                <c:pt idx="0">
                  <c:v>Sum of Profit_net</c:v>
                </c:pt>
              </c:strCache>
            </c:strRef>
          </c:tx>
          <c:spPr>
            <a:ln w="28575" cap="rnd">
              <a:solidFill>
                <a:schemeClr val="accent2"/>
              </a:solidFill>
              <a:round/>
            </a:ln>
            <a:effectLst/>
          </c:spPr>
          <c:marker>
            <c:symbol val="none"/>
          </c:marker>
          <c:cat>
            <c:strRef>
              <c:f>Pivot1!$A$4:$A$21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Pivot1!$C$4:$C$21</c:f>
              <c:numCache>
                <c:formatCode>0</c:formatCode>
                <c:ptCount val="17"/>
                <c:pt idx="0">
                  <c:v>2399998</c:v>
                </c:pt>
                <c:pt idx="1">
                  <c:v>415823</c:v>
                </c:pt>
                <c:pt idx="2">
                  <c:v>7156247</c:v>
                </c:pt>
                <c:pt idx="3">
                  <c:v>1012838</c:v>
                </c:pt>
                <c:pt idx="4">
                  <c:v>4583174</c:v>
                </c:pt>
                <c:pt idx="5">
                  <c:v>4975</c:v>
                </c:pt>
                <c:pt idx="6">
                  <c:v>11331647</c:v>
                </c:pt>
                <c:pt idx="7">
                  <c:v>16858095</c:v>
                </c:pt>
                <c:pt idx="8">
                  <c:v>57604725</c:v>
                </c:pt>
                <c:pt idx="9">
                  <c:v>27693557</c:v>
                </c:pt>
                <c:pt idx="10">
                  <c:v>28427493</c:v>
                </c:pt>
                <c:pt idx="11">
                  <c:v>6449994</c:v>
                </c:pt>
                <c:pt idx="12">
                  <c:v>6796981</c:v>
                </c:pt>
                <c:pt idx="13">
                  <c:v>140449401</c:v>
                </c:pt>
                <c:pt idx="14">
                  <c:v>217205955</c:v>
                </c:pt>
                <c:pt idx="15">
                  <c:v>292313524</c:v>
                </c:pt>
                <c:pt idx="16">
                  <c:v>-122676743</c:v>
                </c:pt>
              </c:numCache>
            </c:numRef>
          </c:val>
          <c:smooth val="0"/>
          <c:extLst>
            <c:ext xmlns:c16="http://schemas.microsoft.com/office/drawing/2014/chart" uri="{C3380CC4-5D6E-409C-BE32-E72D297353CC}">
              <c16:uniqueId val="{00000001-F0E7-4F2E-B63E-E666F9E418E5}"/>
            </c:ext>
          </c:extLst>
        </c:ser>
        <c:ser>
          <c:idx val="2"/>
          <c:order val="2"/>
          <c:tx>
            <c:strRef>
              <c:f>Pivot1!$D$3</c:f>
              <c:strCache>
                <c:ptCount val="1"/>
                <c:pt idx="0">
                  <c:v>Sum of Active_imobilizate</c:v>
                </c:pt>
              </c:strCache>
            </c:strRef>
          </c:tx>
          <c:spPr>
            <a:ln w="28575" cap="rnd">
              <a:solidFill>
                <a:schemeClr val="accent3"/>
              </a:solidFill>
              <a:round/>
            </a:ln>
            <a:effectLst/>
          </c:spPr>
          <c:marker>
            <c:symbol val="none"/>
          </c:marker>
          <c:cat>
            <c:strRef>
              <c:f>Pivot1!$A$4:$A$21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Pivot1!$D$4:$D$21</c:f>
              <c:numCache>
                <c:formatCode>0</c:formatCode>
                <c:ptCount val="17"/>
                <c:pt idx="0">
                  <c:v>2542568</c:v>
                </c:pt>
                <c:pt idx="1">
                  <c:v>2765694</c:v>
                </c:pt>
                <c:pt idx="2">
                  <c:v>2931938</c:v>
                </c:pt>
                <c:pt idx="3">
                  <c:v>3275128</c:v>
                </c:pt>
                <c:pt idx="4">
                  <c:v>44903941</c:v>
                </c:pt>
                <c:pt idx="5">
                  <c:v>4207798</c:v>
                </c:pt>
                <c:pt idx="6">
                  <c:v>35750205</c:v>
                </c:pt>
                <c:pt idx="7">
                  <c:v>51831220</c:v>
                </c:pt>
                <c:pt idx="8">
                  <c:v>41009762</c:v>
                </c:pt>
                <c:pt idx="9">
                  <c:v>27955128</c:v>
                </c:pt>
                <c:pt idx="10">
                  <c:v>28626577</c:v>
                </c:pt>
                <c:pt idx="11">
                  <c:v>23502423</c:v>
                </c:pt>
                <c:pt idx="12">
                  <c:v>28550407</c:v>
                </c:pt>
                <c:pt idx="13">
                  <c:v>27209442</c:v>
                </c:pt>
                <c:pt idx="14">
                  <c:v>34866555</c:v>
                </c:pt>
                <c:pt idx="15">
                  <c:v>48458949</c:v>
                </c:pt>
                <c:pt idx="16">
                  <c:v>54484667</c:v>
                </c:pt>
              </c:numCache>
            </c:numRef>
          </c:val>
          <c:smooth val="0"/>
          <c:extLst>
            <c:ext xmlns:c16="http://schemas.microsoft.com/office/drawing/2014/chart" uri="{C3380CC4-5D6E-409C-BE32-E72D297353CC}">
              <c16:uniqueId val="{00000002-F0E7-4F2E-B63E-E666F9E418E5}"/>
            </c:ext>
          </c:extLst>
        </c:ser>
        <c:ser>
          <c:idx val="3"/>
          <c:order val="3"/>
          <c:tx>
            <c:strRef>
              <c:f>Pivot1!$E$3</c:f>
              <c:strCache>
                <c:ptCount val="1"/>
                <c:pt idx="0">
                  <c:v>Sum of Active_circulante</c:v>
                </c:pt>
              </c:strCache>
            </c:strRef>
          </c:tx>
          <c:spPr>
            <a:ln w="28575" cap="rnd">
              <a:solidFill>
                <a:schemeClr val="accent4"/>
              </a:solidFill>
              <a:round/>
            </a:ln>
            <a:effectLst/>
          </c:spPr>
          <c:marker>
            <c:symbol val="none"/>
          </c:marker>
          <c:cat>
            <c:strRef>
              <c:f>Pivot1!$A$4:$A$21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Pivot1!$E$4:$E$21</c:f>
              <c:numCache>
                <c:formatCode>0</c:formatCode>
                <c:ptCount val="17"/>
                <c:pt idx="0">
                  <c:v>17961664</c:v>
                </c:pt>
                <c:pt idx="1">
                  <c:v>43273734</c:v>
                </c:pt>
                <c:pt idx="2">
                  <c:v>82152621</c:v>
                </c:pt>
                <c:pt idx="3">
                  <c:v>86035513</c:v>
                </c:pt>
                <c:pt idx="4">
                  <c:v>66932484</c:v>
                </c:pt>
                <c:pt idx="5">
                  <c:v>106595462</c:v>
                </c:pt>
                <c:pt idx="6">
                  <c:v>74309022</c:v>
                </c:pt>
                <c:pt idx="7">
                  <c:v>150525666</c:v>
                </c:pt>
                <c:pt idx="8">
                  <c:v>149970492</c:v>
                </c:pt>
                <c:pt idx="9">
                  <c:v>159116803</c:v>
                </c:pt>
                <c:pt idx="10">
                  <c:v>229564776</c:v>
                </c:pt>
                <c:pt idx="11">
                  <c:v>297344709</c:v>
                </c:pt>
                <c:pt idx="12">
                  <c:v>364109554</c:v>
                </c:pt>
                <c:pt idx="13">
                  <c:v>438064425</c:v>
                </c:pt>
                <c:pt idx="14">
                  <c:v>667726075</c:v>
                </c:pt>
                <c:pt idx="15">
                  <c:v>794736386</c:v>
                </c:pt>
                <c:pt idx="16">
                  <c:v>1095824011</c:v>
                </c:pt>
              </c:numCache>
            </c:numRef>
          </c:val>
          <c:smooth val="0"/>
          <c:extLst>
            <c:ext xmlns:c16="http://schemas.microsoft.com/office/drawing/2014/chart" uri="{C3380CC4-5D6E-409C-BE32-E72D297353CC}">
              <c16:uniqueId val="{00000003-F0E7-4F2E-B63E-E666F9E418E5}"/>
            </c:ext>
          </c:extLst>
        </c:ser>
        <c:ser>
          <c:idx val="4"/>
          <c:order val="4"/>
          <c:tx>
            <c:strRef>
              <c:f>Pivot1!$F$3</c:f>
              <c:strCache>
                <c:ptCount val="1"/>
                <c:pt idx="0">
                  <c:v>Sum of Capitaluri_proprii</c:v>
                </c:pt>
              </c:strCache>
            </c:strRef>
          </c:tx>
          <c:spPr>
            <a:ln w="28575" cap="rnd">
              <a:solidFill>
                <a:schemeClr val="accent5"/>
              </a:solidFill>
              <a:round/>
            </a:ln>
            <a:effectLst/>
          </c:spPr>
          <c:marker>
            <c:symbol val="none"/>
          </c:marker>
          <c:cat>
            <c:strRef>
              <c:f>Pivot1!$A$4:$A$21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Pivot1!$F$4:$F$21</c:f>
              <c:numCache>
                <c:formatCode>0</c:formatCode>
                <c:ptCount val="17"/>
                <c:pt idx="0">
                  <c:v>2321217</c:v>
                </c:pt>
                <c:pt idx="1">
                  <c:v>2737040</c:v>
                </c:pt>
                <c:pt idx="2">
                  <c:v>9893286</c:v>
                </c:pt>
                <c:pt idx="3">
                  <c:v>10906125</c:v>
                </c:pt>
                <c:pt idx="4">
                  <c:v>13989298</c:v>
                </c:pt>
                <c:pt idx="5">
                  <c:v>13533273</c:v>
                </c:pt>
                <c:pt idx="6">
                  <c:v>24517321</c:v>
                </c:pt>
                <c:pt idx="7">
                  <c:v>41375415</c:v>
                </c:pt>
                <c:pt idx="8">
                  <c:v>71715716</c:v>
                </c:pt>
                <c:pt idx="9">
                  <c:v>53409273</c:v>
                </c:pt>
                <c:pt idx="10">
                  <c:v>49816765</c:v>
                </c:pt>
                <c:pt idx="11">
                  <c:v>56266759</c:v>
                </c:pt>
                <c:pt idx="12">
                  <c:v>30063740</c:v>
                </c:pt>
                <c:pt idx="13">
                  <c:v>146415138</c:v>
                </c:pt>
                <c:pt idx="14">
                  <c:v>308526678</c:v>
                </c:pt>
                <c:pt idx="15">
                  <c:v>441167343</c:v>
                </c:pt>
                <c:pt idx="16">
                  <c:v>275376747</c:v>
                </c:pt>
              </c:numCache>
            </c:numRef>
          </c:val>
          <c:smooth val="0"/>
          <c:extLst>
            <c:ext xmlns:c16="http://schemas.microsoft.com/office/drawing/2014/chart" uri="{C3380CC4-5D6E-409C-BE32-E72D297353CC}">
              <c16:uniqueId val="{00000004-F0E7-4F2E-B63E-E666F9E418E5}"/>
            </c:ext>
          </c:extLst>
        </c:ser>
        <c:ser>
          <c:idx val="5"/>
          <c:order val="5"/>
          <c:tx>
            <c:strRef>
              <c:f>Pivot1!$G$3</c:f>
              <c:strCache>
                <c:ptCount val="1"/>
                <c:pt idx="0">
                  <c:v>Sum of Datorii</c:v>
                </c:pt>
              </c:strCache>
            </c:strRef>
          </c:tx>
          <c:spPr>
            <a:ln w="28575" cap="rnd">
              <a:solidFill>
                <a:schemeClr val="accent6"/>
              </a:solidFill>
              <a:round/>
            </a:ln>
            <a:effectLst/>
          </c:spPr>
          <c:marker>
            <c:symbol val="none"/>
          </c:marker>
          <c:cat>
            <c:strRef>
              <c:f>Pivot1!$A$4:$A$21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Pivot1!$G$4:$G$21</c:f>
              <c:numCache>
                <c:formatCode>0</c:formatCode>
                <c:ptCount val="17"/>
                <c:pt idx="0">
                  <c:v>18183015</c:v>
                </c:pt>
                <c:pt idx="1">
                  <c:v>44039356</c:v>
                </c:pt>
                <c:pt idx="2">
                  <c:v>75746887</c:v>
                </c:pt>
                <c:pt idx="3">
                  <c:v>78195040</c:v>
                </c:pt>
                <c:pt idx="4">
                  <c:v>96955009</c:v>
                </c:pt>
                <c:pt idx="5">
                  <c:v>95748115</c:v>
                </c:pt>
                <c:pt idx="6">
                  <c:v>79982551</c:v>
                </c:pt>
                <c:pt idx="7">
                  <c:v>116892349</c:v>
                </c:pt>
                <c:pt idx="8">
                  <c:v>56521353</c:v>
                </c:pt>
                <c:pt idx="9">
                  <c:v>58080716</c:v>
                </c:pt>
                <c:pt idx="10">
                  <c:v>98664919</c:v>
                </c:pt>
                <c:pt idx="11">
                  <c:v>104564549</c:v>
                </c:pt>
                <c:pt idx="12">
                  <c:v>175978056</c:v>
                </c:pt>
                <c:pt idx="13">
                  <c:v>120933038</c:v>
                </c:pt>
                <c:pt idx="14">
                  <c:v>145477586</c:v>
                </c:pt>
                <c:pt idx="15">
                  <c:v>191776762</c:v>
                </c:pt>
                <c:pt idx="16">
                  <c:v>207855185</c:v>
                </c:pt>
              </c:numCache>
            </c:numRef>
          </c:val>
          <c:smooth val="0"/>
          <c:extLst>
            <c:ext xmlns:c16="http://schemas.microsoft.com/office/drawing/2014/chart" uri="{C3380CC4-5D6E-409C-BE32-E72D297353CC}">
              <c16:uniqueId val="{00000005-F0E7-4F2E-B63E-E666F9E418E5}"/>
            </c:ext>
          </c:extLst>
        </c:ser>
        <c:ser>
          <c:idx val="6"/>
          <c:order val="6"/>
          <c:tx>
            <c:strRef>
              <c:f>Pivot1!$H$3</c:f>
              <c:strCache>
                <c:ptCount val="1"/>
                <c:pt idx="0">
                  <c:v>Sum of Nr_mediu_angajati</c:v>
                </c:pt>
              </c:strCache>
            </c:strRef>
          </c:tx>
          <c:spPr>
            <a:ln w="28575" cap="rnd">
              <a:solidFill>
                <a:schemeClr val="accent1">
                  <a:lumMod val="60000"/>
                </a:schemeClr>
              </a:solidFill>
              <a:round/>
            </a:ln>
            <a:effectLst/>
          </c:spPr>
          <c:marker>
            <c:symbol val="none"/>
          </c:marker>
          <c:cat>
            <c:strRef>
              <c:f>Pivot1!$A$4:$A$21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Pivot1!$H$4:$H$21</c:f>
              <c:numCache>
                <c:formatCode>General</c:formatCode>
                <c:ptCount val="17"/>
                <c:pt idx="0">
                  <c:v>305</c:v>
                </c:pt>
                <c:pt idx="1">
                  <c:v>399</c:v>
                </c:pt>
                <c:pt idx="2">
                  <c:v>425</c:v>
                </c:pt>
                <c:pt idx="3">
                  <c:v>379</c:v>
                </c:pt>
                <c:pt idx="4">
                  <c:v>370</c:v>
                </c:pt>
                <c:pt idx="5">
                  <c:v>278</c:v>
                </c:pt>
                <c:pt idx="6">
                  <c:v>556</c:v>
                </c:pt>
                <c:pt idx="7">
                  <c:v>595</c:v>
                </c:pt>
                <c:pt idx="8">
                  <c:v>708</c:v>
                </c:pt>
                <c:pt idx="9">
                  <c:v>868</c:v>
                </c:pt>
                <c:pt idx="10">
                  <c:v>1119</c:v>
                </c:pt>
                <c:pt idx="11">
                  <c:v>1238</c:v>
                </c:pt>
                <c:pt idx="12">
                  <c:v>1377</c:v>
                </c:pt>
                <c:pt idx="13">
                  <c:v>1354</c:v>
                </c:pt>
                <c:pt idx="14">
                  <c:v>1350</c:v>
                </c:pt>
                <c:pt idx="15">
                  <c:v>1469</c:v>
                </c:pt>
                <c:pt idx="16">
                  <c:v>1539</c:v>
                </c:pt>
              </c:numCache>
            </c:numRef>
          </c:val>
          <c:smooth val="0"/>
          <c:extLst>
            <c:ext xmlns:c16="http://schemas.microsoft.com/office/drawing/2014/chart" uri="{C3380CC4-5D6E-409C-BE32-E72D297353CC}">
              <c16:uniqueId val="{00000006-F0E7-4F2E-B63E-E666F9E418E5}"/>
            </c:ext>
          </c:extLst>
        </c:ser>
        <c:ser>
          <c:idx val="7"/>
          <c:order val="7"/>
          <c:tx>
            <c:strRef>
              <c:f>Pivot1!$I$3</c:f>
              <c:strCache>
                <c:ptCount val="1"/>
                <c:pt idx="0">
                  <c:v>Sum of Rata_profit</c:v>
                </c:pt>
              </c:strCache>
            </c:strRef>
          </c:tx>
          <c:spPr>
            <a:ln w="28575" cap="rnd">
              <a:solidFill>
                <a:schemeClr val="accent2">
                  <a:lumMod val="60000"/>
                </a:schemeClr>
              </a:solidFill>
              <a:round/>
            </a:ln>
            <a:effectLst/>
          </c:spPr>
          <c:marker>
            <c:symbol val="none"/>
          </c:marker>
          <c:cat>
            <c:strRef>
              <c:f>Pivot1!$A$4:$A$21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Pivot1!$I$4:$I$21</c:f>
              <c:numCache>
                <c:formatCode>General</c:formatCode>
                <c:ptCount val="17"/>
                <c:pt idx="0">
                  <c:v>0.10843457215115937</c:v>
                </c:pt>
                <c:pt idx="1">
                  <c:v>6.4094441187578103E-3</c:v>
                </c:pt>
                <c:pt idx="2">
                  <c:v>6.8235105189232217E-2</c:v>
                </c:pt>
                <c:pt idx="3">
                  <c:v>8.3009294651458908E-3</c:v>
                </c:pt>
                <c:pt idx="4">
                  <c:v>3.3795505269634901E-2</c:v>
                </c:pt>
                <c:pt idx="5">
                  <c:v>3.09129204282228E-5</c:v>
                </c:pt>
                <c:pt idx="6">
                  <c:v>5.7663534721343078E-2</c:v>
                </c:pt>
                <c:pt idx="7">
                  <c:v>6.7025740196288333E-2</c:v>
                </c:pt>
                <c:pt idx="8">
                  <c:v>0.14883500314619399</c:v>
                </c:pt>
                <c:pt idx="9">
                  <c:v>6.1110777534873963E-2</c:v>
                </c:pt>
                <c:pt idx="10">
                  <c:v>4.8030587615857483E-2</c:v>
                </c:pt>
                <c:pt idx="11">
                  <c:v>1.1814458666660277E-2</c:v>
                </c:pt>
                <c:pt idx="12">
                  <c:v>1.0125010262643456E-2</c:v>
                </c:pt>
                <c:pt idx="13">
                  <c:v>0.16160911553769503</c:v>
                </c:pt>
                <c:pt idx="14">
                  <c:v>0.20027344800795202</c:v>
                </c:pt>
                <c:pt idx="15">
                  <c:v>0.20037139433148926</c:v>
                </c:pt>
                <c:pt idx="16">
                  <c:v>-0.11918730300442833</c:v>
                </c:pt>
              </c:numCache>
            </c:numRef>
          </c:val>
          <c:smooth val="0"/>
          <c:extLst>
            <c:ext xmlns:c16="http://schemas.microsoft.com/office/drawing/2014/chart" uri="{C3380CC4-5D6E-409C-BE32-E72D297353CC}">
              <c16:uniqueId val="{00000007-F0E7-4F2E-B63E-E666F9E418E5}"/>
            </c:ext>
          </c:extLst>
        </c:ser>
        <c:dLbls>
          <c:showLegendKey val="0"/>
          <c:showVal val="0"/>
          <c:showCatName val="0"/>
          <c:showSerName val="0"/>
          <c:showPercent val="0"/>
          <c:showBubbleSize val="0"/>
        </c:dLbls>
        <c:smooth val="0"/>
        <c:axId val="1758239135"/>
        <c:axId val="1758231935"/>
      </c:lineChart>
      <c:catAx>
        <c:axId val="175823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231935"/>
        <c:crosses val="autoZero"/>
        <c:auto val="1"/>
        <c:lblAlgn val="ctr"/>
        <c:lblOffset val="100"/>
        <c:noMultiLvlLbl val="0"/>
      </c:catAx>
      <c:valAx>
        <c:axId val="1758231935"/>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23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[DateAnaliza.xlsx]Pivot2!PivotTable21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Pivot2!$B$3</c:f>
              <c:strCache>
                <c:ptCount val="1"/>
                <c:pt idx="0">
                  <c:v>Sum of Cifra_afaceri</c:v>
                </c:pt>
              </c:strCache>
            </c:strRef>
          </c:tx>
          <c:spPr>
            <a:solidFill>
              <a:schemeClr val="accent1"/>
            </a:solidFill>
            <a:ln>
              <a:noFill/>
            </a:ln>
            <a:effectLst/>
          </c:spPr>
          <c:cat>
            <c:strRef>
              <c:f>Pivot2!$A$4:$A$21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Pivot2!$B$4:$B$21</c:f>
              <c:numCache>
                <c:formatCode>#</c:formatCode>
                <c:ptCount val="17"/>
                <c:pt idx="0">
                  <c:v>22133144</c:v>
                </c:pt>
                <c:pt idx="1">
                  <c:v>64876609</c:v>
                </c:pt>
                <c:pt idx="2">
                  <c:v>104876324</c:v>
                </c:pt>
                <c:pt idx="3">
                  <c:v>122015011</c:v>
                </c:pt>
                <c:pt idx="4">
                  <c:v>135614898</c:v>
                </c:pt>
                <c:pt idx="5">
                  <c:v>160935943</c:v>
                </c:pt>
                <c:pt idx="6">
                  <c:v>196513222</c:v>
                </c:pt>
                <c:pt idx="7">
                  <c:v>251516730</c:v>
                </c:pt>
                <c:pt idx="8">
                  <c:v>387037483</c:v>
                </c:pt>
                <c:pt idx="9">
                  <c:v>453169770</c:v>
                </c:pt>
                <c:pt idx="10">
                  <c:v>591862278</c:v>
                </c:pt>
                <c:pt idx="11">
                  <c:v>545940714</c:v>
                </c:pt>
                <c:pt idx="12">
                  <c:v>671306085</c:v>
                </c:pt>
                <c:pt idx="13">
                  <c:v>869068558</c:v>
                </c:pt>
                <c:pt idx="14">
                  <c:v>1084546939</c:v>
                </c:pt>
                <c:pt idx="15">
                  <c:v>1458858561</c:v>
                </c:pt>
                <c:pt idx="16">
                  <c:v>1029276944</c:v>
                </c:pt>
              </c:numCache>
            </c:numRef>
          </c:val>
          <c:extLst>
            <c:ext xmlns:c16="http://schemas.microsoft.com/office/drawing/2014/chart" uri="{C3380CC4-5D6E-409C-BE32-E72D297353CC}">
              <c16:uniqueId val="{00000000-276C-4AC3-B512-391B9BE7FC52}"/>
            </c:ext>
          </c:extLst>
        </c:ser>
        <c:ser>
          <c:idx val="1"/>
          <c:order val="1"/>
          <c:tx>
            <c:strRef>
              <c:f>Pivot2!$C$3</c:f>
              <c:strCache>
                <c:ptCount val="1"/>
                <c:pt idx="0">
                  <c:v>Sum of Profit_net</c:v>
                </c:pt>
              </c:strCache>
            </c:strRef>
          </c:tx>
          <c:spPr>
            <a:solidFill>
              <a:schemeClr val="accent2"/>
            </a:solidFill>
            <a:ln>
              <a:noFill/>
            </a:ln>
            <a:effectLst/>
          </c:spPr>
          <c:cat>
            <c:strRef>
              <c:f>Pivot2!$A$4:$A$21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Pivot2!$C$4:$C$21</c:f>
              <c:numCache>
                <c:formatCode>0</c:formatCode>
                <c:ptCount val="17"/>
                <c:pt idx="0">
                  <c:v>2399998</c:v>
                </c:pt>
                <c:pt idx="1">
                  <c:v>415823</c:v>
                </c:pt>
                <c:pt idx="2">
                  <c:v>7156247</c:v>
                </c:pt>
                <c:pt idx="3">
                  <c:v>1012838</c:v>
                </c:pt>
                <c:pt idx="4">
                  <c:v>4583174</c:v>
                </c:pt>
                <c:pt idx="5">
                  <c:v>4975</c:v>
                </c:pt>
                <c:pt idx="6">
                  <c:v>11331647</c:v>
                </c:pt>
                <c:pt idx="7">
                  <c:v>16858095</c:v>
                </c:pt>
                <c:pt idx="8">
                  <c:v>57604725</c:v>
                </c:pt>
                <c:pt idx="9">
                  <c:v>27693557</c:v>
                </c:pt>
                <c:pt idx="10">
                  <c:v>28427493</c:v>
                </c:pt>
                <c:pt idx="11">
                  <c:v>6449994</c:v>
                </c:pt>
                <c:pt idx="12">
                  <c:v>6796981</c:v>
                </c:pt>
                <c:pt idx="13">
                  <c:v>140449401</c:v>
                </c:pt>
                <c:pt idx="14">
                  <c:v>217205955</c:v>
                </c:pt>
                <c:pt idx="15">
                  <c:v>292313524</c:v>
                </c:pt>
                <c:pt idx="16">
                  <c:v>-122676743</c:v>
                </c:pt>
              </c:numCache>
            </c:numRef>
          </c:val>
          <c:extLst>
            <c:ext xmlns:c16="http://schemas.microsoft.com/office/drawing/2014/chart" uri="{C3380CC4-5D6E-409C-BE32-E72D297353CC}">
              <c16:uniqueId val="{00000001-276C-4AC3-B512-391B9BE7FC52}"/>
            </c:ext>
          </c:extLst>
        </c:ser>
        <c:dLbls>
          <c:showLegendKey val="0"/>
          <c:showVal val="0"/>
          <c:showCatName val="0"/>
          <c:showSerName val="0"/>
          <c:showPercent val="0"/>
          <c:showBubbleSize val="0"/>
        </c:dLbls>
        <c:axId val="972267727"/>
        <c:axId val="972268687"/>
      </c:areaChart>
      <c:catAx>
        <c:axId val="9722677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268687"/>
        <c:crosses val="autoZero"/>
        <c:auto val="1"/>
        <c:lblAlgn val="ctr"/>
        <c:lblOffset val="100"/>
        <c:noMultiLvlLbl val="0"/>
      </c:catAx>
      <c:valAx>
        <c:axId val="972268687"/>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2677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[DateAnaliza.xlsx]Pivot4!PivotTable22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Pivot4!$B$3</c:f>
              <c:strCache>
                <c:ptCount val="1"/>
                <c:pt idx="0">
                  <c:v>Sum of Datorii</c:v>
                </c:pt>
              </c:strCache>
            </c:strRef>
          </c:tx>
          <c:spPr>
            <a:solidFill>
              <a:schemeClr val="accent1"/>
            </a:solidFill>
            <a:ln>
              <a:noFill/>
            </a:ln>
            <a:effectLst/>
          </c:spPr>
          <c:invertIfNegative val="0"/>
          <c:cat>
            <c:strRef>
              <c:f>Pivot4!$A$4:$A$21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Pivot4!$B$4:$B$21</c:f>
              <c:numCache>
                <c:formatCode>0.00%</c:formatCode>
                <c:ptCount val="17"/>
                <c:pt idx="1">
                  <c:v>1.4220051515109018</c:v>
                </c:pt>
                <c:pt idx="2">
                  <c:v>0.71998171362905483</c:v>
                </c:pt>
                <c:pt idx="3">
                  <c:v>3.2320179705866987E-2</c:v>
                </c:pt>
                <c:pt idx="4">
                  <c:v>0.23991251874799219</c:v>
                </c:pt>
                <c:pt idx="5">
                  <c:v>-1.2447979866620404E-2</c:v>
                </c:pt>
                <c:pt idx="6">
                  <c:v>-0.16465665146514896</c:v>
                </c:pt>
                <c:pt idx="7">
                  <c:v>0.46147312805764346</c:v>
                </c:pt>
                <c:pt idx="8">
                  <c:v>-0.51646661664742488</c:v>
                </c:pt>
                <c:pt idx="9">
                  <c:v>2.7588918474757671E-2</c:v>
                </c:pt>
                <c:pt idx="10">
                  <c:v>0.69875521162652332</c:v>
                </c:pt>
                <c:pt idx="11">
                  <c:v>5.9794606429464561E-2</c:v>
                </c:pt>
                <c:pt idx="12">
                  <c:v>0.6829609813551627</c:v>
                </c:pt>
                <c:pt idx="13">
                  <c:v>-0.31279478391328519</c:v>
                </c:pt>
                <c:pt idx="14">
                  <c:v>0.20295982310474991</c:v>
                </c:pt>
                <c:pt idx="15">
                  <c:v>0.31825642198929532</c:v>
                </c:pt>
                <c:pt idx="16">
                  <c:v>8.3839266198477161E-2</c:v>
                </c:pt>
              </c:numCache>
            </c:numRef>
          </c:val>
          <c:extLst>
            <c:ext xmlns:c16="http://schemas.microsoft.com/office/drawing/2014/chart" uri="{C3380CC4-5D6E-409C-BE32-E72D297353CC}">
              <c16:uniqueId val="{00000000-A0D3-4E2B-84EB-F810FE5D455E}"/>
            </c:ext>
          </c:extLst>
        </c:ser>
        <c:ser>
          <c:idx val="1"/>
          <c:order val="1"/>
          <c:tx>
            <c:strRef>
              <c:f>Pivot4!$C$3</c:f>
              <c:strCache>
                <c:ptCount val="1"/>
                <c:pt idx="0">
                  <c:v>Sum of Capitaluri_proprii</c:v>
                </c:pt>
              </c:strCache>
            </c:strRef>
          </c:tx>
          <c:spPr>
            <a:solidFill>
              <a:schemeClr val="accent2"/>
            </a:solidFill>
            <a:ln>
              <a:noFill/>
            </a:ln>
            <a:effectLst/>
          </c:spPr>
          <c:invertIfNegative val="0"/>
          <c:cat>
            <c:strRef>
              <c:f>Pivot4!$A$4:$A$21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Pivot4!$C$4:$C$21</c:f>
              <c:numCache>
                <c:formatCode>0.00%</c:formatCode>
                <c:ptCount val="17"/>
                <c:pt idx="1">
                  <c:v>0.17914008039748114</c:v>
                </c:pt>
                <c:pt idx="2">
                  <c:v>2.6145931371116244</c:v>
                </c:pt>
                <c:pt idx="3">
                  <c:v>0.10237639950972811</c:v>
                </c:pt>
                <c:pt idx="4">
                  <c:v>0.28270105101491133</c:v>
                </c:pt>
                <c:pt idx="5">
                  <c:v>-3.2598133230130631E-2</c:v>
                </c:pt>
                <c:pt idx="6">
                  <c:v>0.81163278092446667</c:v>
                </c:pt>
                <c:pt idx="7">
                  <c:v>0.68759935067946454</c:v>
                </c:pt>
                <c:pt idx="8">
                  <c:v>0.7332929712004097</c:v>
                </c:pt>
                <c:pt idx="9">
                  <c:v>-0.25526403445515344</c:v>
                </c:pt>
                <c:pt idx="10">
                  <c:v>-6.7263750248014051E-2</c:v>
                </c:pt>
                <c:pt idx="11">
                  <c:v>0.12947436470433196</c:v>
                </c:pt>
                <c:pt idx="12">
                  <c:v>-0.46569270144029445</c:v>
                </c:pt>
                <c:pt idx="13">
                  <c:v>3.8701571394643515</c:v>
                </c:pt>
                <c:pt idx="14">
                  <c:v>1.1072047755062049</c:v>
                </c:pt>
                <c:pt idx="15">
                  <c:v>0.42991635556391011</c:v>
                </c:pt>
                <c:pt idx="16">
                  <c:v>-0.37579979259706903</c:v>
                </c:pt>
              </c:numCache>
            </c:numRef>
          </c:val>
          <c:extLst>
            <c:ext xmlns:c16="http://schemas.microsoft.com/office/drawing/2014/chart" uri="{C3380CC4-5D6E-409C-BE32-E72D297353CC}">
              <c16:uniqueId val="{00000001-A0D3-4E2B-84EB-F810FE5D455E}"/>
            </c:ext>
          </c:extLst>
        </c:ser>
        <c:dLbls>
          <c:showLegendKey val="0"/>
          <c:showVal val="0"/>
          <c:showCatName val="0"/>
          <c:showSerName val="0"/>
          <c:showPercent val="0"/>
          <c:showBubbleSize val="0"/>
        </c:dLbls>
        <c:gapWidth val="150"/>
        <c:overlap val="100"/>
        <c:axId val="1692676239"/>
        <c:axId val="1692683439"/>
      </c:barChart>
      <c:catAx>
        <c:axId val="169267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683439"/>
        <c:crosses val="autoZero"/>
        <c:auto val="1"/>
        <c:lblAlgn val="ctr"/>
        <c:lblOffset val="100"/>
        <c:noMultiLvlLbl val="0"/>
      </c:catAx>
      <c:valAx>
        <c:axId val="16926834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67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[DateAnaliza.xlsx]Pivot5!PivotTable23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Pivot5!$B$3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737-4A90-8FA3-8095167F3E2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737-4A90-8FA3-8095167F3E2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737-4A90-8FA3-8095167F3E2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737-4A90-8FA3-8095167F3E2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737-4A90-8FA3-8095167F3E2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737-4A90-8FA3-8095167F3E2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737-4A90-8FA3-8095167F3E2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737-4A90-8FA3-8095167F3E2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737-4A90-8FA3-8095167F3E2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D737-4A90-8FA3-8095167F3E2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737-4A90-8FA3-8095167F3E2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737-4A90-8FA3-8095167F3E2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737-4A90-8FA3-8095167F3E2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737-4A90-8FA3-8095167F3E2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737-4A90-8FA3-8095167F3E2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737-4A90-8FA3-8095167F3E2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737-4A90-8FA3-8095167F3E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Pivot5!$A$4:$A$21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Pivot5!$B$4:$B$21</c:f>
              <c:numCache>
                <c:formatCode>0</c:formatCode>
                <c:ptCount val="17"/>
                <c:pt idx="0">
                  <c:v>2399998</c:v>
                </c:pt>
                <c:pt idx="1">
                  <c:v>415823</c:v>
                </c:pt>
                <c:pt idx="2">
                  <c:v>7156247</c:v>
                </c:pt>
                <c:pt idx="3">
                  <c:v>1012838</c:v>
                </c:pt>
                <c:pt idx="4">
                  <c:v>4583174</c:v>
                </c:pt>
                <c:pt idx="5">
                  <c:v>4975</c:v>
                </c:pt>
                <c:pt idx="6">
                  <c:v>11331647</c:v>
                </c:pt>
                <c:pt idx="7">
                  <c:v>16858095</c:v>
                </c:pt>
                <c:pt idx="8">
                  <c:v>57604725</c:v>
                </c:pt>
                <c:pt idx="9">
                  <c:v>27693557</c:v>
                </c:pt>
                <c:pt idx="10">
                  <c:v>28427493</c:v>
                </c:pt>
                <c:pt idx="11">
                  <c:v>6449994</c:v>
                </c:pt>
                <c:pt idx="12">
                  <c:v>6796981</c:v>
                </c:pt>
                <c:pt idx="13">
                  <c:v>140449401</c:v>
                </c:pt>
                <c:pt idx="14">
                  <c:v>217205955</c:v>
                </c:pt>
                <c:pt idx="15">
                  <c:v>292313524</c:v>
                </c:pt>
                <c:pt idx="16">
                  <c:v>-122676743</c:v>
                </c:pt>
              </c:numCache>
            </c:numRef>
          </c:val>
          <c:extLst>
            <c:ext xmlns:c16="http://schemas.microsoft.com/office/drawing/2014/chart" uri="{C3380CC4-5D6E-409C-BE32-E72D297353CC}">
              <c16:uniqueId val="{00000022-D737-4A90-8FA3-8095167F3E2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'MA + ExponentialSmoothing'!$D$2</c:f>
              <c:strCache>
                <c:ptCount val="1"/>
                <c:pt idx="0">
                  <c:v>Cifra de afaceri</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 + ExponentialSmoothing'!$C$3:$C$20</c:f>
              <c:numCache>
                <c:formatCode>General</c:formatCode>
                <c:ptCount val="18"/>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numCache>
            </c:numRef>
          </c:xVal>
          <c:yVal>
            <c:numRef>
              <c:f>'MA + ExponentialSmoothing'!$D$3:$D$20</c:f>
              <c:numCache>
                <c:formatCode>General</c:formatCode>
                <c:ptCount val="18"/>
                <c:pt idx="1">
                  <c:v>22133144</c:v>
                </c:pt>
                <c:pt idx="2">
                  <c:v>64876609</c:v>
                </c:pt>
                <c:pt idx="3">
                  <c:v>104876324</c:v>
                </c:pt>
                <c:pt idx="4">
                  <c:v>122015011</c:v>
                </c:pt>
                <c:pt idx="5">
                  <c:v>135614898</c:v>
                </c:pt>
                <c:pt idx="6">
                  <c:v>160935943</c:v>
                </c:pt>
                <c:pt idx="7">
                  <c:v>196513222</c:v>
                </c:pt>
                <c:pt idx="8">
                  <c:v>251516730</c:v>
                </c:pt>
                <c:pt idx="9">
                  <c:v>387037483</c:v>
                </c:pt>
                <c:pt idx="10">
                  <c:v>453169770</c:v>
                </c:pt>
                <c:pt idx="11">
                  <c:v>591862278</c:v>
                </c:pt>
                <c:pt idx="12">
                  <c:v>545940714</c:v>
                </c:pt>
                <c:pt idx="13">
                  <c:v>671306085</c:v>
                </c:pt>
                <c:pt idx="14">
                  <c:v>869068558</c:v>
                </c:pt>
                <c:pt idx="15">
                  <c:v>1084546939</c:v>
                </c:pt>
                <c:pt idx="16">
                  <c:v>1458858561</c:v>
                </c:pt>
                <c:pt idx="17">
                  <c:v>1029276944</c:v>
                </c:pt>
              </c:numCache>
            </c:numRef>
          </c:yVal>
          <c:smooth val="0"/>
          <c:extLst>
            <c:ext xmlns:c16="http://schemas.microsoft.com/office/drawing/2014/chart" uri="{C3380CC4-5D6E-409C-BE32-E72D297353CC}">
              <c16:uniqueId val="{00000000-12C9-40CC-8157-D3EAA9ED88FD}"/>
            </c:ext>
          </c:extLst>
        </c:ser>
        <c:ser>
          <c:idx val="1"/>
          <c:order val="1"/>
          <c:tx>
            <c:strRef>
              <c:f>'MA + ExponentialSmoothing'!$E$2</c:f>
              <c:strCache>
                <c:ptCount val="1"/>
                <c:pt idx="0">
                  <c:v>Exponential Smoothing</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'MA + ExponentialSmoothing'!$C$3:$C$20</c:f>
              <c:numCache>
                <c:formatCode>General</c:formatCode>
                <c:ptCount val="18"/>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numCache>
            </c:numRef>
          </c:xVal>
          <c:yVal>
            <c:numRef>
              <c:f>'MA + ExponentialSmoothing'!$E$3:$E$20</c:f>
              <c:numCache>
                <c:formatCode>General</c:formatCode>
                <c:ptCount val="18"/>
                <c:pt idx="0">
                  <c:v>0.95360454685808138</c:v>
                </c:pt>
                <c:pt idx="12">
                  <c:v>545940714</c:v>
                </c:pt>
                <c:pt idx="13">
                  <c:v>545940714</c:v>
                </c:pt>
                <c:pt idx="14">
                  <c:v>665489702</c:v>
                </c:pt>
                <c:pt idx="15">
                  <c:v>859623425</c:v>
                </c:pt>
                <c:pt idx="16">
                  <c:v>1074111511</c:v>
                </c:pt>
                <c:pt idx="17">
                  <c:v>1441008047</c:v>
                </c:pt>
              </c:numCache>
            </c:numRef>
          </c:yVal>
          <c:smooth val="0"/>
          <c:extLst>
            <c:ext xmlns:c16="http://schemas.microsoft.com/office/drawing/2014/chart" uri="{C3380CC4-5D6E-409C-BE32-E72D297353CC}">
              <c16:uniqueId val="{00000001-12C9-40CC-8157-D3EAA9ED88FD}"/>
            </c:ext>
          </c:extLst>
        </c:ser>
        <c:ser>
          <c:idx val="2"/>
          <c:order val="2"/>
          <c:tx>
            <c:strRef>
              <c:f>'MA + ExponentialSmoothing'!$J$2</c:f>
              <c:strCache>
                <c:ptCount val="1"/>
                <c:pt idx="0">
                  <c:v>Medie mobila k =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'MA + ExponentialSmoothing'!$C$3:$C$20</c:f>
              <c:numCache>
                <c:formatCode>General</c:formatCode>
                <c:ptCount val="18"/>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numCache>
            </c:numRef>
          </c:xVal>
          <c:yVal>
            <c:numRef>
              <c:f>'MA + ExponentialSmoothing'!$J$3:$J$20</c:f>
              <c:numCache>
                <c:formatCode>General</c:formatCode>
                <c:ptCount val="18"/>
                <c:pt idx="1">
                  <c:v>22133144</c:v>
                </c:pt>
                <c:pt idx="2">
                  <c:v>64876609</c:v>
                </c:pt>
                <c:pt idx="3">
                  <c:v>104876324</c:v>
                </c:pt>
                <c:pt idx="4">
                  <c:v>122015011</c:v>
                </c:pt>
                <c:pt idx="5">
                  <c:v>135614898</c:v>
                </c:pt>
                <c:pt idx="6">
                  <c:v>160935943</c:v>
                </c:pt>
                <c:pt idx="7">
                  <c:v>196513222</c:v>
                </c:pt>
                <c:pt idx="8">
                  <c:v>251516730</c:v>
                </c:pt>
                <c:pt idx="9">
                  <c:v>387037483</c:v>
                </c:pt>
                <c:pt idx="10">
                  <c:v>453169770</c:v>
                </c:pt>
                <c:pt idx="11">
                  <c:v>591862278</c:v>
                </c:pt>
                <c:pt idx="12">
                  <c:v>545940714</c:v>
                </c:pt>
                <c:pt idx="13">
                  <c:v>530324254</c:v>
                </c:pt>
                <c:pt idx="14">
                  <c:v>556042415</c:v>
                </c:pt>
                <c:pt idx="15">
                  <c:v>544102461</c:v>
                </c:pt>
                <c:pt idx="16">
                  <c:v>543489710</c:v>
                </c:pt>
                <c:pt idx="17">
                  <c:v>547878195</c:v>
                </c:pt>
              </c:numCache>
            </c:numRef>
          </c:yVal>
          <c:smooth val="0"/>
          <c:extLst>
            <c:ext xmlns:c16="http://schemas.microsoft.com/office/drawing/2014/chart" uri="{C3380CC4-5D6E-409C-BE32-E72D297353CC}">
              <c16:uniqueId val="{00000002-12C9-40CC-8157-D3EAA9ED88FD}"/>
            </c:ext>
          </c:extLst>
        </c:ser>
        <c:ser>
          <c:idx val="3"/>
          <c:order val="3"/>
          <c:tx>
            <c:strRef>
              <c:f>'MA + ExponentialSmoothing'!$K$2</c:f>
              <c:strCache>
                <c:ptCount val="1"/>
                <c:pt idx="0">
                  <c:v>TREND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'MA + ExponentialSmoothing'!$C$3:$C$20</c:f>
              <c:numCache>
                <c:formatCode>General</c:formatCode>
                <c:ptCount val="18"/>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numCache>
            </c:numRef>
          </c:xVal>
          <c:yVal>
            <c:numRef>
              <c:f>'MA + ExponentialSmoothing'!$K$3:$K$20</c:f>
              <c:numCache>
                <c:formatCode>General</c:formatCode>
                <c:ptCount val="18"/>
                <c:pt idx="1">
                  <c:v>22133144</c:v>
                </c:pt>
                <c:pt idx="2">
                  <c:v>64876609</c:v>
                </c:pt>
                <c:pt idx="3">
                  <c:v>104876324</c:v>
                </c:pt>
                <c:pt idx="4">
                  <c:v>122015011</c:v>
                </c:pt>
                <c:pt idx="5">
                  <c:v>135614898</c:v>
                </c:pt>
                <c:pt idx="6">
                  <c:v>160935943</c:v>
                </c:pt>
                <c:pt idx="7">
                  <c:v>196513222</c:v>
                </c:pt>
                <c:pt idx="8">
                  <c:v>251516730</c:v>
                </c:pt>
                <c:pt idx="9">
                  <c:v>387037483</c:v>
                </c:pt>
                <c:pt idx="10">
                  <c:v>453169770</c:v>
                </c:pt>
                <c:pt idx="11">
                  <c:v>591862278</c:v>
                </c:pt>
                <c:pt idx="12">
                  <c:v>545940714</c:v>
                </c:pt>
                <c:pt idx="13">
                  <c:v>586022909.31818187</c:v>
                </c:pt>
                <c:pt idx="14">
                  <c:v>637250893.75174832</c:v>
                </c:pt>
                <c:pt idx="15">
                  <c:v>688478878.18531477</c:v>
                </c:pt>
                <c:pt idx="16">
                  <c:v>739706862.61888123</c:v>
                </c:pt>
                <c:pt idx="17">
                  <c:v>790934847.05244768</c:v>
                </c:pt>
              </c:numCache>
            </c:numRef>
          </c:yVal>
          <c:smooth val="0"/>
          <c:extLst>
            <c:ext xmlns:c16="http://schemas.microsoft.com/office/drawing/2014/chart" uri="{C3380CC4-5D6E-409C-BE32-E72D297353CC}">
              <c16:uniqueId val="{00000003-12C9-40CC-8157-D3EAA9ED88FD}"/>
            </c:ext>
          </c:extLst>
        </c:ser>
        <c:dLbls>
          <c:showLegendKey val="0"/>
          <c:showVal val="0"/>
          <c:showCatName val="0"/>
          <c:showSerName val="0"/>
          <c:showPercent val="0"/>
          <c:showBubbleSize val="0"/>
        </c:dLbls>
        <c:axId val="993152143"/>
        <c:axId val="993167983"/>
      </c:scatterChart>
      <c:valAx>
        <c:axId val="99315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167983"/>
        <c:crosses val="autoZero"/>
        <c:crossBetween val="midCat"/>
      </c:valAx>
      <c:valAx>
        <c:axId val="99316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152143"/>
        <c:crosses val="autoZero"/>
        <c:crossBetween val="midCat"/>
      </c:valAx>
      <c:spPr>
        <a:noFill/>
        <a:ln>
          <a:noFill/>
        </a:ln>
        <a:effectLst/>
      </c:spPr>
    </c:plotArea>
    <c:legend>
      <c:legendPos val="b"/>
      <c:layout>
        <c:manualLayout>
          <c:xMode val="edge"/>
          <c:yMode val="edge"/>
          <c:x val="0.05"/>
          <c:y val="0.90211103685840011"/>
          <c:w val="0.8178523111063527"/>
          <c:h val="6.91886761387299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'Holt-Winters'!$D$2</c:f>
              <c:strCache>
                <c:ptCount val="1"/>
                <c:pt idx="0">
                  <c:v>Cifra de afaceri</c:v>
                </c:pt>
              </c:strCache>
            </c:strRef>
          </c:tx>
          <c:spPr>
            <a:ln w="28575" cap="rnd">
              <a:solidFill>
                <a:schemeClr val="accent1"/>
              </a:solidFill>
              <a:round/>
            </a:ln>
            <a:effectLst/>
          </c:spPr>
          <c:marker>
            <c:symbol val="none"/>
          </c:marker>
          <c:cat>
            <c:numRef>
              <c:f>'Holt-Winters'!$C$3:$C$20</c:f>
              <c:numCache>
                <c:formatCode>General</c:formatCode>
                <c:ptCount val="18"/>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numCache>
            </c:numRef>
          </c:cat>
          <c:val>
            <c:numRef>
              <c:f>'Holt-Winters'!$D$3:$D$20</c:f>
              <c:numCache>
                <c:formatCode>General</c:formatCode>
                <c:ptCount val="18"/>
                <c:pt idx="1">
                  <c:v>22133144</c:v>
                </c:pt>
                <c:pt idx="2">
                  <c:v>64876609</c:v>
                </c:pt>
                <c:pt idx="3">
                  <c:v>104876324</c:v>
                </c:pt>
                <c:pt idx="4">
                  <c:v>122015011</c:v>
                </c:pt>
                <c:pt idx="5">
                  <c:v>135614898</c:v>
                </c:pt>
                <c:pt idx="6">
                  <c:v>160935943</c:v>
                </c:pt>
                <c:pt idx="7">
                  <c:v>196513222</c:v>
                </c:pt>
                <c:pt idx="8">
                  <c:v>251516730</c:v>
                </c:pt>
                <c:pt idx="9">
                  <c:v>387037483</c:v>
                </c:pt>
                <c:pt idx="10">
                  <c:v>453169770</c:v>
                </c:pt>
                <c:pt idx="11">
                  <c:v>591862278</c:v>
                </c:pt>
                <c:pt idx="12">
                  <c:v>545940714</c:v>
                </c:pt>
                <c:pt idx="13">
                  <c:v>671306085</c:v>
                </c:pt>
                <c:pt idx="14">
                  <c:v>869068558</c:v>
                </c:pt>
                <c:pt idx="15">
                  <c:v>1084546939</c:v>
                </c:pt>
                <c:pt idx="16">
                  <c:v>1458858561</c:v>
                </c:pt>
                <c:pt idx="17">
                  <c:v>1029276944</c:v>
                </c:pt>
              </c:numCache>
            </c:numRef>
          </c:val>
          <c:smooth val="0"/>
          <c:extLst>
            <c:ext xmlns:c16="http://schemas.microsoft.com/office/drawing/2014/chart" uri="{C3380CC4-5D6E-409C-BE32-E72D297353CC}">
              <c16:uniqueId val="{00000000-EC83-46AB-9978-D83495DE1E66}"/>
            </c:ext>
          </c:extLst>
        </c:ser>
        <c:ser>
          <c:idx val="1"/>
          <c:order val="1"/>
          <c:tx>
            <c:strRef>
              <c:f>'Holt-Winters'!$E$2</c:f>
              <c:strCache>
                <c:ptCount val="1"/>
                <c:pt idx="0">
                  <c:v>Exponential Smoothing</c:v>
                </c:pt>
              </c:strCache>
            </c:strRef>
          </c:tx>
          <c:spPr>
            <a:ln w="28575" cap="rnd">
              <a:solidFill>
                <a:schemeClr val="accent2"/>
              </a:solidFill>
              <a:round/>
            </a:ln>
            <a:effectLst/>
          </c:spPr>
          <c:marker>
            <c:symbol val="none"/>
          </c:marker>
          <c:cat>
            <c:numRef>
              <c:f>'Holt-Winters'!$C$3:$C$20</c:f>
              <c:numCache>
                <c:formatCode>General</c:formatCode>
                <c:ptCount val="18"/>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numCache>
            </c:numRef>
          </c:cat>
          <c:val>
            <c:numRef>
              <c:f>'Holt-Winters'!$E$3:$E$20</c:f>
              <c:numCache>
                <c:formatCode>General</c:formatCode>
                <c:ptCount val="18"/>
                <c:pt idx="0">
                  <c:v>0.95360454685808138</c:v>
                </c:pt>
                <c:pt idx="12">
                  <c:v>545940714</c:v>
                </c:pt>
                <c:pt idx="13">
                  <c:v>545940714</c:v>
                </c:pt>
                <c:pt idx="14">
                  <c:v>665489702</c:v>
                </c:pt>
                <c:pt idx="15">
                  <c:v>859623425</c:v>
                </c:pt>
                <c:pt idx="16">
                  <c:v>1074111511</c:v>
                </c:pt>
                <c:pt idx="17">
                  <c:v>1441008047</c:v>
                </c:pt>
              </c:numCache>
            </c:numRef>
          </c:val>
          <c:smooth val="0"/>
          <c:extLst>
            <c:ext xmlns:c16="http://schemas.microsoft.com/office/drawing/2014/chart" uri="{C3380CC4-5D6E-409C-BE32-E72D297353CC}">
              <c16:uniqueId val="{00000001-EC83-46AB-9978-D83495DE1E66}"/>
            </c:ext>
          </c:extLst>
        </c:ser>
        <c:ser>
          <c:idx val="2"/>
          <c:order val="2"/>
          <c:tx>
            <c:strRef>
              <c:f>'Holt-Winters'!$I$2</c:f>
              <c:strCache>
                <c:ptCount val="1"/>
                <c:pt idx="0">
                  <c:v>Holt-Winters</c:v>
                </c:pt>
              </c:strCache>
            </c:strRef>
          </c:tx>
          <c:spPr>
            <a:ln w="28575" cap="rnd">
              <a:solidFill>
                <a:schemeClr val="accent3"/>
              </a:solidFill>
              <a:round/>
            </a:ln>
            <a:effectLst/>
          </c:spPr>
          <c:marker>
            <c:symbol val="none"/>
          </c:marker>
          <c:cat>
            <c:numRef>
              <c:f>'Holt-Winters'!$C$3:$C$20</c:f>
              <c:numCache>
                <c:formatCode>General</c:formatCode>
                <c:ptCount val="18"/>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numCache>
            </c:numRef>
          </c:cat>
          <c:val>
            <c:numRef>
              <c:f>'Holt-Winters'!$I$3:$I$20</c:f>
              <c:numCache>
                <c:formatCode>General</c:formatCode>
                <c:ptCount val="18"/>
                <c:pt idx="13">
                  <c:v>0</c:v>
                </c:pt>
                <c:pt idx="14">
                  <c:v>594883022.56422806</c:v>
                </c:pt>
                <c:pt idx="15">
                  <c:v>907486233.06865489</c:v>
                </c:pt>
                <c:pt idx="16">
                  <c:v>1084138655.0720241</c:v>
                </c:pt>
                <c:pt idx="17">
                  <c:v>1385633879.4214625</c:v>
                </c:pt>
              </c:numCache>
            </c:numRef>
          </c:val>
          <c:smooth val="0"/>
          <c:extLst>
            <c:ext xmlns:c16="http://schemas.microsoft.com/office/drawing/2014/chart" uri="{C3380CC4-5D6E-409C-BE32-E72D297353CC}">
              <c16:uniqueId val="{00000002-EC83-46AB-9978-D83495DE1E66}"/>
            </c:ext>
          </c:extLst>
        </c:ser>
        <c:ser>
          <c:idx val="3"/>
          <c:order val="3"/>
          <c:tx>
            <c:strRef>
              <c:f>'Holt-Winters'!$N$2</c:f>
              <c:strCache>
                <c:ptCount val="1"/>
                <c:pt idx="0">
                  <c:v>Medie mobila k=3</c:v>
                </c:pt>
              </c:strCache>
            </c:strRef>
          </c:tx>
          <c:spPr>
            <a:ln w="28575" cap="rnd">
              <a:solidFill>
                <a:schemeClr val="accent4"/>
              </a:solidFill>
              <a:round/>
            </a:ln>
            <a:effectLst/>
          </c:spPr>
          <c:marker>
            <c:symbol val="none"/>
          </c:marker>
          <c:cat>
            <c:numRef>
              <c:f>'Holt-Winters'!$C$3:$C$20</c:f>
              <c:numCache>
                <c:formatCode>General</c:formatCode>
                <c:ptCount val="18"/>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numCache>
            </c:numRef>
          </c:cat>
          <c:val>
            <c:numRef>
              <c:f>'Holt-Winters'!$N$3:$N$20</c:f>
              <c:numCache>
                <c:formatCode>General</c:formatCode>
                <c:ptCount val="18"/>
                <c:pt idx="1">
                  <c:v>22133144</c:v>
                </c:pt>
                <c:pt idx="2">
                  <c:v>64876609</c:v>
                </c:pt>
                <c:pt idx="3">
                  <c:v>104876324</c:v>
                </c:pt>
                <c:pt idx="4">
                  <c:v>122015011</c:v>
                </c:pt>
                <c:pt idx="5">
                  <c:v>135614898</c:v>
                </c:pt>
                <c:pt idx="6">
                  <c:v>160935943</c:v>
                </c:pt>
                <c:pt idx="7">
                  <c:v>196513222</c:v>
                </c:pt>
                <c:pt idx="8">
                  <c:v>251516730</c:v>
                </c:pt>
                <c:pt idx="9">
                  <c:v>387037483</c:v>
                </c:pt>
                <c:pt idx="10">
                  <c:v>453169770</c:v>
                </c:pt>
                <c:pt idx="11">
                  <c:v>591862278</c:v>
                </c:pt>
                <c:pt idx="12">
                  <c:v>545940714</c:v>
                </c:pt>
                <c:pt idx="13">
                  <c:v>530324254</c:v>
                </c:pt>
                <c:pt idx="14">
                  <c:v>556042415</c:v>
                </c:pt>
                <c:pt idx="15">
                  <c:v>544102461</c:v>
                </c:pt>
                <c:pt idx="16">
                  <c:v>543489710</c:v>
                </c:pt>
                <c:pt idx="17">
                  <c:v>547878195</c:v>
                </c:pt>
              </c:numCache>
            </c:numRef>
          </c:val>
          <c:smooth val="0"/>
          <c:extLst>
            <c:ext xmlns:c16="http://schemas.microsoft.com/office/drawing/2014/chart" uri="{C3380CC4-5D6E-409C-BE32-E72D297353CC}">
              <c16:uniqueId val="{00000003-EC83-46AB-9978-D83495DE1E66}"/>
            </c:ext>
          </c:extLst>
        </c:ser>
        <c:ser>
          <c:idx val="4"/>
          <c:order val="4"/>
          <c:tx>
            <c:strRef>
              <c:f>'Holt-Winters'!$O$2</c:f>
              <c:strCache>
                <c:ptCount val="1"/>
                <c:pt idx="0">
                  <c:v>TREND</c:v>
                </c:pt>
              </c:strCache>
            </c:strRef>
          </c:tx>
          <c:spPr>
            <a:ln w="28575" cap="rnd">
              <a:solidFill>
                <a:schemeClr val="accent5"/>
              </a:solidFill>
              <a:round/>
            </a:ln>
            <a:effectLst/>
          </c:spPr>
          <c:marker>
            <c:symbol val="none"/>
          </c:marker>
          <c:cat>
            <c:numRef>
              <c:f>'Holt-Winters'!$C$3:$C$20</c:f>
              <c:numCache>
                <c:formatCode>General</c:formatCode>
                <c:ptCount val="18"/>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numCache>
            </c:numRef>
          </c:cat>
          <c:val>
            <c:numRef>
              <c:f>'Holt-Winters'!$O$3:$O$20</c:f>
              <c:numCache>
                <c:formatCode>General</c:formatCode>
                <c:ptCount val="18"/>
                <c:pt idx="1">
                  <c:v>22133144</c:v>
                </c:pt>
                <c:pt idx="2">
                  <c:v>64876609</c:v>
                </c:pt>
                <c:pt idx="3">
                  <c:v>104876324</c:v>
                </c:pt>
                <c:pt idx="4">
                  <c:v>122015011</c:v>
                </c:pt>
                <c:pt idx="5">
                  <c:v>135614898</c:v>
                </c:pt>
                <c:pt idx="6">
                  <c:v>160935943</c:v>
                </c:pt>
                <c:pt idx="7">
                  <c:v>196513222</c:v>
                </c:pt>
                <c:pt idx="8">
                  <c:v>251516730</c:v>
                </c:pt>
                <c:pt idx="9">
                  <c:v>387037483</c:v>
                </c:pt>
                <c:pt idx="10">
                  <c:v>453169770</c:v>
                </c:pt>
                <c:pt idx="11">
                  <c:v>591862278</c:v>
                </c:pt>
                <c:pt idx="12">
                  <c:v>545940714</c:v>
                </c:pt>
                <c:pt idx="13">
                  <c:v>586022909.31818187</c:v>
                </c:pt>
                <c:pt idx="14">
                  <c:v>637250893.75174832</c:v>
                </c:pt>
                <c:pt idx="15">
                  <c:v>688478878.18531477</c:v>
                </c:pt>
                <c:pt idx="16">
                  <c:v>739706862.61888123</c:v>
                </c:pt>
                <c:pt idx="17">
                  <c:v>790934847.05244768</c:v>
                </c:pt>
              </c:numCache>
            </c:numRef>
          </c:val>
          <c:smooth val="0"/>
          <c:extLst>
            <c:ext xmlns:c16="http://schemas.microsoft.com/office/drawing/2014/chart" uri="{C3380CC4-5D6E-409C-BE32-E72D297353CC}">
              <c16:uniqueId val="{00000004-EC83-46AB-9978-D83495DE1E66}"/>
            </c:ext>
          </c:extLst>
        </c:ser>
        <c:dLbls>
          <c:showLegendKey val="0"/>
          <c:showVal val="0"/>
          <c:showCatName val="0"/>
          <c:showSerName val="0"/>
          <c:showPercent val="0"/>
          <c:showBubbleSize val="0"/>
        </c:dLbls>
        <c:smooth val="0"/>
        <c:axId val="993167503"/>
        <c:axId val="993170863"/>
      </c:lineChart>
      <c:catAx>
        <c:axId val="99316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170863"/>
        <c:crosses val="autoZero"/>
        <c:auto val="1"/>
        <c:lblAlgn val="ctr"/>
        <c:lblOffset val="100"/>
        <c:noMultiLvlLbl val="0"/>
      </c:catAx>
      <c:valAx>
        <c:axId val="99317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167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Evolutia profitului net al companiei Bitdefender in perioada 2007-2023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Indicatori_financiari!$D$1</c:f>
              <c:strCache>
                <c:ptCount val="1"/>
                <c:pt idx="0">
                  <c:v>Profit_net</c:v>
                </c:pt>
              </c:strCache>
            </c:strRef>
          </c:tx>
          <c:spPr>
            <a:solidFill>
              <a:schemeClr val="accent1"/>
            </a:solidFill>
            <a:ln>
              <a:noFill/>
            </a:ln>
            <a:effectLst/>
          </c:spPr>
          <c:invertIfNegative val="0"/>
          <c:val>
            <c:numRef>
              <c:f>Indicatori_financiari!$D$2:$D$18</c:f>
              <c:numCache>
                <c:formatCode>0</c:formatCode>
                <c:ptCount val="17"/>
                <c:pt idx="0">
                  <c:v>2399998</c:v>
                </c:pt>
                <c:pt idx="1">
                  <c:v>415823</c:v>
                </c:pt>
                <c:pt idx="2">
                  <c:v>7156247</c:v>
                </c:pt>
                <c:pt idx="3">
                  <c:v>1012838</c:v>
                </c:pt>
                <c:pt idx="4">
                  <c:v>4583174</c:v>
                </c:pt>
                <c:pt idx="5">
                  <c:v>4975</c:v>
                </c:pt>
                <c:pt idx="6">
                  <c:v>11331647</c:v>
                </c:pt>
                <c:pt idx="7">
                  <c:v>16858095</c:v>
                </c:pt>
                <c:pt idx="8">
                  <c:v>57604725</c:v>
                </c:pt>
                <c:pt idx="9">
                  <c:v>27693557</c:v>
                </c:pt>
                <c:pt idx="10">
                  <c:v>28427493</c:v>
                </c:pt>
                <c:pt idx="11">
                  <c:v>6449994</c:v>
                </c:pt>
                <c:pt idx="12">
                  <c:v>6796981</c:v>
                </c:pt>
                <c:pt idx="13">
                  <c:v>140449401</c:v>
                </c:pt>
                <c:pt idx="14">
                  <c:v>217205955</c:v>
                </c:pt>
                <c:pt idx="15">
                  <c:v>292313524</c:v>
                </c:pt>
                <c:pt idx="16">
                  <c:v>-122676743</c:v>
                </c:pt>
              </c:numCache>
            </c:numRef>
          </c:val>
          <c:extLst>
            <c:ext xmlns:c16="http://schemas.microsoft.com/office/drawing/2014/chart" uri="{C3380CC4-5D6E-409C-BE32-E72D297353CC}">
              <c16:uniqueId val="{00000000-C7DE-44B2-9612-81794B37BAC5}"/>
            </c:ext>
          </c:extLst>
        </c:ser>
        <c:dLbls>
          <c:showLegendKey val="0"/>
          <c:showVal val="0"/>
          <c:showCatName val="0"/>
          <c:showSerName val="0"/>
          <c:showPercent val="0"/>
          <c:showBubbleSize val="0"/>
        </c:dLbls>
        <c:gapWidth val="219"/>
        <c:overlap val="-27"/>
        <c:axId val="476102927"/>
        <c:axId val="476107727"/>
      </c:barChart>
      <c:catAx>
        <c:axId val="47610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107727"/>
        <c:crosses val="autoZero"/>
        <c:auto val="1"/>
        <c:lblAlgn val="ctr"/>
        <c:lblOffset val="100"/>
        <c:noMultiLvlLbl val="0"/>
      </c:catAx>
      <c:valAx>
        <c:axId val="476107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1029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[DateAnaliza.xlsx]Pivot1!PivotTable20</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Pivot1!$B$3</c:f>
              <c:strCache>
                <c:ptCount val="1"/>
                <c:pt idx="0">
                  <c:v>Sum of Cifra_afaceri</c:v>
                </c:pt>
              </c:strCache>
            </c:strRef>
          </c:tx>
          <c:spPr>
            <a:ln w="28575" cap="rnd">
              <a:solidFill>
                <a:schemeClr val="accent1"/>
              </a:solidFill>
              <a:round/>
            </a:ln>
            <a:effectLst/>
          </c:spPr>
          <c:marker>
            <c:symbol val="none"/>
          </c:marker>
          <c:cat>
            <c:strRef>
              <c:f>Pivot1!$A$4:$A$21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Pivot1!$B$4:$B$21</c:f>
              <c:numCache>
                <c:formatCode>#</c:formatCode>
                <c:ptCount val="17"/>
                <c:pt idx="0">
                  <c:v>22133144</c:v>
                </c:pt>
                <c:pt idx="1">
                  <c:v>64876609</c:v>
                </c:pt>
                <c:pt idx="2">
                  <c:v>104876324</c:v>
                </c:pt>
                <c:pt idx="3">
                  <c:v>122015011</c:v>
                </c:pt>
                <c:pt idx="4">
                  <c:v>135614898</c:v>
                </c:pt>
                <c:pt idx="5">
                  <c:v>160935943</c:v>
                </c:pt>
                <c:pt idx="6">
                  <c:v>196513222</c:v>
                </c:pt>
                <c:pt idx="7">
                  <c:v>251516730</c:v>
                </c:pt>
                <c:pt idx="8">
                  <c:v>387037483</c:v>
                </c:pt>
                <c:pt idx="9">
                  <c:v>453169770</c:v>
                </c:pt>
                <c:pt idx="10">
                  <c:v>591862278</c:v>
                </c:pt>
                <c:pt idx="11">
                  <c:v>545940714</c:v>
                </c:pt>
                <c:pt idx="12">
                  <c:v>671306085</c:v>
                </c:pt>
                <c:pt idx="13">
                  <c:v>869068558</c:v>
                </c:pt>
                <c:pt idx="14">
                  <c:v>1084546939</c:v>
                </c:pt>
                <c:pt idx="15">
                  <c:v>1458858561</c:v>
                </c:pt>
                <c:pt idx="16">
                  <c:v>1029276944</c:v>
                </c:pt>
              </c:numCache>
            </c:numRef>
          </c:val>
          <c:smooth val="0"/>
          <c:extLst>
            <c:ext xmlns:c16="http://schemas.microsoft.com/office/drawing/2014/chart" uri="{C3380CC4-5D6E-409C-BE32-E72D297353CC}">
              <c16:uniqueId val="{00000000-B17F-4E3F-8105-06702E1C52BC}"/>
            </c:ext>
          </c:extLst>
        </c:ser>
        <c:ser>
          <c:idx val="1"/>
          <c:order val="1"/>
          <c:tx>
            <c:strRef>
              <c:f>Pivot1!$C$3</c:f>
              <c:strCache>
                <c:ptCount val="1"/>
                <c:pt idx="0">
                  <c:v>Sum of Profit_net</c:v>
                </c:pt>
              </c:strCache>
            </c:strRef>
          </c:tx>
          <c:spPr>
            <a:ln w="28575" cap="rnd">
              <a:solidFill>
                <a:schemeClr val="accent2"/>
              </a:solidFill>
              <a:round/>
            </a:ln>
            <a:effectLst/>
          </c:spPr>
          <c:marker>
            <c:symbol val="none"/>
          </c:marker>
          <c:cat>
            <c:strRef>
              <c:f>Pivot1!$A$4:$A$21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Pivot1!$C$4:$C$21</c:f>
              <c:numCache>
                <c:formatCode>0</c:formatCode>
                <c:ptCount val="17"/>
                <c:pt idx="0">
                  <c:v>2399998</c:v>
                </c:pt>
                <c:pt idx="1">
                  <c:v>415823</c:v>
                </c:pt>
                <c:pt idx="2">
                  <c:v>7156247</c:v>
                </c:pt>
                <c:pt idx="3">
                  <c:v>1012838</c:v>
                </c:pt>
                <c:pt idx="4">
                  <c:v>4583174</c:v>
                </c:pt>
                <c:pt idx="5">
                  <c:v>4975</c:v>
                </c:pt>
                <c:pt idx="6">
                  <c:v>11331647</c:v>
                </c:pt>
                <c:pt idx="7">
                  <c:v>16858095</c:v>
                </c:pt>
                <c:pt idx="8">
                  <c:v>57604725</c:v>
                </c:pt>
                <c:pt idx="9">
                  <c:v>27693557</c:v>
                </c:pt>
                <c:pt idx="10">
                  <c:v>28427493</c:v>
                </c:pt>
                <c:pt idx="11">
                  <c:v>6449994</c:v>
                </c:pt>
                <c:pt idx="12">
                  <c:v>6796981</c:v>
                </c:pt>
                <c:pt idx="13">
                  <c:v>140449401</c:v>
                </c:pt>
                <c:pt idx="14">
                  <c:v>217205955</c:v>
                </c:pt>
                <c:pt idx="15">
                  <c:v>292313524</c:v>
                </c:pt>
                <c:pt idx="16">
                  <c:v>-122676743</c:v>
                </c:pt>
              </c:numCache>
            </c:numRef>
          </c:val>
          <c:smooth val="0"/>
          <c:extLst>
            <c:ext xmlns:c16="http://schemas.microsoft.com/office/drawing/2014/chart" uri="{C3380CC4-5D6E-409C-BE32-E72D297353CC}">
              <c16:uniqueId val="{00000001-B17F-4E3F-8105-06702E1C52BC}"/>
            </c:ext>
          </c:extLst>
        </c:ser>
        <c:ser>
          <c:idx val="2"/>
          <c:order val="2"/>
          <c:tx>
            <c:strRef>
              <c:f>Pivot1!$D$3</c:f>
              <c:strCache>
                <c:ptCount val="1"/>
                <c:pt idx="0">
                  <c:v>Sum of Active_imobilizate</c:v>
                </c:pt>
              </c:strCache>
            </c:strRef>
          </c:tx>
          <c:spPr>
            <a:ln w="28575" cap="rnd">
              <a:solidFill>
                <a:schemeClr val="accent3"/>
              </a:solidFill>
              <a:round/>
            </a:ln>
            <a:effectLst/>
          </c:spPr>
          <c:marker>
            <c:symbol val="none"/>
          </c:marker>
          <c:cat>
            <c:strRef>
              <c:f>Pivot1!$A$4:$A$21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Pivot1!$D$4:$D$21</c:f>
              <c:numCache>
                <c:formatCode>0</c:formatCode>
                <c:ptCount val="17"/>
                <c:pt idx="0">
                  <c:v>2542568</c:v>
                </c:pt>
                <c:pt idx="1">
                  <c:v>2765694</c:v>
                </c:pt>
                <c:pt idx="2">
                  <c:v>2931938</c:v>
                </c:pt>
                <c:pt idx="3">
                  <c:v>3275128</c:v>
                </c:pt>
                <c:pt idx="4">
                  <c:v>44903941</c:v>
                </c:pt>
                <c:pt idx="5">
                  <c:v>4207798</c:v>
                </c:pt>
                <c:pt idx="6">
                  <c:v>35750205</c:v>
                </c:pt>
                <c:pt idx="7">
                  <c:v>51831220</c:v>
                </c:pt>
                <c:pt idx="8">
                  <c:v>41009762</c:v>
                </c:pt>
                <c:pt idx="9">
                  <c:v>27955128</c:v>
                </c:pt>
                <c:pt idx="10">
                  <c:v>28626577</c:v>
                </c:pt>
                <c:pt idx="11">
                  <c:v>23502423</c:v>
                </c:pt>
                <c:pt idx="12">
                  <c:v>28550407</c:v>
                </c:pt>
                <c:pt idx="13">
                  <c:v>27209442</c:v>
                </c:pt>
                <c:pt idx="14">
                  <c:v>34866555</c:v>
                </c:pt>
                <c:pt idx="15">
                  <c:v>48458949</c:v>
                </c:pt>
                <c:pt idx="16">
                  <c:v>54484667</c:v>
                </c:pt>
              </c:numCache>
            </c:numRef>
          </c:val>
          <c:smooth val="0"/>
          <c:extLst>
            <c:ext xmlns:c16="http://schemas.microsoft.com/office/drawing/2014/chart" uri="{C3380CC4-5D6E-409C-BE32-E72D297353CC}">
              <c16:uniqueId val="{00000002-B17F-4E3F-8105-06702E1C52BC}"/>
            </c:ext>
          </c:extLst>
        </c:ser>
        <c:ser>
          <c:idx val="3"/>
          <c:order val="3"/>
          <c:tx>
            <c:strRef>
              <c:f>Pivot1!$E$3</c:f>
              <c:strCache>
                <c:ptCount val="1"/>
                <c:pt idx="0">
                  <c:v>Sum of Active_circulante</c:v>
                </c:pt>
              </c:strCache>
            </c:strRef>
          </c:tx>
          <c:spPr>
            <a:ln w="28575" cap="rnd">
              <a:solidFill>
                <a:schemeClr val="accent4"/>
              </a:solidFill>
              <a:round/>
            </a:ln>
            <a:effectLst/>
          </c:spPr>
          <c:marker>
            <c:symbol val="none"/>
          </c:marker>
          <c:cat>
            <c:strRef>
              <c:f>Pivot1!$A$4:$A$21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Pivot1!$E$4:$E$21</c:f>
              <c:numCache>
                <c:formatCode>0</c:formatCode>
                <c:ptCount val="17"/>
                <c:pt idx="0">
                  <c:v>17961664</c:v>
                </c:pt>
                <c:pt idx="1">
                  <c:v>43273734</c:v>
                </c:pt>
                <c:pt idx="2">
                  <c:v>82152621</c:v>
                </c:pt>
                <c:pt idx="3">
                  <c:v>86035513</c:v>
                </c:pt>
                <c:pt idx="4">
                  <c:v>66932484</c:v>
                </c:pt>
                <c:pt idx="5">
                  <c:v>106595462</c:v>
                </c:pt>
                <c:pt idx="6">
                  <c:v>74309022</c:v>
                </c:pt>
                <c:pt idx="7">
                  <c:v>150525666</c:v>
                </c:pt>
                <c:pt idx="8">
                  <c:v>149970492</c:v>
                </c:pt>
                <c:pt idx="9">
                  <c:v>159116803</c:v>
                </c:pt>
                <c:pt idx="10">
                  <c:v>229564776</c:v>
                </c:pt>
                <c:pt idx="11">
                  <c:v>297344709</c:v>
                </c:pt>
                <c:pt idx="12">
                  <c:v>364109554</c:v>
                </c:pt>
                <c:pt idx="13">
                  <c:v>438064425</c:v>
                </c:pt>
                <c:pt idx="14">
                  <c:v>667726075</c:v>
                </c:pt>
                <c:pt idx="15">
                  <c:v>794736386</c:v>
                </c:pt>
                <c:pt idx="16">
                  <c:v>1095824011</c:v>
                </c:pt>
              </c:numCache>
            </c:numRef>
          </c:val>
          <c:smooth val="0"/>
          <c:extLst>
            <c:ext xmlns:c16="http://schemas.microsoft.com/office/drawing/2014/chart" uri="{C3380CC4-5D6E-409C-BE32-E72D297353CC}">
              <c16:uniqueId val="{00000003-B17F-4E3F-8105-06702E1C52BC}"/>
            </c:ext>
          </c:extLst>
        </c:ser>
        <c:ser>
          <c:idx val="4"/>
          <c:order val="4"/>
          <c:tx>
            <c:strRef>
              <c:f>Pivot1!$F$3</c:f>
              <c:strCache>
                <c:ptCount val="1"/>
                <c:pt idx="0">
                  <c:v>Sum of Capitaluri_proprii</c:v>
                </c:pt>
              </c:strCache>
            </c:strRef>
          </c:tx>
          <c:spPr>
            <a:ln w="28575" cap="rnd">
              <a:solidFill>
                <a:schemeClr val="accent5"/>
              </a:solidFill>
              <a:round/>
            </a:ln>
            <a:effectLst/>
          </c:spPr>
          <c:marker>
            <c:symbol val="none"/>
          </c:marker>
          <c:cat>
            <c:strRef>
              <c:f>Pivot1!$A$4:$A$21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Pivot1!$F$4:$F$21</c:f>
              <c:numCache>
                <c:formatCode>0</c:formatCode>
                <c:ptCount val="17"/>
                <c:pt idx="0">
                  <c:v>2321217</c:v>
                </c:pt>
                <c:pt idx="1">
                  <c:v>2737040</c:v>
                </c:pt>
                <c:pt idx="2">
                  <c:v>9893286</c:v>
                </c:pt>
                <c:pt idx="3">
                  <c:v>10906125</c:v>
                </c:pt>
                <c:pt idx="4">
                  <c:v>13989298</c:v>
                </c:pt>
                <c:pt idx="5">
                  <c:v>13533273</c:v>
                </c:pt>
                <c:pt idx="6">
                  <c:v>24517321</c:v>
                </c:pt>
                <c:pt idx="7">
                  <c:v>41375415</c:v>
                </c:pt>
                <c:pt idx="8">
                  <c:v>71715716</c:v>
                </c:pt>
                <c:pt idx="9">
                  <c:v>53409273</c:v>
                </c:pt>
                <c:pt idx="10">
                  <c:v>49816765</c:v>
                </c:pt>
                <c:pt idx="11">
                  <c:v>56266759</c:v>
                </c:pt>
                <c:pt idx="12">
                  <c:v>30063740</c:v>
                </c:pt>
                <c:pt idx="13">
                  <c:v>146415138</c:v>
                </c:pt>
                <c:pt idx="14">
                  <c:v>308526678</c:v>
                </c:pt>
                <c:pt idx="15">
                  <c:v>441167343</c:v>
                </c:pt>
                <c:pt idx="16">
                  <c:v>275376747</c:v>
                </c:pt>
              </c:numCache>
            </c:numRef>
          </c:val>
          <c:smooth val="0"/>
          <c:extLst>
            <c:ext xmlns:c16="http://schemas.microsoft.com/office/drawing/2014/chart" uri="{C3380CC4-5D6E-409C-BE32-E72D297353CC}">
              <c16:uniqueId val="{00000004-B17F-4E3F-8105-06702E1C52BC}"/>
            </c:ext>
          </c:extLst>
        </c:ser>
        <c:ser>
          <c:idx val="5"/>
          <c:order val="5"/>
          <c:tx>
            <c:strRef>
              <c:f>Pivot1!$G$3</c:f>
              <c:strCache>
                <c:ptCount val="1"/>
                <c:pt idx="0">
                  <c:v>Sum of Datorii</c:v>
                </c:pt>
              </c:strCache>
            </c:strRef>
          </c:tx>
          <c:spPr>
            <a:ln w="28575" cap="rnd">
              <a:solidFill>
                <a:schemeClr val="accent6"/>
              </a:solidFill>
              <a:round/>
            </a:ln>
            <a:effectLst/>
          </c:spPr>
          <c:marker>
            <c:symbol val="none"/>
          </c:marker>
          <c:cat>
            <c:strRef>
              <c:f>Pivot1!$A$4:$A$21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Pivot1!$G$4:$G$21</c:f>
              <c:numCache>
                <c:formatCode>0</c:formatCode>
                <c:ptCount val="17"/>
                <c:pt idx="0">
                  <c:v>18183015</c:v>
                </c:pt>
                <c:pt idx="1">
                  <c:v>44039356</c:v>
                </c:pt>
                <c:pt idx="2">
                  <c:v>75746887</c:v>
                </c:pt>
                <c:pt idx="3">
                  <c:v>78195040</c:v>
                </c:pt>
                <c:pt idx="4">
                  <c:v>96955009</c:v>
                </c:pt>
                <c:pt idx="5">
                  <c:v>95748115</c:v>
                </c:pt>
                <c:pt idx="6">
                  <c:v>79982551</c:v>
                </c:pt>
                <c:pt idx="7">
                  <c:v>116892349</c:v>
                </c:pt>
                <c:pt idx="8">
                  <c:v>56521353</c:v>
                </c:pt>
                <c:pt idx="9">
                  <c:v>58080716</c:v>
                </c:pt>
                <c:pt idx="10">
                  <c:v>98664919</c:v>
                </c:pt>
                <c:pt idx="11">
                  <c:v>104564549</c:v>
                </c:pt>
                <c:pt idx="12">
                  <c:v>175978056</c:v>
                </c:pt>
                <c:pt idx="13">
                  <c:v>120933038</c:v>
                </c:pt>
                <c:pt idx="14">
                  <c:v>145477586</c:v>
                </c:pt>
                <c:pt idx="15">
                  <c:v>191776762</c:v>
                </c:pt>
                <c:pt idx="16">
                  <c:v>207855185</c:v>
                </c:pt>
              </c:numCache>
            </c:numRef>
          </c:val>
          <c:smooth val="0"/>
          <c:extLst>
            <c:ext xmlns:c16="http://schemas.microsoft.com/office/drawing/2014/chart" uri="{C3380CC4-5D6E-409C-BE32-E72D297353CC}">
              <c16:uniqueId val="{00000005-B17F-4E3F-8105-06702E1C52BC}"/>
            </c:ext>
          </c:extLst>
        </c:ser>
        <c:ser>
          <c:idx val="6"/>
          <c:order val="6"/>
          <c:tx>
            <c:strRef>
              <c:f>Pivot1!$H$3</c:f>
              <c:strCache>
                <c:ptCount val="1"/>
                <c:pt idx="0">
                  <c:v>Sum of Nr_mediu_angajati</c:v>
                </c:pt>
              </c:strCache>
            </c:strRef>
          </c:tx>
          <c:spPr>
            <a:ln w="28575" cap="rnd">
              <a:solidFill>
                <a:schemeClr val="accent1">
                  <a:lumMod val="60000"/>
                </a:schemeClr>
              </a:solidFill>
              <a:round/>
            </a:ln>
            <a:effectLst/>
          </c:spPr>
          <c:marker>
            <c:symbol val="none"/>
          </c:marker>
          <c:cat>
            <c:strRef>
              <c:f>Pivot1!$A$4:$A$21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Pivot1!$H$4:$H$21</c:f>
              <c:numCache>
                <c:formatCode>General</c:formatCode>
                <c:ptCount val="17"/>
                <c:pt idx="0">
                  <c:v>305</c:v>
                </c:pt>
                <c:pt idx="1">
                  <c:v>399</c:v>
                </c:pt>
                <c:pt idx="2">
                  <c:v>425</c:v>
                </c:pt>
                <c:pt idx="3">
                  <c:v>379</c:v>
                </c:pt>
                <c:pt idx="4">
                  <c:v>370</c:v>
                </c:pt>
                <c:pt idx="5">
                  <c:v>278</c:v>
                </c:pt>
                <c:pt idx="6">
                  <c:v>556</c:v>
                </c:pt>
                <c:pt idx="7">
                  <c:v>595</c:v>
                </c:pt>
                <c:pt idx="8">
                  <c:v>708</c:v>
                </c:pt>
                <c:pt idx="9">
                  <c:v>868</c:v>
                </c:pt>
                <c:pt idx="10">
                  <c:v>1119</c:v>
                </c:pt>
                <c:pt idx="11">
                  <c:v>1238</c:v>
                </c:pt>
                <c:pt idx="12">
                  <c:v>1377</c:v>
                </c:pt>
                <c:pt idx="13">
                  <c:v>1354</c:v>
                </c:pt>
                <c:pt idx="14">
                  <c:v>1350</c:v>
                </c:pt>
                <c:pt idx="15">
                  <c:v>1469</c:v>
                </c:pt>
                <c:pt idx="16">
                  <c:v>1539</c:v>
                </c:pt>
              </c:numCache>
            </c:numRef>
          </c:val>
          <c:smooth val="0"/>
          <c:extLst>
            <c:ext xmlns:c16="http://schemas.microsoft.com/office/drawing/2014/chart" uri="{C3380CC4-5D6E-409C-BE32-E72D297353CC}">
              <c16:uniqueId val="{00000006-B17F-4E3F-8105-06702E1C52BC}"/>
            </c:ext>
          </c:extLst>
        </c:ser>
        <c:ser>
          <c:idx val="7"/>
          <c:order val="7"/>
          <c:tx>
            <c:strRef>
              <c:f>Pivot1!$I$3</c:f>
              <c:strCache>
                <c:ptCount val="1"/>
                <c:pt idx="0">
                  <c:v>Sum of Rata_profit</c:v>
                </c:pt>
              </c:strCache>
            </c:strRef>
          </c:tx>
          <c:spPr>
            <a:ln w="28575" cap="rnd">
              <a:solidFill>
                <a:schemeClr val="accent2">
                  <a:lumMod val="60000"/>
                </a:schemeClr>
              </a:solidFill>
              <a:round/>
            </a:ln>
            <a:effectLst/>
          </c:spPr>
          <c:marker>
            <c:symbol val="none"/>
          </c:marker>
          <c:cat>
            <c:strRef>
              <c:f>Pivot1!$A$4:$A$21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Pivot1!$I$4:$I$21</c:f>
              <c:numCache>
                <c:formatCode>General</c:formatCode>
                <c:ptCount val="17"/>
                <c:pt idx="0">
                  <c:v>0.10843457215115937</c:v>
                </c:pt>
                <c:pt idx="1">
                  <c:v>6.4094441187578103E-3</c:v>
                </c:pt>
                <c:pt idx="2">
                  <c:v>6.8235105189232217E-2</c:v>
                </c:pt>
                <c:pt idx="3">
                  <c:v>8.3009294651458908E-3</c:v>
                </c:pt>
                <c:pt idx="4">
                  <c:v>3.3795505269634901E-2</c:v>
                </c:pt>
                <c:pt idx="5">
                  <c:v>3.09129204282228E-5</c:v>
                </c:pt>
                <c:pt idx="6">
                  <c:v>5.7663534721343078E-2</c:v>
                </c:pt>
                <c:pt idx="7">
                  <c:v>6.7025740196288333E-2</c:v>
                </c:pt>
                <c:pt idx="8">
                  <c:v>0.14883500314619399</c:v>
                </c:pt>
                <c:pt idx="9">
                  <c:v>6.1110777534873963E-2</c:v>
                </c:pt>
                <c:pt idx="10">
                  <c:v>4.8030587615857483E-2</c:v>
                </c:pt>
                <c:pt idx="11">
                  <c:v>1.1814458666660277E-2</c:v>
                </c:pt>
                <c:pt idx="12">
                  <c:v>1.0125010262643456E-2</c:v>
                </c:pt>
                <c:pt idx="13">
                  <c:v>0.16160911553769503</c:v>
                </c:pt>
                <c:pt idx="14">
                  <c:v>0.20027344800795202</c:v>
                </c:pt>
                <c:pt idx="15">
                  <c:v>0.20037139433148926</c:v>
                </c:pt>
                <c:pt idx="16">
                  <c:v>-0.11918730300442833</c:v>
                </c:pt>
              </c:numCache>
            </c:numRef>
          </c:val>
          <c:smooth val="0"/>
          <c:extLst>
            <c:ext xmlns:c16="http://schemas.microsoft.com/office/drawing/2014/chart" uri="{C3380CC4-5D6E-409C-BE32-E72D297353CC}">
              <c16:uniqueId val="{00000007-B17F-4E3F-8105-06702E1C52BC}"/>
            </c:ext>
          </c:extLst>
        </c:ser>
        <c:dLbls>
          <c:showLegendKey val="0"/>
          <c:showVal val="0"/>
          <c:showCatName val="0"/>
          <c:showSerName val="0"/>
          <c:showPercent val="0"/>
          <c:showBubbleSize val="0"/>
        </c:dLbls>
        <c:smooth val="0"/>
        <c:axId val="1758239135"/>
        <c:axId val="1758231935"/>
      </c:lineChart>
      <c:catAx>
        <c:axId val="175823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231935"/>
        <c:crosses val="autoZero"/>
        <c:auto val="1"/>
        <c:lblAlgn val="ctr"/>
        <c:lblOffset val="100"/>
        <c:noMultiLvlLbl val="0"/>
      </c:catAx>
      <c:valAx>
        <c:axId val="1758231935"/>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23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[DateAnaliza.xlsx]Pivot2!PivotTable21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Pivot2!$B$3</c:f>
              <c:strCache>
                <c:ptCount val="1"/>
                <c:pt idx="0">
                  <c:v>Sum of Cifra_afaceri</c:v>
                </c:pt>
              </c:strCache>
            </c:strRef>
          </c:tx>
          <c:spPr>
            <a:solidFill>
              <a:schemeClr val="accent1"/>
            </a:solidFill>
            <a:ln>
              <a:noFill/>
            </a:ln>
            <a:effectLst/>
          </c:spPr>
          <c:cat>
            <c:strRef>
              <c:f>Pivot2!$A$4:$A$21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Pivot2!$B$4:$B$21</c:f>
              <c:numCache>
                <c:formatCode>#</c:formatCode>
                <c:ptCount val="17"/>
                <c:pt idx="0">
                  <c:v>22133144</c:v>
                </c:pt>
                <c:pt idx="1">
                  <c:v>64876609</c:v>
                </c:pt>
                <c:pt idx="2">
                  <c:v>104876324</c:v>
                </c:pt>
                <c:pt idx="3">
                  <c:v>122015011</c:v>
                </c:pt>
                <c:pt idx="4">
                  <c:v>135614898</c:v>
                </c:pt>
                <c:pt idx="5">
                  <c:v>160935943</c:v>
                </c:pt>
                <c:pt idx="6">
                  <c:v>196513222</c:v>
                </c:pt>
                <c:pt idx="7">
                  <c:v>251516730</c:v>
                </c:pt>
                <c:pt idx="8">
                  <c:v>387037483</c:v>
                </c:pt>
                <c:pt idx="9">
                  <c:v>453169770</c:v>
                </c:pt>
                <c:pt idx="10">
                  <c:v>591862278</c:v>
                </c:pt>
                <c:pt idx="11">
                  <c:v>545940714</c:v>
                </c:pt>
                <c:pt idx="12">
                  <c:v>671306085</c:v>
                </c:pt>
                <c:pt idx="13">
                  <c:v>869068558</c:v>
                </c:pt>
                <c:pt idx="14">
                  <c:v>1084546939</c:v>
                </c:pt>
                <c:pt idx="15">
                  <c:v>1458858561</c:v>
                </c:pt>
                <c:pt idx="16">
                  <c:v>1029276944</c:v>
                </c:pt>
              </c:numCache>
            </c:numRef>
          </c:val>
          <c:extLst>
            <c:ext xmlns:c16="http://schemas.microsoft.com/office/drawing/2014/chart" uri="{C3380CC4-5D6E-409C-BE32-E72D297353CC}">
              <c16:uniqueId val="{00000000-7AA8-4236-B7DC-943635339B00}"/>
            </c:ext>
          </c:extLst>
        </c:ser>
        <c:ser>
          <c:idx val="1"/>
          <c:order val="1"/>
          <c:tx>
            <c:strRef>
              <c:f>Pivot2!$C$3</c:f>
              <c:strCache>
                <c:ptCount val="1"/>
                <c:pt idx="0">
                  <c:v>Sum of Profit_net</c:v>
                </c:pt>
              </c:strCache>
            </c:strRef>
          </c:tx>
          <c:spPr>
            <a:solidFill>
              <a:schemeClr val="accent2"/>
            </a:solidFill>
            <a:ln>
              <a:noFill/>
            </a:ln>
            <a:effectLst/>
          </c:spPr>
          <c:cat>
            <c:strRef>
              <c:f>Pivot2!$A$4:$A$21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Pivot2!$C$4:$C$21</c:f>
              <c:numCache>
                <c:formatCode>0</c:formatCode>
                <c:ptCount val="17"/>
                <c:pt idx="0">
                  <c:v>2399998</c:v>
                </c:pt>
                <c:pt idx="1">
                  <c:v>415823</c:v>
                </c:pt>
                <c:pt idx="2">
                  <c:v>7156247</c:v>
                </c:pt>
                <c:pt idx="3">
                  <c:v>1012838</c:v>
                </c:pt>
                <c:pt idx="4">
                  <c:v>4583174</c:v>
                </c:pt>
                <c:pt idx="5">
                  <c:v>4975</c:v>
                </c:pt>
                <c:pt idx="6">
                  <c:v>11331647</c:v>
                </c:pt>
                <c:pt idx="7">
                  <c:v>16858095</c:v>
                </c:pt>
                <c:pt idx="8">
                  <c:v>57604725</c:v>
                </c:pt>
                <c:pt idx="9">
                  <c:v>27693557</c:v>
                </c:pt>
                <c:pt idx="10">
                  <c:v>28427493</c:v>
                </c:pt>
                <c:pt idx="11">
                  <c:v>6449994</c:v>
                </c:pt>
                <c:pt idx="12">
                  <c:v>6796981</c:v>
                </c:pt>
                <c:pt idx="13">
                  <c:v>140449401</c:v>
                </c:pt>
                <c:pt idx="14">
                  <c:v>217205955</c:v>
                </c:pt>
                <c:pt idx="15">
                  <c:v>292313524</c:v>
                </c:pt>
                <c:pt idx="16">
                  <c:v>-122676743</c:v>
                </c:pt>
              </c:numCache>
            </c:numRef>
          </c:val>
          <c:extLst>
            <c:ext xmlns:c16="http://schemas.microsoft.com/office/drawing/2014/chart" uri="{C3380CC4-5D6E-409C-BE32-E72D297353CC}">
              <c16:uniqueId val="{00000001-7AA8-4236-B7DC-943635339B00}"/>
            </c:ext>
          </c:extLst>
        </c:ser>
        <c:dLbls>
          <c:showLegendKey val="0"/>
          <c:showVal val="0"/>
          <c:showCatName val="0"/>
          <c:showSerName val="0"/>
          <c:showPercent val="0"/>
          <c:showBubbleSize val="0"/>
        </c:dLbls>
        <c:axId val="972267727"/>
        <c:axId val="972268687"/>
      </c:areaChart>
      <c:catAx>
        <c:axId val="9722677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268687"/>
        <c:crosses val="autoZero"/>
        <c:auto val="1"/>
        <c:lblAlgn val="ctr"/>
        <c:lblOffset val="100"/>
        <c:noMultiLvlLbl val="0"/>
      </c:catAx>
      <c:valAx>
        <c:axId val="972268687"/>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2677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[DateAnaliza.xlsx]Pivot3!PivotTable16</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Pivot3!$B$3</c:f>
              <c:strCache>
                <c:ptCount val="1"/>
                <c:pt idx="0">
                  <c:v>Total</c:v>
                </c:pt>
              </c:strCache>
            </c:strRef>
          </c:tx>
          <c:spPr>
            <a:solidFill>
              <a:schemeClr val="accent1"/>
            </a:solidFill>
            <a:ln>
              <a:noFill/>
            </a:ln>
            <a:effectLst/>
          </c:spPr>
          <c:invertIfNegative val="0"/>
          <c:cat>
            <c:strRef>
              <c:f>Pivot3!$A$4:$A$23</c:f>
              <c:strCache>
                <c:ptCount val="19"/>
                <c:pt idx="0">
                  <c:v>Backend Developer</c:v>
                </c:pt>
                <c:pt idx="1">
                  <c:v>Business Analyst</c:v>
                </c:pt>
                <c:pt idx="2">
                  <c:v>Cloud Engineer</c:v>
                </c:pt>
                <c:pt idx="3">
                  <c:v>Cybersecurity Analyst</c:v>
                </c:pt>
                <c:pt idx="4">
                  <c:v>Data Analyst</c:v>
                </c:pt>
                <c:pt idx="5">
                  <c:v>Frontend Developer</c:v>
                </c:pt>
                <c:pt idx="6">
                  <c:v>HR Specialist</c:v>
                </c:pt>
                <c:pt idx="7">
                  <c:v>IT Support Specialist</c:v>
                </c:pt>
                <c:pt idx="8">
                  <c:v>Marketing Specialist</c:v>
                </c:pt>
                <c:pt idx="9">
                  <c:v>Network Administrator</c:v>
                </c:pt>
                <c:pt idx="10">
                  <c:v>Product Manager</c:v>
                </c:pt>
                <c:pt idx="11">
                  <c:v>Project Manager</c:v>
                </c:pt>
                <c:pt idx="12">
                  <c:v>QA Engineer</c:v>
                </c:pt>
                <c:pt idx="13">
                  <c:v>Sales Manager</c:v>
                </c:pt>
                <c:pt idx="14">
                  <c:v>Senior Developer</c:v>
                </c:pt>
                <c:pt idx="15">
                  <c:v>Software Developer</c:v>
                </c:pt>
                <c:pt idx="16">
                  <c:v>Software Engineer</c:v>
                </c:pt>
                <c:pt idx="17">
                  <c:v>Systems Administrator</c:v>
                </c:pt>
                <c:pt idx="18">
                  <c:v>UX/UI Designer</c:v>
                </c:pt>
              </c:strCache>
            </c:strRef>
          </c:cat>
          <c:val>
            <c:numRef>
              <c:f>Pivot3!$B$4:$B$23</c:f>
              <c:numCache>
                <c:formatCode>0</c:formatCode>
                <c:ptCount val="19"/>
                <c:pt idx="0">
                  <c:v>8500</c:v>
                </c:pt>
                <c:pt idx="1">
                  <c:v>8500</c:v>
                </c:pt>
                <c:pt idx="2">
                  <c:v>9000</c:v>
                </c:pt>
                <c:pt idx="3">
                  <c:v>8000</c:v>
                </c:pt>
                <c:pt idx="4">
                  <c:v>7500</c:v>
                </c:pt>
                <c:pt idx="5">
                  <c:v>7600</c:v>
                </c:pt>
                <c:pt idx="6">
                  <c:v>6500</c:v>
                </c:pt>
                <c:pt idx="7">
                  <c:v>5800</c:v>
                </c:pt>
                <c:pt idx="8">
                  <c:v>7000</c:v>
                </c:pt>
                <c:pt idx="9">
                  <c:v>9000</c:v>
                </c:pt>
                <c:pt idx="10">
                  <c:v>10500</c:v>
                </c:pt>
                <c:pt idx="11">
                  <c:v>22000</c:v>
                </c:pt>
                <c:pt idx="12">
                  <c:v>6500</c:v>
                </c:pt>
                <c:pt idx="13">
                  <c:v>9500</c:v>
                </c:pt>
                <c:pt idx="14">
                  <c:v>11500</c:v>
                </c:pt>
                <c:pt idx="15">
                  <c:v>8000</c:v>
                </c:pt>
                <c:pt idx="16">
                  <c:v>9500</c:v>
                </c:pt>
                <c:pt idx="17">
                  <c:v>8200</c:v>
                </c:pt>
                <c:pt idx="18">
                  <c:v>7000</c:v>
                </c:pt>
              </c:numCache>
            </c:numRef>
          </c:val>
          <c:extLst>
            <c:ext xmlns:c16="http://schemas.microsoft.com/office/drawing/2014/chart" uri="{C3380CC4-5D6E-409C-BE32-E72D297353CC}">
              <c16:uniqueId val="{00000000-1393-431F-B60F-3CB41C20198F}"/>
            </c:ext>
          </c:extLst>
        </c:ser>
        <c:dLbls>
          <c:showLegendKey val="0"/>
          <c:showVal val="0"/>
          <c:showCatName val="0"/>
          <c:showSerName val="0"/>
          <c:showPercent val="0"/>
          <c:showBubbleSize val="0"/>
        </c:dLbls>
        <c:gapWidth val="219"/>
        <c:overlap val="-27"/>
        <c:axId val="461271375"/>
        <c:axId val="461273295"/>
      </c:barChart>
      <c:catAx>
        <c:axId val="46127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73295"/>
        <c:crosses val="autoZero"/>
        <c:auto val="1"/>
        <c:lblAlgn val="ctr"/>
        <c:lblOffset val="100"/>
        <c:noMultiLvlLbl val="0"/>
      </c:catAx>
      <c:valAx>
        <c:axId val="4612732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7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[DateAnaliza.xlsx]Pivot4!PivotTable22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Pivot4!$B$3</c:f>
              <c:strCache>
                <c:ptCount val="1"/>
                <c:pt idx="0">
                  <c:v>Sum of Datorii</c:v>
                </c:pt>
              </c:strCache>
            </c:strRef>
          </c:tx>
          <c:spPr>
            <a:solidFill>
              <a:schemeClr val="accent1"/>
            </a:solidFill>
            <a:ln>
              <a:noFill/>
            </a:ln>
            <a:effectLst/>
          </c:spPr>
          <c:invertIfNegative val="0"/>
          <c:cat>
            <c:strRef>
              <c:f>Pivot4!$A$4:$A$21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Pivot4!$B$4:$B$21</c:f>
              <c:numCache>
                <c:formatCode>0.00%</c:formatCode>
                <c:ptCount val="17"/>
                <c:pt idx="1">
                  <c:v>1.4220051515109018</c:v>
                </c:pt>
                <c:pt idx="2">
                  <c:v>0.71998171362905483</c:v>
                </c:pt>
                <c:pt idx="3">
                  <c:v>3.2320179705866987E-2</c:v>
                </c:pt>
                <c:pt idx="4">
                  <c:v>0.23991251874799219</c:v>
                </c:pt>
                <c:pt idx="5">
                  <c:v>-1.2447979866620404E-2</c:v>
                </c:pt>
                <c:pt idx="6">
                  <c:v>-0.16465665146514896</c:v>
                </c:pt>
                <c:pt idx="7">
                  <c:v>0.46147312805764346</c:v>
                </c:pt>
                <c:pt idx="8">
                  <c:v>-0.51646661664742488</c:v>
                </c:pt>
                <c:pt idx="9">
                  <c:v>2.7588918474757671E-2</c:v>
                </c:pt>
                <c:pt idx="10">
                  <c:v>0.69875521162652332</c:v>
                </c:pt>
                <c:pt idx="11">
                  <c:v>5.9794606429464561E-2</c:v>
                </c:pt>
                <c:pt idx="12">
                  <c:v>0.6829609813551627</c:v>
                </c:pt>
                <c:pt idx="13">
                  <c:v>-0.31279478391328519</c:v>
                </c:pt>
                <c:pt idx="14">
                  <c:v>0.20295982310474991</c:v>
                </c:pt>
                <c:pt idx="15">
                  <c:v>0.31825642198929532</c:v>
                </c:pt>
                <c:pt idx="16">
                  <c:v>8.3839266198477161E-2</c:v>
                </c:pt>
              </c:numCache>
            </c:numRef>
          </c:val>
          <c:extLst>
            <c:ext xmlns:c16="http://schemas.microsoft.com/office/drawing/2014/chart" uri="{C3380CC4-5D6E-409C-BE32-E72D297353CC}">
              <c16:uniqueId val="{00000000-619F-4735-81F6-157CBA6AAA13}"/>
            </c:ext>
          </c:extLst>
        </c:ser>
        <c:ser>
          <c:idx val="1"/>
          <c:order val="1"/>
          <c:tx>
            <c:strRef>
              <c:f>Pivot4!$C$3</c:f>
              <c:strCache>
                <c:ptCount val="1"/>
                <c:pt idx="0">
                  <c:v>Sum of Capitaluri_proprii</c:v>
                </c:pt>
              </c:strCache>
            </c:strRef>
          </c:tx>
          <c:spPr>
            <a:solidFill>
              <a:schemeClr val="accent2"/>
            </a:solidFill>
            <a:ln>
              <a:noFill/>
            </a:ln>
            <a:effectLst/>
          </c:spPr>
          <c:invertIfNegative val="0"/>
          <c:cat>
            <c:strRef>
              <c:f>Pivot4!$A$4:$A$21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Pivot4!$C$4:$C$21</c:f>
              <c:numCache>
                <c:formatCode>0.00%</c:formatCode>
                <c:ptCount val="17"/>
                <c:pt idx="1">
                  <c:v>0.17914008039748114</c:v>
                </c:pt>
                <c:pt idx="2">
                  <c:v>2.6145931371116244</c:v>
                </c:pt>
                <c:pt idx="3">
                  <c:v>0.10237639950972811</c:v>
                </c:pt>
                <c:pt idx="4">
                  <c:v>0.28270105101491133</c:v>
                </c:pt>
                <c:pt idx="5">
                  <c:v>-3.2598133230130631E-2</c:v>
                </c:pt>
                <c:pt idx="6">
                  <c:v>0.81163278092446667</c:v>
                </c:pt>
                <c:pt idx="7">
                  <c:v>0.68759935067946454</c:v>
                </c:pt>
                <c:pt idx="8">
                  <c:v>0.7332929712004097</c:v>
                </c:pt>
                <c:pt idx="9">
                  <c:v>-0.25526403445515344</c:v>
                </c:pt>
                <c:pt idx="10">
                  <c:v>-6.7263750248014051E-2</c:v>
                </c:pt>
                <c:pt idx="11">
                  <c:v>0.12947436470433196</c:v>
                </c:pt>
                <c:pt idx="12">
                  <c:v>-0.46569270144029445</c:v>
                </c:pt>
                <c:pt idx="13">
                  <c:v>3.8701571394643515</c:v>
                </c:pt>
                <c:pt idx="14">
                  <c:v>1.1072047755062049</c:v>
                </c:pt>
                <c:pt idx="15">
                  <c:v>0.42991635556391011</c:v>
                </c:pt>
                <c:pt idx="16">
                  <c:v>-0.37579979259706903</c:v>
                </c:pt>
              </c:numCache>
            </c:numRef>
          </c:val>
          <c:extLst>
            <c:ext xmlns:c16="http://schemas.microsoft.com/office/drawing/2014/chart" uri="{C3380CC4-5D6E-409C-BE32-E72D297353CC}">
              <c16:uniqueId val="{00000001-619F-4735-81F6-157CBA6AAA13}"/>
            </c:ext>
          </c:extLst>
        </c:ser>
        <c:dLbls>
          <c:showLegendKey val="0"/>
          <c:showVal val="0"/>
          <c:showCatName val="0"/>
          <c:showSerName val="0"/>
          <c:showPercent val="0"/>
          <c:showBubbleSize val="0"/>
        </c:dLbls>
        <c:gapWidth val="150"/>
        <c:overlap val="100"/>
        <c:axId val="1692676239"/>
        <c:axId val="1692683439"/>
      </c:barChart>
      <c:catAx>
        <c:axId val="169267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683439"/>
        <c:crosses val="autoZero"/>
        <c:auto val="1"/>
        <c:lblAlgn val="ctr"/>
        <c:lblOffset val="100"/>
        <c:noMultiLvlLbl val="0"/>
      </c:catAx>
      <c:valAx>
        <c:axId val="16926834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67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[DateAnaliza.xlsx]Pivot5!PivotTable23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Pivot5!$B$3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D40-4AE5-BE42-49034C4158A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D40-4AE5-BE42-49034C4158A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D40-4AE5-BE42-49034C4158A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D40-4AE5-BE42-49034C4158A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D40-4AE5-BE42-49034C4158A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D40-4AE5-BE42-49034C4158A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D40-4AE5-BE42-49034C4158A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D40-4AE5-BE42-49034C4158A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D40-4AE5-BE42-49034C4158A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D40-4AE5-BE42-49034C4158A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0D40-4AE5-BE42-49034C4158A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0D40-4AE5-BE42-49034C4158A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0D40-4AE5-BE42-49034C4158A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0D40-4AE5-BE42-49034C4158A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0D40-4AE5-BE42-49034C4158A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0D40-4AE5-BE42-49034C4158A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D40-4AE5-BE42-49034C4158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Pivot5!$A$4:$A$21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Pivot5!$B$4:$B$21</c:f>
              <c:numCache>
                <c:formatCode>0</c:formatCode>
                <c:ptCount val="17"/>
                <c:pt idx="0">
                  <c:v>2399998</c:v>
                </c:pt>
                <c:pt idx="1">
                  <c:v>415823</c:v>
                </c:pt>
                <c:pt idx="2">
                  <c:v>7156247</c:v>
                </c:pt>
                <c:pt idx="3">
                  <c:v>1012838</c:v>
                </c:pt>
                <c:pt idx="4">
                  <c:v>4583174</c:v>
                </c:pt>
                <c:pt idx="5">
                  <c:v>4975</c:v>
                </c:pt>
                <c:pt idx="6">
                  <c:v>11331647</c:v>
                </c:pt>
                <c:pt idx="7">
                  <c:v>16858095</c:v>
                </c:pt>
                <c:pt idx="8">
                  <c:v>57604725</c:v>
                </c:pt>
                <c:pt idx="9">
                  <c:v>27693557</c:v>
                </c:pt>
                <c:pt idx="10">
                  <c:v>28427493</c:v>
                </c:pt>
                <c:pt idx="11">
                  <c:v>6449994</c:v>
                </c:pt>
                <c:pt idx="12">
                  <c:v>6796981</c:v>
                </c:pt>
                <c:pt idx="13">
                  <c:v>140449401</c:v>
                </c:pt>
                <c:pt idx="14">
                  <c:v>217205955</c:v>
                </c:pt>
                <c:pt idx="15">
                  <c:v>292313524</c:v>
                </c:pt>
                <c:pt idx="16">
                  <c:v>-122676743</c:v>
                </c:pt>
              </c:numCache>
            </c:numRef>
          </c:val>
          <c:extLst>
            <c:ext xmlns:c16="http://schemas.microsoft.com/office/drawing/2014/chart" uri="{C3380CC4-5D6E-409C-BE32-E72D297353CC}">
              <c16:uniqueId val="{00000000-99E5-41A7-B576-5231E0DD026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[DateAnaliza.xlsx]Pivot6!PivotTable24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Pivot6!$B$3</c:f>
              <c:strCache>
                <c:ptCount val="1"/>
                <c:pt idx="0">
                  <c:v>Sum of Rata_profit</c:v>
                </c:pt>
              </c:strCache>
            </c:strRef>
          </c:tx>
          <c:spPr>
            <a:solidFill>
              <a:schemeClr val="accent1"/>
            </a:solidFill>
            <a:ln>
              <a:noFill/>
            </a:ln>
            <a:effectLst/>
          </c:spPr>
          <c:invertIfNegative val="0"/>
          <c:cat>
            <c:strRef>
              <c:f>Pivot6!$A$4:$A$21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Pivot6!$B$4:$B$21</c:f>
              <c:numCache>
                <c:formatCode>General</c:formatCode>
                <c:ptCount val="17"/>
                <c:pt idx="0">
                  <c:v>0.10843457215115937</c:v>
                </c:pt>
                <c:pt idx="1">
                  <c:v>6.4094441187578103E-3</c:v>
                </c:pt>
                <c:pt idx="2">
                  <c:v>6.8235105189232217E-2</c:v>
                </c:pt>
                <c:pt idx="3">
                  <c:v>8.3009294651458908E-3</c:v>
                </c:pt>
                <c:pt idx="4">
                  <c:v>3.3795505269634901E-2</c:v>
                </c:pt>
                <c:pt idx="5">
                  <c:v>3.09129204282228E-5</c:v>
                </c:pt>
                <c:pt idx="6">
                  <c:v>5.7663534721343078E-2</c:v>
                </c:pt>
                <c:pt idx="7">
                  <c:v>6.7025740196288333E-2</c:v>
                </c:pt>
                <c:pt idx="8">
                  <c:v>0.14883500314619399</c:v>
                </c:pt>
                <c:pt idx="9">
                  <c:v>6.1110777534873963E-2</c:v>
                </c:pt>
                <c:pt idx="10">
                  <c:v>4.8030587615857483E-2</c:v>
                </c:pt>
                <c:pt idx="11">
                  <c:v>1.1814458666660277E-2</c:v>
                </c:pt>
                <c:pt idx="12">
                  <c:v>1.0125010262643456E-2</c:v>
                </c:pt>
                <c:pt idx="13">
                  <c:v>0.16160911553769503</c:v>
                </c:pt>
                <c:pt idx="14">
                  <c:v>0.20027344800795202</c:v>
                </c:pt>
                <c:pt idx="15">
                  <c:v>0.20037139433148926</c:v>
                </c:pt>
                <c:pt idx="16">
                  <c:v>-0.11918730300442833</c:v>
                </c:pt>
              </c:numCache>
            </c:numRef>
          </c:val>
          <c:extLst>
            <c:ext xmlns:c16="http://schemas.microsoft.com/office/drawing/2014/chart" uri="{C3380CC4-5D6E-409C-BE32-E72D297353CC}">
              <c16:uniqueId val="{00000000-9D7B-4322-BC47-A9A531F1441A}"/>
            </c:ext>
          </c:extLst>
        </c:ser>
        <c:ser>
          <c:idx val="1"/>
          <c:order val="1"/>
          <c:tx>
            <c:strRef>
              <c:f>Pivot6!$C$3</c:f>
              <c:strCache>
                <c:ptCount val="1"/>
                <c:pt idx="0">
                  <c:v>Sum of Profit_net</c:v>
                </c:pt>
              </c:strCache>
            </c:strRef>
          </c:tx>
          <c:spPr>
            <a:solidFill>
              <a:schemeClr val="accent2"/>
            </a:solidFill>
            <a:ln>
              <a:noFill/>
            </a:ln>
            <a:effectLst/>
          </c:spPr>
          <c:invertIfNegative val="0"/>
          <c:cat>
            <c:strRef>
              <c:f>Pivot6!$A$4:$A$21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Pivot6!$C$4:$C$21</c:f>
              <c:numCache>
                <c:formatCode>0</c:formatCode>
                <c:ptCount val="17"/>
                <c:pt idx="0">
                  <c:v>2399998</c:v>
                </c:pt>
                <c:pt idx="1">
                  <c:v>415823</c:v>
                </c:pt>
                <c:pt idx="2">
                  <c:v>7156247</c:v>
                </c:pt>
                <c:pt idx="3">
                  <c:v>1012838</c:v>
                </c:pt>
                <c:pt idx="4">
                  <c:v>4583174</c:v>
                </c:pt>
                <c:pt idx="5">
                  <c:v>4975</c:v>
                </c:pt>
                <c:pt idx="6">
                  <c:v>11331647</c:v>
                </c:pt>
                <c:pt idx="7">
                  <c:v>16858095</c:v>
                </c:pt>
                <c:pt idx="8">
                  <c:v>57604725</c:v>
                </c:pt>
                <c:pt idx="9">
                  <c:v>27693557</c:v>
                </c:pt>
                <c:pt idx="10">
                  <c:v>28427493</c:v>
                </c:pt>
                <c:pt idx="11">
                  <c:v>6449994</c:v>
                </c:pt>
                <c:pt idx="12">
                  <c:v>6796981</c:v>
                </c:pt>
                <c:pt idx="13">
                  <c:v>140449401</c:v>
                </c:pt>
                <c:pt idx="14">
                  <c:v>217205955</c:v>
                </c:pt>
                <c:pt idx="15">
                  <c:v>292313524</c:v>
                </c:pt>
                <c:pt idx="16">
                  <c:v>-122676743</c:v>
                </c:pt>
              </c:numCache>
            </c:numRef>
          </c:val>
          <c:extLst>
            <c:ext xmlns:c16="http://schemas.microsoft.com/office/drawing/2014/chart" uri="{C3380CC4-5D6E-409C-BE32-E72D297353CC}">
              <c16:uniqueId val="{00000001-9D7B-4322-BC47-A9A531F1441A}"/>
            </c:ext>
          </c:extLst>
        </c:ser>
        <c:ser>
          <c:idx val="2"/>
          <c:order val="2"/>
          <c:tx>
            <c:strRef>
              <c:f>Pivot6!$D$3</c:f>
              <c:strCache>
                <c:ptCount val="1"/>
                <c:pt idx="0">
                  <c:v>Sum of Cifra_afaceri</c:v>
                </c:pt>
              </c:strCache>
            </c:strRef>
          </c:tx>
          <c:spPr>
            <a:solidFill>
              <a:schemeClr val="accent3"/>
            </a:solidFill>
            <a:ln>
              <a:noFill/>
            </a:ln>
            <a:effectLst/>
          </c:spPr>
          <c:invertIfNegative val="0"/>
          <c:cat>
            <c:strRef>
              <c:f>Pivot6!$A$4:$A$21</c:f>
              <c:strCach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Pivot6!$D$4:$D$21</c:f>
              <c:numCache>
                <c:formatCode>#</c:formatCode>
                <c:ptCount val="17"/>
                <c:pt idx="0">
                  <c:v>22133144</c:v>
                </c:pt>
                <c:pt idx="1">
                  <c:v>64876609</c:v>
                </c:pt>
                <c:pt idx="2">
                  <c:v>104876324</c:v>
                </c:pt>
                <c:pt idx="3">
                  <c:v>122015011</c:v>
                </c:pt>
                <c:pt idx="4">
                  <c:v>135614898</c:v>
                </c:pt>
                <c:pt idx="5">
                  <c:v>160935943</c:v>
                </c:pt>
                <c:pt idx="6">
                  <c:v>196513222</c:v>
                </c:pt>
                <c:pt idx="7">
                  <c:v>251516730</c:v>
                </c:pt>
                <c:pt idx="8">
                  <c:v>387037483</c:v>
                </c:pt>
                <c:pt idx="9">
                  <c:v>453169770</c:v>
                </c:pt>
                <c:pt idx="10">
                  <c:v>591862278</c:v>
                </c:pt>
                <c:pt idx="11">
                  <c:v>545940714</c:v>
                </c:pt>
                <c:pt idx="12">
                  <c:v>671306085</c:v>
                </c:pt>
                <c:pt idx="13">
                  <c:v>869068558</c:v>
                </c:pt>
                <c:pt idx="14">
                  <c:v>1084546939</c:v>
                </c:pt>
                <c:pt idx="15">
                  <c:v>1458858561</c:v>
                </c:pt>
                <c:pt idx="16">
                  <c:v>1029276944</c:v>
                </c:pt>
              </c:numCache>
            </c:numRef>
          </c:val>
          <c:extLst>
            <c:ext xmlns:c16="http://schemas.microsoft.com/office/drawing/2014/chart" uri="{C3380CC4-5D6E-409C-BE32-E72D297353CC}">
              <c16:uniqueId val="{00000002-9D7B-4322-BC47-A9A531F1441A}"/>
            </c:ext>
          </c:extLst>
        </c:ser>
        <c:dLbls>
          <c:showLegendKey val="0"/>
          <c:showVal val="0"/>
          <c:showCatName val="0"/>
          <c:showSerName val="0"/>
          <c:showPercent val="0"/>
          <c:showBubbleSize val="0"/>
        </c:dLbls>
        <c:gapWidth val="219"/>
        <c:overlap val="-27"/>
        <c:axId val="1692696879"/>
        <c:axId val="1692683919"/>
      </c:barChart>
      <c:catAx>
        <c:axId val="169269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683919"/>
        <c:crosses val="autoZero"/>
        <c:auto val="1"/>
        <c:lblAlgn val="ctr"/>
        <c:lblOffset val="100"/>
        <c:noMultiLvlLbl val="0"/>
      </c:catAx>
      <c:valAx>
        <c:axId val="169268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69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[DateAnaliza.xlsx]Pivot3!PivotTable16</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Pivot3!$B$3</c:f>
              <c:strCache>
                <c:ptCount val="1"/>
                <c:pt idx="0">
                  <c:v>Total</c:v>
                </c:pt>
              </c:strCache>
            </c:strRef>
          </c:tx>
          <c:spPr>
            <a:solidFill>
              <a:schemeClr val="accent1"/>
            </a:solidFill>
            <a:ln>
              <a:noFill/>
            </a:ln>
            <a:effectLst/>
          </c:spPr>
          <c:invertIfNegative val="0"/>
          <c:cat>
            <c:strRef>
              <c:f>Pivot3!$A$4:$A$23</c:f>
              <c:strCache>
                <c:ptCount val="19"/>
                <c:pt idx="0">
                  <c:v>Backend Developer</c:v>
                </c:pt>
                <c:pt idx="1">
                  <c:v>Business Analyst</c:v>
                </c:pt>
                <c:pt idx="2">
                  <c:v>Cloud Engineer</c:v>
                </c:pt>
                <c:pt idx="3">
                  <c:v>Cybersecurity Analyst</c:v>
                </c:pt>
                <c:pt idx="4">
                  <c:v>Data Analyst</c:v>
                </c:pt>
                <c:pt idx="5">
                  <c:v>Frontend Developer</c:v>
                </c:pt>
                <c:pt idx="6">
                  <c:v>HR Specialist</c:v>
                </c:pt>
                <c:pt idx="7">
                  <c:v>IT Support Specialist</c:v>
                </c:pt>
                <c:pt idx="8">
                  <c:v>Marketing Specialist</c:v>
                </c:pt>
                <c:pt idx="9">
                  <c:v>Network Administrator</c:v>
                </c:pt>
                <c:pt idx="10">
                  <c:v>Product Manager</c:v>
                </c:pt>
                <c:pt idx="11">
                  <c:v>Project Manager</c:v>
                </c:pt>
                <c:pt idx="12">
                  <c:v>QA Engineer</c:v>
                </c:pt>
                <c:pt idx="13">
                  <c:v>Sales Manager</c:v>
                </c:pt>
                <c:pt idx="14">
                  <c:v>Senior Developer</c:v>
                </c:pt>
                <c:pt idx="15">
                  <c:v>Software Developer</c:v>
                </c:pt>
                <c:pt idx="16">
                  <c:v>Software Engineer</c:v>
                </c:pt>
                <c:pt idx="17">
                  <c:v>Systems Administrator</c:v>
                </c:pt>
                <c:pt idx="18">
                  <c:v>UX/UI Designer</c:v>
                </c:pt>
              </c:strCache>
            </c:strRef>
          </c:cat>
          <c:val>
            <c:numRef>
              <c:f>Pivot3!$B$4:$B$23</c:f>
              <c:numCache>
                <c:formatCode>0</c:formatCode>
                <c:ptCount val="19"/>
                <c:pt idx="0">
                  <c:v>8500</c:v>
                </c:pt>
                <c:pt idx="1">
                  <c:v>8500</c:v>
                </c:pt>
                <c:pt idx="2">
                  <c:v>9000</c:v>
                </c:pt>
                <c:pt idx="3">
                  <c:v>8000</c:v>
                </c:pt>
                <c:pt idx="4">
                  <c:v>7500</c:v>
                </c:pt>
                <c:pt idx="5">
                  <c:v>7600</c:v>
                </c:pt>
                <c:pt idx="6">
                  <c:v>6500</c:v>
                </c:pt>
                <c:pt idx="7">
                  <c:v>5800</c:v>
                </c:pt>
                <c:pt idx="8">
                  <c:v>7000</c:v>
                </c:pt>
                <c:pt idx="9">
                  <c:v>9000</c:v>
                </c:pt>
                <c:pt idx="10">
                  <c:v>10500</c:v>
                </c:pt>
                <c:pt idx="11">
                  <c:v>22000</c:v>
                </c:pt>
                <c:pt idx="12">
                  <c:v>6500</c:v>
                </c:pt>
                <c:pt idx="13">
                  <c:v>9500</c:v>
                </c:pt>
                <c:pt idx="14">
                  <c:v>11500</c:v>
                </c:pt>
                <c:pt idx="15">
                  <c:v>8000</c:v>
                </c:pt>
                <c:pt idx="16">
                  <c:v>9500</c:v>
                </c:pt>
                <c:pt idx="17">
                  <c:v>8200</c:v>
                </c:pt>
                <c:pt idx="18">
                  <c:v>7000</c:v>
                </c:pt>
              </c:numCache>
            </c:numRef>
          </c:val>
          <c:extLst>
            <c:ext xmlns:c16="http://schemas.microsoft.com/office/drawing/2014/chart" uri="{C3380CC4-5D6E-409C-BE32-E72D297353CC}">
              <c16:uniqueId val="{00000000-969A-4FEC-8233-E9D2D0272FE4}"/>
            </c:ext>
          </c:extLst>
        </c:ser>
        <c:dLbls>
          <c:showLegendKey val="0"/>
          <c:showVal val="0"/>
          <c:showCatName val="0"/>
          <c:showSerName val="0"/>
          <c:showPercent val="0"/>
          <c:showBubbleSize val="0"/>
        </c:dLbls>
        <c:gapWidth val="219"/>
        <c:overlap val="-27"/>
        <c:axId val="461271375"/>
        <c:axId val="461273295"/>
      </c:barChart>
      <c:catAx>
        <c:axId val="46127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73295"/>
        <c:crosses val="autoZero"/>
        <c:auto val="1"/>
        <c:lblAlgn val="ctr"/>
        <c:lblOffset val="100"/>
        <c:noMultiLvlLbl val="0"/>
      </c:catAx>
      <c:valAx>
        <c:axId val="4612732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71375"/>
        <c:crosses val="autoZero"/>
        <c:crossBetween val="between"/>
      </c:valAx>
      <c:spPr>
        <a:noFill/>
        <a:ln>
          <a:noFill/>
        </a:ln>
        <a:effectLst/>
      </c:spPr>
    </c:plotArea>
    <c:legend>
      <c:legendPos val="r"/>
      <c:layout>
        <c:manualLayout>
          <c:xMode val="edge"/>
          <c:yMode val="edge"/>
          <c:x val="0.9002591863517061"/>
          <c:y val="0.51959463400408279"/>
          <c:w val="9.9740813648293958E-2"/>
          <c:h val="8.1597769028871392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Graficul Boxplot pentru Cifra de afaceri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Graficul Boxplot pentru Cifra de afaceri</a:t>
          </a:r>
        </a:p>
      </cx:txPr>
    </cx:title>
    <cx:plotArea>
      <cx:plotAreaRegion>
        <cx:series layoutId="boxWhisker" uniqueId="{4B36269B-547D-4C89-A1CE-AACAB2C2E201}">
          <cx:tx>
            <cx:txData>
              <cx:f>_xlchart.v1.0</cx:f>
              <cx:v>Cifra_afaceri</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Graficul Boxplot pentru Profitul net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Graficul Boxplot pentru Profitul net</a:t>
          </a:r>
        </a:p>
      </cx:txPr>
    </cx:title>
    <cx:plotArea>
      <cx:plotAreaRegion>
        <cx:series layoutId="boxWhisker" uniqueId="{2AE2D653-6D5A-41F5-A1B7-F7A7E2235BE8}">
          <cx:tx>
            <cx:txData>
              <cx:f>_xlchart.v1.2</cx:f>
              <cx:v>Profit_net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4"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15240</xdr:colOff>
      <xdr:row>19</xdr:row>
      <xdr:rowOff>171450</xdr:rowOff>
    </xdr:from>
    <xdr:to>
      <xdr:col>6</xdr:col>
      <xdr:colOff>472440</xdr:colOff>
      <xdr:row>31</xdr:row>
      <xdr:rowOff>106680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C902B6D-75A6-3D80-2FF5-AC16525C05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4840" y="3646170"/>
              <a:ext cx="4450080" cy="21297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601980</xdr:colOff>
      <xdr:row>31</xdr:row>
      <xdr:rowOff>171450</xdr:rowOff>
    </xdr:from>
    <xdr:to>
      <xdr:col>6</xdr:col>
      <xdr:colOff>464820</xdr:colOff>
      <xdr:row>44</xdr:row>
      <xdr:rowOff>45720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F923FDA5-0AF8-F078-ED3D-300912EED2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 y="5840730"/>
              <a:ext cx="4465320" cy="225171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990600</xdr:colOff>
      <xdr:row>19</xdr:row>
      <xdr:rowOff>125730</xdr:rowOff>
    </xdr:from>
    <xdr:to>
      <xdr:col>11</xdr:col>
      <xdr:colOff>266700</xdr:colOff>
      <xdr:row>31</xdr:row>
      <xdr:rowOff>152400</xdr:rowOff>
    </xdr:to>
    <xdr:graphicFrame macro="">
      <xdr:nvGraphicFramePr>
        <xdr:cNvPr id="6" name="Chart 5">
          <a:extLst>
            <a:ext uri="{FF2B5EF4-FFF2-40B4-BE49-F238E27FC236}">
              <a16:creationId xmlns:a16="http://schemas.microsoft.com/office/drawing/2014/main" id="{727EEA6A-62AE-718D-8C30-2638BE742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960120</xdr:colOff>
      <xdr:row>31</xdr:row>
      <xdr:rowOff>179070</xdr:rowOff>
    </xdr:from>
    <xdr:to>
      <xdr:col>11</xdr:col>
      <xdr:colOff>274320</xdr:colOff>
      <xdr:row>44</xdr:row>
      <xdr:rowOff>129540</xdr:rowOff>
    </xdr:to>
    <xdr:graphicFrame macro="">
      <xdr:nvGraphicFramePr>
        <xdr:cNvPr id="7" name="Chart 6">
          <a:extLst>
            <a:ext uri="{FF2B5EF4-FFF2-40B4-BE49-F238E27FC236}">
              <a16:creationId xmlns:a16="http://schemas.microsoft.com/office/drawing/2014/main" id="{6A00FBC6-B7CE-6701-8F85-E6982E94E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38100</xdr:colOff>
      <xdr:row>26</xdr:row>
      <xdr:rowOff>3810</xdr:rowOff>
    </xdr:from>
    <xdr:to>
      <xdr:col>11</xdr:col>
      <xdr:colOff>22860</xdr:colOff>
      <xdr:row>43</xdr:row>
      <xdr:rowOff>76200</xdr:rowOff>
    </xdr:to>
    <xdr:graphicFrame macro="">
      <xdr:nvGraphicFramePr>
        <xdr:cNvPr id="4" name="Chart 3">
          <a:extLst>
            <a:ext uri="{FF2B5EF4-FFF2-40B4-BE49-F238E27FC236}">
              <a16:creationId xmlns:a16="http://schemas.microsoft.com/office/drawing/2014/main" id="{4A369BEB-CB01-5830-830D-316094E7D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21</xdr:row>
      <xdr:rowOff>163830</xdr:rowOff>
    </xdr:from>
    <xdr:to>
      <xdr:col>4</xdr:col>
      <xdr:colOff>647700</xdr:colOff>
      <xdr:row>36</xdr:row>
      <xdr:rowOff>163830</xdr:rowOff>
    </xdr:to>
    <xdr:graphicFrame macro="">
      <xdr:nvGraphicFramePr>
        <xdr:cNvPr id="2" name="Chart 1">
          <a:extLst>
            <a:ext uri="{FF2B5EF4-FFF2-40B4-BE49-F238E27FC236}">
              <a16:creationId xmlns:a16="http://schemas.microsoft.com/office/drawing/2014/main" id="{B0B6B839-7DB9-C080-CCBF-279BA5409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563880</xdr:colOff>
      <xdr:row>2</xdr:row>
      <xdr:rowOff>41910</xdr:rowOff>
    </xdr:from>
    <xdr:to>
      <xdr:col>11</xdr:col>
      <xdr:colOff>259080</xdr:colOff>
      <xdr:row>17</xdr:row>
      <xdr:rowOff>41910</xdr:rowOff>
    </xdr:to>
    <xdr:graphicFrame macro="">
      <xdr:nvGraphicFramePr>
        <xdr:cNvPr id="2" name="Chart 1">
          <a:extLst>
            <a:ext uri="{FF2B5EF4-FFF2-40B4-BE49-F238E27FC236}">
              <a16:creationId xmlns:a16="http://schemas.microsoft.com/office/drawing/2014/main" id="{1196A897-0E66-698F-9476-B29D6247D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434340</xdr:colOff>
      <xdr:row>3</xdr:row>
      <xdr:rowOff>148590</xdr:rowOff>
    </xdr:from>
    <xdr:to>
      <xdr:col>11</xdr:col>
      <xdr:colOff>129540</xdr:colOff>
      <xdr:row>18</xdr:row>
      <xdr:rowOff>148590</xdr:rowOff>
    </xdr:to>
    <xdr:graphicFrame macro="">
      <xdr:nvGraphicFramePr>
        <xdr:cNvPr id="3" name="Chart 2">
          <a:extLst>
            <a:ext uri="{FF2B5EF4-FFF2-40B4-BE49-F238E27FC236}">
              <a16:creationId xmlns:a16="http://schemas.microsoft.com/office/drawing/2014/main" id="{187FF4E9-5BA9-37D3-E9C7-5E28C6277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179070</xdr:rowOff>
    </xdr:from>
    <xdr:to>
      <xdr:col>11</xdr:col>
      <xdr:colOff>304800</xdr:colOff>
      <xdr:row>16</xdr:row>
      <xdr:rowOff>179070</xdr:rowOff>
    </xdr:to>
    <xdr:graphicFrame macro="">
      <xdr:nvGraphicFramePr>
        <xdr:cNvPr id="3" name="Chart 2">
          <a:extLst>
            <a:ext uri="{FF2B5EF4-FFF2-40B4-BE49-F238E27FC236}">
              <a16:creationId xmlns:a16="http://schemas.microsoft.com/office/drawing/2014/main" id="{92374F33-86EA-C7B5-6510-C89BE4EB3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601980</xdr:colOff>
      <xdr:row>2</xdr:row>
      <xdr:rowOff>11430</xdr:rowOff>
    </xdr:from>
    <xdr:to>
      <xdr:col>11</xdr:col>
      <xdr:colOff>297180</xdr:colOff>
      <xdr:row>17</xdr:row>
      <xdr:rowOff>11430</xdr:rowOff>
    </xdr:to>
    <xdr:graphicFrame macro="">
      <xdr:nvGraphicFramePr>
        <xdr:cNvPr id="2" name="Chart 1">
          <a:extLst>
            <a:ext uri="{FF2B5EF4-FFF2-40B4-BE49-F238E27FC236}">
              <a16:creationId xmlns:a16="http://schemas.microsoft.com/office/drawing/2014/main" id="{9D2C31E1-5E59-7729-F30B-C3CC59FC3E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541020</xdr:colOff>
      <xdr:row>1</xdr:row>
      <xdr:rowOff>102870</xdr:rowOff>
    </xdr:from>
    <xdr:to>
      <xdr:col>12</xdr:col>
      <xdr:colOff>236220</xdr:colOff>
      <xdr:row>16</xdr:row>
      <xdr:rowOff>102870</xdr:rowOff>
    </xdr:to>
    <xdr:graphicFrame macro="">
      <xdr:nvGraphicFramePr>
        <xdr:cNvPr id="2" name="Chart 1">
          <a:extLst>
            <a:ext uri="{FF2B5EF4-FFF2-40B4-BE49-F238E27FC236}">
              <a16:creationId xmlns:a16="http://schemas.microsoft.com/office/drawing/2014/main" id="{72056F38-F0A2-6C55-4F58-B3A679014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574040</xdr:colOff>
      <xdr:row>16</xdr:row>
      <xdr:rowOff>22860</xdr:rowOff>
    </xdr:from>
    <xdr:to>
      <xdr:col>15</xdr:col>
      <xdr:colOff>571499</xdr:colOff>
      <xdr:row>55</xdr:row>
      <xdr:rowOff>0</xdr:rowOff>
    </xdr:to>
    <xdr:graphicFrame macro="">
      <xdr:nvGraphicFramePr>
        <xdr:cNvPr id="4" name="Chart 3">
          <a:extLst>
            <a:ext uri="{FF2B5EF4-FFF2-40B4-BE49-F238E27FC236}">
              <a16:creationId xmlns:a16="http://schemas.microsoft.com/office/drawing/2014/main" id="{B3A826B9-AEBF-4A76-A966-428025CCF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24764</xdr:colOff>
      <xdr:row>42</xdr:row>
      <xdr:rowOff>197485</xdr:rowOff>
    </xdr:from>
    <xdr:to>
      <xdr:col>9</xdr:col>
      <xdr:colOff>529589</xdr:colOff>
      <xdr:row>55</xdr:row>
      <xdr:rowOff>14605</xdr:rowOff>
    </xdr:to>
    <xdr:graphicFrame macro="">
      <xdr:nvGraphicFramePr>
        <xdr:cNvPr id="7" name="Chart 6">
          <a:extLst>
            <a:ext uri="{FF2B5EF4-FFF2-40B4-BE49-F238E27FC236}">
              <a16:creationId xmlns:a16="http://schemas.microsoft.com/office/drawing/2014/main" id="{7F4D477E-AD63-4D88-880A-C5C09F20EA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53340</xdr:colOff>
      <xdr:row>16</xdr:row>
      <xdr:rowOff>22860</xdr:rowOff>
    </xdr:from>
    <xdr:to>
      <xdr:col>9</xdr:col>
      <xdr:colOff>548640</xdr:colOff>
      <xdr:row>28</xdr:row>
      <xdr:rowOff>0</xdr:rowOff>
    </xdr:to>
    <xdr:graphicFrame macro="">
      <xdr:nvGraphicFramePr>
        <xdr:cNvPr id="25" name="Chart 24">
          <a:extLst>
            <a:ext uri="{FF2B5EF4-FFF2-40B4-BE49-F238E27FC236}">
              <a16:creationId xmlns:a16="http://schemas.microsoft.com/office/drawing/2014/main" id="{DFF691B5-DD68-4254-9CD9-118168164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533400</xdr:colOff>
      <xdr:row>4</xdr:row>
      <xdr:rowOff>7620</xdr:rowOff>
    </xdr:from>
    <xdr:to>
      <xdr:col>15</xdr:col>
      <xdr:colOff>556260</xdr:colOff>
      <xdr:row>14</xdr:row>
      <xdr:rowOff>114300</xdr:rowOff>
    </xdr:to>
    <xdr:graphicFrame macro="">
      <xdr:nvGraphicFramePr>
        <xdr:cNvPr id="26" name="Chart 25">
          <a:extLst>
            <a:ext uri="{FF2B5EF4-FFF2-40B4-BE49-F238E27FC236}">
              <a16:creationId xmlns:a16="http://schemas.microsoft.com/office/drawing/2014/main" id="{77665FE9-5056-4822-936E-4C91C69C9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38100</xdr:colOff>
      <xdr:row>29</xdr:row>
      <xdr:rowOff>30480</xdr:rowOff>
    </xdr:from>
    <xdr:to>
      <xdr:col>9</xdr:col>
      <xdr:colOff>563880</xdr:colOff>
      <xdr:row>41</xdr:row>
      <xdr:rowOff>129540</xdr:rowOff>
    </xdr:to>
    <xdr:graphicFrame macro="">
      <xdr:nvGraphicFramePr>
        <xdr:cNvPr id="27" name="Chart 26">
          <a:extLst>
            <a:ext uri="{FF2B5EF4-FFF2-40B4-BE49-F238E27FC236}">
              <a16:creationId xmlns:a16="http://schemas.microsoft.com/office/drawing/2014/main" id="{0AAFDD2E-FA9F-41B5-B44F-1CB761903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22860</xdr:colOff>
      <xdr:row>4</xdr:row>
      <xdr:rowOff>7620</xdr:rowOff>
    </xdr:from>
    <xdr:to>
      <xdr:col>9</xdr:col>
      <xdr:colOff>579120</xdr:colOff>
      <xdr:row>14</xdr:row>
      <xdr:rowOff>114300</xdr:rowOff>
    </xdr:to>
    <xdr:graphicFrame macro="">
      <xdr:nvGraphicFramePr>
        <xdr:cNvPr id="28" name="Chart 27">
          <a:extLst>
            <a:ext uri="{FF2B5EF4-FFF2-40B4-BE49-F238E27FC236}">
              <a16:creationId xmlns:a16="http://schemas.microsoft.com/office/drawing/2014/main" id="{E0294B58-1076-4665-92C0-BAC0DC510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xdr:row>
      <xdr:rowOff>167640</xdr:rowOff>
    </xdr:from>
    <xdr:to>
      <xdr:col>3</xdr:col>
      <xdr:colOff>0</xdr:colOff>
      <xdr:row>22</xdr:row>
      <xdr:rowOff>87086</xdr:rowOff>
    </xdr:to>
    <mc:AlternateContent xmlns:mc="http://schemas.openxmlformats.org/markup-compatibility/2006" xmlns:a14="http://schemas.microsoft.com/office/drawing/2010/main">
      <mc:Choice Requires="a14">
        <xdr:graphicFrame macro="">
          <xdr:nvGraphicFramePr>
            <xdr:cNvPr id="29" name="An">
              <a:extLst>
                <a:ext uri="{FF2B5EF4-FFF2-40B4-BE49-F238E27FC236}">
                  <a16:creationId xmlns:a16="http://schemas.microsoft.com/office/drawing/2014/main" id="{5AABF065-F760-FBE6-B68C-56928849CA90}"/>
                </a:ext>
              </a:extLst>
            </xdr:cNvPr>
            <xdr:cNvGraphicFramePr/>
          </xdr:nvGraphicFramePr>
          <xdr:xfrm>
            <a:off x="0" y="0"/>
            <a:ext cx="0" cy="0"/>
          </xdr:xfrm>
          <a:graphic>
            <a:graphicData uri="http://schemas.microsoft.com/office/drawing/2010/slicer">
              <sle:slicer xmlns:sle="http://schemas.microsoft.com/office/drawing/2010/slicer" name="An"/>
            </a:graphicData>
          </a:graphic>
        </xdr:graphicFrame>
      </mc:Choice>
      <mc:Fallback xmlns="">
        <xdr:sp macro="" textlink="">
          <xdr:nvSpPr>
            <xdr:cNvPr id="0" name=""/>
            <xdr:cNvSpPr>
              <a:spLocks noTextEdit="1"/>
            </xdr:cNvSpPr>
          </xdr:nvSpPr>
          <xdr:spPr>
            <a:xfrm>
              <a:off x="0" y="548640"/>
              <a:ext cx="1828800" cy="3607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174172</xdr:rowOff>
    </xdr:from>
    <xdr:to>
      <xdr:col>3</xdr:col>
      <xdr:colOff>0</xdr:colOff>
      <xdr:row>55</xdr:row>
      <xdr:rowOff>32658</xdr:rowOff>
    </xdr:to>
    <mc:AlternateContent xmlns:mc="http://schemas.openxmlformats.org/markup-compatibility/2006" xmlns:a14="http://schemas.microsoft.com/office/drawing/2010/main">
      <mc:Choice Requires="a14">
        <xdr:graphicFrame macro="">
          <xdr:nvGraphicFramePr>
            <xdr:cNvPr id="31" name="Nume_complet">
              <a:extLst>
                <a:ext uri="{FF2B5EF4-FFF2-40B4-BE49-F238E27FC236}">
                  <a16:creationId xmlns:a16="http://schemas.microsoft.com/office/drawing/2014/main" id="{F696A3D7-ACA1-8231-4B34-24E5D7A53AB7}"/>
                </a:ext>
              </a:extLst>
            </xdr:cNvPr>
            <xdr:cNvGraphicFramePr/>
          </xdr:nvGraphicFramePr>
          <xdr:xfrm>
            <a:off x="0" y="0"/>
            <a:ext cx="0" cy="0"/>
          </xdr:xfrm>
          <a:graphic>
            <a:graphicData uri="http://schemas.microsoft.com/office/drawing/2010/slicer">
              <sle:slicer xmlns:sle="http://schemas.microsoft.com/office/drawing/2010/slicer" name="Nume_complet"/>
            </a:graphicData>
          </a:graphic>
        </xdr:graphicFrame>
      </mc:Choice>
      <mc:Fallback xmlns="">
        <xdr:sp macro="" textlink="">
          <xdr:nvSpPr>
            <xdr:cNvPr id="0" name=""/>
            <xdr:cNvSpPr>
              <a:spLocks noTextEdit="1"/>
            </xdr:cNvSpPr>
          </xdr:nvSpPr>
          <xdr:spPr>
            <a:xfrm>
              <a:off x="0" y="6087292"/>
              <a:ext cx="1828800" cy="4079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111036</xdr:rowOff>
    </xdr:from>
    <xdr:to>
      <xdr:col>3</xdr:col>
      <xdr:colOff>0</xdr:colOff>
      <xdr:row>32</xdr:row>
      <xdr:rowOff>108859</xdr:rowOff>
    </xdr:to>
    <mc:AlternateContent xmlns:mc="http://schemas.openxmlformats.org/markup-compatibility/2006" xmlns:a14="http://schemas.microsoft.com/office/drawing/2010/main">
      <mc:Choice Requires="a14">
        <xdr:graphicFrame macro="">
          <xdr:nvGraphicFramePr>
            <xdr:cNvPr id="34" name="Oras">
              <a:extLst>
                <a:ext uri="{FF2B5EF4-FFF2-40B4-BE49-F238E27FC236}">
                  <a16:creationId xmlns:a16="http://schemas.microsoft.com/office/drawing/2014/main" id="{A3708F1A-BC71-0517-E3F1-2F2AC40C6228}"/>
                </a:ext>
              </a:extLst>
            </xdr:cNvPr>
            <xdr:cNvGraphicFramePr/>
          </xdr:nvGraphicFramePr>
          <xdr:xfrm>
            <a:off x="0" y="0"/>
            <a:ext cx="0" cy="0"/>
          </xdr:xfrm>
          <a:graphic>
            <a:graphicData uri="http://schemas.microsoft.com/office/drawing/2010/slicer">
              <sle:slicer xmlns:sle="http://schemas.microsoft.com/office/drawing/2010/slicer" name="Oras"/>
            </a:graphicData>
          </a:graphic>
        </xdr:graphicFrame>
      </mc:Choice>
      <mc:Fallback xmlns="">
        <xdr:sp macro="" textlink="">
          <xdr:nvSpPr>
            <xdr:cNvPr id="0" name=""/>
            <xdr:cNvSpPr>
              <a:spLocks noTextEdit="1"/>
            </xdr:cNvSpPr>
          </xdr:nvSpPr>
          <xdr:spPr>
            <a:xfrm>
              <a:off x="0" y="4180116"/>
              <a:ext cx="1828800" cy="1841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11</xdr:col>
      <xdr:colOff>472440</xdr:colOff>
      <xdr:row>1</xdr:row>
      <xdr:rowOff>205740</xdr:rowOff>
    </xdr:from>
    <xdr:to>
      <xdr:col>20</xdr:col>
      <xdr:colOff>114300</xdr:colOff>
      <xdr:row>18</xdr:row>
      <xdr:rowOff>3810</xdr:rowOff>
    </xdr:to>
    <xdr:graphicFrame macro="">
      <xdr:nvGraphicFramePr>
        <xdr:cNvPr id="2" name="Chart 1">
          <a:extLst>
            <a:ext uri="{FF2B5EF4-FFF2-40B4-BE49-F238E27FC236}">
              <a16:creationId xmlns:a16="http://schemas.microsoft.com/office/drawing/2014/main" id="{E3ABD3F3-3443-8ECA-3511-91C35F025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 Iordan" refreshedDate="45661.676075694442" createdVersion="8" refreshedVersion="8" minRefreshableVersion="3" recordCount="20" xr:uid="{E1531A35-BF68-48DE-9F9B-23DC6034C8E7}">
  <cacheSource type="worksheet">
    <worksheetSource ref="A1:V21" sheet="DateAnaliza"/>
  </cacheSource>
  <cacheFields count="25">
    <cacheField name="ID_angajat" numFmtId="0">
      <sharedItems containsSemiMixedTypes="0" containsString="0" containsNumber="1" containsInteger="1" minValue="1" maxValue="20" count="20">
        <n v="1"/>
        <n v="2"/>
        <n v="3"/>
        <n v="4"/>
        <n v="5"/>
        <n v="6"/>
        <n v="7"/>
        <n v="8"/>
        <n v="9"/>
        <n v="10"/>
        <n v="11"/>
        <n v="12"/>
        <n v="13"/>
        <n v="14"/>
        <n v="15"/>
        <n v="16"/>
        <n v="17"/>
        <n v="18"/>
        <n v="19"/>
        <n v="20"/>
      </sharedItems>
    </cacheField>
    <cacheField name="Nume" numFmtId="0">
      <sharedItems/>
    </cacheField>
    <cacheField name="Prenume" numFmtId="0">
      <sharedItems/>
    </cacheField>
    <cacheField name="Nume_complet" numFmtId="0">
      <sharedItems count="20">
        <s v="Popa Ioana"/>
        <s v="Radulescu Marius"/>
        <s v="Constantinescu Roxana"/>
        <s v="Matei Bogdan"/>
        <s v="Petrescu Gabriela"/>
        <s v="Toma Iulia"/>
        <s v="Dumitriu Andrei"/>
        <s v="Nistor Simona"/>
        <s v="Stefan Radu"/>
        <s v="Dima Vasile"/>
        <s v="Ilie Daniela"/>
        <s v="Gheorghiu Mihai"/>
        <s v="Rusu Alina"/>
        <s v="Nica Sorin"/>
        <s v="Munteanu Andreea"/>
        <s v="Petraru Vlad"/>
        <s v="Chirila Ioana"/>
        <s v="Stanciu Bogdan"/>
        <s v="Mihaila Laura"/>
        <s v="Rusu Silviana"/>
      </sharedItems>
    </cacheField>
    <cacheField name="CNP" numFmtId="0">
      <sharedItems/>
    </cacheField>
    <cacheField name="Dim_CNP" numFmtId="0">
      <sharedItems containsSemiMixedTypes="0" containsString="0" containsNumber="1" containsInteger="1" minValue="13" maxValue="13"/>
    </cacheField>
    <cacheField name="Cifra_sex" numFmtId="0">
      <sharedItems/>
    </cacheField>
    <cacheField name="Sex" numFmtId="0">
      <sharedItems/>
    </cacheField>
    <cacheField name="Anul_nasterii" numFmtId="0">
      <sharedItems/>
    </cacheField>
    <cacheField name="Varsta_ang" numFmtId="0">
      <sharedItems containsSemiMixedTypes="0" containsString="0" containsNumber="1" containsInteger="1" minValue="24" maxValue="54"/>
    </cacheField>
    <cacheField name="Mail" numFmtId="0">
      <sharedItems/>
    </cacheField>
    <cacheField name="Telefon" numFmtId="0">
      <sharedItems/>
    </cacheField>
    <cacheField name="Dim_telefon" numFmtId="0">
      <sharedItems containsSemiMixedTypes="0" containsString="0" containsNumber="1" containsInteger="1" minValue="10" maxValue="10"/>
    </cacheField>
    <cacheField name="Functie" numFmtId="0">
      <sharedItems count="19">
        <s v="Software Developer"/>
        <s v="QA Engineer"/>
        <s v="Project Manager"/>
        <s v="Marketing Specialist"/>
        <s v="Network Administrator"/>
        <s v="Data Analyst"/>
        <s v="Business Analyst"/>
        <s v="HR Specialist"/>
        <s v="IT Support Specialist"/>
        <s v="Software Engineer"/>
        <s v="Senior Developer"/>
        <s v="Cybersecurity Analyst"/>
        <s v="Product Manager"/>
        <s v="Frontend Developer"/>
        <s v="Backend Developer"/>
        <s v="Cloud Engineer"/>
        <s v="Systems Administrator"/>
        <s v="Sales Manager"/>
        <s v="UX/UI Designer"/>
      </sharedItems>
    </cacheField>
    <cacheField name="Salariu_lunar_net" numFmtId="1">
      <sharedItems containsSemiMixedTypes="0" containsString="0" containsNumber="1" containsInteger="1" minValue="5800" maxValue="12000"/>
    </cacheField>
    <cacheField name="Data_angajare" numFmtId="14">
      <sharedItems containsSemiMixedTypes="0" containsNonDate="0" containsDate="1" containsString="0" minDate="2019-04-07T00:00:00" maxDate="2022-07-11T00:00:00" count="20">
        <d v="2020-01-15T00:00:00"/>
        <d v="2021-03-20T00:00:00"/>
        <d v="2019-06-01T00:00:00"/>
        <d v="2022-07-10T00:00:00"/>
        <d v="2020-11-05T00:00:00"/>
        <d v="2021-09-12T00:00:00"/>
        <d v="2022-01-23T00:00:00"/>
        <d v="2021-08-05T00:00:00"/>
        <d v="2020-02-18T00:00:00"/>
        <d v="2019-04-07T00:00:00"/>
        <d v="2020-06-15T00:00:00"/>
        <d v="2021-02-11T00:00:00"/>
        <d v="2022-03-29T00:00:00"/>
        <d v="2020-07-03T00:00:00"/>
        <d v="2021-04-20T00:00:00"/>
        <d v="2020-09-14T00:00:00"/>
        <d v="2022-05-15T00:00:00"/>
        <d v="2020-08-19T00:00:00"/>
        <d v="2021-01-30T00:00:00"/>
        <d v="2021-03-07T00:00:00"/>
      </sharedItems>
      <fieldGroup par="24"/>
    </cacheField>
    <cacheField name="Validare_data_ang" numFmtId="0">
      <sharedItems containsSemiMixedTypes="0" containsString="0" containsNumber="1" containsInteger="1" minValue="0" maxValue="0"/>
    </cacheField>
    <cacheField name="Vechime" numFmtId="0">
      <sharedItems containsSemiMixedTypes="0" containsString="0" containsNumber="1" containsInteger="1" minValue="2" maxValue="6"/>
    </cacheField>
    <cacheField name="ID_sediu" numFmtId="0">
      <sharedItems containsSemiMixedTypes="0" containsString="0" containsNumber="1" containsInteger="1" minValue="1" maxValue="5" count="5">
        <n v="1"/>
        <n v="2"/>
        <n v="3"/>
        <n v="4"/>
        <n v="5"/>
      </sharedItems>
    </cacheField>
    <cacheField name="Oras" numFmtId="0">
      <sharedItems count="5">
        <s v="Bucuresti"/>
        <s v="Cluj-Napoca"/>
        <s v="Iasi"/>
        <s v="Timisoara"/>
        <s v="Targu Mures"/>
      </sharedItems>
    </cacheField>
    <cacheField name="Adresa" numFmtId="0">
      <sharedItems/>
    </cacheField>
    <cacheField name="Adresa_valida" numFmtId="0">
      <sharedItems/>
    </cacheField>
    <cacheField name="Months (Data_angajare)" numFmtId="0" databaseField="0">
      <fieldGroup base="15">
        <rangePr groupBy="months" startDate="2019-04-07T00:00:00" endDate="2022-07-11T00:00:00"/>
        <groupItems count="14">
          <s v="&lt;07-04-19"/>
          <s v="Jan"/>
          <s v="Feb"/>
          <s v="Mar"/>
          <s v="Apr"/>
          <s v="May"/>
          <s v="Jun"/>
          <s v="Jul"/>
          <s v="Aug"/>
          <s v="Sep"/>
          <s v="Oct"/>
          <s v="Nov"/>
          <s v="Dec"/>
          <s v="&gt;11-07-22"/>
        </groupItems>
      </fieldGroup>
    </cacheField>
    <cacheField name="Quarters (Data_angajare)" numFmtId="0" databaseField="0">
      <fieldGroup base="15">
        <rangePr groupBy="quarters" startDate="2019-04-07T00:00:00" endDate="2022-07-11T00:00:00"/>
        <groupItems count="6">
          <s v="&lt;07-04-19"/>
          <s v="Qtr1"/>
          <s v="Qtr2"/>
          <s v="Qtr3"/>
          <s v="Qtr4"/>
          <s v="&gt;11-07-22"/>
        </groupItems>
      </fieldGroup>
    </cacheField>
    <cacheField name="Years (Data_angajare)" numFmtId="0" databaseField="0">
      <fieldGroup base="15">
        <rangePr groupBy="years" startDate="2019-04-07T00:00:00" endDate="2022-07-11T00:00:00"/>
        <groupItems count="6">
          <s v="&lt;07-04-19"/>
          <s v="2019"/>
          <s v="2020"/>
          <s v="2021"/>
          <s v="2022"/>
          <s v="&gt;11-07-22"/>
        </groupItems>
      </fieldGroup>
    </cacheField>
  </cacheFields>
  <extLst>
    <ext xmlns:x14="http://schemas.microsoft.com/office/spreadsheetml/2009/9/main" uri="{725AE2AE-9491-48be-B2B4-4EB974FC3084}">
      <x14:pivotCacheDefinition pivotCacheId="20544046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 Iordan" refreshedDate="45661.685241087966" createdVersion="8" refreshedVersion="8" minRefreshableVersion="3" recordCount="17" xr:uid="{F6792777-4EB8-4782-B062-C0FA7255387D}">
  <cacheSource type="worksheet">
    <worksheetSource name="Table1"/>
  </cacheSource>
  <cacheFields count="10">
    <cacheField name="ID" numFmtId="0">
      <sharedItems containsSemiMixedTypes="0" containsString="0" containsNumber="1" containsInteger="1" minValue="1" maxValue="17"/>
    </cacheField>
    <cacheField name="An" numFmtId="0">
      <sharedItems containsSemiMixedTypes="0" containsString="0" containsNumber="1" containsInteger="1" minValue="2007" maxValue="2023" count="17">
        <n v="2007"/>
        <n v="2008"/>
        <n v="2009"/>
        <n v="2010"/>
        <n v="2011"/>
        <n v="2012"/>
        <n v="2013"/>
        <n v="2014"/>
        <n v="2015"/>
        <n v="2016"/>
        <n v="2017"/>
        <n v="2018"/>
        <n v="2019"/>
        <n v="2020"/>
        <n v="2021"/>
        <n v="2022"/>
        <n v="2023"/>
      </sharedItems>
    </cacheField>
    <cacheField name="Cifra_afaceri" numFmtId="164">
      <sharedItems containsSemiMixedTypes="0" containsString="0" containsNumber="1" containsInteger="1" minValue="22133144" maxValue="1458858561"/>
    </cacheField>
    <cacheField name="Profit_net" numFmtId="1">
      <sharedItems containsSemiMixedTypes="0" containsString="0" containsNumber="1" containsInteger="1" minValue="-122676743" maxValue="292313524"/>
    </cacheField>
    <cacheField name="Datorii" numFmtId="1">
      <sharedItems containsSemiMixedTypes="0" containsString="0" containsNumber="1" containsInteger="1" minValue="18183015" maxValue="207855185"/>
    </cacheField>
    <cacheField name="Active_imobilizate" numFmtId="1">
      <sharedItems containsSemiMixedTypes="0" containsString="0" containsNumber="1" containsInteger="1" minValue="2542568" maxValue="54484667"/>
    </cacheField>
    <cacheField name="Active_circulante" numFmtId="1">
      <sharedItems containsSemiMixedTypes="0" containsString="0" containsNumber="1" containsInteger="1" minValue="17961664" maxValue="1095824011"/>
    </cacheField>
    <cacheField name="Capitaluri_proprii" numFmtId="1">
      <sharedItems containsSemiMixedTypes="0" containsString="0" containsNumber="1" containsInteger="1" minValue="2321217" maxValue="441167343"/>
    </cacheField>
    <cacheField name="Nr_mediu_angajati" numFmtId="0">
      <sharedItems containsSemiMixedTypes="0" containsString="0" containsNumber="1" containsInteger="1" minValue="278" maxValue="1539" count="17">
        <n v="305"/>
        <n v="399"/>
        <n v="425"/>
        <n v="379"/>
        <n v="370"/>
        <n v="278"/>
        <n v="556"/>
        <n v="595"/>
        <n v="708"/>
        <n v="868"/>
        <n v="1119"/>
        <n v="1238"/>
        <n v="1377"/>
        <n v="1354"/>
        <n v="1350"/>
        <n v="1469"/>
        <n v="1539"/>
      </sharedItems>
    </cacheField>
    <cacheField name="Rata_profit" numFmtId="0">
      <sharedItems containsSemiMixedTypes="0" containsString="0" containsNumber="1" minValue="-0.11918730300442833" maxValue="0.20037139433148926"/>
    </cacheField>
  </cacheFields>
  <extLst>
    <ext xmlns:x14="http://schemas.microsoft.com/office/spreadsheetml/2009/9/main" uri="{725AE2AE-9491-48be-B2B4-4EB974FC3084}">
      <x14:pivotCacheDefinition pivotCacheId="1005277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s v="Popa"/>
    <s v="Ioana"/>
    <x v="0"/>
    <s v="2701011170919"/>
    <n v="13"/>
    <s v="2"/>
    <s v="Feminin"/>
    <s v="1970"/>
    <n v="54"/>
    <s v="ioana.popa@bitdefender.com"/>
    <s v="0733456789"/>
    <n v="10"/>
    <x v="0"/>
    <n v="8000"/>
    <x v="0"/>
    <n v="0"/>
    <n v="5"/>
    <x v="0"/>
    <x v="0"/>
    <s v="Soseaua Orhideelor 15A, 060071, Bucuresti"/>
    <s v="Soseaua Orhideelor 15A"/>
  </r>
  <r>
    <x v="1"/>
    <s v="Radulescu"/>
    <s v="Marius"/>
    <x v="1"/>
    <s v="1701011171636"/>
    <n v="13"/>
    <s v="1"/>
    <s v="Masculin"/>
    <s v="1970"/>
    <n v="54"/>
    <s v="marius.radulescu@bitdefender.com"/>
    <s v="0745678901"/>
    <n v="10"/>
    <x v="1"/>
    <n v="6500"/>
    <x v="1"/>
    <n v="0"/>
    <n v="4"/>
    <x v="0"/>
    <x v="0"/>
    <s v="Soseaua Orhideelor 15A, 060071, Bucuresti"/>
    <s v="Soseaua Orhideelor 15A"/>
  </r>
  <r>
    <x v="2"/>
    <s v="Constantinescu"/>
    <s v="Roxana"/>
    <x v="2"/>
    <s v="2710414089790"/>
    <n v="13"/>
    <s v="2"/>
    <s v="Feminin"/>
    <s v="1971"/>
    <n v="53"/>
    <s v="roxana.constantinescu@bitdefender.com"/>
    <s v="0722345678"/>
    <n v="10"/>
    <x v="2"/>
    <n v="12000"/>
    <x v="2"/>
    <n v="0"/>
    <n v="6"/>
    <x v="1"/>
    <x v="1"/>
    <s v="Strada Henri Barbusse 44-46, Cluj-Napoca 400394"/>
    <s v="Strada Henri Barbusse 44-46"/>
  </r>
  <r>
    <x v="3"/>
    <s v="Matei"/>
    <s v="Bogdan"/>
    <x v="3"/>
    <s v="1710414085660"/>
    <n v="13"/>
    <s v="1"/>
    <s v="Masculin"/>
    <s v="1971"/>
    <n v="53"/>
    <s v="bogdan.matei@bitdefender.com"/>
    <s v="0731123456"/>
    <n v="10"/>
    <x v="3"/>
    <n v="7000"/>
    <x v="3"/>
    <n v="0"/>
    <n v="2"/>
    <x v="2"/>
    <x v="2"/>
    <s v="Strada Sfantul Lazar 27, Iasi 700259"/>
    <s v="Strada Sfantul Lazar 27"/>
  </r>
  <r>
    <x v="4"/>
    <s v="Petrescu"/>
    <s v="Gabriela"/>
    <x v="4"/>
    <s v="2890754321891"/>
    <n v="13"/>
    <s v="2"/>
    <s v="Feminin"/>
    <s v="1989"/>
    <n v="35"/>
    <s v="gabriela.petrescu@bitdefender.com"/>
    <s v="0742345678"/>
    <n v="10"/>
    <x v="4"/>
    <n v="9000"/>
    <x v="4"/>
    <n v="0"/>
    <n v="4"/>
    <x v="3"/>
    <x v="3"/>
    <s v="Bulevardul Antenei, Timisoara"/>
    <s v="Bulevardul Antenei"/>
  </r>
  <r>
    <x v="5"/>
    <s v="Toma"/>
    <s v="Iulia"/>
    <x v="5"/>
    <s v="2810624082172"/>
    <n v="13"/>
    <s v="2"/>
    <s v="Feminin"/>
    <s v="1981"/>
    <n v="43"/>
    <s v="iulia.toma@bitdefender.com"/>
    <s v="0751122334"/>
    <n v="10"/>
    <x v="5"/>
    <n v="7500"/>
    <x v="5"/>
    <n v="0"/>
    <n v="3"/>
    <x v="4"/>
    <x v="4"/>
    <s v="Multinvest Business Center 2, Targu Mures"/>
    <s v="Multinvest Business Center 2"/>
  </r>
  <r>
    <x v="6"/>
    <s v="Dumitriu"/>
    <s v="Andrei"/>
    <x v="6"/>
    <s v="1810624083711"/>
    <n v="13"/>
    <s v="1"/>
    <s v="Masculin"/>
    <s v="1981"/>
    <n v="43"/>
    <s v="andrei.dumitriu@bitdefender.com"/>
    <s v="0742345658"/>
    <n v="10"/>
    <x v="6"/>
    <n v="8500"/>
    <x v="6"/>
    <n v="0"/>
    <n v="3"/>
    <x v="0"/>
    <x v="0"/>
    <s v="Soseaua Orhideelor 15A, 060071, Bucuresti"/>
    <s v="Soseaua Orhideelor 15A"/>
  </r>
  <r>
    <x v="7"/>
    <s v="Nistor"/>
    <s v="Simona"/>
    <x v="7"/>
    <s v="2890609089712"/>
    <n v="13"/>
    <s v="2"/>
    <s v="Feminin"/>
    <s v="1989"/>
    <n v="35"/>
    <s v="simona.nistor@bitdefender.com"/>
    <s v="0743220860"/>
    <n v="10"/>
    <x v="7"/>
    <n v="6500"/>
    <x v="7"/>
    <n v="0"/>
    <n v="3"/>
    <x v="1"/>
    <x v="1"/>
    <s v="Strada Henri Barbusse 44-46, Cluj-Napoca 400394"/>
    <s v="Strada Henri Barbusse 44-46"/>
  </r>
  <r>
    <x v="8"/>
    <s v="Stefan"/>
    <s v="Radu"/>
    <x v="8"/>
    <s v="1890609083007"/>
    <n v="13"/>
    <s v="1"/>
    <s v="Masculin"/>
    <s v="1989"/>
    <n v="35"/>
    <s v="radu.stefan@bitdefender.com"/>
    <s v="0732345678"/>
    <n v="10"/>
    <x v="8"/>
    <n v="5800"/>
    <x v="8"/>
    <n v="0"/>
    <n v="5"/>
    <x v="2"/>
    <x v="2"/>
    <s v="Strada Sfantul Lazar 27, Iasi 700259"/>
    <s v="Strada Sfantul Lazar 27"/>
  </r>
  <r>
    <x v="9"/>
    <s v="Dima"/>
    <s v="Vasile"/>
    <x v="9"/>
    <s v="1890609033123"/>
    <n v="13"/>
    <s v="1"/>
    <s v="Masculin"/>
    <s v="1989"/>
    <n v="35"/>
    <s v="vasile.dima@bitdefender.com"/>
    <s v="0751345678"/>
    <n v="10"/>
    <x v="9"/>
    <n v="9500"/>
    <x v="9"/>
    <n v="0"/>
    <n v="6"/>
    <x v="3"/>
    <x v="3"/>
    <s v="Bulevardul Antenei, Timisoara"/>
    <s v="Bulevardul Antenei"/>
  </r>
  <r>
    <x v="10"/>
    <s v="Ilie"/>
    <s v="Daniela"/>
    <x v="10"/>
    <s v="2931009066751"/>
    <n v="13"/>
    <s v="2"/>
    <s v="Feminin"/>
    <s v="1993"/>
    <n v="31"/>
    <s v="daniela.ilie@bitdefender.com"/>
    <s v="0723456789"/>
    <n v="10"/>
    <x v="10"/>
    <n v="11500"/>
    <x v="10"/>
    <n v="0"/>
    <n v="5"/>
    <x v="4"/>
    <x v="4"/>
    <s v="Multinvest Business Center 2, Targu Mures"/>
    <s v="Multinvest Business Center 2"/>
  </r>
  <r>
    <x v="11"/>
    <s v="Gheorghiu"/>
    <s v="Mihai"/>
    <x v="11"/>
    <s v="1970412345670"/>
    <n v="13"/>
    <s v="1"/>
    <s v="Masculin"/>
    <s v="1997"/>
    <n v="27"/>
    <s v="mihai.gheorghiu@bitdefender.com"/>
    <s v="0772345678"/>
    <n v="10"/>
    <x v="11"/>
    <n v="8000"/>
    <x v="11"/>
    <n v="0"/>
    <n v="4"/>
    <x v="0"/>
    <x v="0"/>
    <s v="Soseaua Orhideelor 15A, 060071, Bucuresti"/>
    <s v="Soseaua Orhideelor 15A"/>
  </r>
  <r>
    <x v="12"/>
    <s v="Rusu"/>
    <s v="Alina"/>
    <x v="12"/>
    <s v="2931009430837"/>
    <n v="13"/>
    <s v="2"/>
    <s v="Feminin"/>
    <s v="1993"/>
    <n v="31"/>
    <s v="alina.rusu@bitdefender.com"/>
    <s v="0781123456"/>
    <n v="10"/>
    <x v="12"/>
    <n v="10500"/>
    <x v="12"/>
    <n v="0"/>
    <n v="3"/>
    <x v="1"/>
    <x v="1"/>
    <s v="Strada Henri Barbusse 44-46, Cluj-Napoca 400394"/>
    <s v="Strada Henri Barbusse 44-46"/>
  </r>
  <r>
    <x v="13"/>
    <s v="Nica"/>
    <s v="Sorin"/>
    <x v="13"/>
    <s v="1780723456789"/>
    <n v="13"/>
    <s v="1"/>
    <s v="Masculin"/>
    <s v="1978"/>
    <n v="46"/>
    <s v="sorin.nica@bitdefender.com"/>
    <s v="0741456789"/>
    <n v="10"/>
    <x v="13"/>
    <n v="7600"/>
    <x v="13"/>
    <n v="0"/>
    <n v="4"/>
    <x v="2"/>
    <x v="2"/>
    <s v="Strada Sfantul Lazar 27, Iasi 700259"/>
    <s v="Strada Sfantul Lazar 27"/>
  </r>
  <r>
    <x v="14"/>
    <s v="Munteanu"/>
    <s v="Andreea"/>
    <x v="14"/>
    <s v="6000629433207"/>
    <n v="13"/>
    <s v="6"/>
    <s v="Feminin"/>
    <s v="2000"/>
    <n v="24"/>
    <s v="andreea.munteanu@bitdefender.com"/>
    <s v="0752345678"/>
    <n v="10"/>
    <x v="14"/>
    <n v="8500"/>
    <x v="14"/>
    <n v="0"/>
    <n v="4"/>
    <x v="3"/>
    <x v="3"/>
    <s v="Bulevardul Antenei, Timisoara"/>
    <s v="Bulevardul Antenei"/>
  </r>
  <r>
    <x v="15"/>
    <s v="Petraru"/>
    <s v="Vlad"/>
    <x v="15"/>
    <s v="5000629439839"/>
    <n v="13"/>
    <s v="5"/>
    <s v="Masculin"/>
    <s v="2000"/>
    <n v="24"/>
    <s v="vlad.petraru@bitdefender.com"/>
    <s v="0792345678"/>
    <n v="10"/>
    <x v="2"/>
    <n v="10000"/>
    <x v="15"/>
    <n v="0"/>
    <n v="4"/>
    <x v="4"/>
    <x v="4"/>
    <s v="Multinvest Business Center 2, Targu Mures"/>
    <s v="Multinvest Business Center 2"/>
  </r>
  <r>
    <x v="16"/>
    <s v="Chirila"/>
    <s v="Ioana"/>
    <x v="16"/>
    <s v="2970717434401"/>
    <n v="13"/>
    <s v="2"/>
    <s v="Feminin"/>
    <s v="1997"/>
    <n v="27"/>
    <s v="ioana.chirila@bitdefender.com"/>
    <s v="0701234567"/>
    <n v="10"/>
    <x v="15"/>
    <n v="9000"/>
    <x v="16"/>
    <n v="0"/>
    <n v="3"/>
    <x v="0"/>
    <x v="0"/>
    <s v="Soseaua Orhideelor 15A, 060071, Bucuresti"/>
    <s v="Soseaua Orhideelor 15A"/>
  </r>
  <r>
    <x v="17"/>
    <s v="Stanciu"/>
    <s v="Bogdan"/>
    <x v="17"/>
    <s v="1890823456789"/>
    <n v="13"/>
    <s v="1"/>
    <s v="Masculin"/>
    <s v="1989"/>
    <n v="35"/>
    <s v="bogdan.stanciu@bitdefender.com"/>
    <s v="0792345648"/>
    <n v="10"/>
    <x v="16"/>
    <n v="8200"/>
    <x v="17"/>
    <n v="0"/>
    <n v="4"/>
    <x v="1"/>
    <x v="1"/>
    <s v="Strada Henri Barbusse 44-46, Cluj-Napoca 400394"/>
    <s v="Strada Henri Barbusse 44-46"/>
  </r>
  <r>
    <x v="18"/>
    <s v="Mihaila"/>
    <s v="Laura"/>
    <x v="18"/>
    <s v="2970717042714"/>
    <n v="13"/>
    <s v="2"/>
    <s v="Feminin"/>
    <s v="1997"/>
    <n v="27"/>
    <s v="laura.mihaila@bitdefender.com"/>
    <s v="0723456489"/>
    <n v="10"/>
    <x v="17"/>
    <n v="9500"/>
    <x v="18"/>
    <n v="0"/>
    <n v="4"/>
    <x v="2"/>
    <x v="2"/>
    <s v="Strada Sfantul Lazar 27, Iasi 700259"/>
    <s v="Strada Sfantul Lazar 27"/>
  </r>
  <r>
    <x v="19"/>
    <s v="Rusu"/>
    <s v="Silviana"/>
    <x v="19"/>
    <s v="2940518045059"/>
    <n v="13"/>
    <s v="2"/>
    <s v="Feminin"/>
    <s v="1994"/>
    <n v="30"/>
    <s v="silviana.rusu@bitdefender.com"/>
    <s v="0734567891"/>
    <n v="10"/>
    <x v="18"/>
    <n v="7000"/>
    <x v="19"/>
    <n v="0"/>
    <n v="4"/>
    <x v="3"/>
    <x v="3"/>
    <s v="Bulevardul Antenei, Timisoara"/>
    <s v="Bulevardul Antene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n v="1"/>
    <x v="0"/>
    <n v="22133144"/>
    <n v="2399998"/>
    <n v="18183015"/>
    <n v="2542568"/>
    <n v="17961664"/>
    <n v="2321217"/>
    <x v="0"/>
    <n v="0.10843457215115937"/>
  </r>
  <r>
    <n v="2"/>
    <x v="1"/>
    <n v="64876609"/>
    <n v="415823"/>
    <n v="44039356"/>
    <n v="2765694"/>
    <n v="43273734"/>
    <n v="2737040"/>
    <x v="1"/>
    <n v="6.4094441187578103E-3"/>
  </r>
  <r>
    <n v="3"/>
    <x v="2"/>
    <n v="104876324"/>
    <n v="7156247"/>
    <n v="75746887"/>
    <n v="2931938"/>
    <n v="82152621"/>
    <n v="9893286"/>
    <x v="2"/>
    <n v="6.8235105189232217E-2"/>
  </r>
  <r>
    <n v="4"/>
    <x v="3"/>
    <n v="122015011"/>
    <n v="1012838"/>
    <n v="78195040"/>
    <n v="3275128"/>
    <n v="86035513"/>
    <n v="10906125"/>
    <x v="3"/>
    <n v="8.3009294651458908E-3"/>
  </r>
  <r>
    <n v="5"/>
    <x v="4"/>
    <n v="135614898"/>
    <n v="4583174"/>
    <n v="96955009"/>
    <n v="44903941"/>
    <n v="66932484"/>
    <n v="13989298"/>
    <x v="4"/>
    <n v="3.3795505269634901E-2"/>
  </r>
  <r>
    <n v="6"/>
    <x v="5"/>
    <n v="160935943"/>
    <n v="4975"/>
    <n v="95748115"/>
    <n v="4207798"/>
    <n v="106595462"/>
    <n v="13533273"/>
    <x v="5"/>
    <n v="3.09129204282228E-5"/>
  </r>
  <r>
    <n v="7"/>
    <x v="6"/>
    <n v="196513222"/>
    <n v="11331647"/>
    <n v="79982551"/>
    <n v="35750205"/>
    <n v="74309022"/>
    <n v="24517321"/>
    <x v="6"/>
    <n v="5.7663534721343078E-2"/>
  </r>
  <r>
    <n v="8"/>
    <x v="7"/>
    <n v="251516730"/>
    <n v="16858095"/>
    <n v="116892349"/>
    <n v="51831220"/>
    <n v="150525666"/>
    <n v="41375415"/>
    <x v="7"/>
    <n v="6.7025740196288333E-2"/>
  </r>
  <r>
    <n v="9"/>
    <x v="8"/>
    <n v="387037483"/>
    <n v="57604725"/>
    <n v="56521353"/>
    <n v="41009762"/>
    <n v="149970492"/>
    <n v="71715716"/>
    <x v="8"/>
    <n v="0.14883500314619399"/>
  </r>
  <r>
    <n v="10"/>
    <x v="9"/>
    <n v="453169770"/>
    <n v="27693557"/>
    <n v="58080716"/>
    <n v="27955128"/>
    <n v="159116803"/>
    <n v="53409273"/>
    <x v="9"/>
    <n v="6.1110777534873963E-2"/>
  </r>
  <r>
    <n v="11"/>
    <x v="10"/>
    <n v="591862278"/>
    <n v="28427493"/>
    <n v="98664919"/>
    <n v="28626577"/>
    <n v="229564776"/>
    <n v="49816765"/>
    <x v="10"/>
    <n v="4.8030587615857483E-2"/>
  </r>
  <r>
    <n v="12"/>
    <x v="11"/>
    <n v="545940714"/>
    <n v="6449994"/>
    <n v="104564549"/>
    <n v="23502423"/>
    <n v="297344709"/>
    <n v="56266759"/>
    <x v="11"/>
    <n v="1.1814458666660277E-2"/>
  </r>
  <r>
    <n v="13"/>
    <x v="12"/>
    <n v="671306085"/>
    <n v="6796981"/>
    <n v="175978056"/>
    <n v="28550407"/>
    <n v="364109554"/>
    <n v="30063740"/>
    <x v="12"/>
    <n v="1.0125010262643456E-2"/>
  </r>
  <r>
    <n v="14"/>
    <x v="13"/>
    <n v="869068558"/>
    <n v="140449401"/>
    <n v="120933038"/>
    <n v="27209442"/>
    <n v="438064425"/>
    <n v="146415138"/>
    <x v="13"/>
    <n v="0.16160911553769503"/>
  </r>
  <r>
    <n v="15"/>
    <x v="14"/>
    <n v="1084546939"/>
    <n v="217205955"/>
    <n v="145477586"/>
    <n v="34866555"/>
    <n v="667726075"/>
    <n v="308526678"/>
    <x v="14"/>
    <n v="0.20027344800795202"/>
  </r>
  <r>
    <n v="16"/>
    <x v="15"/>
    <n v="1458858561"/>
    <n v="292313524"/>
    <n v="191776762"/>
    <n v="48458949"/>
    <n v="794736386"/>
    <n v="441167343"/>
    <x v="15"/>
    <n v="0.20037139433148926"/>
  </r>
  <r>
    <n v="17"/>
    <x v="16"/>
    <n v="1029276944"/>
    <n v="-122676743"/>
    <n v="207855185"/>
    <n v="54484667"/>
    <n v="1095824011"/>
    <n v="275376747"/>
    <x v="16"/>
    <n v="-0.119187303004428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394084-DDA4-40B0-9B64-3B31B3121B56}"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I21" firstHeaderRow="0" firstDataRow="1" firstDataCol="1"/>
  <pivotFields count="10">
    <pivotField showAll="0"/>
    <pivotField axis="axisRow" showAll="0">
      <items count="18">
        <item x="0"/>
        <item x="1"/>
        <item x="2"/>
        <item x="3"/>
        <item x="4"/>
        <item x="5"/>
        <item x="6"/>
        <item x="7"/>
        <item x="8"/>
        <item x="9"/>
        <item x="10"/>
        <item x="11"/>
        <item x="12"/>
        <item x="13"/>
        <item x="14"/>
        <item x="15"/>
        <item x="16"/>
        <item t="default"/>
      </items>
    </pivotField>
    <pivotField dataField="1" numFmtId="164" showAll="0"/>
    <pivotField dataField="1" numFmtId="1" showAll="0"/>
    <pivotField dataField="1" numFmtId="1" showAll="0"/>
    <pivotField dataField="1" numFmtId="1" showAll="0"/>
    <pivotField dataField="1" numFmtId="1" showAll="0"/>
    <pivotField dataField="1" numFmtId="1" showAll="0"/>
    <pivotField dataField="1" showAll="0"/>
    <pivotField dataField="1" showAll="0"/>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8">
    <i>
      <x/>
    </i>
    <i i="1">
      <x v="1"/>
    </i>
    <i i="2">
      <x v="2"/>
    </i>
    <i i="3">
      <x v="3"/>
    </i>
    <i i="4">
      <x v="4"/>
    </i>
    <i i="5">
      <x v="5"/>
    </i>
    <i i="6">
      <x v="6"/>
    </i>
    <i i="7">
      <x v="7"/>
    </i>
  </colItems>
  <dataFields count="8">
    <dataField name="Sum of Cifra_afaceri" fld="2" baseField="0" baseItem="0" numFmtId="164"/>
    <dataField name="Sum of Profit_net" fld="3" baseField="0" baseItem="0" numFmtId="1"/>
    <dataField name="Sum of Active_imobilizate" fld="5" baseField="0" baseItem="0" numFmtId="1"/>
    <dataField name="Sum of Active_circulante" fld="6" baseField="0" baseItem="0" numFmtId="1"/>
    <dataField name="Sum of Capitaluri_proprii" fld="7" baseField="0" baseItem="0" numFmtId="1"/>
    <dataField name="Sum of Datorii" fld="4" baseField="0" baseItem="0" numFmtId="1"/>
    <dataField name="Sum of Nr_mediu_angajati" fld="8" baseField="0" baseItem="0"/>
    <dataField name="Sum of Rata_profit" fld="9"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2" format="16"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1"/>
          </reference>
        </references>
      </pivotArea>
    </chartFormat>
    <chartFormat chart="2" format="18" series="1">
      <pivotArea type="data" outline="0" fieldPosition="0">
        <references count="1">
          <reference field="4294967294" count="1" selected="0">
            <x v="2"/>
          </reference>
        </references>
      </pivotArea>
    </chartFormat>
    <chartFormat chart="2" format="19" series="1">
      <pivotArea type="data" outline="0" fieldPosition="0">
        <references count="1">
          <reference field="4294967294" count="1" selected="0">
            <x v="3"/>
          </reference>
        </references>
      </pivotArea>
    </chartFormat>
    <chartFormat chart="2" format="20" series="1">
      <pivotArea type="data" outline="0" fieldPosition="0">
        <references count="1">
          <reference field="4294967294" count="1" selected="0">
            <x v="4"/>
          </reference>
        </references>
      </pivotArea>
    </chartFormat>
    <chartFormat chart="2" format="21" series="1">
      <pivotArea type="data" outline="0" fieldPosition="0">
        <references count="1">
          <reference field="4294967294" count="1" selected="0">
            <x v="5"/>
          </reference>
        </references>
      </pivotArea>
    </chartFormat>
    <chartFormat chart="2" format="22" series="1">
      <pivotArea type="data" outline="0" fieldPosition="0">
        <references count="1">
          <reference field="4294967294" count="1" selected="0">
            <x v="6"/>
          </reference>
        </references>
      </pivotArea>
    </chartFormat>
    <chartFormat chart="2" format="23"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B7A075-9E55-46E4-BE8A-853AE9E1011C}"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21" firstHeaderRow="0" firstDataRow="1" firstDataCol="1"/>
  <pivotFields count="10">
    <pivotField showAll="0"/>
    <pivotField axis="axisRow" showAll="0">
      <items count="18">
        <item x="0"/>
        <item x="1"/>
        <item x="2"/>
        <item x="3"/>
        <item x="4"/>
        <item x="5"/>
        <item x="6"/>
        <item x="7"/>
        <item x="8"/>
        <item x="9"/>
        <item x="10"/>
        <item x="11"/>
        <item x="12"/>
        <item x="13"/>
        <item x="14"/>
        <item x="15"/>
        <item x="16"/>
        <item t="default"/>
      </items>
    </pivotField>
    <pivotField dataField="1" numFmtId="164" showAll="0"/>
    <pivotField dataField="1" numFmtId="1" showAll="0"/>
    <pivotField numFmtId="1" showAll="0"/>
    <pivotField numFmtId="1" showAll="0"/>
    <pivotField numFmtId="1" showAll="0"/>
    <pivotField numFmtId="1" showAll="0"/>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Cifra_afaceri" fld="2" baseField="0" baseItem="0" numFmtId="164"/>
    <dataField name="Sum of Profit_net" fld="3" baseField="0" baseItem="0" numFmtId="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BE605A-52F0-4853-AE98-095A0AFE36CF}"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23" firstHeaderRow="1" firstDataRow="1" firstDataCol="1" rowPageCount="1" colPageCount="1"/>
  <pivotFields count="25">
    <pivotField axis="axisPage" multipleItemSelectionAllowed="1"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items count="21">
        <item x="16"/>
        <item x="2"/>
        <item x="9"/>
        <item x="6"/>
        <item x="11"/>
        <item x="10"/>
        <item x="3"/>
        <item x="18"/>
        <item x="14"/>
        <item x="13"/>
        <item x="7"/>
        <item x="15"/>
        <item x="4"/>
        <item x="0"/>
        <item x="1"/>
        <item x="12"/>
        <item x="19"/>
        <item x="17"/>
        <item x="8"/>
        <item x="5"/>
        <item t="default"/>
      </items>
    </pivotField>
    <pivotField showAll="0"/>
    <pivotField showAll="0"/>
    <pivotField showAll="0"/>
    <pivotField showAll="0"/>
    <pivotField showAll="0"/>
    <pivotField showAll="0"/>
    <pivotField showAll="0"/>
    <pivotField showAll="0"/>
    <pivotField showAll="0"/>
    <pivotField axis="axisRow" showAll="0">
      <items count="20">
        <item x="14"/>
        <item x="6"/>
        <item x="15"/>
        <item x="11"/>
        <item x="5"/>
        <item x="13"/>
        <item x="7"/>
        <item x="8"/>
        <item x="3"/>
        <item x="4"/>
        <item x="12"/>
        <item x="2"/>
        <item x="1"/>
        <item x="17"/>
        <item x="10"/>
        <item x="0"/>
        <item x="9"/>
        <item x="16"/>
        <item x="18"/>
        <item t="default"/>
      </items>
    </pivotField>
    <pivotField dataField="1" numFmtId="1" showAll="0"/>
    <pivotField numFmtId="14" showAll="0">
      <items count="21">
        <item x="9"/>
        <item x="2"/>
        <item x="0"/>
        <item x="8"/>
        <item x="10"/>
        <item x="13"/>
        <item x="17"/>
        <item x="15"/>
        <item x="4"/>
        <item x="18"/>
        <item x="11"/>
        <item x="19"/>
        <item x="1"/>
        <item x="14"/>
        <item x="7"/>
        <item x="5"/>
        <item x="6"/>
        <item x="12"/>
        <item x="16"/>
        <item x="3"/>
        <item t="default"/>
      </items>
    </pivotField>
    <pivotField showAll="0"/>
    <pivotField showAll="0"/>
    <pivotField showAll="0">
      <items count="6">
        <item x="0"/>
        <item x="1"/>
        <item x="2"/>
        <item x="3"/>
        <item x="4"/>
        <item t="default"/>
      </items>
    </pivotField>
    <pivotField showAll="0">
      <items count="6">
        <item x="0"/>
        <item x="1"/>
        <item x="2"/>
        <item x="4"/>
        <item x="3"/>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x="2"/>
        <item h="1" x="3"/>
        <item h="1" x="4"/>
        <item h="1" x="5"/>
        <item t="default"/>
      </items>
    </pivotField>
  </pivotFields>
  <rowFields count="1">
    <field x="13"/>
  </rowFields>
  <rowItems count="20">
    <i>
      <x/>
    </i>
    <i>
      <x v="1"/>
    </i>
    <i>
      <x v="2"/>
    </i>
    <i>
      <x v="3"/>
    </i>
    <i>
      <x v="4"/>
    </i>
    <i>
      <x v="5"/>
    </i>
    <i>
      <x v="6"/>
    </i>
    <i>
      <x v="7"/>
    </i>
    <i>
      <x v="8"/>
    </i>
    <i>
      <x v="9"/>
    </i>
    <i>
      <x v="10"/>
    </i>
    <i>
      <x v="11"/>
    </i>
    <i>
      <x v="12"/>
    </i>
    <i>
      <x v="13"/>
    </i>
    <i>
      <x v="14"/>
    </i>
    <i>
      <x v="15"/>
    </i>
    <i>
      <x v="16"/>
    </i>
    <i>
      <x v="17"/>
    </i>
    <i>
      <x v="18"/>
    </i>
    <i t="grand">
      <x/>
    </i>
  </rowItems>
  <colItems count="1">
    <i/>
  </colItems>
  <pageFields count="1">
    <pageField fld="0" hier="-1"/>
  </pageFields>
  <dataFields count="1">
    <dataField name="Sum of Salariu_lunar_net" fld="14" baseField="0" baseItem="0" numFmtId="1"/>
  </dataFields>
  <chartFormats count="2">
    <chartFormat chart="8"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9AB846-74F4-448E-AB78-6285453D3CD6}" name="PivotTable2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21" firstHeaderRow="0" firstDataRow="1" firstDataCol="1"/>
  <pivotFields count="10">
    <pivotField showAll="0"/>
    <pivotField axis="axisRow" showAll="0">
      <items count="18">
        <item x="0"/>
        <item x="1"/>
        <item x="2"/>
        <item x="3"/>
        <item x="4"/>
        <item x="5"/>
        <item x="6"/>
        <item x="7"/>
        <item x="8"/>
        <item x="9"/>
        <item x="10"/>
        <item x="11"/>
        <item x="12"/>
        <item x="13"/>
        <item x="14"/>
        <item x="15"/>
        <item x="16"/>
        <item t="default"/>
      </items>
    </pivotField>
    <pivotField numFmtId="164" showAll="0"/>
    <pivotField numFmtId="1" showAll="0"/>
    <pivotField dataField="1" numFmtId="1" showAll="0"/>
    <pivotField numFmtId="1" showAll="0"/>
    <pivotField numFmtId="1" showAll="0"/>
    <pivotField dataField="1" numFmtId="1" showAll="0"/>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Datorii" fld="4" showDataAs="percentDiff" baseField="1" baseItem="1048828" numFmtId="10"/>
    <dataField name="Sum of Capitaluri_proprii" fld="7" showDataAs="percentDiff" baseField="1" baseItem="1048828" numFmtId="1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FC8505-FFBD-46CF-866F-E300058535EC}" name="PivotTable2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21" firstHeaderRow="1" firstDataRow="1" firstDataCol="1"/>
  <pivotFields count="10">
    <pivotField showAll="0"/>
    <pivotField axis="axisRow" showAll="0">
      <items count="18">
        <item x="0"/>
        <item x="1"/>
        <item x="2"/>
        <item x="3"/>
        <item x="4"/>
        <item x="5"/>
        <item x="6"/>
        <item x="7"/>
        <item x="8"/>
        <item x="9"/>
        <item x="10"/>
        <item x="11"/>
        <item x="12"/>
        <item x="13"/>
        <item x="14"/>
        <item x="15"/>
        <item x="16"/>
        <item t="default"/>
      </items>
    </pivotField>
    <pivotField numFmtId="164" showAll="0"/>
    <pivotField dataField="1" numFmtId="1" showAll="0"/>
    <pivotField numFmtId="1" showAll="0"/>
    <pivotField numFmtId="1" showAll="0"/>
    <pivotField numFmtId="1" showAll="0"/>
    <pivotField numFmtId="1" showAll="0"/>
    <pivotField showAll="0">
      <items count="18">
        <item x="5"/>
        <item x="0"/>
        <item x="4"/>
        <item x="3"/>
        <item x="1"/>
        <item x="2"/>
        <item x="6"/>
        <item x="7"/>
        <item x="8"/>
        <item x="9"/>
        <item x="10"/>
        <item x="11"/>
        <item x="14"/>
        <item x="13"/>
        <item x="12"/>
        <item x="15"/>
        <item x="16"/>
        <item t="default"/>
      </items>
    </pivotField>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Sum of Profit_net" fld="3" baseField="0" baseItem="0" numFmtId="1"/>
  </dataFields>
  <chartFormats count="36">
    <chartFormat chart="0" format="0" series="1">
      <pivotArea type="data" outline="0" fieldPosition="0">
        <references count="1">
          <reference field="4294967294" count="1" selected="0">
            <x v="0"/>
          </reference>
        </references>
      </pivotArea>
    </chartFormat>
    <chartFormat chart="2" format="19" series="1">
      <pivotArea type="data" outline="0" fieldPosition="0">
        <references count="1">
          <reference field="4294967294" count="1" selected="0">
            <x v="0"/>
          </reference>
        </references>
      </pivotArea>
    </chartFormat>
    <chartFormat chart="2" format="20">
      <pivotArea type="data" outline="0" fieldPosition="0">
        <references count="2">
          <reference field="4294967294" count="1" selected="0">
            <x v="0"/>
          </reference>
          <reference field="1" count="1" selected="0">
            <x v="0"/>
          </reference>
        </references>
      </pivotArea>
    </chartFormat>
    <chartFormat chart="2" format="21">
      <pivotArea type="data" outline="0" fieldPosition="0">
        <references count="2">
          <reference field="4294967294" count="1" selected="0">
            <x v="0"/>
          </reference>
          <reference field="1" count="1" selected="0">
            <x v="1"/>
          </reference>
        </references>
      </pivotArea>
    </chartFormat>
    <chartFormat chart="2" format="22">
      <pivotArea type="data" outline="0" fieldPosition="0">
        <references count="2">
          <reference field="4294967294" count="1" selected="0">
            <x v="0"/>
          </reference>
          <reference field="1" count="1" selected="0">
            <x v="2"/>
          </reference>
        </references>
      </pivotArea>
    </chartFormat>
    <chartFormat chart="2" format="23">
      <pivotArea type="data" outline="0" fieldPosition="0">
        <references count="2">
          <reference field="4294967294" count="1" selected="0">
            <x v="0"/>
          </reference>
          <reference field="1" count="1" selected="0">
            <x v="3"/>
          </reference>
        </references>
      </pivotArea>
    </chartFormat>
    <chartFormat chart="2" format="24">
      <pivotArea type="data" outline="0" fieldPosition="0">
        <references count="2">
          <reference field="4294967294" count="1" selected="0">
            <x v="0"/>
          </reference>
          <reference field="1" count="1" selected="0">
            <x v="4"/>
          </reference>
        </references>
      </pivotArea>
    </chartFormat>
    <chartFormat chart="2" format="25">
      <pivotArea type="data" outline="0" fieldPosition="0">
        <references count="2">
          <reference field="4294967294" count="1" selected="0">
            <x v="0"/>
          </reference>
          <reference field="1" count="1" selected="0">
            <x v="5"/>
          </reference>
        </references>
      </pivotArea>
    </chartFormat>
    <chartFormat chart="2" format="26">
      <pivotArea type="data" outline="0" fieldPosition="0">
        <references count="2">
          <reference field="4294967294" count="1" selected="0">
            <x v="0"/>
          </reference>
          <reference field="1" count="1" selected="0">
            <x v="6"/>
          </reference>
        </references>
      </pivotArea>
    </chartFormat>
    <chartFormat chart="2" format="27">
      <pivotArea type="data" outline="0" fieldPosition="0">
        <references count="2">
          <reference field="4294967294" count="1" selected="0">
            <x v="0"/>
          </reference>
          <reference field="1" count="1" selected="0">
            <x v="7"/>
          </reference>
        </references>
      </pivotArea>
    </chartFormat>
    <chartFormat chart="2" format="28">
      <pivotArea type="data" outline="0" fieldPosition="0">
        <references count="2">
          <reference field="4294967294" count="1" selected="0">
            <x v="0"/>
          </reference>
          <reference field="1" count="1" selected="0">
            <x v="8"/>
          </reference>
        </references>
      </pivotArea>
    </chartFormat>
    <chartFormat chart="2" format="29">
      <pivotArea type="data" outline="0" fieldPosition="0">
        <references count="2">
          <reference field="4294967294" count="1" selected="0">
            <x v="0"/>
          </reference>
          <reference field="1" count="1" selected="0">
            <x v="9"/>
          </reference>
        </references>
      </pivotArea>
    </chartFormat>
    <chartFormat chart="2" format="30">
      <pivotArea type="data" outline="0" fieldPosition="0">
        <references count="2">
          <reference field="4294967294" count="1" selected="0">
            <x v="0"/>
          </reference>
          <reference field="1" count="1" selected="0">
            <x v="10"/>
          </reference>
        </references>
      </pivotArea>
    </chartFormat>
    <chartFormat chart="2" format="31">
      <pivotArea type="data" outline="0" fieldPosition="0">
        <references count="2">
          <reference field="4294967294" count="1" selected="0">
            <x v="0"/>
          </reference>
          <reference field="1" count="1" selected="0">
            <x v="11"/>
          </reference>
        </references>
      </pivotArea>
    </chartFormat>
    <chartFormat chart="2" format="32">
      <pivotArea type="data" outline="0" fieldPosition="0">
        <references count="2">
          <reference field="4294967294" count="1" selected="0">
            <x v="0"/>
          </reference>
          <reference field="1" count="1" selected="0">
            <x v="12"/>
          </reference>
        </references>
      </pivotArea>
    </chartFormat>
    <chartFormat chart="2" format="33">
      <pivotArea type="data" outline="0" fieldPosition="0">
        <references count="2">
          <reference field="4294967294" count="1" selected="0">
            <x v="0"/>
          </reference>
          <reference field="1" count="1" selected="0">
            <x v="13"/>
          </reference>
        </references>
      </pivotArea>
    </chartFormat>
    <chartFormat chart="2" format="34">
      <pivotArea type="data" outline="0" fieldPosition="0">
        <references count="2">
          <reference field="4294967294" count="1" selected="0">
            <x v="0"/>
          </reference>
          <reference field="1" count="1" selected="0">
            <x v="14"/>
          </reference>
        </references>
      </pivotArea>
    </chartFormat>
    <chartFormat chart="2" format="35">
      <pivotArea type="data" outline="0" fieldPosition="0">
        <references count="2">
          <reference field="4294967294" count="1" selected="0">
            <x v="0"/>
          </reference>
          <reference field="1" count="1" selected="0">
            <x v="15"/>
          </reference>
        </references>
      </pivotArea>
    </chartFormat>
    <chartFormat chart="2" format="36">
      <pivotArea type="data" outline="0" fieldPosition="0">
        <references count="2">
          <reference field="4294967294" count="1" selected="0">
            <x v="0"/>
          </reference>
          <reference field="1" count="1" selected="0">
            <x v="16"/>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9"/>
          </reference>
        </references>
      </pivotArea>
    </chartFormat>
    <chartFormat chart="0" format="11">
      <pivotArea type="data" outline="0" fieldPosition="0">
        <references count="2">
          <reference field="4294967294" count="1" selected="0">
            <x v="0"/>
          </reference>
          <reference field="1" count="1" selected="0">
            <x v="10"/>
          </reference>
        </references>
      </pivotArea>
    </chartFormat>
    <chartFormat chart="0" format="12">
      <pivotArea type="data" outline="0" fieldPosition="0">
        <references count="2">
          <reference field="4294967294" count="1" selected="0">
            <x v="0"/>
          </reference>
          <reference field="1" count="1" selected="0">
            <x v="11"/>
          </reference>
        </references>
      </pivotArea>
    </chartFormat>
    <chartFormat chart="0" format="13">
      <pivotArea type="data" outline="0" fieldPosition="0">
        <references count="2">
          <reference field="4294967294" count="1" selected="0">
            <x v="0"/>
          </reference>
          <reference field="1" count="1" selected="0">
            <x v="12"/>
          </reference>
        </references>
      </pivotArea>
    </chartFormat>
    <chartFormat chart="0" format="14">
      <pivotArea type="data" outline="0" fieldPosition="0">
        <references count="2">
          <reference field="4294967294" count="1" selected="0">
            <x v="0"/>
          </reference>
          <reference field="1" count="1" selected="0">
            <x v="13"/>
          </reference>
        </references>
      </pivotArea>
    </chartFormat>
    <chartFormat chart="0" format="15">
      <pivotArea type="data" outline="0" fieldPosition="0">
        <references count="2">
          <reference field="4294967294" count="1" selected="0">
            <x v="0"/>
          </reference>
          <reference field="1" count="1" selected="0">
            <x v="14"/>
          </reference>
        </references>
      </pivotArea>
    </chartFormat>
    <chartFormat chart="0" format="16">
      <pivotArea type="data" outline="0" fieldPosition="0">
        <references count="2">
          <reference field="4294967294" count="1" selected="0">
            <x v="0"/>
          </reference>
          <reference field="1" count="1" selected="0">
            <x v="15"/>
          </reference>
        </references>
      </pivotArea>
    </chartFormat>
    <chartFormat chart="0" format="17">
      <pivotArea type="data" outline="0" fieldPosition="0">
        <references count="2">
          <reference field="4294967294" count="1" selected="0">
            <x v="0"/>
          </reference>
          <reference field="1"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1E8AD1-A150-4646-9194-10A97E554B0C}" name="PivotTable2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21" firstHeaderRow="0" firstDataRow="1" firstDataCol="1"/>
  <pivotFields count="10">
    <pivotField showAll="0"/>
    <pivotField axis="axisRow" showAll="0">
      <items count="18">
        <item x="0"/>
        <item x="1"/>
        <item x="2"/>
        <item x="3"/>
        <item x="4"/>
        <item x="5"/>
        <item x="6"/>
        <item x="7"/>
        <item x="8"/>
        <item x="9"/>
        <item x="10"/>
        <item x="11"/>
        <item x="12"/>
        <item x="13"/>
        <item x="14"/>
        <item x="15"/>
        <item x="16"/>
        <item t="default"/>
      </items>
    </pivotField>
    <pivotField dataField="1" numFmtId="164" showAll="0"/>
    <pivotField dataField="1" numFmtId="1" showAll="0"/>
    <pivotField numFmtId="1" showAll="0"/>
    <pivotField numFmtId="1" showAll="0"/>
    <pivotField numFmtId="1" showAll="0"/>
    <pivotField numFmtId="1" showAll="0"/>
    <pivotField showAll="0"/>
    <pivotField dataField="1" showAll="0"/>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Sum of Rata_profit" fld="9" baseField="0" baseItem="0"/>
    <dataField name="Sum of Profit_net" fld="3" baseField="0" baseItem="0" numFmtId="1"/>
    <dataField name="Sum of Cifra_afaceri" fld="2" baseField="0" baseItem="0" numFmtId="164"/>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 xr10:uid="{E9FDCC73-D9F2-4803-A21E-ACB4AEAF0EA8}" sourceName="An">
  <pivotTables>
    <pivotTable tabId="29" name="PivotTable23"/>
    <pivotTable tabId="26" name="PivotTable20"/>
    <pivotTable tabId="27" name="PivotTable21"/>
    <pivotTable tabId="28" name="PivotTable22"/>
    <pivotTable tabId="30" name="PivotTable24"/>
  </pivotTables>
  <data>
    <tabular pivotCacheId="1005277614">
      <items count="17">
        <i x="0" s="1"/>
        <i x="1" s="1"/>
        <i x="2" s="1"/>
        <i x="3" s="1"/>
        <i x="4" s="1"/>
        <i x="5" s="1"/>
        <i x="6" s="1"/>
        <i x="7" s="1"/>
        <i x="8" s="1"/>
        <i x="9" s="1"/>
        <i x="10" s="1"/>
        <i x="11" s="1"/>
        <i x="12" s="1"/>
        <i x="13" s="1"/>
        <i x="14" s="1"/>
        <i x="15" s="1"/>
        <i x="1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e_complet" xr10:uid="{E722CEEE-336B-494B-BC98-A10BEA835633}" sourceName="Nume_complet">
  <pivotTables>
    <pivotTable tabId="7" name="PivotTable16"/>
  </pivotTables>
  <data>
    <tabular pivotCacheId="2054404622">
      <items count="20">
        <i x="16" s="1"/>
        <i x="2" s="1"/>
        <i x="9" s="1"/>
        <i x="6" s="1"/>
        <i x="11" s="1"/>
        <i x="10" s="1"/>
        <i x="3" s="1"/>
        <i x="18" s="1"/>
        <i x="14" s="1"/>
        <i x="13" s="1"/>
        <i x="7" s="1"/>
        <i x="15" s="1"/>
        <i x="4" s="1"/>
        <i x="0" s="1"/>
        <i x="1" s="1"/>
        <i x="12" s="1"/>
        <i x="19" s="1"/>
        <i x="17" s="1"/>
        <i x="8"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as" xr10:uid="{69F1DAB9-C7FF-4403-ADB3-676F10FDFBD4}" sourceName="Oras">
  <pivotTables>
    <pivotTable tabId="7" name="PivotTable16"/>
  </pivotTables>
  <data>
    <tabular pivotCacheId="2054404622">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 xr10:uid="{D3AF4B91-CA7A-45F7-B331-1668B992F87B}" cache="Slicer_An" caption="An" rowHeight="234950"/>
  <slicer name="Nume_complet" xr10:uid="{DFDFBC36-266C-4D3A-8DA0-03B0652CFBA5}" cache="Slicer_Nume_complet" caption="Nume_complet" startItem="2" rowHeight="234950"/>
  <slicer name="Oras" xr10:uid="{F048109C-06A1-4AA6-9382-45DCEA42187D}" cache="Slicer_Oras" caption="Ora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E2267D-2323-4927-B987-4A7DAF52A219}" name="Table1" displayName="Table1" ref="A1:J18" totalsRowShown="0" headerRowDxfId="12" dataDxfId="11">
  <autoFilter ref="A1:J18" xr:uid="{20E2267D-2323-4927-B987-4A7DAF52A219}"/>
  <tableColumns count="10">
    <tableColumn id="1" xr3:uid="{484C698D-8A86-4641-A698-32396D72D181}" name="ID" dataDxfId="10"/>
    <tableColumn id="2" xr3:uid="{A103F47E-E8EA-4096-8FED-10F3EC43CFF6}" name="An" dataDxfId="9"/>
    <tableColumn id="3" xr3:uid="{59AE53E9-9076-48F9-9183-7D001EAC942E}" name="Cifra_afaceri" dataDxfId="8"/>
    <tableColumn id="4" xr3:uid="{7BAA295B-F408-47E2-ACEF-985754AE2151}" name="Profit_net" dataDxfId="7"/>
    <tableColumn id="5" xr3:uid="{DE01D0CD-84FE-4D27-9D20-13A4A3EEFD9C}" name="Datorii" dataDxfId="6"/>
    <tableColumn id="6" xr3:uid="{EFCFE1EC-F9AF-450A-A79C-D2D091C08492}" name="Active_imobilizate" dataDxfId="5"/>
    <tableColumn id="7" xr3:uid="{6E51EEF2-AC2F-4C67-8346-72B5D72EB2DC}" name="Active_circulante" dataDxfId="4"/>
    <tableColumn id="8" xr3:uid="{DB6FD243-D634-4AC0-A10A-B741DFEB3B5F}" name="Capitaluri_proprii" dataDxfId="3"/>
    <tableColumn id="9" xr3:uid="{1FE18F71-78BA-4971-8B98-E6F4BAF06121}" name="Nr_mediu_angajati" dataDxfId="2"/>
    <tableColumn id="10" xr3:uid="{EC20055B-B735-4729-A342-C8258F65139F}" name="Rata_profit">
      <calculatedColumnFormula>D2/C2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1"/>
  <sheetViews>
    <sheetView zoomScaleNormal="100" workbookViewId="0">
      <selection activeCell="I25" sqref="I25"/>
    </sheetView>
  </sheetViews>
  <sheetFormatPr defaultRowHeight="14.4" x14ac:dyDescent="0.3"/>
  <cols>
    <col min="1" max="1" width="10.109375" bestFit="1" customWidth="1"/>
    <col min="2" max="2" width="13.5546875" bestFit="1" customWidth="1"/>
    <col min="3" max="3" width="10.88671875" bestFit="1" customWidth="1"/>
    <col min="4" max="4" width="16.33203125" bestFit="1" customWidth="1"/>
    <col min="5" max="5" width="14.109375" bestFit="1" customWidth="1"/>
    <col min="6" max="6" width="11.109375" bestFit="1" customWidth="1"/>
    <col min="7" max="7" width="10.77734375" bestFit="1" customWidth="1"/>
    <col min="8" max="8" width="8.21875" bestFit="1" customWidth="1"/>
    <col min="9" max="9" width="14.21875" bestFit="1" customWidth="1"/>
    <col min="10" max="10" width="12.6640625" bestFit="1" customWidth="1"/>
    <col min="11" max="11" width="35.44140625" bestFit="1" customWidth="1"/>
    <col min="12" max="12" width="11" bestFit="1" customWidth="1"/>
    <col min="13" max="13" width="11" customWidth="1"/>
    <col min="14" max="14" width="19.88671875" bestFit="1" customWidth="1"/>
    <col min="15" max="15" width="15.33203125" style="8" bestFit="1" customWidth="1"/>
    <col min="16" max="16" width="12.88671875" style="4" bestFit="1" customWidth="1"/>
    <col min="17" max="17" width="8.5546875" customWidth="1"/>
    <col min="18" max="18" width="10.5546875" bestFit="1" customWidth="1"/>
    <col min="19" max="19" width="10.44140625" bestFit="1" customWidth="1"/>
    <col min="20" max="20" width="11.109375" bestFit="1" customWidth="1"/>
    <col min="21" max="21" width="42.109375" hidden="1" customWidth="1"/>
    <col min="22" max="22" width="24.5546875" bestFit="1" customWidth="1"/>
    <col min="23" max="23" width="10.44140625" bestFit="1" customWidth="1"/>
  </cols>
  <sheetData>
    <row r="1" spans="1:24" s="2" customFormat="1" x14ac:dyDescent="0.3">
      <c r="A1" s="2" t="s">
        <v>0</v>
      </c>
      <c r="B1" s="2" t="s">
        <v>1</v>
      </c>
      <c r="C1" s="2" t="s">
        <v>2</v>
      </c>
      <c r="D1" s="2" t="s">
        <v>138</v>
      </c>
      <c r="E1" s="2" t="s">
        <v>3</v>
      </c>
      <c r="F1" s="2" t="s">
        <v>143</v>
      </c>
      <c r="G1" s="2" t="s">
        <v>140</v>
      </c>
      <c r="H1" s="2" t="s">
        <v>139</v>
      </c>
      <c r="I1" s="2" t="s">
        <v>141</v>
      </c>
      <c r="J1" s="2" t="s">
        <v>142</v>
      </c>
      <c r="K1" s="2" t="s">
        <v>4</v>
      </c>
      <c r="L1" s="2" t="s">
        <v>5</v>
      </c>
      <c r="M1" s="2" t="s">
        <v>144</v>
      </c>
      <c r="N1" s="2" t="s">
        <v>6</v>
      </c>
      <c r="O1" s="6" t="s">
        <v>7</v>
      </c>
      <c r="P1" s="3" t="s">
        <v>8</v>
      </c>
      <c r="Q1" s="2" t="s">
        <v>145</v>
      </c>
      <c r="R1" s="2" t="s">
        <v>146</v>
      </c>
      <c r="S1" s="2" t="s">
        <v>9</v>
      </c>
      <c r="T1" s="2" t="s">
        <v>10</v>
      </c>
      <c r="U1" s="2" t="s">
        <v>11</v>
      </c>
      <c r="V1" s="2" t="s">
        <v>148</v>
      </c>
    </row>
    <row r="2" spans="1:24" x14ac:dyDescent="0.3">
      <c r="A2">
        <v>1</v>
      </c>
      <c r="B2" t="s">
        <v>12</v>
      </c>
      <c r="C2" t="s">
        <v>13</v>
      </c>
      <c r="D2" t="str">
        <f t="shared" ref="D2:D21" si="0">CONCATENATE(B2," ", C2)</f>
        <v>Popa Ioana</v>
      </c>
      <c r="E2" t="s">
        <v>14</v>
      </c>
      <c r="F2">
        <f t="shared" ref="F2:F21" si="1">LEN(E2)</f>
        <v>13</v>
      </c>
      <c r="G2" t="str">
        <f t="shared" ref="G2:G21" si="2">LEFT(E2,1)</f>
        <v>2</v>
      </c>
      <c r="H2" t="str">
        <f t="shared" ref="H2:H21" si="3">IF(OR(VALUE(G2)=1, VALUE(G2)=5), "Masculin", IF(OR(VALUE(G2)=2, VALUE(G2)=6), "Feminin", "Necunoscut"))</f>
        <v>Feminin</v>
      </c>
      <c r="I2" t="str">
        <f t="shared" ref="I2:I21" si="4">IF(OR(VALUE(G2)=1,VALUE(G2)=2),CONCATENATE(19,RIGHT(LEFT(E2,3),2)),IF(OR(VALUE(G2)=5,VALUE(G2)=6),CONCATENATE(20,RIGHT(LEFT(E2,3),2))))</f>
        <v>1970</v>
      </c>
      <c r="J2">
        <f t="shared" ref="J2:J21" si="5">2024-I2</f>
        <v>54</v>
      </c>
      <c r="K2" t="s">
        <v>15</v>
      </c>
      <c r="L2" t="s">
        <v>16</v>
      </c>
      <c r="M2">
        <f t="shared" ref="M2:M21" si="6">LEN(L2)</f>
        <v>10</v>
      </c>
      <c r="N2" t="s">
        <v>17</v>
      </c>
      <c r="O2" s="7">
        <v>8000</v>
      </c>
      <c r="P2" s="1">
        <v>43845</v>
      </c>
      <c r="Q2" s="5">
        <f t="shared" ref="Q2:Q21" si="7">IF(P2&lt;DATE(2019,1,1),1,0)</f>
        <v>0</v>
      </c>
      <c r="R2" s="5">
        <f t="shared" ref="R2:R21" si="8">ROUND((DATE(2024, 12, 31) - P2)/365,0)</f>
        <v>5</v>
      </c>
      <c r="S2">
        <v>1</v>
      </c>
      <c r="T2" t="s">
        <v>18</v>
      </c>
      <c r="U2" t="s">
        <v>135</v>
      </c>
      <c r="V2" t="str">
        <f>LEFT(U2,FIND(",",U2)-1)</f>
        <v>Soseaua Orhideelor 15A</v>
      </c>
      <c r="X2" s="9" t="s">
        <v>147</v>
      </c>
    </row>
    <row r="3" spans="1:24" x14ac:dyDescent="0.3">
      <c r="A3">
        <v>2</v>
      </c>
      <c r="B3" t="s">
        <v>19</v>
      </c>
      <c r="C3" t="s">
        <v>20</v>
      </c>
      <c r="D3" t="str">
        <f t="shared" si="0"/>
        <v>Radulescu Marius</v>
      </c>
      <c r="E3" t="s">
        <v>21</v>
      </c>
      <c r="F3">
        <f t="shared" si="1"/>
        <v>13</v>
      </c>
      <c r="G3" t="str">
        <f t="shared" si="2"/>
        <v>1</v>
      </c>
      <c r="H3" t="str">
        <f t="shared" si="3"/>
        <v>Masculin</v>
      </c>
      <c r="I3" t="str">
        <f t="shared" si="4"/>
        <v>1970</v>
      </c>
      <c r="J3">
        <f t="shared" si="5"/>
        <v>54</v>
      </c>
      <c r="K3" t="s">
        <v>22</v>
      </c>
      <c r="L3" t="s">
        <v>23</v>
      </c>
      <c r="M3">
        <f t="shared" si="6"/>
        <v>10</v>
      </c>
      <c r="N3" t="s">
        <v>24</v>
      </c>
      <c r="O3" s="7">
        <v>6500</v>
      </c>
      <c r="P3" s="1">
        <v>44275</v>
      </c>
      <c r="Q3" s="5">
        <f t="shared" si="7"/>
        <v>0</v>
      </c>
      <c r="R3" s="5">
        <f t="shared" si="8"/>
        <v>4</v>
      </c>
      <c r="S3">
        <v>1</v>
      </c>
      <c r="T3" t="s">
        <v>18</v>
      </c>
      <c r="U3" t="s">
        <v>135</v>
      </c>
      <c r="V3" t="str">
        <f t="shared" ref="V3:V21" si="9">LEFT(U3,FIND(",",U3)-1)</f>
        <v>Soseaua Orhideelor 15A</v>
      </c>
    </row>
    <row r="4" spans="1:24" x14ac:dyDescent="0.3">
      <c r="A4">
        <v>3</v>
      </c>
      <c r="B4" t="s">
        <v>25</v>
      </c>
      <c r="C4" t="s">
        <v>26</v>
      </c>
      <c r="D4" t="str">
        <f t="shared" si="0"/>
        <v>Constantinescu Roxana</v>
      </c>
      <c r="E4" t="s">
        <v>27</v>
      </c>
      <c r="F4">
        <f t="shared" si="1"/>
        <v>13</v>
      </c>
      <c r="G4" t="str">
        <f t="shared" si="2"/>
        <v>2</v>
      </c>
      <c r="H4" t="str">
        <f t="shared" si="3"/>
        <v>Feminin</v>
      </c>
      <c r="I4" t="str">
        <f t="shared" si="4"/>
        <v>1971</v>
      </c>
      <c r="J4">
        <f t="shared" si="5"/>
        <v>53</v>
      </c>
      <c r="K4" t="s">
        <v>28</v>
      </c>
      <c r="L4" t="s">
        <v>29</v>
      </c>
      <c r="M4">
        <f t="shared" si="6"/>
        <v>10</v>
      </c>
      <c r="N4" t="s">
        <v>30</v>
      </c>
      <c r="O4" s="7">
        <v>12000</v>
      </c>
      <c r="P4" s="1">
        <v>43617</v>
      </c>
      <c r="Q4" s="5">
        <f t="shared" si="7"/>
        <v>0</v>
      </c>
      <c r="R4" s="5">
        <f t="shared" si="8"/>
        <v>6</v>
      </c>
      <c r="S4">
        <v>2</v>
      </c>
      <c r="T4" t="s">
        <v>31</v>
      </c>
      <c r="U4" t="s">
        <v>32</v>
      </c>
      <c r="V4" t="str">
        <f t="shared" si="9"/>
        <v>Strada Henri Barbusse 44-46</v>
      </c>
    </row>
    <row r="5" spans="1:24" x14ac:dyDescent="0.3">
      <c r="A5">
        <v>4</v>
      </c>
      <c r="B5" t="s">
        <v>33</v>
      </c>
      <c r="C5" t="s">
        <v>34</v>
      </c>
      <c r="D5" t="str">
        <f t="shared" si="0"/>
        <v>Matei Bogdan</v>
      </c>
      <c r="E5" t="s">
        <v>35</v>
      </c>
      <c r="F5">
        <f t="shared" si="1"/>
        <v>13</v>
      </c>
      <c r="G5" t="str">
        <f t="shared" si="2"/>
        <v>1</v>
      </c>
      <c r="H5" t="str">
        <f t="shared" si="3"/>
        <v>Masculin</v>
      </c>
      <c r="I5" t="str">
        <f t="shared" si="4"/>
        <v>1971</v>
      </c>
      <c r="J5">
        <f t="shared" si="5"/>
        <v>53</v>
      </c>
      <c r="K5" t="s">
        <v>36</v>
      </c>
      <c r="L5" t="s">
        <v>37</v>
      </c>
      <c r="M5">
        <f t="shared" si="6"/>
        <v>10</v>
      </c>
      <c r="N5" t="s">
        <v>38</v>
      </c>
      <c r="O5" s="7">
        <v>7000</v>
      </c>
      <c r="P5" s="1">
        <v>44752</v>
      </c>
      <c r="Q5" s="5">
        <f t="shared" si="7"/>
        <v>0</v>
      </c>
      <c r="R5" s="5">
        <f t="shared" si="8"/>
        <v>2</v>
      </c>
      <c r="S5">
        <v>3</v>
      </c>
      <c r="T5" t="s">
        <v>39</v>
      </c>
      <c r="U5" t="s">
        <v>137</v>
      </c>
      <c r="V5" t="str">
        <f t="shared" si="9"/>
        <v>Strada Sfantul Lazar 27</v>
      </c>
    </row>
    <row r="6" spans="1:24" x14ac:dyDescent="0.3">
      <c r="A6">
        <v>5</v>
      </c>
      <c r="B6" t="s">
        <v>40</v>
      </c>
      <c r="C6" t="s">
        <v>41</v>
      </c>
      <c r="D6" t="str">
        <f t="shared" si="0"/>
        <v>Petrescu Gabriela</v>
      </c>
      <c r="E6" t="s">
        <v>42</v>
      </c>
      <c r="F6">
        <f t="shared" si="1"/>
        <v>13</v>
      </c>
      <c r="G6" t="str">
        <f t="shared" si="2"/>
        <v>2</v>
      </c>
      <c r="H6" t="str">
        <f t="shared" si="3"/>
        <v>Feminin</v>
      </c>
      <c r="I6" t="str">
        <f t="shared" si="4"/>
        <v>1989</v>
      </c>
      <c r="J6">
        <f t="shared" si="5"/>
        <v>35</v>
      </c>
      <c r="K6" t="s">
        <v>43</v>
      </c>
      <c r="L6" t="s">
        <v>44</v>
      </c>
      <c r="M6">
        <f t="shared" si="6"/>
        <v>10</v>
      </c>
      <c r="N6" t="s">
        <v>45</v>
      </c>
      <c r="O6" s="7">
        <v>9000</v>
      </c>
      <c r="P6" s="1">
        <v>44140</v>
      </c>
      <c r="Q6" s="5">
        <f t="shared" si="7"/>
        <v>0</v>
      </c>
      <c r="R6" s="5">
        <f t="shared" si="8"/>
        <v>4</v>
      </c>
      <c r="S6">
        <v>4</v>
      </c>
      <c r="T6" t="s">
        <v>46</v>
      </c>
      <c r="U6" t="s">
        <v>136</v>
      </c>
      <c r="V6" t="str">
        <f t="shared" si="9"/>
        <v>Bulevardul Antenei</v>
      </c>
    </row>
    <row r="7" spans="1:24" x14ac:dyDescent="0.3">
      <c r="A7">
        <v>6</v>
      </c>
      <c r="B7" t="s">
        <v>47</v>
      </c>
      <c r="C7" t="s">
        <v>48</v>
      </c>
      <c r="D7" t="str">
        <f t="shared" si="0"/>
        <v>Toma Iulia</v>
      </c>
      <c r="E7" t="s">
        <v>49</v>
      </c>
      <c r="F7">
        <f t="shared" si="1"/>
        <v>13</v>
      </c>
      <c r="G7" t="str">
        <f t="shared" si="2"/>
        <v>2</v>
      </c>
      <c r="H7" t="str">
        <f t="shared" si="3"/>
        <v>Feminin</v>
      </c>
      <c r="I7" t="str">
        <f t="shared" si="4"/>
        <v>1981</v>
      </c>
      <c r="J7">
        <f t="shared" si="5"/>
        <v>43</v>
      </c>
      <c r="K7" t="s">
        <v>50</v>
      </c>
      <c r="L7" t="s">
        <v>51</v>
      </c>
      <c r="M7">
        <f t="shared" si="6"/>
        <v>10</v>
      </c>
      <c r="N7" t="s">
        <v>52</v>
      </c>
      <c r="O7" s="7">
        <v>7500</v>
      </c>
      <c r="P7" s="1">
        <v>44451</v>
      </c>
      <c r="Q7" s="5">
        <f t="shared" si="7"/>
        <v>0</v>
      </c>
      <c r="R7" s="5">
        <f t="shared" si="8"/>
        <v>3</v>
      </c>
      <c r="S7">
        <v>5</v>
      </c>
      <c r="T7" t="s">
        <v>53</v>
      </c>
      <c r="U7" t="s">
        <v>54</v>
      </c>
      <c r="V7" t="str">
        <f t="shared" si="9"/>
        <v>Multinvest Business Center 2</v>
      </c>
    </row>
    <row r="8" spans="1:24" x14ac:dyDescent="0.3">
      <c r="A8">
        <v>7</v>
      </c>
      <c r="B8" t="s">
        <v>55</v>
      </c>
      <c r="C8" t="s">
        <v>56</v>
      </c>
      <c r="D8" t="str">
        <f t="shared" si="0"/>
        <v>Dumitriu Andrei</v>
      </c>
      <c r="E8" t="s">
        <v>57</v>
      </c>
      <c r="F8">
        <f t="shared" si="1"/>
        <v>13</v>
      </c>
      <c r="G8" t="str">
        <f t="shared" si="2"/>
        <v>1</v>
      </c>
      <c r="H8" t="str">
        <f t="shared" si="3"/>
        <v>Masculin</v>
      </c>
      <c r="I8" t="str">
        <f t="shared" si="4"/>
        <v>1981</v>
      </c>
      <c r="J8">
        <f t="shared" si="5"/>
        <v>43</v>
      </c>
      <c r="K8" t="s">
        <v>58</v>
      </c>
      <c r="L8" t="s">
        <v>59</v>
      </c>
      <c r="M8">
        <f t="shared" si="6"/>
        <v>10</v>
      </c>
      <c r="N8" t="s">
        <v>60</v>
      </c>
      <c r="O8" s="7">
        <v>8500</v>
      </c>
      <c r="P8" s="1">
        <v>44584</v>
      </c>
      <c r="Q8" s="5">
        <f t="shared" si="7"/>
        <v>0</v>
      </c>
      <c r="R8" s="5">
        <f t="shared" si="8"/>
        <v>3</v>
      </c>
      <c r="S8">
        <v>1</v>
      </c>
      <c r="T8" t="s">
        <v>18</v>
      </c>
      <c r="U8" t="s">
        <v>135</v>
      </c>
      <c r="V8" t="str">
        <f t="shared" si="9"/>
        <v>Soseaua Orhideelor 15A</v>
      </c>
    </row>
    <row r="9" spans="1:24" x14ac:dyDescent="0.3">
      <c r="A9">
        <v>8</v>
      </c>
      <c r="B9" t="s">
        <v>61</v>
      </c>
      <c r="C9" t="s">
        <v>62</v>
      </c>
      <c r="D9" t="str">
        <f t="shared" si="0"/>
        <v>Nistor Simona</v>
      </c>
      <c r="E9" t="s">
        <v>63</v>
      </c>
      <c r="F9">
        <f t="shared" si="1"/>
        <v>13</v>
      </c>
      <c r="G9" t="str">
        <f t="shared" si="2"/>
        <v>2</v>
      </c>
      <c r="H9" t="str">
        <f t="shared" si="3"/>
        <v>Feminin</v>
      </c>
      <c r="I9" t="str">
        <f t="shared" si="4"/>
        <v>1989</v>
      </c>
      <c r="J9">
        <f t="shared" si="5"/>
        <v>35</v>
      </c>
      <c r="K9" t="s">
        <v>64</v>
      </c>
      <c r="L9" t="s">
        <v>65</v>
      </c>
      <c r="M9">
        <f t="shared" si="6"/>
        <v>10</v>
      </c>
      <c r="N9" t="s">
        <v>66</v>
      </c>
      <c r="O9" s="7">
        <v>6500</v>
      </c>
      <c r="P9" s="1">
        <v>44413</v>
      </c>
      <c r="Q9" s="5">
        <f t="shared" si="7"/>
        <v>0</v>
      </c>
      <c r="R9" s="5">
        <f t="shared" si="8"/>
        <v>3</v>
      </c>
      <c r="S9">
        <v>2</v>
      </c>
      <c r="T9" t="s">
        <v>31</v>
      </c>
      <c r="U9" t="s">
        <v>32</v>
      </c>
      <c r="V9" t="str">
        <f t="shared" si="9"/>
        <v>Strada Henri Barbusse 44-46</v>
      </c>
    </row>
    <row r="10" spans="1:24" x14ac:dyDescent="0.3">
      <c r="A10">
        <v>9</v>
      </c>
      <c r="B10" t="s">
        <v>67</v>
      </c>
      <c r="C10" t="s">
        <v>68</v>
      </c>
      <c r="D10" t="str">
        <f t="shared" si="0"/>
        <v>Stefan Radu</v>
      </c>
      <c r="E10" t="s">
        <v>69</v>
      </c>
      <c r="F10">
        <f t="shared" si="1"/>
        <v>13</v>
      </c>
      <c r="G10" t="str">
        <f t="shared" si="2"/>
        <v>1</v>
      </c>
      <c r="H10" t="str">
        <f t="shared" si="3"/>
        <v>Masculin</v>
      </c>
      <c r="I10" t="str">
        <f t="shared" si="4"/>
        <v>1989</v>
      </c>
      <c r="J10">
        <f t="shared" si="5"/>
        <v>35</v>
      </c>
      <c r="K10" t="s">
        <v>70</v>
      </c>
      <c r="L10" t="s">
        <v>71</v>
      </c>
      <c r="M10">
        <f t="shared" si="6"/>
        <v>10</v>
      </c>
      <c r="N10" t="s">
        <v>72</v>
      </c>
      <c r="O10" s="7">
        <v>5800</v>
      </c>
      <c r="P10" s="1">
        <v>43879</v>
      </c>
      <c r="Q10" s="5">
        <f t="shared" si="7"/>
        <v>0</v>
      </c>
      <c r="R10" s="5">
        <f t="shared" si="8"/>
        <v>5</v>
      </c>
      <c r="S10">
        <v>3</v>
      </c>
      <c r="T10" t="s">
        <v>39</v>
      </c>
      <c r="U10" t="s">
        <v>137</v>
      </c>
      <c r="V10" t="str">
        <f t="shared" si="9"/>
        <v>Strada Sfantul Lazar 27</v>
      </c>
    </row>
    <row r="11" spans="1:24" x14ac:dyDescent="0.3">
      <c r="A11">
        <v>10</v>
      </c>
      <c r="B11" t="s">
        <v>73</v>
      </c>
      <c r="C11" t="s">
        <v>74</v>
      </c>
      <c r="D11" t="str">
        <f t="shared" si="0"/>
        <v>Dima Vasile</v>
      </c>
      <c r="E11" t="s">
        <v>75</v>
      </c>
      <c r="F11">
        <f t="shared" si="1"/>
        <v>13</v>
      </c>
      <c r="G11" t="str">
        <f t="shared" si="2"/>
        <v>1</v>
      </c>
      <c r="H11" t="str">
        <f t="shared" si="3"/>
        <v>Masculin</v>
      </c>
      <c r="I11" t="str">
        <f t="shared" si="4"/>
        <v>1989</v>
      </c>
      <c r="J11">
        <f t="shared" si="5"/>
        <v>35</v>
      </c>
      <c r="K11" t="s">
        <v>76</v>
      </c>
      <c r="L11" t="s">
        <v>77</v>
      </c>
      <c r="M11">
        <f t="shared" si="6"/>
        <v>10</v>
      </c>
      <c r="N11" t="s">
        <v>78</v>
      </c>
      <c r="O11" s="7">
        <v>9500</v>
      </c>
      <c r="P11" s="1">
        <v>43562</v>
      </c>
      <c r="Q11" s="5">
        <f t="shared" si="7"/>
        <v>0</v>
      </c>
      <c r="R11" s="5">
        <f t="shared" si="8"/>
        <v>6</v>
      </c>
      <c r="S11">
        <v>4</v>
      </c>
      <c r="T11" t="s">
        <v>46</v>
      </c>
      <c r="U11" t="s">
        <v>136</v>
      </c>
      <c r="V11" t="str">
        <f t="shared" si="9"/>
        <v>Bulevardul Antenei</v>
      </c>
    </row>
    <row r="12" spans="1:24" x14ac:dyDescent="0.3">
      <c r="A12">
        <v>11</v>
      </c>
      <c r="B12" t="s">
        <v>79</v>
      </c>
      <c r="C12" t="s">
        <v>80</v>
      </c>
      <c r="D12" t="str">
        <f t="shared" si="0"/>
        <v>Ilie Daniela</v>
      </c>
      <c r="E12" t="s">
        <v>81</v>
      </c>
      <c r="F12">
        <f t="shared" si="1"/>
        <v>13</v>
      </c>
      <c r="G12" t="str">
        <f t="shared" si="2"/>
        <v>2</v>
      </c>
      <c r="H12" t="str">
        <f t="shared" si="3"/>
        <v>Feminin</v>
      </c>
      <c r="I12" t="str">
        <f t="shared" si="4"/>
        <v>1993</v>
      </c>
      <c r="J12">
        <f t="shared" si="5"/>
        <v>31</v>
      </c>
      <c r="K12" t="s">
        <v>82</v>
      </c>
      <c r="L12" t="s">
        <v>83</v>
      </c>
      <c r="M12">
        <f t="shared" si="6"/>
        <v>10</v>
      </c>
      <c r="N12" t="s">
        <v>84</v>
      </c>
      <c r="O12" s="7">
        <v>11500</v>
      </c>
      <c r="P12" s="1">
        <v>43997</v>
      </c>
      <c r="Q12" s="5">
        <f t="shared" si="7"/>
        <v>0</v>
      </c>
      <c r="R12" s="5">
        <f t="shared" si="8"/>
        <v>5</v>
      </c>
      <c r="S12">
        <v>5</v>
      </c>
      <c r="T12" t="s">
        <v>53</v>
      </c>
      <c r="U12" t="s">
        <v>54</v>
      </c>
      <c r="V12" t="str">
        <f t="shared" si="9"/>
        <v>Multinvest Business Center 2</v>
      </c>
    </row>
    <row r="13" spans="1:24" x14ac:dyDescent="0.3">
      <c r="A13">
        <v>12</v>
      </c>
      <c r="B13" t="s">
        <v>85</v>
      </c>
      <c r="C13" t="s">
        <v>86</v>
      </c>
      <c r="D13" t="str">
        <f t="shared" si="0"/>
        <v>Gheorghiu Mihai</v>
      </c>
      <c r="E13" t="s">
        <v>87</v>
      </c>
      <c r="F13">
        <f t="shared" si="1"/>
        <v>13</v>
      </c>
      <c r="G13" t="str">
        <f t="shared" si="2"/>
        <v>1</v>
      </c>
      <c r="H13" t="str">
        <f t="shared" si="3"/>
        <v>Masculin</v>
      </c>
      <c r="I13" t="str">
        <f t="shared" si="4"/>
        <v>1997</v>
      </c>
      <c r="J13">
        <f t="shared" si="5"/>
        <v>27</v>
      </c>
      <c r="K13" t="s">
        <v>88</v>
      </c>
      <c r="L13" t="s">
        <v>89</v>
      </c>
      <c r="M13">
        <f t="shared" si="6"/>
        <v>10</v>
      </c>
      <c r="N13" t="s">
        <v>90</v>
      </c>
      <c r="O13" s="7">
        <v>8000</v>
      </c>
      <c r="P13" s="1">
        <v>44238</v>
      </c>
      <c r="Q13" s="5">
        <f t="shared" si="7"/>
        <v>0</v>
      </c>
      <c r="R13" s="5">
        <f t="shared" si="8"/>
        <v>4</v>
      </c>
      <c r="S13">
        <v>1</v>
      </c>
      <c r="T13" t="s">
        <v>18</v>
      </c>
      <c r="U13" t="s">
        <v>135</v>
      </c>
      <c r="V13" t="str">
        <f t="shared" si="9"/>
        <v>Soseaua Orhideelor 15A</v>
      </c>
    </row>
    <row r="14" spans="1:24" x14ac:dyDescent="0.3">
      <c r="A14">
        <v>13</v>
      </c>
      <c r="B14" t="s">
        <v>91</v>
      </c>
      <c r="C14" t="s">
        <v>92</v>
      </c>
      <c r="D14" t="str">
        <f t="shared" si="0"/>
        <v>Rusu Alina</v>
      </c>
      <c r="E14" t="s">
        <v>93</v>
      </c>
      <c r="F14">
        <f t="shared" si="1"/>
        <v>13</v>
      </c>
      <c r="G14" t="str">
        <f t="shared" si="2"/>
        <v>2</v>
      </c>
      <c r="H14" t="str">
        <f t="shared" si="3"/>
        <v>Feminin</v>
      </c>
      <c r="I14" t="str">
        <f t="shared" si="4"/>
        <v>1993</v>
      </c>
      <c r="J14">
        <f t="shared" si="5"/>
        <v>31</v>
      </c>
      <c r="K14" t="s">
        <v>94</v>
      </c>
      <c r="L14" t="s">
        <v>95</v>
      </c>
      <c r="M14">
        <f t="shared" si="6"/>
        <v>10</v>
      </c>
      <c r="N14" t="s">
        <v>96</v>
      </c>
      <c r="O14" s="7">
        <v>10500</v>
      </c>
      <c r="P14" s="1">
        <v>44649</v>
      </c>
      <c r="Q14" s="5">
        <f t="shared" si="7"/>
        <v>0</v>
      </c>
      <c r="R14" s="5">
        <f t="shared" si="8"/>
        <v>3</v>
      </c>
      <c r="S14">
        <v>2</v>
      </c>
      <c r="T14" t="s">
        <v>31</v>
      </c>
      <c r="U14" t="s">
        <v>32</v>
      </c>
      <c r="V14" t="str">
        <f t="shared" si="9"/>
        <v>Strada Henri Barbusse 44-46</v>
      </c>
    </row>
    <row r="15" spans="1:24" x14ac:dyDescent="0.3">
      <c r="A15">
        <v>14</v>
      </c>
      <c r="B15" t="s">
        <v>97</v>
      </c>
      <c r="C15" t="s">
        <v>98</v>
      </c>
      <c r="D15" t="str">
        <f t="shared" si="0"/>
        <v>Nica Sorin</v>
      </c>
      <c r="E15" t="s">
        <v>99</v>
      </c>
      <c r="F15">
        <f t="shared" si="1"/>
        <v>13</v>
      </c>
      <c r="G15" t="str">
        <f t="shared" si="2"/>
        <v>1</v>
      </c>
      <c r="H15" t="str">
        <f t="shared" si="3"/>
        <v>Masculin</v>
      </c>
      <c r="I15" t="str">
        <f t="shared" si="4"/>
        <v>1978</v>
      </c>
      <c r="J15">
        <f t="shared" si="5"/>
        <v>46</v>
      </c>
      <c r="K15" t="s">
        <v>100</v>
      </c>
      <c r="L15" t="s">
        <v>101</v>
      </c>
      <c r="M15">
        <f t="shared" si="6"/>
        <v>10</v>
      </c>
      <c r="N15" t="s">
        <v>102</v>
      </c>
      <c r="O15" s="7">
        <v>7600</v>
      </c>
      <c r="P15" s="1">
        <v>44015</v>
      </c>
      <c r="Q15" s="5">
        <f t="shared" si="7"/>
        <v>0</v>
      </c>
      <c r="R15" s="5">
        <f t="shared" si="8"/>
        <v>4</v>
      </c>
      <c r="S15">
        <v>3</v>
      </c>
      <c r="T15" t="s">
        <v>39</v>
      </c>
      <c r="U15" t="s">
        <v>137</v>
      </c>
      <c r="V15" t="str">
        <f t="shared" si="9"/>
        <v>Strada Sfantul Lazar 27</v>
      </c>
    </row>
    <row r="16" spans="1:24" x14ac:dyDescent="0.3">
      <c r="A16">
        <v>15</v>
      </c>
      <c r="B16" t="s">
        <v>103</v>
      </c>
      <c r="C16" t="s">
        <v>104</v>
      </c>
      <c r="D16" t="str">
        <f t="shared" si="0"/>
        <v>Munteanu Andreea</v>
      </c>
      <c r="E16" t="s">
        <v>105</v>
      </c>
      <c r="F16">
        <f t="shared" si="1"/>
        <v>13</v>
      </c>
      <c r="G16" t="str">
        <f t="shared" si="2"/>
        <v>6</v>
      </c>
      <c r="H16" t="str">
        <f t="shared" si="3"/>
        <v>Feminin</v>
      </c>
      <c r="I16" t="str">
        <f t="shared" si="4"/>
        <v>2000</v>
      </c>
      <c r="J16">
        <f t="shared" si="5"/>
        <v>24</v>
      </c>
      <c r="K16" t="s">
        <v>106</v>
      </c>
      <c r="L16" t="s">
        <v>107</v>
      </c>
      <c r="M16">
        <f t="shared" si="6"/>
        <v>10</v>
      </c>
      <c r="N16" t="s">
        <v>108</v>
      </c>
      <c r="O16" s="7">
        <v>8500</v>
      </c>
      <c r="P16" s="1">
        <v>44306</v>
      </c>
      <c r="Q16" s="5">
        <f t="shared" si="7"/>
        <v>0</v>
      </c>
      <c r="R16" s="5">
        <f t="shared" si="8"/>
        <v>4</v>
      </c>
      <c r="S16">
        <v>4</v>
      </c>
      <c r="T16" t="s">
        <v>46</v>
      </c>
      <c r="U16" t="s">
        <v>136</v>
      </c>
      <c r="V16" t="str">
        <f t="shared" si="9"/>
        <v>Bulevardul Antenei</v>
      </c>
    </row>
    <row r="17" spans="1:22" x14ac:dyDescent="0.3">
      <c r="A17">
        <v>16</v>
      </c>
      <c r="B17" t="s">
        <v>109</v>
      </c>
      <c r="C17" t="s">
        <v>110</v>
      </c>
      <c r="D17" t="str">
        <f t="shared" si="0"/>
        <v>Petraru Vlad</v>
      </c>
      <c r="E17" t="s">
        <v>111</v>
      </c>
      <c r="F17">
        <f t="shared" si="1"/>
        <v>13</v>
      </c>
      <c r="G17" t="str">
        <f t="shared" si="2"/>
        <v>5</v>
      </c>
      <c r="H17" t="str">
        <f t="shared" si="3"/>
        <v>Masculin</v>
      </c>
      <c r="I17" t="str">
        <f t="shared" si="4"/>
        <v>2000</v>
      </c>
      <c r="J17">
        <f t="shared" si="5"/>
        <v>24</v>
      </c>
      <c r="K17" t="s">
        <v>112</v>
      </c>
      <c r="L17" t="s">
        <v>113</v>
      </c>
      <c r="M17">
        <f t="shared" si="6"/>
        <v>10</v>
      </c>
      <c r="N17" t="s">
        <v>30</v>
      </c>
      <c r="O17" s="7">
        <v>10000</v>
      </c>
      <c r="P17" s="1">
        <v>44088</v>
      </c>
      <c r="Q17" s="5">
        <f t="shared" si="7"/>
        <v>0</v>
      </c>
      <c r="R17" s="5">
        <f t="shared" si="8"/>
        <v>4</v>
      </c>
      <c r="S17">
        <v>5</v>
      </c>
      <c r="T17" t="s">
        <v>53</v>
      </c>
      <c r="U17" t="s">
        <v>54</v>
      </c>
      <c r="V17" t="str">
        <f t="shared" si="9"/>
        <v>Multinvest Business Center 2</v>
      </c>
    </row>
    <row r="18" spans="1:22" x14ac:dyDescent="0.3">
      <c r="A18">
        <v>17</v>
      </c>
      <c r="B18" t="s">
        <v>114</v>
      </c>
      <c r="C18" t="s">
        <v>13</v>
      </c>
      <c r="D18" t="str">
        <f t="shared" si="0"/>
        <v>Chirila Ioana</v>
      </c>
      <c r="E18" t="s">
        <v>115</v>
      </c>
      <c r="F18">
        <f t="shared" si="1"/>
        <v>13</v>
      </c>
      <c r="G18" t="str">
        <f t="shared" si="2"/>
        <v>2</v>
      </c>
      <c r="H18" t="str">
        <f t="shared" si="3"/>
        <v>Feminin</v>
      </c>
      <c r="I18" t="str">
        <f t="shared" si="4"/>
        <v>1997</v>
      </c>
      <c r="J18">
        <f t="shared" si="5"/>
        <v>27</v>
      </c>
      <c r="K18" t="s">
        <v>116</v>
      </c>
      <c r="L18" t="s">
        <v>117</v>
      </c>
      <c r="M18">
        <f t="shared" si="6"/>
        <v>10</v>
      </c>
      <c r="N18" t="s">
        <v>118</v>
      </c>
      <c r="O18" s="7">
        <v>9000</v>
      </c>
      <c r="P18" s="1">
        <v>44696</v>
      </c>
      <c r="Q18" s="5">
        <f t="shared" si="7"/>
        <v>0</v>
      </c>
      <c r="R18" s="5">
        <f t="shared" si="8"/>
        <v>3</v>
      </c>
      <c r="S18">
        <v>1</v>
      </c>
      <c r="T18" t="s">
        <v>18</v>
      </c>
      <c r="U18" t="s">
        <v>135</v>
      </c>
      <c r="V18" t="str">
        <f t="shared" si="9"/>
        <v>Soseaua Orhideelor 15A</v>
      </c>
    </row>
    <row r="19" spans="1:22" x14ac:dyDescent="0.3">
      <c r="A19">
        <v>18</v>
      </c>
      <c r="B19" t="s">
        <v>119</v>
      </c>
      <c r="C19" t="s">
        <v>34</v>
      </c>
      <c r="D19" t="str">
        <f t="shared" si="0"/>
        <v>Stanciu Bogdan</v>
      </c>
      <c r="E19" t="s">
        <v>120</v>
      </c>
      <c r="F19">
        <f t="shared" si="1"/>
        <v>13</v>
      </c>
      <c r="G19" t="str">
        <f t="shared" si="2"/>
        <v>1</v>
      </c>
      <c r="H19" t="str">
        <f t="shared" si="3"/>
        <v>Masculin</v>
      </c>
      <c r="I19" t="str">
        <f t="shared" si="4"/>
        <v>1989</v>
      </c>
      <c r="J19">
        <f t="shared" si="5"/>
        <v>35</v>
      </c>
      <c r="K19" t="s">
        <v>121</v>
      </c>
      <c r="L19" t="s">
        <v>122</v>
      </c>
      <c r="M19">
        <f t="shared" si="6"/>
        <v>10</v>
      </c>
      <c r="N19" t="s">
        <v>123</v>
      </c>
      <c r="O19" s="7">
        <v>8200</v>
      </c>
      <c r="P19" s="1">
        <v>44062</v>
      </c>
      <c r="Q19" s="5">
        <f t="shared" si="7"/>
        <v>0</v>
      </c>
      <c r="R19" s="5">
        <f t="shared" si="8"/>
        <v>4</v>
      </c>
      <c r="S19">
        <v>2</v>
      </c>
      <c r="T19" t="s">
        <v>31</v>
      </c>
      <c r="U19" t="s">
        <v>32</v>
      </c>
      <c r="V19" t="str">
        <f t="shared" si="9"/>
        <v>Strada Henri Barbusse 44-46</v>
      </c>
    </row>
    <row r="20" spans="1:22" x14ac:dyDescent="0.3">
      <c r="A20">
        <v>19</v>
      </c>
      <c r="B20" t="s">
        <v>124</v>
      </c>
      <c r="C20" t="s">
        <v>125</v>
      </c>
      <c r="D20" t="str">
        <f t="shared" si="0"/>
        <v>Mihaila Laura</v>
      </c>
      <c r="E20" t="s">
        <v>126</v>
      </c>
      <c r="F20">
        <f t="shared" si="1"/>
        <v>13</v>
      </c>
      <c r="G20" t="str">
        <f t="shared" si="2"/>
        <v>2</v>
      </c>
      <c r="H20" t="str">
        <f t="shared" si="3"/>
        <v>Feminin</v>
      </c>
      <c r="I20" t="str">
        <f t="shared" si="4"/>
        <v>1997</v>
      </c>
      <c r="J20">
        <f t="shared" si="5"/>
        <v>27</v>
      </c>
      <c r="K20" t="s">
        <v>127</v>
      </c>
      <c r="L20" t="s">
        <v>128</v>
      </c>
      <c r="M20">
        <f t="shared" si="6"/>
        <v>10</v>
      </c>
      <c r="N20" t="s">
        <v>129</v>
      </c>
      <c r="O20" s="7">
        <v>9500</v>
      </c>
      <c r="P20" s="1">
        <v>44226</v>
      </c>
      <c r="Q20" s="5">
        <f t="shared" si="7"/>
        <v>0</v>
      </c>
      <c r="R20" s="5">
        <f t="shared" si="8"/>
        <v>4</v>
      </c>
      <c r="S20">
        <v>3</v>
      </c>
      <c r="T20" t="s">
        <v>39</v>
      </c>
      <c r="U20" t="s">
        <v>137</v>
      </c>
      <c r="V20" t="str">
        <f t="shared" si="9"/>
        <v>Strada Sfantul Lazar 27</v>
      </c>
    </row>
    <row r="21" spans="1:22" x14ac:dyDescent="0.3">
      <c r="A21">
        <v>20</v>
      </c>
      <c r="B21" t="s">
        <v>91</v>
      </c>
      <c r="C21" t="s">
        <v>130</v>
      </c>
      <c r="D21" t="str">
        <f t="shared" si="0"/>
        <v>Rusu Silviana</v>
      </c>
      <c r="E21" t="s">
        <v>131</v>
      </c>
      <c r="F21">
        <f t="shared" si="1"/>
        <v>13</v>
      </c>
      <c r="G21" t="str">
        <f t="shared" si="2"/>
        <v>2</v>
      </c>
      <c r="H21" t="str">
        <f t="shared" si="3"/>
        <v>Feminin</v>
      </c>
      <c r="I21" t="str">
        <f t="shared" si="4"/>
        <v>1994</v>
      </c>
      <c r="J21">
        <f t="shared" si="5"/>
        <v>30</v>
      </c>
      <c r="K21" t="s">
        <v>132</v>
      </c>
      <c r="L21" t="s">
        <v>133</v>
      </c>
      <c r="M21">
        <f t="shared" si="6"/>
        <v>10</v>
      </c>
      <c r="N21" t="s">
        <v>134</v>
      </c>
      <c r="O21" s="7">
        <v>7000</v>
      </c>
      <c r="P21" s="1">
        <v>44262</v>
      </c>
      <c r="Q21" s="5">
        <f t="shared" si="7"/>
        <v>0</v>
      </c>
      <c r="R21" s="5">
        <f t="shared" si="8"/>
        <v>4</v>
      </c>
      <c r="S21">
        <v>4</v>
      </c>
      <c r="T21" t="s">
        <v>46</v>
      </c>
      <c r="U21" t="s">
        <v>136</v>
      </c>
      <c r="V21" t="str">
        <f t="shared" si="9"/>
        <v>Bulevardul Antenei</v>
      </c>
    </row>
  </sheetData>
  <autoFilter ref="A1:U21" xr:uid="{00000000-0001-0000-0000-000000000000}">
    <sortState xmlns:xlrd2="http://schemas.microsoft.com/office/spreadsheetml/2017/richdata2" ref="A2:U21">
      <sortCondition ref="A1:A21"/>
    </sortState>
  </autoFilter>
  <conditionalFormatting sqref="D1:D1048576">
    <cfRule type="duplicateValues" dxfId="1" priority="2"/>
  </conditionalFormatting>
  <conditionalFormatting sqref="E1:E1048576">
    <cfRule type="duplicateValues" dxfId="0"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00146-D3DD-4C58-A529-8CD498165D1A}">
  <dimension ref="A3:D21"/>
  <sheetViews>
    <sheetView workbookViewId="0">
      <selection activeCell="F23" sqref="F23"/>
    </sheetView>
  </sheetViews>
  <sheetFormatPr defaultRowHeight="14.4" x14ac:dyDescent="0.3"/>
  <cols>
    <col min="1" max="1" width="12.5546875" bestFit="1" customWidth="1"/>
    <col min="2" max="2" width="17" bestFit="1" customWidth="1"/>
    <col min="3" max="3" width="16" bestFit="1" customWidth="1"/>
    <col min="4" max="4" width="18.21875" bestFit="1" customWidth="1"/>
  </cols>
  <sheetData>
    <row r="3" spans="1:4" x14ac:dyDescent="0.3">
      <c r="A3" s="18" t="s">
        <v>172</v>
      </c>
      <c r="B3" t="s">
        <v>182</v>
      </c>
      <c r="C3" t="s">
        <v>174</v>
      </c>
      <c r="D3" t="s">
        <v>173</v>
      </c>
    </row>
    <row r="4" spans="1:4" x14ac:dyDescent="0.3">
      <c r="A4" s="19">
        <v>2007</v>
      </c>
      <c r="B4">
        <v>0.10843457215115937</v>
      </c>
      <c r="C4" s="8">
        <v>2399998</v>
      </c>
      <c r="D4" s="11">
        <v>22133144</v>
      </c>
    </row>
    <row r="5" spans="1:4" x14ac:dyDescent="0.3">
      <c r="A5" s="19">
        <v>2008</v>
      </c>
      <c r="B5">
        <v>6.4094441187578103E-3</v>
      </c>
      <c r="C5" s="8">
        <v>415823</v>
      </c>
      <c r="D5" s="11">
        <v>64876609</v>
      </c>
    </row>
    <row r="6" spans="1:4" x14ac:dyDescent="0.3">
      <c r="A6" s="19">
        <v>2009</v>
      </c>
      <c r="B6">
        <v>6.8235105189232217E-2</v>
      </c>
      <c r="C6" s="8">
        <v>7156247</v>
      </c>
      <c r="D6" s="11">
        <v>104876324</v>
      </c>
    </row>
    <row r="7" spans="1:4" x14ac:dyDescent="0.3">
      <c r="A7" s="19">
        <v>2010</v>
      </c>
      <c r="B7">
        <v>8.3009294651458908E-3</v>
      </c>
      <c r="C7" s="8">
        <v>1012838</v>
      </c>
      <c r="D7" s="11">
        <v>122015011</v>
      </c>
    </row>
    <row r="8" spans="1:4" x14ac:dyDescent="0.3">
      <c r="A8" s="19">
        <v>2011</v>
      </c>
      <c r="B8">
        <v>3.3795505269634901E-2</v>
      </c>
      <c r="C8" s="8">
        <v>4583174</v>
      </c>
      <c r="D8" s="11">
        <v>135614898</v>
      </c>
    </row>
    <row r="9" spans="1:4" x14ac:dyDescent="0.3">
      <c r="A9" s="19">
        <v>2012</v>
      </c>
      <c r="B9">
        <v>3.09129204282228E-5</v>
      </c>
      <c r="C9" s="8">
        <v>4975</v>
      </c>
      <c r="D9" s="11">
        <v>160935943</v>
      </c>
    </row>
    <row r="10" spans="1:4" x14ac:dyDescent="0.3">
      <c r="A10" s="19">
        <v>2013</v>
      </c>
      <c r="B10">
        <v>5.7663534721343078E-2</v>
      </c>
      <c r="C10" s="8">
        <v>11331647</v>
      </c>
      <c r="D10" s="11">
        <v>196513222</v>
      </c>
    </row>
    <row r="11" spans="1:4" x14ac:dyDescent="0.3">
      <c r="A11" s="19">
        <v>2014</v>
      </c>
      <c r="B11">
        <v>6.7025740196288333E-2</v>
      </c>
      <c r="C11" s="8">
        <v>16858095</v>
      </c>
      <c r="D11" s="11">
        <v>251516730</v>
      </c>
    </row>
    <row r="12" spans="1:4" x14ac:dyDescent="0.3">
      <c r="A12" s="19">
        <v>2015</v>
      </c>
      <c r="B12">
        <v>0.14883500314619399</v>
      </c>
      <c r="C12" s="8">
        <v>57604725</v>
      </c>
      <c r="D12" s="11">
        <v>387037483</v>
      </c>
    </row>
    <row r="13" spans="1:4" x14ac:dyDescent="0.3">
      <c r="A13" s="19">
        <v>2016</v>
      </c>
      <c r="B13">
        <v>6.1110777534873963E-2</v>
      </c>
      <c r="C13" s="8">
        <v>27693557</v>
      </c>
      <c r="D13" s="11">
        <v>453169770</v>
      </c>
    </row>
    <row r="14" spans="1:4" x14ac:dyDescent="0.3">
      <c r="A14" s="19">
        <v>2017</v>
      </c>
      <c r="B14">
        <v>4.8030587615857483E-2</v>
      </c>
      <c r="C14" s="8">
        <v>28427493</v>
      </c>
      <c r="D14" s="11">
        <v>591862278</v>
      </c>
    </row>
    <row r="15" spans="1:4" x14ac:dyDescent="0.3">
      <c r="A15" s="19">
        <v>2018</v>
      </c>
      <c r="B15">
        <v>1.1814458666660277E-2</v>
      </c>
      <c r="C15" s="8">
        <v>6449994</v>
      </c>
      <c r="D15" s="11">
        <v>545940714</v>
      </c>
    </row>
    <row r="16" spans="1:4" x14ac:dyDescent="0.3">
      <c r="A16" s="19">
        <v>2019</v>
      </c>
      <c r="B16">
        <v>1.0125010262643456E-2</v>
      </c>
      <c r="C16" s="8">
        <v>6796981</v>
      </c>
      <c r="D16" s="11">
        <v>671306085</v>
      </c>
    </row>
    <row r="17" spans="1:4" x14ac:dyDescent="0.3">
      <c r="A17" s="19">
        <v>2020</v>
      </c>
      <c r="B17">
        <v>0.16160911553769503</v>
      </c>
      <c r="C17" s="8">
        <v>140449401</v>
      </c>
      <c r="D17" s="11">
        <v>869068558</v>
      </c>
    </row>
    <row r="18" spans="1:4" x14ac:dyDescent="0.3">
      <c r="A18" s="19">
        <v>2021</v>
      </c>
      <c r="B18">
        <v>0.20027344800795202</v>
      </c>
      <c r="C18" s="8">
        <v>217205955</v>
      </c>
      <c r="D18" s="11">
        <v>1084546939</v>
      </c>
    </row>
    <row r="19" spans="1:4" x14ac:dyDescent="0.3">
      <c r="A19" s="19">
        <v>2022</v>
      </c>
      <c r="B19">
        <v>0.20037139433148926</v>
      </c>
      <c r="C19" s="8">
        <v>292313524</v>
      </c>
      <c r="D19" s="11">
        <v>1458858561</v>
      </c>
    </row>
    <row r="20" spans="1:4" x14ac:dyDescent="0.3">
      <c r="A20" s="19">
        <v>2023</v>
      </c>
      <c r="B20">
        <v>-0.11918730300442833</v>
      </c>
      <c r="C20" s="8">
        <v>-122676743</v>
      </c>
      <c r="D20" s="11">
        <v>1029276944</v>
      </c>
    </row>
    <row r="21" spans="1:4" x14ac:dyDescent="0.3">
      <c r="A21" s="19" t="s">
        <v>171</v>
      </c>
      <c r="B21">
        <v>1.0728782361309268</v>
      </c>
      <c r="C21" s="8">
        <v>698027684</v>
      </c>
      <c r="D21" s="11">
        <v>8149549213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6731F-50DD-4540-BC90-D870F84EDBBA}">
  <dimension ref="A1:P56"/>
  <sheetViews>
    <sheetView zoomScale="50" zoomScaleNormal="50" workbookViewId="0">
      <selection activeCell="R29" sqref="R29"/>
    </sheetView>
  </sheetViews>
  <sheetFormatPr defaultRowHeight="14.4" x14ac:dyDescent="0.3"/>
  <cols>
    <col min="1" max="16384" width="8.88671875" style="21"/>
  </cols>
  <sheetData>
    <row r="1" spans="1:16" x14ac:dyDescent="0.3">
      <c r="A1" s="22"/>
      <c r="B1" s="22"/>
      <c r="C1" s="22"/>
      <c r="D1" s="22"/>
      <c r="E1" s="22"/>
      <c r="F1" s="22"/>
      <c r="G1" s="22"/>
      <c r="H1" s="22"/>
      <c r="I1" s="22"/>
      <c r="J1" s="22"/>
      <c r="K1" s="22"/>
      <c r="L1" s="22"/>
      <c r="M1" s="22"/>
      <c r="N1" s="22"/>
      <c r="O1" s="22"/>
      <c r="P1" s="22"/>
    </row>
    <row r="2" spans="1:16" ht="15.6" customHeight="1" x14ac:dyDescent="0.35">
      <c r="A2" s="22"/>
      <c r="B2" s="100" t="s">
        <v>183</v>
      </c>
      <c r="C2" s="101"/>
      <c r="D2" s="101"/>
      <c r="E2" s="101"/>
      <c r="F2" s="101"/>
      <c r="G2" s="101"/>
      <c r="H2" s="101"/>
      <c r="I2" s="101"/>
      <c r="J2" s="101"/>
      <c r="K2" s="101"/>
      <c r="L2" s="101"/>
      <c r="M2" s="101"/>
      <c r="N2" s="101"/>
      <c r="O2" s="22"/>
      <c r="P2" s="22"/>
    </row>
    <row r="3" spans="1:16" x14ac:dyDescent="0.3">
      <c r="A3" s="22"/>
      <c r="B3" s="22"/>
      <c r="C3" s="22"/>
      <c r="D3" s="22"/>
      <c r="E3" s="22"/>
      <c r="F3" s="22"/>
      <c r="G3" s="22"/>
      <c r="H3" s="22"/>
      <c r="I3" s="22"/>
      <c r="J3" s="22"/>
      <c r="K3" s="22"/>
      <c r="L3" s="22"/>
      <c r="M3" s="22"/>
      <c r="N3" s="22"/>
      <c r="O3" s="22"/>
      <c r="P3" s="22"/>
    </row>
    <row r="4" spans="1:16" ht="15.6" x14ac:dyDescent="0.3">
      <c r="D4" s="99" t="s">
        <v>184</v>
      </c>
      <c r="E4" s="102"/>
      <c r="F4" s="102"/>
      <c r="G4" s="102"/>
      <c r="H4" s="102"/>
      <c r="I4" s="102"/>
      <c r="J4" s="102"/>
      <c r="K4" s="99" t="s">
        <v>185</v>
      </c>
      <c r="L4" s="99"/>
      <c r="M4" s="99"/>
      <c r="N4" s="99"/>
      <c r="O4" s="99"/>
      <c r="P4" s="99"/>
    </row>
    <row r="5" spans="1:16" x14ac:dyDescent="0.3">
      <c r="D5" s="23"/>
      <c r="E5" s="23"/>
      <c r="F5" s="23"/>
      <c r="G5" s="23"/>
      <c r="H5" s="23"/>
      <c r="I5" s="23"/>
      <c r="J5" s="23"/>
      <c r="K5" s="23"/>
      <c r="L5" s="23"/>
      <c r="M5" s="23"/>
      <c r="N5" s="23"/>
      <c r="O5" s="23"/>
      <c r="P5" s="23"/>
    </row>
    <row r="6" spans="1:16" x14ac:dyDescent="0.3">
      <c r="D6" s="23"/>
      <c r="E6" s="23"/>
      <c r="F6" s="23"/>
      <c r="G6" s="23"/>
      <c r="H6" s="23"/>
      <c r="I6" s="23"/>
      <c r="J6" s="23"/>
      <c r="K6" s="23"/>
      <c r="L6" s="23"/>
      <c r="M6" s="23"/>
      <c r="N6" s="23"/>
      <c r="O6" s="23"/>
      <c r="P6" s="23"/>
    </row>
    <row r="7" spans="1:16" x14ac:dyDescent="0.3">
      <c r="D7" s="23"/>
      <c r="E7" s="23"/>
      <c r="F7" s="23"/>
      <c r="G7" s="23"/>
      <c r="H7" s="23"/>
      <c r="I7" s="23"/>
      <c r="J7" s="23"/>
      <c r="K7" s="23"/>
      <c r="L7" s="23"/>
      <c r="M7" s="23"/>
      <c r="N7" s="23"/>
      <c r="O7" s="23"/>
      <c r="P7" s="23"/>
    </row>
    <row r="8" spans="1:16" x14ac:dyDescent="0.3">
      <c r="D8" s="23"/>
      <c r="E8" s="23"/>
      <c r="F8" s="23"/>
      <c r="G8" s="23"/>
      <c r="H8" s="23"/>
      <c r="I8" s="23"/>
      <c r="J8" s="23"/>
      <c r="K8" s="23"/>
      <c r="L8" s="23"/>
      <c r="M8" s="23"/>
      <c r="N8" s="23"/>
      <c r="O8" s="23"/>
      <c r="P8" s="23"/>
    </row>
    <row r="9" spans="1:16" x14ac:dyDescent="0.3">
      <c r="D9" s="23"/>
      <c r="E9" s="23"/>
      <c r="F9" s="23"/>
      <c r="G9" s="23"/>
      <c r="H9" s="23"/>
      <c r="I9" s="23"/>
      <c r="J9" s="23"/>
      <c r="K9" s="23"/>
      <c r="L9" s="23"/>
      <c r="M9" s="23"/>
      <c r="N9" s="23"/>
      <c r="O9" s="23"/>
      <c r="P9" s="23"/>
    </row>
    <row r="10" spans="1:16" x14ac:dyDescent="0.3">
      <c r="D10" s="23"/>
      <c r="E10" s="23"/>
      <c r="F10" s="23"/>
      <c r="G10" s="23"/>
      <c r="H10" s="23"/>
      <c r="I10" s="23"/>
      <c r="J10" s="23"/>
      <c r="K10" s="23"/>
      <c r="L10" s="23"/>
      <c r="M10" s="23"/>
      <c r="N10" s="23"/>
      <c r="O10" s="23"/>
      <c r="P10" s="23"/>
    </row>
    <row r="11" spans="1:16" x14ac:dyDescent="0.3">
      <c r="D11" s="23"/>
      <c r="E11" s="23"/>
      <c r="F11" s="23"/>
      <c r="G11" s="23"/>
      <c r="H11" s="23"/>
      <c r="I11" s="23"/>
      <c r="J11" s="23"/>
      <c r="K11" s="23"/>
      <c r="L11" s="23"/>
      <c r="M11" s="23"/>
      <c r="N11" s="23"/>
      <c r="O11" s="23"/>
      <c r="P11" s="23"/>
    </row>
    <row r="12" spans="1:16" x14ac:dyDescent="0.3">
      <c r="D12" s="23"/>
      <c r="E12" s="23"/>
      <c r="F12" s="23"/>
      <c r="G12" s="23"/>
      <c r="H12" s="23"/>
      <c r="I12" s="23"/>
      <c r="J12" s="23"/>
      <c r="K12" s="23"/>
      <c r="L12" s="23"/>
      <c r="M12" s="23"/>
      <c r="N12" s="23"/>
      <c r="O12" s="23"/>
      <c r="P12" s="23"/>
    </row>
    <row r="13" spans="1:16" x14ac:dyDescent="0.3">
      <c r="D13" s="23"/>
      <c r="E13" s="23"/>
      <c r="F13" s="23"/>
      <c r="G13" s="23"/>
      <c r="H13" s="23"/>
      <c r="I13" s="23"/>
      <c r="J13" s="23"/>
      <c r="K13" s="23"/>
      <c r="L13" s="23"/>
      <c r="M13" s="23"/>
      <c r="N13" s="23"/>
      <c r="O13" s="23"/>
      <c r="P13" s="23"/>
    </row>
    <row r="14" spans="1:16" x14ac:dyDescent="0.3">
      <c r="D14" s="23"/>
      <c r="E14" s="23"/>
      <c r="F14" s="23"/>
      <c r="G14" s="23"/>
      <c r="H14" s="23"/>
      <c r="I14" s="23"/>
      <c r="J14" s="23"/>
      <c r="K14" s="23"/>
      <c r="L14" s="23"/>
      <c r="M14" s="23"/>
      <c r="N14" s="23"/>
      <c r="O14" s="23"/>
      <c r="P14" s="23"/>
    </row>
    <row r="15" spans="1:16" x14ac:dyDescent="0.3">
      <c r="D15" s="23"/>
      <c r="E15" s="23"/>
      <c r="F15" s="23"/>
      <c r="G15" s="23"/>
      <c r="H15" s="23"/>
      <c r="I15" s="23"/>
      <c r="J15" s="23"/>
      <c r="K15" s="23"/>
      <c r="L15" s="23"/>
      <c r="M15" s="23"/>
      <c r="N15" s="23"/>
      <c r="O15" s="23"/>
      <c r="P15" s="23"/>
    </row>
    <row r="16" spans="1:16" ht="15.6" x14ac:dyDescent="0.3">
      <c r="D16" s="99" t="s">
        <v>186</v>
      </c>
      <c r="E16" s="99"/>
      <c r="F16" s="99"/>
      <c r="G16" s="99"/>
      <c r="H16" s="99"/>
      <c r="I16" s="99"/>
      <c r="J16" s="99"/>
      <c r="K16" s="99" t="s">
        <v>187</v>
      </c>
      <c r="L16" s="99"/>
      <c r="M16" s="99"/>
      <c r="N16" s="99"/>
      <c r="O16" s="99"/>
      <c r="P16" s="99"/>
    </row>
    <row r="17" spans="4:16" x14ac:dyDescent="0.3">
      <c r="D17" s="23"/>
      <c r="E17" s="23"/>
      <c r="F17" s="23"/>
      <c r="G17" s="23"/>
      <c r="H17" s="23"/>
      <c r="I17" s="23"/>
      <c r="J17" s="23"/>
      <c r="K17" s="23"/>
      <c r="L17" s="23"/>
      <c r="M17" s="23"/>
      <c r="N17" s="23"/>
      <c r="O17" s="23"/>
      <c r="P17" s="23"/>
    </row>
    <row r="18" spans="4:16" x14ac:dyDescent="0.3">
      <c r="D18" s="23"/>
      <c r="E18" s="23"/>
      <c r="F18" s="23"/>
      <c r="G18" s="23"/>
      <c r="H18" s="23"/>
      <c r="I18" s="23"/>
      <c r="J18" s="23"/>
      <c r="K18" s="23"/>
      <c r="L18" s="23"/>
      <c r="M18" s="23"/>
      <c r="N18" s="23"/>
      <c r="O18" s="23"/>
      <c r="P18" s="23"/>
    </row>
    <row r="19" spans="4:16" x14ac:dyDescent="0.3">
      <c r="D19" s="23"/>
      <c r="E19" s="23"/>
      <c r="F19" s="23"/>
      <c r="G19" s="23"/>
      <c r="H19" s="23"/>
      <c r="I19" s="23"/>
      <c r="J19" s="23"/>
      <c r="K19" s="23"/>
      <c r="L19" s="23"/>
      <c r="M19" s="23"/>
      <c r="N19" s="23"/>
      <c r="O19" s="23"/>
      <c r="P19" s="23"/>
    </row>
    <row r="20" spans="4:16" x14ac:dyDescent="0.3">
      <c r="D20" s="23"/>
      <c r="E20" s="23"/>
      <c r="F20" s="23"/>
      <c r="G20" s="23"/>
      <c r="H20" s="23"/>
      <c r="I20" s="23"/>
      <c r="J20" s="23"/>
      <c r="K20" s="23"/>
      <c r="L20" s="23"/>
      <c r="M20" s="23"/>
      <c r="N20" s="23"/>
      <c r="O20" s="23"/>
      <c r="P20" s="23"/>
    </row>
    <row r="21" spans="4:16" x14ac:dyDescent="0.3">
      <c r="D21" s="23"/>
      <c r="E21" s="23"/>
      <c r="F21" s="23"/>
      <c r="G21" s="23"/>
      <c r="H21" s="23"/>
      <c r="I21" s="23"/>
      <c r="J21" s="23"/>
      <c r="K21" s="23"/>
      <c r="L21" s="23"/>
      <c r="M21" s="23"/>
      <c r="N21" s="23"/>
      <c r="O21" s="23"/>
      <c r="P21" s="23"/>
    </row>
    <row r="22" spans="4:16" x14ac:dyDescent="0.3">
      <c r="D22" s="23"/>
      <c r="E22" s="23"/>
      <c r="F22" s="23"/>
      <c r="G22" s="23"/>
      <c r="H22" s="23"/>
      <c r="I22" s="23"/>
      <c r="J22" s="23"/>
      <c r="K22" s="23"/>
      <c r="L22" s="23"/>
      <c r="M22" s="23"/>
      <c r="N22" s="23"/>
      <c r="O22" s="23"/>
      <c r="P22" s="23"/>
    </row>
    <row r="23" spans="4:16" x14ac:dyDescent="0.3">
      <c r="D23" s="23"/>
      <c r="E23" s="23"/>
      <c r="F23" s="23"/>
      <c r="G23" s="23"/>
      <c r="H23" s="23"/>
      <c r="I23" s="23"/>
      <c r="J23" s="23"/>
      <c r="K23" s="23"/>
      <c r="L23" s="23"/>
      <c r="M23" s="23"/>
      <c r="N23" s="23"/>
      <c r="O23" s="23"/>
      <c r="P23" s="23"/>
    </row>
    <row r="24" spans="4:16" x14ac:dyDescent="0.3">
      <c r="D24" s="23"/>
      <c r="E24" s="23"/>
      <c r="F24" s="23"/>
      <c r="G24" s="23"/>
      <c r="H24" s="23"/>
      <c r="I24" s="23"/>
      <c r="J24" s="23"/>
      <c r="K24" s="23"/>
      <c r="L24" s="23"/>
      <c r="M24" s="23"/>
      <c r="N24" s="23"/>
      <c r="O24" s="23"/>
      <c r="P24" s="23"/>
    </row>
    <row r="25" spans="4:16" x14ac:dyDescent="0.3">
      <c r="D25" s="23"/>
      <c r="E25" s="23"/>
      <c r="F25" s="23"/>
      <c r="G25" s="23"/>
      <c r="H25" s="23"/>
      <c r="I25" s="23"/>
      <c r="J25" s="23"/>
      <c r="K25" s="23"/>
      <c r="L25" s="23"/>
      <c r="M25" s="23"/>
      <c r="N25" s="23"/>
      <c r="O25" s="23"/>
      <c r="P25" s="23"/>
    </row>
    <row r="26" spans="4:16" x14ac:dyDescent="0.3">
      <c r="D26" s="23"/>
      <c r="E26" s="23"/>
      <c r="F26" s="23"/>
      <c r="G26" s="23"/>
      <c r="H26" s="23"/>
      <c r="I26" s="23"/>
      <c r="J26" s="23"/>
      <c r="K26" s="23"/>
      <c r="L26" s="23"/>
      <c r="M26" s="23"/>
      <c r="N26" s="23"/>
      <c r="O26" s="23"/>
      <c r="P26" s="23"/>
    </row>
    <row r="27" spans="4:16" x14ac:dyDescent="0.3">
      <c r="D27" s="23"/>
      <c r="E27" s="23"/>
      <c r="F27" s="23"/>
      <c r="G27" s="23"/>
      <c r="H27" s="23"/>
      <c r="I27" s="23"/>
      <c r="J27" s="23"/>
      <c r="K27" s="23"/>
      <c r="L27" s="23"/>
      <c r="M27" s="23"/>
      <c r="N27" s="23"/>
      <c r="O27" s="23"/>
      <c r="P27" s="23"/>
    </row>
    <row r="28" spans="4:16" x14ac:dyDescent="0.3">
      <c r="D28" s="23"/>
      <c r="E28" s="23"/>
      <c r="F28" s="23"/>
      <c r="G28" s="23"/>
      <c r="H28" s="23"/>
      <c r="I28" s="23"/>
      <c r="J28" s="23"/>
      <c r="K28" s="23"/>
      <c r="L28" s="23"/>
      <c r="M28" s="23"/>
      <c r="N28" s="23"/>
      <c r="O28" s="23"/>
      <c r="P28" s="23"/>
    </row>
    <row r="29" spans="4:16" ht="15.6" x14ac:dyDescent="0.3">
      <c r="D29" s="99" t="s">
        <v>188</v>
      </c>
      <c r="E29" s="99"/>
      <c r="F29" s="99"/>
      <c r="G29" s="99"/>
      <c r="H29" s="99"/>
      <c r="I29" s="99"/>
      <c r="J29" s="99"/>
      <c r="K29" s="23"/>
      <c r="L29" s="23"/>
      <c r="M29" s="23"/>
      <c r="N29" s="23"/>
      <c r="O29" s="23"/>
      <c r="P29" s="23"/>
    </row>
    <row r="30" spans="4:16" x14ac:dyDescent="0.3">
      <c r="D30" s="23"/>
      <c r="E30" s="23"/>
      <c r="F30" s="23"/>
      <c r="G30" s="23"/>
      <c r="H30" s="23"/>
      <c r="I30" s="23"/>
      <c r="J30" s="23"/>
      <c r="K30" s="23"/>
      <c r="L30" s="23"/>
      <c r="M30" s="23"/>
      <c r="N30" s="23"/>
      <c r="O30" s="23"/>
      <c r="P30" s="23"/>
    </row>
    <row r="31" spans="4:16" x14ac:dyDescent="0.3">
      <c r="D31" s="23"/>
      <c r="E31" s="23"/>
      <c r="F31" s="23"/>
      <c r="G31" s="23"/>
      <c r="H31" s="23"/>
      <c r="I31" s="23"/>
      <c r="J31" s="23"/>
      <c r="K31" s="23"/>
      <c r="L31" s="23"/>
      <c r="M31" s="23"/>
      <c r="N31" s="23"/>
      <c r="O31" s="23"/>
      <c r="P31" s="23"/>
    </row>
    <row r="32" spans="4:16" x14ac:dyDescent="0.3">
      <c r="D32" s="23"/>
      <c r="E32" s="23"/>
      <c r="F32" s="23"/>
      <c r="G32" s="23"/>
      <c r="H32" s="23"/>
      <c r="I32" s="23"/>
      <c r="J32" s="23"/>
      <c r="K32" s="23"/>
      <c r="L32" s="23"/>
      <c r="M32" s="23"/>
      <c r="N32" s="23"/>
      <c r="O32" s="23"/>
      <c r="P32" s="23"/>
    </row>
    <row r="33" spans="1:16" x14ac:dyDescent="0.3">
      <c r="D33" s="23"/>
      <c r="E33" s="23"/>
      <c r="F33" s="23"/>
      <c r="G33" s="23"/>
      <c r="H33" s="23"/>
      <c r="I33" s="23"/>
      <c r="J33" s="23"/>
      <c r="K33" s="23"/>
      <c r="L33" s="23"/>
      <c r="M33" s="23"/>
      <c r="N33" s="23"/>
      <c r="O33" s="23"/>
      <c r="P33" s="23"/>
    </row>
    <row r="34" spans="1:16" x14ac:dyDescent="0.3">
      <c r="D34" s="23"/>
      <c r="E34" s="23"/>
      <c r="F34" s="23"/>
      <c r="G34" s="23"/>
      <c r="H34" s="23"/>
      <c r="I34" s="23"/>
      <c r="J34" s="23"/>
      <c r="K34" s="23"/>
      <c r="L34" s="23"/>
      <c r="M34" s="23"/>
      <c r="N34" s="23"/>
      <c r="O34" s="23"/>
      <c r="P34" s="23"/>
    </row>
    <row r="35" spans="1:16" x14ac:dyDescent="0.3">
      <c r="D35" s="23"/>
      <c r="E35" s="23"/>
      <c r="F35" s="23"/>
      <c r="G35" s="23"/>
      <c r="H35" s="23"/>
      <c r="I35" s="23"/>
      <c r="J35" s="23"/>
      <c r="K35" s="23"/>
      <c r="L35" s="23"/>
      <c r="M35" s="23"/>
      <c r="N35" s="23"/>
      <c r="O35" s="23"/>
      <c r="P35" s="23"/>
    </row>
    <row r="36" spans="1:16" x14ac:dyDescent="0.3">
      <c r="D36" s="23"/>
      <c r="E36" s="23"/>
      <c r="F36" s="23"/>
      <c r="G36" s="23"/>
      <c r="H36" s="23"/>
      <c r="I36" s="23"/>
      <c r="J36" s="23"/>
      <c r="K36" s="23"/>
      <c r="L36" s="23"/>
      <c r="M36" s="23"/>
      <c r="N36" s="23"/>
      <c r="O36" s="23"/>
      <c r="P36" s="23"/>
    </row>
    <row r="37" spans="1:16" x14ac:dyDescent="0.3">
      <c r="D37" s="23"/>
      <c r="E37" s="23"/>
      <c r="F37" s="23"/>
      <c r="G37" s="23"/>
      <c r="H37" s="23"/>
      <c r="I37" s="23"/>
      <c r="J37" s="23"/>
      <c r="K37" s="23"/>
      <c r="L37" s="23"/>
      <c r="M37" s="23"/>
      <c r="N37" s="23"/>
      <c r="O37" s="23"/>
      <c r="P37" s="23"/>
    </row>
    <row r="38" spans="1:16" x14ac:dyDescent="0.3">
      <c r="D38" s="23"/>
      <c r="E38" s="23"/>
      <c r="F38" s="23"/>
      <c r="G38" s="23"/>
      <c r="H38" s="23"/>
      <c r="I38" s="23"/>
      <c r="J38" s="23"/>
      <c r="K38" s="23"/>
      <c r="L38" s="23"/>
      <c r="M38" s="23"/>
      <c r="N38" s="23"/>
      <c r="O38" s="23"/>
      <c r="P38" s="23"/>
    </row>
    <row r="39" spans="1:16" x14ac:dyDescent="0.3">
      <c r="D39" s="23"/>
      <c r="E39" s="23"/>
      <c r="F39" s="23"/>
      <c r="G39" s="23"/>
      <c r="H39" s="23"/>
      <c r="I39" s="23"/>
      <c r="J39" s="23"/>
      <c r="K39" s="23"/>
      <c r="L39" s="23"/>
      <c r="M39" s="23"/>
      <c r="N39" s="23"/>
      <c r="O39" s="23"/>
      <c r="P39" s="23"/>
    </row>
    <row r="40" spans="1:16" x14ac:dyDescent="0.3">
      <c r="A40" s="23"/>
      <c r="B40" s="23"/>
      <c r="C40" s="23"/>
      <c r="D40" s="23"/>
      <c r="E40" s="23"/>
      <c r="F40" s="23"/>
      <c r="G40" s="23"/>
      <c r="H40" s="23"/>
      <c r="I40" s="23"/>
      <c r="J40" s="23"/>
      <c r="K40" s="23"/>
      <c r="L40" s="23"/>
      <c r="M40" s="23"/>
      <c r="N40" s="23"/>
      <c r="O40" s="23"/>
      <c r="P40" s="23"/>
    </row>
    <row r="41" spans="1:16" x14ac:dyDescent="0.3">
      <c r="A41" s="23"/>
      <c r="B41" s="23"/>
      <c r="C41" s="23"/>
      <c r="D41" s="23"/>
      <c r="E41" s="23"/>
      <c r="F41" s="23"/>
      <c r="G41" s="23"/>
      <c r="H41" s="23"/>
      <c r="I41" s="23"/>
      <c r="J41" s="23"/>
      <c r="K41" s="23"/>
      <c r="L41" s="23"/>
      <c r="M41" s="23"/>
      <c r="N41" s="23"/>
      <c r="O41" s="23"/>
      <c r="P41" s="23"/>
    </row>
    <row r="42" spans="1:16" x14ac:dyDescent="0.3">
      <c r="A42" s="23"/>
      <c r="B42" s="23"/>
      <c r="C42" s="23"/>
      <c r="D42" s="23"/>
      <c r="E42" s="23"/>
      <c r="F42" s="23"/>
      <c r="G42" s="23"/>
      <c r="H42" s="23"/>
      <c r="I42" s="23"/>
      <c r="J42" s="23"/>
      <c r="K42" s="23"/>
      <c r="L42" s="23"/>
      <c r="M42" s="23"/>
      <c r="N42" s="23"/>
      <c r="O42" s="23"/>
      <c r="P42" s="23"/>
    </row>
    <row r="43" spans="1:16" ht="15.6" x14ac:dyDescent="0.3">
      <c r="A43" s="23"/>
      <c r="B43" s="23"/>
      <c r="C43" s="23"/>
      <c r="D43" s="99" t="s">
        <v>189</v>
      </c>
      <c r="E43" s="99"/>
      <c r="F43" s="99"/>
      <c r="G43" s="99"/>
      <c r="H43" s="99"/>
      <c r="I43" s="99"/>
      <c r="J43" s="99"/>
      <c r="K43" s="23"/>
      <c r="L43" s="23"/>
      <c r="M43" s="23"/>
      <c r="N43" s="23"/>
      <c r="O43" s="23"/>
      <c r="P43" s="23"/>
    </row>
    <row r="44" spans="1:16" x14ac:dyDescent="0.3">
      <c r="A44" s="23"/>
      <c r="B44" s="23"/>
      <c r="C44" s="23"/>
      <c r="D44" s="23"/>
      <c r="E44" s="23"/>
      <c r="F44" s="23"/>
      <c r="G44" s="23"/>
      <c r="H44" s="23"/>
      <c r="I44" s="23"/>
      <c r="J44" s="23"/>
      <c r="K44" s="23"/>
      <c r="L44" s="23"/>
      <c r="M44" s="23"/>
      <c r="N44" s="23"/>
      <c r="O44" s="23"/>
      <c r="P44" s="23"/>
    </row>
    <row r="45" spans="1:16" x14ac:dyDescent="0.3">
      <c r="A45" s="23"/>
      <c r="B45" s="23"/>
      <c r="C45" s="23"/>
      <c r="D45" s="23"/>
      <c r="E45" s="23"/>
      <c r="F45" s="23"/>
      <c r="G45" s="23"/>
      <c r="H45" s="23"/>
      <c r="I45" s="23"/>
      <c r="J45" s="23"/>
      <c r="K45" s="23"/>
      <c r="L45" s="23"/>
      <c r="M45" s="23"/>
      <c r="N45" s="23"/>
      <c r="O45" s="23"/>
      <c r="P45" s="23"/>
    </row>
    <row r="46" spans="1:16" x14ac:dyDescent="0.3">
      <c r="A46" s="23"/>
      <c r="B46" s="23"/>
      <c r="C46" s="23"/>
      <c r="D46" s="23"/>
      <c r="E46" s="23"/>
      <c r="F46" s="23"/>
      <c r="G46" s="23"/>
      <c r="H46" s="23"/>
      <c r="I46" s="23"/>
      <c r="J46" s="23"/>
      <c r="K46" s="23"/>
      <c r="L46" s="23"/>
      <c r="M46" s="23"/>
      <c r="N46" s="23"/>
      <c r="O46" s="23"/>
      <c r="P46" s="23"/>
    </row>
    <row r="47" spans="1:16" x14ac:dyDescent="0.3">
      <c r="A47" s="23"/>
      <c r="B47" s="23"/>
      <c r="C47" s="23"/>
      <c r="D47" s="23"/>
      <c r="E47" s="23"/>
      <c r="F47" s="23"/>
      <c r="G47" s="23"/>
      <c r="H47" s="23"/>
      <c r="I47" s="23"/>
      <c r="J47" s="23"/>
      <c r="K47" s="23"/>
      <c r="L47" s="23"/>
      <c r="M47" s="23"/>
      <c r="N47" s="23"/>
      <c r="O47" s="23"/>
      <c r="P47" s="23"/>
    </row>
    <row r="48" spans="1:16" x14ac:dyDescent="0.3">
      <c r="A48" s="23"/>
      <c r="B48" s="23"/>
      <c r="C48" s="23"/>
      <c r="D48" s="23"/>
      <c r="E48" s="23"/>
      <c r="F48" s="23"/>
      <c r="G48" s="23"/>
      <c r="H48" s="23"/>
      <c r="I48" s="23"/>
      <c r="J48" s="23"/>
      <c r="K48" s="23"/>
      <c r="L48" s="23"/>
      <c r="M48" s="23"/>
      <c r="N48" s="23"/>
      <c r="O48" s="23"/>
      <c r="P48" s="23"/>
    </row>
    <row r="49" spans="1:16" x14ac:dyDescent="0.3">
      <c r="A49" s="23"/>
      <c r="B49" s="23"/>
      <c r="C49" s="23"/>
      <c r="D49" s="23"/>
      <c r="E49" s="23"/>
      <c r="F49" s="23"/>
      <c r="G49" s="23"/>
      <c r="H49" s="23"/>
      <c r="I49" s="23"/>
      <c r="J49" s="23"/>
      <c r="K49" s="23"/>
      <c r="L49" s="23"/>
      <c r="M49" s="23"/>
      <c r="N49" s="23"/>
      <c r="O49" s="23"/>
      <c r="P49" s="23"/>
    </row>
    <row r="50" spans="1:16" x14ac:dyDescent="0.3">
      <c r="A50" s="23"/>
      <c r="B50" s="23"/>
      <c r="C50" s="23"/>
      <c r="D50" s="23"/>
      <c r="E50" s="23"/>
      <c r="F50" s="23"/>
      <c r="G50" s="23"/>
      <c r="H50" s="23"/>
      <c r="I50" s="23"/>
      <c r="J50" s="23"/>
      <c r="K50" s="23"/>
      <c r="L50" s="23"/>
      <c r="M50" s="23"/>
      <c r="N50" s="23"/>
      <c r="O50" s="23"/>
      <c r="P50" s="23"/>
    </row>
    <row r="51" spans="1:16" x14ac:dyDescent="0.3">
      <c r="A51" s="23"/>
      <c r="B51" s="23"/>
      <c r="C51" s="23"/>
      <c r="D51" s="23"/>
      <c r="E51" s="23"/>
      <c r="F51" s="23"/>
      <c r="G51" s="23"/>
      <c r="H51" s="23"/>
      <c r="I51" s="23"/>
      <c r="J51" s="23"/>
      <c r="K51" s="23"/>
      <c r="L51" s="23"/>
      <c r="M51" s="23"/>
      <c r="N51" s="23"/>
      <c r="O51" s="23"/>
      <c r="P51" s="23"/>
    </row>
    <row r="52" spans="1:16" x14ac:dyDescent="0.3">
      <c r="A52" s="23"/>
      <c r="B52" s="23"/>
      <c r="C52" s="23"/>
      <c r="D52" s="23"/>
      <c r="E52" s="23"/>
      <c r="F52" s="23"/>
      <c r="G52" s="23"/>
      <c r="H52" s="23"/>
      <c r="I52" s="23"/>
      <c r="J52" s="23"/>
      <c r="K52" s="23"/>
      <c r="L52" s="23"/>
      <c r="M52" s="23"/>
      <c r="N52" s="23"/>
      <c r="O52" s="23"/>
      <c r="P52" s="23"/>
    </row>
    <row r="53" spans="1:16" x14ac:dyDescent="0.3">
      <c r="A53" s="23"/>
      <c r="B53" s="23"/>
      <c r="C53" s="23"/>
      <c r="D53" s="23"/>
      <c r="E53" s="23"/>
      <c r="F53" s="23"/>
      <c r="G53" s="23"/>
      <c r="H53" s="23"/>
      <c r="I53" s="23"/>
      <c r="J53" s="23"/>
      <c r="K53" s="23"/>
      <c r="L53" s="23"/>
      <c r="M53" s="23"/>
      <c r="N53" s="23"/>
      <c r="O53" s="23"/>
      <c r="P53" s="23"/>
    </row>
    <row r="54" spans="1:16" x14ac:dyDescent="0.3">
      <c r="A54" s="23"/>
      <c r="B54" s="23"/>
      <c r="C54" s="23"/>
      <c r="D54" s="23"/>
      <c r="E54" s="23"/>
      <c r="F54" s="23"/>
      <c r="G54" s="23"/>
      <c r="H54" s="23"/>
      <c r="I54" s="23"/>
      <c r="J54" s="23"/>
      <c r="K54" s="23"/>
      <c r="L54" s="23"/>
      <c r="M54" s="23"/>
      <c r="N54" s="23"/>
      <c r="O54" s="23"/>
      <c r="P54" s="23"/>
    </row>
    <row r="55" spans="1:16" x14ac:dyDescent="0.3">
      <c r="A55" s="23"/>
      <c r="B55" s="23"/>
      <c r="C55" s="23"/>
      <c r="D55" s="23"/>
      <c r="E55" s="23"/>
      <c r="F55" s="23"/>
      <c r="G55" s="23"/>
      <c r="H55" s="23"/>
      <c r="I55" s="23"/>
      <c r="J55" s="23"/>
      <c r="K55" s="23"/>
      <c r="L55" s="23"/>
      <c r="M55" s="23"/>
      <c r="N55" s="23"/>
      <c r="O55" s="23"/>
      <c r="P55" s="23"/>
    </row>
    <row r="56" spans="1:16" x14ac:dyDescent="0.3">
      <c r="A56" s="23"/>
      <c r="B56" s="23"/>
      <c r="C56" s="23"/>
      <c r="D56" s="23"/>
      <c r="E56" s="23"/>
      <c r="F56" s="23"/>
      <c r="G56" s="23"/>
      <c r="H56" s="23"/>
      <c r="I56" s="23"/>
      <c r="J56" s="23"/>
      <c r="K56" s="23"/>
      <c r="L56" s="23"/>
      <c r="M56" s="23"/>
      <c r="N56" s="23"/>
      <c r="O56" s="23"/>
      <c r="P56" s="23"/>
    </row>
  </sheetData>
  <mergeCells count="7">
    <mergeCell ref="D43:J43"/>
    <mergeCell ref="D29:J29"/>
    <mergeCell ref="B2:N2"/>
    <mergeCell ref="D4:J4"/>
    <mergeCell ref="K4:P4"/>
    <mergeCell ref="D16:J16"/>
    <mergeCell ref="K16:P1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EC449-E8EA-4AEC-A809-F545232AF32F}">
  <dimension ref="A1:S63"/>
  <sheetViews>
    <sheetView topLeftCell="C4" workbookViewId="0">
      <selection activeCell="S28" sqref="S28"/>
    </sheetView>
  </sheetViews>
  <sheetFormatPr defaultRowHeight="14.4" x14ac:dyDescent="0.3"/>
  <cols>
    <col min="4" max="4" width="13.5546875" bestFit="1" customWidth="1"/>
    <col min="5" max="5" width="12" customWidth="1"/>
    <col min="6" max="6" width="11.6640625" customWidth="1"/>
    <col min="7" max="7" width="11.77734375" customWidth="1"/>
    <col min="8" max="8" width="7" bestFit="1" customWidth="1"/>
    <col min="9" max="9" width="12.21875" customWidth="1"/>
    <col min="10" max="10" width="12.77734375" customWidth="1"/>
    <col min="11" max="11" width="12" bestFit="1" customWidth="1"/>
    <col min="16" max="19" width="12.6640625" bestFit="1" customWidth="1"/>
  </cols>
  <sheetData>
    <row r="1" spans="1:11" x14ac:dyDescent="0.3">
      <c r="E1" s="2" t="s">
        <v>210</v>
      </c>
      <c r="J1" s="2" t="s">
        <v>210</v>
      </c>
    </row>
    <row r="2" spans="1:11" s="2" customFormat="1" ht="28.8" x14ac:dyDescent="0.3">
      <c r="A2" s="26"/>
      <c r="B2" s="54" t="s">
        <v>211</v>
      </c>
      <c r="C2" s="55" t="s">
        <v>213</v>
      </c>
      <c r="D2" s="55" t="s">
        <v>212</v>
      </c>
      <c r="E2" s="49" t="s">
        <v>214</v>
      </c>
      <c r="F2" s="55" t="s">
        <v>217</v>
      </c>
      <c r="G2" s="55" t="s">
        <v>218</v>
      </c>
      <c r="H2" s="55" t="s">
        <v>219</v>
      </c>
      <c r="I2" s="55" t="s">
        <v>220</v>
      </c>
      <c r="J2" s="49" t="s">
        <v>245</v>
      </c>
      <c r="K2" s="56" t="s">
        <v>221</v>
      </c>
    </row>
    <row r="3" spans="1:11" x14ac:dyDescent="0.3">
      <c r="A3" s="27"/>
      <c r="E3" s="78">
        <v>0.95360454685808138</v>
      </c>
      <c r="K3" s="28"/>
    </row>
    <row r="4" spans="1:11" ht="14.4" customHeight="1" x14ac:dyDescent="0.3">
      <c r="A4" s="105" t="s">
        <v>215</v>
      </c>
      <c r="B4" s="60">
        <v>1</v>
      </c>
      <c r="C4" s="37">
        <v>2007</v>
      </c>
      <c r="D4" s="39">
        <v>22133144</v>
      </c>
      <c r="E4" s="37"/>
      <c r="F4" s="37"/>
      <c r="G4" s="37"/>
      <c r="H4" s="37"/>
      <c r="I4" s="37"/>
      <c r="J4" s="38">
        <f>D4</f>
        <v>22133144</v>
      </c>
      <c r="K4" s="39">
        <f>D4</f>
        <v>22133144</v>
      </c>
    </row>
    <row r="5" spans="1:11" x14ac:dyDescent="0.3">
      <c r="A5" s="106"/>
      <c r="B5" s="2">
        <v>2</v>
      </c>
      <c r="C5">
        <v>2008</v>
      </c>
      <c r="D5" s="28">
        <v>64876609</v>
      </c>
      <c r="J5" s="27">
        <f t="shared" ref="J5:J15" si="0">D5</f>
        <v>64876609</v>
      </c>
      <c r="K5" s="28">
        <f t="shared" ref="K5:K15" si="1">D5</f>
        <v>64876609</v>
      </c>
    </row>
    <row r="6" spans="1:11" x14ac:dyDescent="0.3">
      <c r="A6" s="106"/>
      <c r="B6" s="2">
        <v>3</v>
      </c>
      <c r="C6">
        <v>2009</v>
      </c>
      <c r="D6" s="28">
        <v>104876324</v>
      </c>
      <c r="J6" s="27">
        <f t="shared" si="0"/>
        <v>104876324</v>
      </c>
      <c r="K6" s="28">
        <f t="shared" si="1"/>
        <v>104876324</v>
      </c>
    </row>
    <row r="7" spans="1:11" x14ac:dyDescent="0.3">
      <c r="A7" s="106"/>
      <c r="B7" s="2">
        <v>4</v>
      </c>
      <c r="C7">
        <v>2010</v>
      </c>
      <c r="D7" s="28">
        <v>122015011</v>
      </c>
      <c r="J7" s="27">
        <f t="shared" si="0"/>
        <v>122015011</v>
      </c>
      <c r="K7" s="28">
        <f t="shared" si="1"/>
        <v>122015011</v>
      </c>
    </row>
    <row r="8" spans="1:11" x14ac:dyDescent="0.3">
      <c r="A8" s="106"/>
      <c r="B8" s="2">
        <v>5</v>
      </c>
      <c r="C8">
        <v>2011</v>
      </c>
      <c r="D8" s="28">
        <v>135614898</v>
      </c>
      <c r="J8" s="27">
        <f t="shared" si="0"/>
        <v>135614898</v>
      </c>
      <c r="K8" s="28">
        <f t="shared" si="1"/>
        <v>135614898</v>
      </c>
    </row>
    <row r="9" spans="1:11" x14ac:dyDescent="0.3">
      <c r="A9" s="106"/>
      <c r="B9" s="2">
        <v>6</v>
      </c>
      <c r="C9">
        <v>2012</v>
      </c>
      <c r="D9" s="28">
        <v>160935943</v>
      </c>
      <c r="J9" s="27">
        <f t="shared" si="0"/>
        <v>160935943</v>
      </c>
      <c r="K9" s="28">
        <f t="shared" si="1"/>
        <v>160935943</v>
      </c>
    </row>
    <row r="10" spans="1:11" x14ac:dyDescent="0.3">
      <c r="A10" s="106"/>
      <c r="B10" s="2">
        <v>7</v>
      </c>
      <c r="C10">
        <v>2013</v>
      </c>
      <c r="D10" s="28">
        <v>196513222</v>
      </c>
      <c r="J10" s="27">
        <f t="shared" si="0"/>
        <v>196513222</v>
      </c>
      <c r="K10" s="28">
        <f t="shared" si="1"/>
        <v>196513222</v>
      </c>
    </row>
    <row r="11" spans="1:11" x14ac:dyDescent="0.3">
      <c r="A11" s="106"/>
      <c r="B11" s="2">
        <v>8</v>
      </c>
      <c r="C11">
        <v>2014</v>
      </c>
      <c r="D11" s="28">
        <v>251516730</v>
      </c>
      <c r="J11" s="27">
        <f t="shared" si="0"/>
        <v>251516730</v>
      </c>
      <c r="K11" s="28">
        <f t="shared" si="1"/>
        <v>251516730</v>
      </c>
    </row>
    <row r="12" spans="1:11" x14ac:dyDescent="0.3">
      <c r="A12" s="106"/>
      <c r="B12" s="2">
        <v>9</v>
      </c>
      <c r="C12">
        <v>2015</v>
      </c>
      <c r="D12" s="28">
        <v>387037483</v>
      </c>
      <c r="J12" s="27">
        <f t="shared" si="0"/>
        <v>387037483</v>
      </c>
      <c r="K12" s="28">
        <f t="shared" si="1"/>
        <v>387037483</v>
      </c>
    </row>
    <row r="13" spans="1:11" x14ac:dyDescent="0.3">
      <c r="A13" s="106"/>
      <c r="B13" s="2">
        <v>10</v>
      </c>
      <c r="C13">
        <v>2016</v>
      </c>
      <c r="D13" s="28">
        <v>453169770</v>
      </c>
      <c r="J13" s="27">
        <f t="shared" si="0"/>
        <v>453169770</v>
      </c>
      <c r="K13" s="28">
        <f t="shared" si="1"/>
        <v>453169770</v>
      </c>
    </row>
    <row r="14" spans="1:11" ht="15" thickBot="1" x14ac:dyDescent="0.35">
      <c r="A14" s="106"/>
      <c r="B14" s="2">
        <v>11</v>
      </c>
      <c r="C14">
        <v>2017</v>
      </c>
      <c r="D14" s="28">
        <v>591862278</v>
      </c>
      <c r="J14" s="27">
        <f t="shared" si="0"/>
        <v>591862278</v>
      </c>
      <c r="K14" s="28">
        <f t="shared" si="1"/>
        <v>591862278</v>
      </c>
    </row>
    <row r="15" spans="1:11" x14ac:dyDescent="0.3">
      <c r="A15" s="107"/>
      <c r="B15" s="63">
        <v>12</v>
      </c>
      <c r="C15" s="25">
        <v>2018</v>
      </c>
      <c r="D15" s="40">
        <v>545940714</v>
      </c>
      <c r="E15" s="36">
        <f>D15</f>
        <v>545940714</v>
      </c>
      <c r="J15" s="27">
        <f t="shared" si="0"/>
        <v>545940714</v>
      </c>
      <c r="K15" s="28">
        <f t="shared" si="1"/>
        <v>545940714</v>
      </c>
    </row>
    <row r="16" spans="1:11" x14ac:dyDescent="0.3">
      <c r="A16" s="103" t="s">
        <v>216</v>
      </c>
      <c r="B16" s="2">
        <v>13</v>
      </c>
      <c r="C16">
        <v>2019</v>
      </c>
      <c r="D16">
        <v>671306085</v>
      </c>
      <c r="E16" s="41">
        <f>ROUND(E15+$E$3*(D15-E15),0)</f>
        <v>545940714</v>
      </c>
      <c r="F16" s="42">
        <f>E16-D16</f>
        <v>-125365371</v>
      </c>
      <c r="G16" s="42">
        <f>ABS(F16)</f>
        <v>125365371</v>
      </c>
      <c r="H16" s="43">
        <f>G16/D16</f>
        <v>0.18674845022446057</v>
      </c>
      <c r="I16" s="42">
        <f>F16^2</f>
        <v>1.571647624596764E+16</v>
      </c>
      <c r="J16" s="44">
        <f>ROUND(AVERAGE(J13:J15),0)</f>
        <v>530324254</v>
      </c>
      <c r="K16" s="45">
        <f>TREND($K$4:$K$15,$B$4:$B$15,B16)</f>
        <v>586022909.31818187</v>
      </c>
    </row>
    <row r="17" spans="1:19" x14ac:dyDescent="0.3">
      <c r="A17" s="103"/>
      <c r="B17" s="2">
        <v>14</v>
      </c>
      <c r="C17">
        <v>2020</v>
      </c>
      <c r="D17">
        <v>869068558</v>
      </c>
      <c r="E17" s="46">
        <f t="shared" ref="E17:E19" si="2">ROUND(E16+$E$3*(D16-E16),0)</f>
        <v>665489702</v>
      </c>
      <c r="F17" s="23">
        <f t="shared" ref="F17:F20" si="3">E17-D17</f>
        <v>-203578856</v>
      </c>
      <c r="G17" s="23">
        <f>ABS(F17)</f>
        <v>203578856</v>
      </c>
      <c r="H17" s="30">
        <f t="shared" ref="H17:H20" si="4">G17/D17</f>
        <v>0.23424947793359244</v>
      </c>
      <c r="I17" s="23">
        <f t="shared" ref="I17:I20" si="5">F17^2</f>
        <v>4.1444350610268736E+16</v>
      </c>
      <c r="J17" s="29">
        <f>ROUND(AVERAGE(J14:J16),0)</f>
        <v>556042415</v>
      </c>
      <c r="K17" s="31">
        <f t="shared" ref="K17:K20" si="6">TREND($K$4:$K$15,$B$4:$B$15,B17)</f>
        <v>637250893.75174832</v>
      </c>
    </row>
    <row r="18" spans="1:19" x14ac:dyDescent="0.3">
      <c r="A18" s="103"/>
      <c r="B18" s="2">
        <v>15</v>
      </c>
      <c r="C18">
        <v>2021</v>
      </c>
      <c r="D18">
        <v>1084546939</v>
      </c>
      <c r="E18" s="46">
        <f t="shared" si="2"/>
        <v>859623425</v>
      </c>
      <c r="F18" s="23">
        <f>E18-D18</f>
        <v>-224923514</v>
      </c>
      <c r="G18" s="23">
        <f t="shared" ref="G18:G20" si="7">ABS(F18)</f>
        <v>224923514</v>
      </c>
      <c r="H18" s="30">
        <f t="shared" si="4"/>
        <v>0.20738937699403714</v>
      </c>
      <c r="I18" s="23">
        <f t="shared" si="5"/>
        <v>5.0590587150108192E+16</v>
      </c>
      <c r="J18" s="29">
        <f>ROUND(AVERAGE(J15:J17),0)</f>
        <v>544102461</v>
      </c>
      <c r="K18" s="31">
        <f t="shared" si="6"/>
        <v>688478878.18531477</v>
      </c>
    </row>
    <row r="19" spans="1:19" x14ac:dyDescent="0.3">
      <c r="A19" s="103"/>
      <c r="B19" s="2">
        <v>16</v>
      </c>
      <c r="C19">
        <v>2022</v>
      </c>
      <c r="D19">
        <v>1458858561</v>
      </c>
      <c r="E19" s="46">
        <f t="shared" si="2"/>
        <v>1074111511</v>
      </c>
      <c r="F19" s="23">
        <f t="shared" si="3"/>
        <v>-384747050</v>
      </c>
      <c r="G19" s="23">
        <f t="shared" si="7"/>
        <v>384747050</v>
      </c>
      <c r="H19" s="30">
        <f t="shared" si="4"/>
        <v>0.26373156403611081</v>
      </c>
      <c r="I19" s="23">
        <f t="shared" si="5"/>
        <v>1.480302924837025E+17</v>
      </c>
      <c r="J19" s="29">
        <f t="shared" ref="J19" si="8">ROUND(AVERAGE(J16:J18),0)</f>
        <v>543489710</v>
      </c>
      <c r="K19" s="31">
        <f t="shared" si="6"/>
        <v>739706862.61888123</v>
      </c>
    </row>
    <row r="20" spans="1:19" x14ac:dyDescent="0.3">
      <c r="A20" s="104"/>
      <c r="B20" s="63">
        <v>17</v>
      </c>
      <c r="C20" s="25">
        <v>2023</v>
      </c>
      <c r="D20" s="25">
        <v>1029276944</v>
      </c>
      <c r="E20" s="47">
        <f>ROUND(E19+$E$3*(D19-E19),0)</f>
        <v>1441008047</v>
      </c>
      <c r="F20" s="33">
        <f t="shared" si="3"/>
        <v>411731103</v>
      </c>
      <c r="G20" s="33">
        <f t="shared" si="7"/>
        <v>411731103</v>
      </c>
      <c r="H20" s="34">
        <f t="shared" si="4"/>
        <v>0.4000197472605585</v>
      </c>
      <c r="I20" s="33">
        <f t="shared" si="5"/>
        <v>1.6952250117759661E+17</v>
      </c>
      <c r="J20" s="32">
        <f>ROUND(AVERAGE(J17:J19),0)</f>
        <v>547878195</v>
      </c>
      <c r="K20" s="35">
        <f t="shared" si="6"/>
        <v>790934847.05244768</v>
      </c>
    </row>
    <row r="21" spans="1:19" ht="28.8" x14ac:dyDescent="0.3">
      <c r="N21" s="80" t="s">
        <v>231</v>
      </c>
      <c r="O21" s="80" t="s">
        <v>232</v>
      </c>
      <c r="P21" s="80" t="s">
        <v>246</v>
      </c>
      <c r="Q21" s="81" t="s">
        <v>247</v>
      </c>
      <c r="R21" s="81" t="s">
        <v>221</v>
      </c>
      <c r="S21" s="81" t="s">
        <v>243</v>
      </c>
    </row>
    <row r="22" spans="1:19" x14ac:dyDescent="0.3">
      <c r="N22" s="82" t="s">
        <v>227</v>
      </c>
      <c r="O22" s="82" t="s">
        <v>223</v>
      </c>
      <c r="P22" s="83">
        <f>AVERAGE(F16:F20)</f>
        <v>-105376737.59999999</v>
      </c>
      <c r="Q22" s="84">
        <f>AVERAGE(F38:F42)</f>
        <v>-478244010.39999998</v>
      </c>
      <c r="R22" s="84">
        <f>AVERAGE(F59:F63)</f>
        <v>-334132539.21468526</v>
      </c>
      <c r="S22" s="84">
        <v>-228183059.37472606</v>
      </c>
    </row>
    <row r="23" spans="1:19" x14ac:dyDescent="0.3">
      <c r="E23" s="2" t="s">
        <v>210</v>
      </c>
      <c r="J23" s="2" t="s">
        <v>210</v>
      </c>
      <c r="N23" s="82" t="s">
        <v>228</v>
      </c>
      <c r="O23" s="82" t="s">
        <v>224</v>
      </c>
      <c r="P23" s="83">
        <f>AVERAGE(G16:G20)</f>
        <v>270069178.80000001</v>
      </c>
      <c r="Q23" s="84">
        <f>AVERAGE(G38:G42)</f>
        <v>478244010.39999998</v>
      </c>
      <c r="R23" s="84">
        <f>AVERAGE(G59:G63)</f>
        <v>334132539.21468526</v>
      </c>
      <c r="S23" s="84">
        <v>370725833.54331106</v>
      </c>
    </row>
    <row r="24" spans="1:19" ht="28.8" x14ac:dyDescent="0.3">
      <c r="A24" s="26"/>
      <c r="B24" s="54" t="s">
        <v>211</v>
      </c>
      <c r="C24" s="55" t="s">
        <v>213</v>
      </c>
      <c r="D24" s="55" t="s">
        <v>212</v>
      </c>
      <c r="E24" s="49" t="s">
        <v>214</v>
      </c>
      <c r="F24" s="55" t="s">
        <v>217</v>
      </c>
      <c r="G24" s="55" t="s">
        <v>218</v>
      </c>
      <c r="H24" s="55" t="s">
        <v>219</v>
      </c>
      <c r="I24" s="55" t="s">
        <v>220</v>
      </c>
      <c r="J24" s="49" t="s">
        <v>245</v>
      </c>
      <c r="K24" s="56" t="s">
        <v>221</v>
      </c>
      <c r="N24" s="82" t="s">
        <v>229</v>
      </c>
      <c r="O24" s="82" t="s">
        <v>225</v>
      </c>
      <c r="P24" s="85">
        <f>AVERAGE(H16:H20)</f>
        <v>0.25842772328975189</v>
      </c>
      <c r="Q24" s="86">
        <f>AVERAGE(H38:H42)</f>
        <v>0.43273437961184785</v>
      </c>
      <c r="R24" s="86">
        <f>AVERAGE(H59:H63)</f>
        <v>0.29669864398638313</v>
      </c>
      <c r="S24" s="87">
        <v>0.41636605214541628</v>
      </c>
    </row>
    <row r="25" spans="1:19" x14ac:dyDescent="0.3">
      <c r="A25" s="27"/>
      <c r="E25" s="78">
        <v>0.95360454685808138</v>
      </c>
      <c r="K25" s="28"/>
      <c r="N25" s="82" t="s">
        <v>230</v>
      </c>
      <c r="O25" s="82" t="s">
        <v>226</v>
      </c>
      <c r="P25" s="83">
        <f>AVERAGE(I16:I20)</f>
        <v>8.5060841533528736E+16</v>
      </c>
      <c r="Q25" s="84">
        <f>AVERAGE(I38:I42)</f>
        <v>2.9591727311881734E+17</v>
      </c>
      <c r="R25" s="84">
        <f>AVERAGE(I59:I63)</f>
        <v>1.5837373575424006E+17</v>
      </c>
      <c r="S25" s="84">
        <v>1.6491706690135635E+17</v>
      </c>
    </row>
    <row r="26" spans="1:19" ht="14.4" customHeight="1" x14ac:dyDescent="0.3">
      <c r="A26" s="105" t="s">
        <v>215</v>
      </c>
      <c r="B26" s="60">
        <v>1</v>
      </c>
      <c r="C26" s="37">
        <v>2007</v>
      </c>
      <c r="D26" s="39">
        <v>22133144</v>
      </c>
      <c r="E26" s="37"/>
      <c r="F26" s="37"/>
      <c r="G26" s="37"/>
      <c r="H26" s="37"/>
      <c r="I26" s="37"/>
      <c r="J26" s="38">
        <f>D26</f>
        <v>22133144</v>
      </c>
      <c r="K26" s="39">
        <f>D26</f>
        <v>22133144</v>
      </c>
    </row>
    <row r="27" spans="1:19" x14ac:dyDescent="0.3">
      <c r="A27" s="106"/>
      <c r="B27" s="2">
        <v>2</v>
      </c>
      <c r="C27">
        <v>2008</v>
      </c>
      <c r="D27" s="28">
        <v>64876609</v>
      </c>
      <c r="J27" s="27">
        <f t="shared" ref="J27:J37" si="9">D27</f>
        <v>64876609</v>
      </c>
      <c r="K27" s="28">
        <f t="shared" ref="K27:K37" si="10">D27</f>
        <v>64876609</v>
      </c>
    </row>
    <row r="28" spans="1:19" x14ac:dyDescent="0.3">
      <c r="A28" s="106"/>
      <c r="B28" s="2">
        <v>3</v>
      </c>
      <c r="C28">
        <v>2009</v>
      </c>
      <c r="D28" s="28">
        <v>104876324</v>
      </c>
      <c r="J28" s="27">
        <f t="shared" si="9"/>
        <v>104876324</v>
      </c>
      <c r="K28" s="28">
        <f t="shared" si="10"/>
        <v>104876324</v>
      </c>
    </row>
    <row r="29" spans="1:19" x14ac:dyDescent="0.3">
      <c r="A29" s="106"/>
      <c r="B29" s="2">
        <v>4</v>
      </c>
      <c r="C29">
        <v>2010</v>
      </c>
      <c r="D29" s="28">
        <v>122015011</v>
      </c>
      <c r="J29" s="27">
        <f t="shared" si="9"/>
        <v>122015011</v>
      </c>
      <c r="K29" s="28">
        <f t="shared" si="10"/>
        <v>122015011</v>
      </c>
    </row>
    <row r="30" spans="1:19" x14ac:dyDescent="0.3">
      <c r="A30" s="106"/>
      <c r="B30" s="2">
        <v>5</v>
      </c>
      <c r="C30">
        <v>2011</v>
      </c>
      <c r="D30" s="28">
        <v>135614898</v>
      </c>
      <c r="J30" s="27">
        <f t="shared" si="9"/>
        <v>135614898</v>
      </c>
      <c r="K30" s="28">
        <f t="shared" si="10"/>
        <v>135614898</v>
      </c>
    </row>
    <row r="31" spans="1:19" x14ac:dyDescent="0.3">
      <c r="A31" s="106"/>
      <c r="B31" s="2">
        <v>6</v>
      </c>
      <c r="C31">
        <v>2012</v>
      </c>
      <c r="D31" s="28">
        <v>160935943</v>
      </c>
      <c r="J31" s="27">
        <f t="shared" si="9"/>
        <v>160935943</v>
      </c>
      <c r="K31" s="28">
        <f t="shared" si="10"/>
        <v>160935943</v>
      </c>
    </row>
    <row r="32" spans="1:19" x14ac:dyDescent="0.3">
      <c r="A32" s="106"/>
      <c r="B32" s="2">
        <v>7</v>
      </c>
      <c r="C32">
        <v>2013</v>
      </c>
      <c r="D32" s="28">
        <v>196513222</v>
      </c>
      <c r="J32" s="27">
        <f t="shared" si="9"/>
        <v>196513222</v>
      </c>
      <c r="K32" s="28">
        <f t="shared" si="10"/>
        <v>196513222</v>
      </c>
    </row>
    <row r="33" spans="1:11" x14ac:dyDescent="0.3">
      <c r="A33" s="106"/>
      <c r="B33" s="2">
        <v>8</v>
      </c>
      <c r="C33">
        <v>2014</v>
      </c>
      <c r="D33" s="28">
        <v>251516730</v>
      </c>
      <c r="J33" s="27">
        <f t="shared" si="9"/>
        <v>251516730</v>
      </c>
      <c r="K33" s="28">
        <f t="shared" si="10"/>
        <v>251516730</v>
      </c>
    </row>
    <row r="34" spans="1:11" x14ac:dyDescent="0.3">
      <c r="A34" s="106"/>
      <c r="B34" s="2">
        <v>9</v>
      </c>
      <c r="C34">
        <v>2015</v>
      </c>
      <c r="D34" s="28">
        <v>387037483</v>
      </c>
      <c r="J34" s="27">
        <f t="shared" si="9"/>
        <v>387037483</v>
      </c>
      <c r="K34" s="28">
        <f t="shared" si="10"/>
        <v>387037483</v>
      </c>
    </row>
    <row r="35" spans="1:11" x14ac:dyDescent="0.3">
      <c r="A35" s="106"/>
      <c r="B35" s="2">
        <v>10</v>
      </c>
      <c r="C35">
        <v>2016</v>
      </c>
      <c r="D35" s="28">
        <v>453169770</v>
      </c>
      <c r="J35" s="27">
        <f t="shared" si="9"/>
        <v>453169770</v>
      </c>
      <c r="K35" s="28">
        <f t="shared" si="10"/>
        <v>453169770</v>
      </c>
    </row>
    <row r="36" spans="1:11" ht="15" thickBot="1" x14ac:dyDescent="0.35">
      <c r="A36" s="106"/>
      <c r="B36" s="2">
        <v>11</v>
      </c>
      <c r="C36">
        <v>2017</v>
      </c>
      <c r="D36" s="28">
        <v>591862278</v>
      </c>
      <c r="J36" s="27">
        <f t="shared" si="9"/>
        <v>591862278</v>
      </c>
      <c r="K36" s="28">
        <f t="shared" si="10"/>
        <v>591862278</v>
      </c>
    </row>
    <row r="37" spans="1:11" x14ac:dyDescent="0.3">
      <c r="A37" s="107"/>
      <c r="B37" s="63">
        <v>12</v>
      </c>
      <c r="C37" s="25">
        <v>2018</v>
      </c>
      <c r="D37" s="40">
        <v>545940714</v>
      </c>
      <c r="E37" s="36">
        <f>D37</f>
        <v>545940714</v>
      </c>
      <c r="J37" s="27">
        <f t="shared" si="9"/>
        <v>545940714</v>
      </c>
      <c r="K37" s="28">
        <f t="shared" si="10"/>
        <v>545940714</v>
      </c>
    </row>
    <row r="38" spans="1:11" x14ac:dyDescent="0.3">
      <c r="A38" s="103" t="s">
        <v>216</v>
      </c>
      <c r="B38" s="2">
        <v>13</v>
      </c>
      <c r="C38">
        <v>2019</v>
      </c>
      <c r="D38">
        <v>671306085</v>
      </c>
      <c r="E38" s="41">
        <f>ROUND(E37+$E$3*(D37-E37),0)</f>
        <v>545940714</v>
      </c>
      <c r="F38" s="42">
        <f>J38-D38</f>
        <v>-140981831</v>
      </c>
      <c r="G38" s="42">
        <f>ABS(F38)</f>
        <v>140981831</v>
      </c>
      <c r="H38" s="43">
        <f>G38/D38</f>
        <v>0.21001125142489957</v>
      </c>
      <c r="I38" s="42">
        <f>F38^2</f>
        <v>1.987587667211256E+16</v>
      </c>
      <c r="J38" s="44">
        <f>ROUND(AVERAGE(J35:J37),0)</f>
        <v>530324254</v>
      </c>
      <c r="K38" s="45">
        <f>TREND($K$4:$K$15,$B$4:$B$15,B38)</f>
        <v>586022909.31818187</v>
      </c>
    </row>
    <row r="39" spans="1:11" x14ac:dyDescent="0.3">
      <c r="A39" s="103"/>
      <c r="B39" s="2">
        <v>14</v>
      </c>
      <c r="C39">
        <v>2020</v>
      </c>
      <c r="D39">
        <v>869068558</v>
      </c>
      <c r="E39" s="46">
        <f t="shared" ref="E39:E41" si="11">ROUND(E38+$E$3*(D38-E38),0)</f>
        <v>665489702</v>
      </c>
      <c r="F39" s="42">
        <f t="shared" ref="F39:F42" si="12">J39-D39</f>
        <v>-313026143</v>
      </c>
      <c r="G39" s="23">
        <f>ABS(F39)</f>
        <v>313026143</v>
      </c>
      <c r="H39" s="30">
        <f t="shared" ref="H39:H42" si="13">G39/D39</f>
        <v>0.3601857875521024</v>
      </c>
      <c r="I39" s="23">
        <f t="shared" ref="I39:I42" si="14">F39^2</f>
        <v>9.7985366201456448E+16</v>
      </c>
      <c r="J39" s="29">
        <f>ROUND(AVERAGE(J36:J38),0)</f>
        <v>556042415</v>
      </c>
      <c r="K39" s="31">
        <f t="shared" ref="K39:K42" si="15">TREND($K$4:$K$15,$B$4:$B$15,B39)</f>
        <v>637250893.75174832</v>
      </c>
    </row>
    <row r="40" spans="1:11" x14ac:dyDescent="0.3">
      <c r="A40" s="103"/>
      <c r="B40" s="2">
        <v>15</v>
      </c>
      <c r="C40">
        <v>2021</v>
      </c>
      <c r="D40">
        <v>1084546939</v>
      </c>
      <c r="E40" s="46">
        <f t="shared" si="11"/>
        <v>859623425</v>
      </c>
      <c r="F40" s="42">
        <f>J40-D40</f>
        <v>-540444478</v>
      </c>
      <c r="G40" s="23">
        <f t="shared" ref="G40:G42" si="16">ABS(F40)</f>
        <v>540444478</v>
      </c>
      <c r="H40" s="30">
        <f t="shared" si="13"/>
        <v>0.4983135893577032</v>
      </c>
      <c r="I40" s="23">
        <f t="shared" si="14"/>
        <v>2.9208023380069248E+17</v>
      </c>
      <c r="J40" s="29">
        <f>ROUND(AVERAGE(J37:J39),0)</f>
        <v>544102461</v>
      </c>
      <c r="K40" s="31">
        <f t="shared" si="15"/>
        <v>688478878.18531477</v>
      </c>
    </row>
    <row r="41" spans="1:11" x14ac:dyDescent="0.3">
      <c r="A41" s="103"/>
      <c r="B41" s="2">
        <v>16</v>
      </c>
      <c r="C41">
        <v>2022</v>
      </c>
      <c r="D41">
        <v>1458858561</v>
      </c>
      <c r="E41" s="46">
        <f t="shared" si="11"/>
        <v>1074111511</v>
      </c>
      <c r="F41" s="42">
        <f t="shared" si="12"/>
        <v>-915368851</v>
      </c>
      <c r="G41" s="23">
        <f t="shared" si="16"/>
        <v>915368851</v>
      </c>
      <c r="H41" s="30">
        <f t="shared" si="13"/>
        <v>0.62745551588808202</v>
      </c>
      <c r="I41" s="23">
        <f t="shared" si="14"/>
        <v>8.3790013338106022E+17</v>
      </c>
      <c r="J41" s="29">
        <f t="shared" ref="J41" si="17">ROUND(AVERAGE(J38:J40),0)</f>
        <v>543489710</v>
      </c>
      <c r="K41" s="31">
        <f t="shared" si="15"/>
        <v>739706862.61888123</v>
      </c>
    </row>
    <row r="42" spans="1:11" x14ac:dyDescent="0.3">
      <c r="A42" s="104"/>
      <c r="B42" s="63">
        <v>17</v>
      </c>
      <c r="C42" s="25">
        <v>2023</v>
      </c>
      <c r="D42" s="25">
        <v>1029276944</v>
      </c>
      <c r="E42" s="47">
        <f>ROUND(E41+$E$3*(D41-E41),0)</f>
        <v>1441008047</v>
      </c>
      <c r="F42" s="42">
        <f t="shared" si="12"/>
        <v>-481398749</v>
      </c>
      <c r="G42" s="33">
        <f t="shared" si="16"/>
        <v>481398749</v>
      </c>
      <c r="H42" s="34">
        <f t="shared" si="13"/>
        <v>0.46770575383645241</v>
      </c>
      <c r="I42" s="33">
        <f t="shared" si="14"/>
        <v>2.3174475553876499E+17</v>
      </c>
      <c r="J42" s="32">
        <f>ROUND(AVERAGE(J39:J41),0)</f>
        <v>547878195</v>
      </c>
      <c r="K42" s="35">
        <f t="shared" si="15"/>
        <v>790934847.05244768</v>
      </c>
    </row>
    <row r="45" spans="1:11" ht="28.8" x14ac:dyDescent="0.3">
      <c r="A45" s="26"/>
      <c r="B45" s="54" t="s">
        <v>211</v>
      </c>
      <c r="C45" s="55" t="s">
        <v>213</v>
      </c>
      <c r="D45" s="55" t="s">
        <v>212</v>
      </c>
      <c r="E45" s="49" t="s">
        <v>214</v>
      </c>
      <c r="F45" s="55" t="s">
        <v>217</v>
      </c>
      <c r="G45" s="55" t="s">
        <v>218</v>
      </c>
      <c r="H45" s="55" t="s">
        <v>219</v>
      </c>
      <c r="I45" s="55" t="s">
        <v>220</v>
      </c>
      <c r="J45" s="49" t="s">
        <v>245</v>
      </c>
      <c r="K45" s="56" t="s">
        <v>221</v>
      </c>
    </row>
    <row r="46" spans="1:11" x14ac:dyDescent="0.3">
      <c r="A46" s="27"/>
      <c r="E46" s="78">
        <v>0.95360454685808138</v>
      </c>
      <c r="K46" s="28"/>
    </row>
    <row r="47" spans="1:11" x14ac:dyDescent="0.3">
      <c r="A47" s="105" t="s">
        <v>215</v>
      </c>
      <c r="B47" s="60">
        <v>1</v>
      </c>
      <c r="C47" s="37">
        <v>2007</v>
      </c>
      <c r="D47" s="39">
        <v>22133144</v>
      </c>
      <c r="E47" s="37"/>
      <c r="F47" s="37"/>
      <c r="G47" s="37"/>
      <c r="H47" s="37"/>
      <c r="I47" s="37"/>
      <c r="J47" s="38">
        <f>D47</f>
        <v>22133144</v>
      </c>
      <c r="K47" s="39">
        <f>D47</f>
        <v>22133144</v>
      </c>
    </row>
    <row r="48" spans="1:11" x14ac:dyDescent="0.3">
      <c r="A48" s="106"/>
      <c r="B48" s="2">
        <v>2</v>
      </c>
      <c r="C48">
        <v>2008</v>
      </c>
      <c r="D48" s="28">
        <v>64876609</v>
      </c>
      <c r="J48" s="27">
        <f t="shared" ref="J48:J58" si="18">D48</f>
        <v>64876609</v>
      </c>
      <c r="K48" s="28">
        <f t="shared" ref="K48:K58" si="19">D48</f>
        <v>64876609</v>
      </c>
    </row>
    <row r="49" spans="1:11" x14ac:dyDescent="0.3">
      <c r="A49" s="106"/>
      <c r="B49" s="2">
        <v>3</v>
      </c>
      <c r="C49">
        <v>2009</v>
      </c>
      <c r="D49" s="28">
        <v>104876324</v>
      </c>
      <c r="J49" s="27">
        <f t="shared" si="18"/>
        <v>104876324</v>
      </c>
      <c r="K49" s="28">
        <f t="shared" si="19"/>
        <v>104876324</v>
      </c>
    </row>
    <row r="50" spans="1:11" x14ac:dyDescent="0.3">
      <c r="A50" s="106"/>
      <c r="B50" s="2">
        <v>4</v>
      </c>
      <c r="C50">
        <v>2010</v>
      </c>
      <c r="D50" s="28">
        <v>122015011</v>
      </c>
      <c r="J50" s="27">
        <f t="shared" si="18"/>
        <v>122015011</v>
      </c>
      <c r="K50" s="28">
        <f t="shared" si="19"/>
        <v>122015011</v>
      </c>
    </row>
    <row r="51" spans="1:11" x14ac:dyDescent="0.3">
      <c r="A51" s="106"/>
      <c r="B51" s="2">
        <v>5</v>
      </c>
      <c r="C51">
        <v>2011</v>
      </c>
      <c r="D51" s="28">
        <v>135614898</v>
      </c>
      <c r="J51" s="27">
        <f t="shared" si="18"/>
        <v>135614898</v>
      </c>
      <c r="K51" s="28">
        <f t="shared" si="19"/>
        <v>135614898</v>
      </c>
    </row>
    <row r="52" spans="1:11" x14ac:dyDescent="0.3">
      <c r="A52" s="106"/>
      <c r="B52" s="2">
        <v>6</v>
      </c>
      <c r="C52">
        <v>2012</v>
      </c>
      <c r="D52" s="28">
        <v>160935943</v>
      </c>
      <c r="J52" s="27">
        <f t="shared" si="18"/>
        <v>160935943</v>
      </c>
      <c r="K52" s="28">
        <f t="shared" si="19"/>
        <v>160935943</v>
      </c>
    </row>
    <row r="53" spans="1:11" x14ac:dyDescent="0.3">
      <c r="A53" s="106"/>
      <c r="B53" s="2">
        <v>7</v>
      </c>
      <c r="C53">
        <v>2013</v>
      </c>
      <c r="D53" s="28">
        <v>196513222</v>
      </c>
      <c r="J53" s="27">
        <f t="shared" si="18"/>
        <v>196513222</v>
      </c>
      <c r="K53" s="28">
        <f t="shared" si="19"/>
        <v>196513222</v>
      </c>
    </row>
    <row r="54" spans="1:11" x14ac:dyDescent="0.3">
      <c r="A54" s="106"/>
      <c r="B54" s="2">
        <v>8</v>
      </c>
      <c r="C54">
        <v>2014</v>
      </c>
      <c r="D54" s="28">
        <v>251516730</v>
      </c>
      <c r="J54" s="27">
        <f t="shared" si="18"/>
        <v>251516730</v>
      </c>
      <c r="K54" s="28">
        <f t="shared" si="19"/>
        <v>251516730</v>
      </c>
    </row>
    <row r="55" spans="1:11" x14ac:dyDescent="0.3">
      <c r="A55" s="106"/>
      <c r="B55" s="2">
        <v>9</v>
      </c>
      <c r="C55">
        <v>2015</v>
      </c>
      <c r="D55" s="28">
        <v>387037483</v>
      </c>
      <c r="J55" s="27">
        <f t="shared" si="18"/>
        <v>387037483</v>
      </c>
      <c r="K55" s="28">
        <f t="shared" si="19"/>
        <v>387037483</v>
      </c>
    </row>
    <row r="56" spans="1:11" x14ac:dyDescent="0.3">
      <c r="A56" s="106"/>
      <c r="B56" s="2">
        <v>10</v>
      </c>
      <c r="C56">
        <v>2016</v>
      </c>
      <c r="D56" s="28">
        <v>453169770</v>
      </c>
      <c r="J56" s="27">
        <f t="shared" si="18"/>
        <v>453169770</v>
      </c>
      <c r="K56" s="28">
        <f t="shared" si="19"/>
        <v>453169770</v>
      </c>
    </row>
    <row r="57" spans="1:11" ht="15" thickBot="1" x14ac:dyDescent="0.35">
      <c r="A57" s="106"/>
      <c r="B57" s="2">
        <v>11</v>
      </c>
      <c r="C57">
        <v>2017</v>
      </c>
      <c r="D57" s="28">
        <v>591862278</v>
      </c>
      <c r="J57" s="27">
        <f t="shared" si="18"/>
        <v>591862278</v>
      </c>
      <c r="K57" s="28">
        <f t="shared" si="19"/>
        <v>591862278</v>
      </c>
    </row>
    <row r="58" spans="1:11" x14ac:dyDescent="0.3">
      <c r="A58" s="107"/>
      <c r="B58" s="63">
        <v>12</v>
      </c>
      <c r="C58" s="25">
        <v>2018</v>
      </c>
      <c r="D58" s="40">
        <v>545940714</v>
      </c>
      <c r="E58" s="36">
        <f>D58</f>
        <v>545940714</v>
      </c>
      <c r="J58" s="27">
        <f t="shared" si="18"/>
        <v>545940714</v>
      </c>
      <c r="K58" s="28">
        <f t="shared" si="19"/>
        <v>545940714</v>
      </c>
    </row>
    <row r="59" spans="1:11" x14ac:dyDescent="0.3">
      <c r="A59" s="103" t="s">
        <v>216</v>
      </c>
      <c r="B59" s="2">
        <v>13</v>
      </c>
      <c r="C59">
        <v>2019</v>
      </c>
      <c r="D59">
        <v>671306085</v>
      </c>
      <c r="E59" s="41">
        <f>ROUND(E58+$E$3*(D58-E58),0)</f>
        <v>545940714</v>
      </c>
      <c r="F59" s="42">
        <f>K59-D59</f>
        <v>-85283175.681818128</v>
      </c>
      <c r="G59" s="42">
        <f>ABS(F59)</f>
        <v>85283175.681818128</v>
      </c>
      <c r="H59" s="43">
        <f>G59/D59</f>
        <v>0.12704067129351007</v>
      </c>
      <c r="I59" s="42">
        <f>F59^2</f>
        <v>7273220054375855</v>
      </c>
      <c r="J59" s="44">
        <f>ROUND(AVERAGE(J56:J58),0)</f>
        <v>530324254</v>
      </c>
      <c r="K59" s="45">
        <f>TREND($K$4:$K$15,$B$4:$B$15,B59)</f>
        <v>586022909.31818187</v>
      </c>
    </row>
    <row r="60" spans="1:11" x14ac:dyDescent="0.3">
      <c r="A60" s="103"/>
      <c r="B60" s="2">
        <v>14</v>
      </c>
      <c r="C60">
        <v>2020</v>
      </c>
      <c r="D60">
        <v>869068558</v>
      </c>
      <c r="E60" s="46">
        <f t="shared" ref="E60:E62" si="20">ROUND(E59+$E$3*(D59-E59),0)</f>
        <v>665489702</v>
      </c>
      <c r="F60" s="42">
        <f t="shared" ref="F60:F63" si="21">K60-D60</f>
        <v>-231817664.24825168</v>
      </c>
      <c r="G60" s="23">
        <f>ABS(F60)</f>
        <v>231817664.24825168</v>
      </c>
      <c r="H60" s="30">
        <f t="shared" ref="H60:H63" si="22">G60/D60</f>
        <v>0.26674266617323839</v>
      </c>
      <c r="I60" s="23">
        <f t="shared" ref="I60:I63" si="23">F60^2</f>
        <v>5.3739429457515144E+16</v>
      </c>
      <c r="J60" s="29">
        <f>ROUND(AVERAGE(J57:J59),0)</f>
        <v>556042415</v>
      </c>
      <c r="K60" s="31">
        <f t="shared" ref="K60:K63" si="24">TREND($K$4:$K$15,$B$4:$B$15,B60)</f>
        <v>637250893.75174832</v>
      </c>
    </row>
    <row r="61" spans="1:11" x14ac:dyDescent="0.3">
      <c r="A61" s="103"/>
      <c r="B61" s="2">
        <v>15</v>
      </c>
      <c r="C61">
        <v>2021</v>
      </c>
      <c r="D61">
        <v>1084546939</v>
      </c>
      <c r="E61" s="46">
        <f t="shared" si="20"/>
        <v>859623425</v>
      </c>
      <c r="F61" s="42">
        <f t="shared" si="21"/>
        <v>-396068060.81468523</v>
      </c>
      <c r="G61" s="23">
        <f t="shared" ref="G61:G63" si="25">ABS(F61)</f>
        <v>396068060.81468523</v>
      </c>
      <c r="H61" s="30">
        <f t="shared" si="22"/>
        <v>0.36519217986072361</v>
      </c>
      <c r="I61" s="23">
        <f t="shared" si="23"/>
        <v>1.5686990879750518E+17</v>
      </c>
      <c r="J61" s="29">
        <f>ROUND(AVERAGE(J58:J60),0)</f>
        <v>544102461</v>
      </c>
      <c r="K61" s="31">
        <f t="shared" si="24"/>
        <v>688478878.18531477</v>
      </c>
    </row>
    <row r="62" spans="1:11" x14ac:dyDescent="0.3">
      <c r="A62" s="103"/>
      <c r="B62" s="2">
        <v>16</v>
      </c>
      <c r="C62">
        <v>2022</v>
      </c>
      <c r="D62">
        <v>1458858561</v>
      </c>
      <c r="E62" s="46">
        <f t="shared" si="20"/>
        <v>1074111511</v>
      </c>
      <c r="F62" s="42">
        <f t="shared" si="21"/>
        <v>-719151698.38111877</v>
      </c>
      <c r="G62" s="23">
        <f t="shared" si="25"/>
        <v>719151698.38111877</v>
      </c>
      <c r="H62" s="30">
        <f t="shared" si="22"/>
        <v>0.4929550523994346</v>
      </c>
      <c r="I62" s="23">
        <f t="shared" si="23"/>
        <v>5.1717916528444762E+17</v>
      </c>
      <c r="J62" s="29">
        <f t="shared" ref="J62" si="26">ROUND(AVERAGE(J59:J61),0)</f>
        <v>543489710</v>
      </c>
      <c r="K62" s="31">
        <f t="shared" si="24"/>
        <v>739706862.61888123</v>
      </c>
    </row>
    <row r="63" spans="1:11" x14ac:dyDescent="0.3">
      <c r="A63" s="104"/>
      <c r="B63" s="63">
        <v>17</v>
      </c>
      <c r="C63" s="25">
        <v>2023</v>
      </c>
      <c r="D63" s="25">
        <v>1029276944</v>
      </c>
      <c r="E63" s="47">
        <f>ROUND(E62+$E$3*(D62-E62),0)</f>
        <v>1441008047</v>
      </c>
      <c r="F63" s="42">
        <f t="shared" si="21"/>
        <v>-238342096.94755232</v>
      </c>
      <c r="G63" s="33">
        <f t="shared" si="25"/>
        <v>238342096.94755232</v>
      </c>
      <c r="H63" s="34">
        <f t="shared" si="22"/>
        <v>0.23156265020500869</v>
      </c>
      <c r="I63" s="33">
        <f t="shared" si="23"/>
        <v>5.6806955177356432E+16</v>
      </c>
      <c r="J63" s="32">
        <f>ROUND(AVERAGE(J60:J62),0)</f>
        <v>547878195</v>
      </c>
      <c r="K63" s="35">
        <f t="shared" si="24"/>
        <v>790934847.05244768</v>
      </c>
    </row>
  </sheetData>
  <mergeCells count="6">
    <mergeCell ref="A38:A42"/>
    <mergeCell ref="A47:A58"/>
    <mergeCell ref="A59:A63"/>
    <mergeCell ref="A16:A20"/>
    <mergeCell ref="A4:A15"/>
    <mergeCell ref="A26:A37"/>
  </mergeCells>
  <conditionalFormatting sqref="F16:F20">
    <cfRule type="colorScale" priority="14">
      <colorScale>
        <cfvo type="min"/>
        <cfvo type="percentile" val="50"/>
        <cfvo type="max"/>
        <color rgb="FFF8696B"/>
        <color rgb="FFFFEB84"/>
        <color rgb="FF63BE7B"/>
      </colorScale>
    </cfRule>
  </conditionalFormatting>
  <conditionalFormatting sqref="F38:F42">
    <cfRule type="colorScale" priority="8">
      <colorScale>
        <cfvo type="min"/>
        <cfvo type="percentile" val="50"/>
        <cfvo type="max"/>
        <color rgb="FFF8696B"/>
        <color rgb="FFFFEB84"/>
        <color rgb="FF63BE7B"/>
      </colorScale>
    </cfRule>
  </conditionalFormatting>
  <conditionalFormatting sqref="F59:F63">
    <cfRule type="colorScale" priority="4">
      <colorScale>
        <cfvo type="min"/>
        <cfvo type="percentile" val="50"/>
        <cfvo type="max"/>
        <color rgb="FFF8696B"/>
        <color rgb="FFFFEB84"/>
        <color rgb="FF63BE7B"/>
      </colorScale>
    </cfRule>
  </conditionalFormatting>
  <conditionalFormatting sqref="G16:G20">
    <cfRule type="colorScale" priority="13">
      <colorScale>
        <cfvo type="min"/>
        <cfvo type="max"/>
        <color rgb="FFFCFCFF"/>
        <color rgb="FFF8696B"/>
      </colorScale>
    </cfRule>
  </conditionalFormatting>
  <conditionalFormatting sqref="G38:G42">
    <cfRule type="colorScale" priority="7">
      <colorScale>
        <cfvo type="min"/>
        <cfvo type="max"/>
        <color rgb="FFFCFCFF"/>
        <color rgb="FFF8696B"/>
      </colorScale>
    </cfRule>
  </conditionalFormatting>
  <conditionalFormatting sqref="G59:G63">
    <cfRule type="colorScale" priority="3">
      <colorScale>
        <cfvo type="min"/>
        <cfvo type="max"/>
        <color rgb="FFFCFCFF"/>
        <color rgb="FFF8696B"/>
      </colorScale>
    </cfRule>
  </conditionalFormatting>
  <conditionalFormatting sqref="H16:H20">
    <cfRule type="colorScale" priority="12">
      <colorScale>
        <cfvo type="min"/>
        <cfvo type="max"/>
        <color rgb="FFFCFCFF"/>
        <color rgb="FFF8696B"/>
      </colorScale>
    </cfRule>
  </conditionalFormatting>
  <conditionalFormatting sqref="H38:H42">
    <cfRule type="colorScale" priority="6">
      <colorScale>
        <cfvo type="min"/>
        <cfvo type="max"/>
        <color rgb="FFFCFCFF"/>
        <color rgb="FFF8696B"/>
      </colorScale>
    </cfRule>
  </conditionalFormatting>
  <conditionalFormatting sqref="H59:H63">
    <cfRule type="colorScale" priority="2">
      <colorScale>
        <cfvo type="min"/>
        <cfvo type="max"/>
        <color rgb="FFFCFCFF"/>
        <color rgb="FFF8696B"/>
      </colorScale>
    </cfRule>
  </conditionalFormatting>
  <conditionalFormatting sqref="I16:I20">
    <cfRule type="colorScale" priority="9">
      <colorScale>
        <cfvo type="min"/>
        <cfvo type="max"/>
        <color rgb="FFF8696B"/>
        <color rgb="FFFCFCFF"/>
      </colorScale>
    </cfRule>
  </conditionalFormatting>
  <conditionalFormatting sqref="I38:I42">
    <cfRule type="colorScale" priority="5">
      <colorScale>
        <cfvo type="min"/>
        <cfvo type="max"/>
        <color rgb="FFF8696B"/>
        <color rgb="FFFCFCFF"/>
      </colorScale>
    </cfRule>
  </conditionalFormatting>
  <conditionalFormatting sqref="I59:I63">
    <cfRule type="colorScale" priority="1">
      <colorScale>
        <cfvo type="min"/>
        <cfvo type="max"/>
        <color rgb="FFF8696B"/>
        <color rgb="FFFCFCFF"/>
      </colorScale>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80905-6EF6-4EEC-A13A-02E21C8041CA}">
  <dimension ref="A1:O25"/>
  <sheetViews>
    <sheetView workbookViewId="0">
      <selection activeCell="K25" sqref="K25"/>
    </sheetView>
  </sheetViews>
  <sheetFormatPr defaultRowHeight="14.4" x14ac:dyDescent="0.3"/>
  <cols>
    <col min="4" max="4" width="13.6640625" bestFit="1" customWidth="1"/>
    <col min="5" max="5" width="12.21875" customWidth="1"/>
    <col min="6" max="6" width="10" bestFit="1" customWidth="1"/>
    <col min="9" max="9" width="12.44140625" customWidth="1"/>
    <col min="10" max="10" width="10.6640625" bestFit="1" customWidth="1"/>
    <col min="11" max="11" width="12" bestFit="1" customWidth="1"/>
    <col min="13" max="13" width="12" bestFit="1" customWidth="1"/>
    <col min="14" max="14" width="14.88671875" customWidth="1"/>
  </cols>
  <sheetData>
    <row r="1" spans="1:15" s="2" customFormat="1" x14ac:dyDescent="0.3">
      <c r="E1" s="2" t="s">
        <v>210</v>
      </c>
      <c r="F1" s="2" t="s">
        <v>233</v>
      </c>
      <c r="G1" s="2" t="s">
        <v>238</v>
      </c>
      <c r="H1" s="2" t="s">
        <v>240</v>
      </c>
      <c r="I1" s="2" t="s">
        <v>242</v>
      </c>
      <c r="N1" s="2" t="s">
        <v>210</v>
      </c>
    </row>
    <row r="2" spans="1:15" s="2" customFormat="1" ht="28.8" x14ac:dyDescent="0.3">
      <c r="B2" s="48" t="s">
        <v>211</v>
      </c>
      <c r="C2" s="49" t="s">
        <v>213</v>
      </c>
      <c r="D2" s="49" t="s">
        <v>212</v>
      </c>
      <c r="E2" s="49" t="s">
        <v>214</v>
      </c>
      <c r="F2" s="67" t="s">
        <v>234</v>
      </c>
      <c r="G2" s="67" t="s">
        <v>239</v>
      </c>
      <c r="H2" s="67" t="s">
        <v>241</v>
      </c>
      <c r="I2" s="67" t="s">
        <v>243</v>
      </c>
      <c r="J2" s="74" t="s">
        <v>217</v>
      </c>
      <c r="K2" s="74" t="s">
        <v>218</v>
      </c>
      <c r="L2" s="74" t="s">
        <v>219</v>
      </c>
      <c r="M2" s="74" t="s">
        <v>220</v>
      </c>
      <c r="N2" s="49" t="s">
        <v>244</v>
      </c>
      <c r="O2" s="50" t="s">
        <v>221</v>
      </c>
    </row>
    <row r="3" spans="1:15" x14ac:dyDescent="0.3">
      <c r="E3" s="68">
        <v>0.95360454685808138</v>
      </c>
      <c r="N3" s="38"/>
      <c r="O3" s="39"/>
    </row>
    <row r="4" spans="1:15" x14ac:dyDescent="0.3">
      <c r="A4" s="108" t="s">
        <v>215</v>
      </c>
      <c r="B4" s="26">
        <v>1</v>
      </c>
      <c r="C4" s="37">
        <v>2007</v>
      </c>
      <c r="D4" s="37">
        <v>22133144</v>
      </c>
      <c r="E4" s="64"/>
      <c r="F4" s="37"/>
      <c r="G4" s="37"/>
      <c r="H4" s="37"/>
      <c r="I4" s="37"/>
      <c r="J4" s="37"/>
      <c r="K4" s="37"/>
      <c r="L4" s="37"/>
      <c r="M4" s="37"/>
      <c r="N4" s="51">
        <v>22133144</v>
      </c>
      <c r="O4" s="39">
        <v>22133144</v>
      </c>
    </row>
    <row r="5" spans="1:15" x14ac:dyDescent="0.3">
      <c r="A5" s="109"/>
      <c r="B5" s="61">
        <v>2</v>
      </c>
      <c r="C5">
        <v>2008</v>
      </c>
      <c r="D5">
        <v>64876609</v>
      </c>
      <c r="E5" s="65"/>
      <c r="N5" s="52">
        <v>64876609</v>
      </c>
      <c r="O5" s="28">
        <v>64876609</v>
      </c>
    </row>
    <row r="6" spans="1:15" x14ac:dyDescent="0.3">
      <c r="A6" s="109"/>
      <c r="B6" s="61">
        <v>3</v>
      </c>
      <c r="C6">
        <v>2009</v>
      </c>
      <c r="D6">
        <v>104876324</v>
      </c>
      <c r="E6" s="65"/>
      <c r="N6" s="52">
        <v>104876324</v>
      </c>
      <c r="O6" s="28">
        <v>104876324</v>
      </c>
    </row>
    <row r="7" spans="1:15" x14ac:dyDescent="0.3">
      <c r="A7" s="109"/>
      <c r="B7" s="61">
        <v>4</v>
      </c>
      <c r="C7">
        <v>2010</v>
      </c>
      <c r="D7">
        <v>122015011</v>
      </c>
      <c r="E7" s="65"/>
      <c r="N7" s="52">
        <v>122015011</v>
      </c>
      <c r="O7" s="28">
        <v>122015011</v>
      </c>
    </row>
    <row r="8" spans="1:15" x14ac:dyDescent="0.3">
      <c r="A8" s="109"/>
      <c r="B8" s="61">
        <v>5</v>
      </c>
      <c r="C8">
        <v>2011</v>
      </c>
      <c r="D8">
        <v>135614898</v>
      </c>
      <c r="E8" s="65"/>
      <c r="N8" s="52">
        <v>135614898</v>
      </c>
      <c r="O8" s="28">
        <v>135614898</v>
      </c>
    </row>
    <row r="9" spans="1:15" x14ac:dyDescent="0.3">
      <c r="A9" s="109"/>
      <c r="B9" s="61">
        <v>6</v>
      </c>
      <c r="C9">
        <v>2012</v>
      </c>
      <c r="D9">
        <v>160935943</v>
      </c>
      <c r="E9" s="65"/>
      <c r="N9" s="52">
        <v>160935943</v>
      </c>
      <c r="O9" s="28">
        <v>160935943</v>
      </c>
    </row>
    <row r="10" spans="1:15" x14ac:dyDescent="0.3">
      <c r="A10" s="109"/>
      <c r="B10" s="61">
        <v>7</v>
      </c>
      <c r="C10">
        <v>2013</v>
      </c>
      <c r="D10">
        <v>196513222</v>
      </c>
      <c r="E10" s="65"/>
      <c r="N10" s="52">
        <v>196513222</v>
      </c>
      <c r="O10" s="28">
        <v>196513222</v>
      </c>
    </row>
    <row r="11" spans="1:15" x14ac:dyDescent="0.3">
      <c r="A11" s="109"/>
      <c r="B11" s="61">
        <v>8</v>
      </c>
      <c r="C11">
        <v>2014</v>
      </c>
      <c r="D11">
        <v>251516730</v>
      </c>
      <c r="E11" s="65"/>
      <c r="N11" s="52">
        <v>251516730</v>
      </c>
      <c r="O11" s="28">
        <v>251516730</v>
      </c>
    </row>
    <row r="12" spans="1:15" x14ac:dyDescent="0.3">
      <c r="A12" s="109"/>
      <c r="B12" s="61">
        <v>9</v>
      </c>
      <c r="C12">
        <v>2015</v>
      </c>
      <c r="D12">
        <v>387037483</v>
      </c>
      <c r="E12" s="65"/>
      <c r="N12" s="52">
        <v>387037483</v>
      </c>
      <c r="O12" s="28">
        <v>387037483</v>
      </c>
    </row>
    <row r="13" spans="1:15" x14ac:dyDescent="0.3">
      <c r="A13" s="109"/>
      <c r="B13" s="61">
        <v>10</v>
      </c>
      <c r="C13">
        <v>2016</v>
      </c>
      <c r="D13">
        <v>453169770</v>
      </c>
      <c r="E13" s="65"/>
      <c r="F13" s="69"/>
      <c r="G13" s="69"/>
      <c r="H13" s="69">
        <f>D13/$F$15</f>
        <v>0.85451450990962974</v>
      </c>
      <c r="N13" s="52">
        <v>453169770</v>
      </c>
      <c r="O13" s="28">
        <v>453169770</v>
      </c>
    </row>
    <row r="14" spans="1:15" x14ac:dyDescent="0.3">
      <c r="A14" s="109"/>
      <c r="B14" s="61">
        <v>11</v>
      </c>
      <c r="C14">
        <v>2017</v>
      </c>
      <c r="D14">
        <v>591862278</v>
      </c>
      <c r="E14" s="65"/>
      <c r="F14" s="69"/>
      <c r="G14" s="69"/>
      <c r="H14" s="69">
        <f t="shared" ref="H14:H15" si="0">D14/$F$15</f>
        <v>1.1160384868989983</v>
      </c>
      <c r="N14" s="52">
        <v>591862278</v>
      </c>
      <c r="O14" s="28">
        <v>591862278</v>
      </c>
    </row>
    <row r="15" spans="1:15" x14ac:dyDescent="0.3">
      <c r="A15" s="110"/>
      <c r="B15" s="62">
        <v>12</v>
      </c>
      <c r="C15" s="25">
        <v>2018</v>
      </c>
      <c r="D15" s="25">
        <v>545940714</v>
      </c>
      <c r="E15" s="66">
        <f>D15</f>
        <v>545940714</v>
      </c>
      <c r="F15" s="79">
        <f>AVERAGE(D13:D15)</f>
        <v>530324254</v>
      </c>
      <c r="G15" s="79">
        <v>2</v>
      </c>
      <c r="H15" s="70">
        <f t="shared" si="0"/>
        <v>1.0294470031913721</v>
      </c>
      <c r="I15" s="25"/>
      <c r="J15" s="25"/>
      <c r="K15" s="25"/>
      <c r="L15" s="25"/>
      <c r="M15" s="25"/>
      <c r="N15" s="53">
        <v>545940714</v>
      </c>
      <c r="O15" s="40">
        <v>545940714</v>
      </c>
    </row>
    <row r="16" spans="1:15" x14ac:dyDescent="0.3">
      <c r="A16" s="111" t="s">
        <v>216</v>
      </c>
      <c r="B16" s="26">
        <v>13</v>
      </c>
      <c r="C16" s="37">
        <v>2019</v>
      </c>
      <c r="D16" s="39">
        <v>671306085</v>
      </c>
      <c r="E16" s="46">
        <f>ROUND(E15+$E$3*(D15-E15),0)</f>
        <v>545940714</v>
      </c>
      <c r="F16" s="71">
        <f>$E$23*(D16/H13)+(1-$E$23)*(F15+G15)</f>
        <v>632822925.95354235</v>
      </c>
      <c r="G16" s="71">
        <f>$E$24*(F16-F15)+(1-$E$24)*G15</f>
        <v>63341990.692683719</v>
      </c>
      <c r="H16" s="71">
        <f>$E$25*(D16/F16)+(1-$E$25)*H13</f>
        <v>0.85451450990962974</v>
      </c>
      <c r="I16" s="71">
        <f>(F15+G15)*H12</f>
        <v>0</v>
      </c>
      <c r="J16" s="37">
        <f>I16-D16</f>
        <v>-671306085</v>
      </c>
      <c r="K16" s="37">
        <f>ABS(J16)</f>
        <v>671306085</v>
      </c>
      <c r="L16" s="57">
        <f>K16/D16</f>
        <v>1</v>
      </c>
      <c r="M16" s="37">
        <f>J16^2</f>
        <v>4.506518597580272E+17</v>
      </c>
      <c r="N16" s="64">
        <v>530324254</v>
      </c>
      <c r="O16" s="45">
        <v>586022909.31818187</v>
      </c>
    </row>
    <row r="17" spans="1:15" x14ac:dyDescent="0.3">
      <c r="A17" s="111"/>
      <c r="B17" s="61">
        <v>14</v>
      </c>
      <c r="C17">
        <v>2020</v>
      </c>
      <c r="D17" s="28">
        <v>869068558</v>
      </c>
      <c r="E17" s="46">
        <f t="shared" ref="E17:E19" si="1">ROUND(E16+$E$3*(D16-E16),0)</f>
        <v>665489702</v>
      </c>
      <c r="F17" s="72">
        <f>$E$23*(D17/H14)+(1-$E$23)*(F16+G16)</f>
        <v>729307973.25760865</v>
      </c>
      <c r="G17" s="72">
        <f t="shared" ref="G17:G20" si="2">$E$24*(F17-F16)+(1-$E$24)*G16</f>
        <v>83823691.753494591</v>
      </c>
      <c r="H17" s="72">
        <f t="shared" ref="H17:H20" si="3">$E$25*(D17/F17)+(1-$E$25)*H14</f>
        <v>1.1160384868989983</v>
      </c>
      <c r="I17" s="72">
        <f t="shared" ref="I17:I20" si="4">(F16+G16)*H13</f>
        <v>594883022.56422806</v>
      </c>
      <c r="J17">
        <f t="shared" ref="J17:J19" si="5">I17-D17</f>
        <v>-274185535.43577194</v>
      </c>
      <c r="K17">
        <f t="shared" ref="K17:K20" si="6">ABS(J17)</f>
        <v>274185535.43577194</v>
      </c>
      <c r="L17" s="58">
        <f t="shared" ref="L17:L20" si="7">K17/D17</f>
        <v>0.31549356251796645</v>
      </c>
      <c r="M17">
        <f t="shared" ref="M17:M20" si="8">J17^2</f>
        <v>7.5177707842200944E+16</v>
      </c>
      <c r="N17" s="65">
        <v>556042415</v>
      </c>
      <c r="O17" s="31">
        <v>637250893.75174832</v>
      </c>
    </row>
    <row r="18" spans="1:15" x14ac:dyDescent="0.3">
      <c r="A18" s="111"/>
      <c r="B18" s="61">
        <v>15</v>
      </c>
      <c r="C18">
        <v>2021</v>
      </c>
      <c r="D18" s="28">
        <v>1084546939</v>
      </c>
      <c r="E18" s="46">
        <f t="shared" si="1"/>
        <v>859623425</v>
      </c>
      <c r="F18" s="72">
        <f>$E$23*(D18/H15)+(1-$E$23)*(F17+G17)</f>
        <v>909654483.02955747</v>
      </c>
      <c r="G18" s="72">
        <f t="shared" si="2"/>
        <v>143472731.5925681</v>
      </c>
      <c r="H18" s="72">
        <f t="shared" si="3"/>
        <v>1.0294470031913721</v>
      </c>
      <c r="I18" s="72">
        <f t="shared" si="4"/>
        <v>907486233.06865489</v>
      </c>
      <c r="J18">
        <f t="shared" si="5"/>
        <v>-177060705.93134511</v>
      </c>
      <c r="K18">
        <f t="shared" si="6"/>
        <v>177060705.93134511</v>
      </c>
      <c r="L18" s="58">
        <f t="shared" si="7"/>
        <v>0.16325776189512173</v>
      </c>
      <c r="M18">
        <f t="shared" si="8"/>
        <v>3.1350493584906268E+16</v>
      </c>
      <c r="N18" s="65">
        <v>544102461</v>
      </c>
      <c r="O18" s="31">
        <v>688478878.18531477</v>
      </c>
    </row>
    <row r="19" spans="1:15" x14ac:dyDescent="0.3">
      <c r="A19" s="111"/>
      <c r="B19" s="61">
        <v>16</v>
      </c>
      <c r="C19">
        <v>2022</v>
      </c>
      <c r="D19" s="28">
        <v>1458858561</v>
      </c>
      <c r="E19" s="46">
        <f t="shared" si="1"/>
        <v>1074111511</v>
      </c>
      <c r="F19" s="72">
        <f>$E$23*(D19/H16)+(1-$E$23)*(F18+G18)</f>
        <v>1315766792.7473497</v>
      </c>
      <c r="G19" s="72">
        <f>$E$24*(F19-F18)+(1-$E$24)*G18</f>
        <v>305778380.97708702</v>
      </c>
      <c r="H19" s="72">
        <f t="shared" si="3"/>
        <v>0.85451450990962974</v>
      </c>
      <c r="I19" s="72">
        <f t="shared" si="4"/>
        <v>1084138655.0720241</v>
      </c>
      <c r="J19">
        <f t="shared" si="5"/>
        <v>-374719905.92797589</v>
      </c>
      <c r="K19">
        <f t="shared" si="6"/>
        <v>374719905.92797589</v>
      </c>
      <c r="L19" s="58">
        <f t="shared" si="7"/>
        <v>0.25685828355499907</v>
      </c>
      <c r="M19">
        <f t="shared" si="8"/>
        <v>1.404150078986711E+17</v>
      </c>
      <c r="N19" s="65">
        <v>543489710</v>
      </c>
      <c r="O19" s="31">
        <v>739706862.61888123</v>
      </c>
    </row>
    <row r="20" spans="1:15" x14ac:dyDescent="0.3">
      <c r="A20" s="112"/>
      <c r="B20" s="62">
        <v>17</v>
      </c>
      <c r="C20" s="25">
        <v>2023</v>
      </c>
      <c r="D20" s="40">
        <v>1029276944</v>
      </c>
      <c r="E20" s="47">
        <f>ROUND(E19+$E$3*(D19-E19),0)</f>
        <v>1441008047</v>
      </c>
      <c r="F20" s="73">
        <f t="shared" ref="F20" si="9">$E$23*(D20/H17)+(1-$E$23)*(F19+G19)</f>
        <v>1340766305.817832</v>
      </c>
      <c r="G20" s="73">
        <f t="shared" si="2"/>
        <v>132263037.95706727</v>
      </c>
      <c r="H20" s="73">
        <f t="shared" si="3"/>
        <v>1.1160384868989983</v>
      </c>
      <c r="I20" s="73">
        <f t="shared" si="4"/>
        <v>1385633879.4214625</v>
      </c>
      <c r="J20" s="25">
        <f>I20-D20</f>
        <v>356356935.42146254</v>
      </c>
      <c r="K20" s="25">
        <f t="shared" si="6"/>
        <v>356356935.42146254</v>
      </c>
      <c r="L20" s="59">
        <f t="shared" si="7"/>
        <v>0.346220652758994</v>
      </c>
      <c r="M20" s="25">
        <f t="shared" si="8"/>
        <v>1.2699026542297642E+17</v>
      </c>
      <c r="N20" s="66">
        <v>547878195</v>
      </c>
      <c r="O20" s="35">
        <v>790934847.05244768</v>
      </c>
    </row>
    <row r="22" spans="1:15" x14ac:dyDescent="0.3">
      <c r="J22" t="s">
        <v>222</v>
      </c>
      <c r="K22">
        <f>AVERAGE(J16:J20)</f>
        <v>-228183059.37472606</v>
      </c>
    </row>
    <row r="23" spans="1:15" x14ac:dyDescent="0.3">
      <c r="D23" s="77" t="s">
        <v>235</v>
      </c>
      <c r="E23" s="77">
        <v>0.40152232977784319</v>
      </c>
      <c r="J23" s="75" t="s">
        <v>224</v>
      </c>
      <c r="K23" s="75">
        <f>AVERAGE(K16:K20)</f>
        <v>370725833.54331106</v>
      </c>
    </row>
    <row r="24" spans="1:15" x14ac:dyDescent="0.3">
      <c r="D24" s="77" t="s">
        <v>236</v>
      </c>
      <c r="E24" s="77">
        <v>0.6179786403218066</v>
      </c>
      <c r="J24" s="75" t="s">
        <v>225</v>
      </c>
      <c r="K24" s="76">
        <f>AVERAGE(L16:L20)</f>
        <v>0.41636605214541628</v>
      </c>
    </row>
    <row r="25" spans="1:15" x14ac:dyDescent="0.3">
      <c r="D25" s="77" t="s">
        <v>237</v>
      </c>
      <c r="E25" s="77">
        <v>0</v>
      </c>
      <c r="J25" s="75" t="s">
        <v>226</v>
      </c>
      <c r="K25" s="75">
        <f>AVERAGE(M16:M20)</f>
        <v>1.6491706690135635E+17</v>
      </c>
    </row>
  </sheetData>
  <mergeCells count="2">
    <mergeCell ref="A4:A15"/>
    <mergeCell ref="A16:A20"/>
  </mergeCells>
  <conditionalFormatting sqref="J16:J20">
    <cfRule type="colorScale" priority="5">
      <colorScale>
        <cfvo type="min"/>
        <cfvo type="percentile" val="50"/>
        <cfvo type="max"/>
        <color rgb="FFF8696B"/>
        <color rgb="FFFFEB84"/>
        <color rgb="FF63BE7B"/>
      </colorScale>
    </cfRule>
  </conditionalFormatting>
  <conditionalFormatting sqref="K16:K20 K22">
    <cfRule type="colorScale" priority="2">
      <colorScale>
        <cfvo type="min"/>
        <cfvo type="max"/>
        <color rgb="FFFCFCFF"/>
        <color rgb="FFF8696B"/>
      </colorScale>
    </cfRule>
  </conditionalFormatting>
  <conditionalFormatting sqref="L16:L20">
    <cfRule type="colorScale" priority="3">
      <colorScale>
        <cfvo type="min"/>
        <cfvo type="max"/>
        <color rgb="FFFCFCFF"/>
        <color rgb="FFF8696B"/>
      </colorScale>
    </cfRule>
  </conditionalFormatting>
  <conditionalFormatting sqref="M16:M20">
    <cfRule type="colorScale" priority="1">
      <colorScale>
        <cfvo type="min"/>
        <cfvo type="max"/>
        <color rgb="FFFCFCFF"/>
        <color rgb="FFF8696B"/>
      </colorScale>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7FF58-08A1-436E-996B-BFBB51296931}">
  <dimension ref="B1:H140"/>
  <sheetViews>
    <sheetView tabSelected="1" topLeftCell="A115" workbookViewId="0">
      <selection activeCell="C136" sqref="C136"/>
    </sheetView>
  </sheetViews>
  <sheetFormatPr defaultRowHeight="14.4" x14ac:dyDescent="0.3"/>
  <cols>
    <col min="2" max="2" width="19.44140625" customWidth="1"/>
    <col min="3" max="3" width="21.33203125" bestFit="1" customWidth="1"/>
    <col min="4" max="4" width="45.44140625" bestFit="1" customWidth="1"/>
    <col min="6" max="6" width="9.6640625" customWidth="1"/>
  </cols>
  <sheetData>
    <row r="1" spans="2:8" x14ac:dyDescent="0.3">
      <c r="B1" t="s">
        <v>263</v>
      </c>
    </row>
    <row r="2" spans="2:8" ht="14.4" customHeight="1" x14ac:dyDescent="0.3">
      <c r="B2" s="2" t="s">
        <v>269</v>
      </c>
      <c r="C2" s="113" t="s">
        <v>248</v>
      </c>
      <c r="D2" s="113"/>
      <c r="E2" s="113" t="s">
        <v>260</v>
      </c>
      <c r="F2" s="113"/>
      <c r="G2" s="113" t="s">
        <v>261</v>
      </c>
      <c r="H2" s="113"/>
    </row>
    <row r="3" spans="2:8" x14ac:dyDescent="0.3">
      <c r="B3" s="2" t="s">
        <v>270</v>
      </c>
      <c r="C3" s="114" t="s">
        <v>253</v>
      </c>
      <c r="D3" s="114"/>
      <c r="E3" s="114" t="s">
        <v>254</v>
      </c>
      <c r="F3" s="114"/>
      <c r="G3" s="114" t="s">
        <v>257</v>
      </c>
      <c r="H3" s="114"/>
    </row>
    <row r="4" spans="2:8" x14ac:dyDescent="0.3">
      <c r="B4" s="2" t="s">
        <v>251</v>
      </c>
      <c r="C4" s="114" t="s">
        <v>250</v>
      </c>
      <c r="D4" s="114"/>
      <c r="E4" s="114" t="s">
        <v>255</v>
      </c>
      <c r="F4" s="114"/>
      <c r="G4" s="114" t="s">
        <v>258</v>
      </c>
      <c r="H4" s="114"/>
    </row>
    <row r="5" spans="2:8" x14ac:dyDescent="0.3">
      <c r="B5" s="2" t="s">
        <v>252</v>
      </c>
      <c r="C5" s="114" t="s">
        <v>249</v>
      </c>
      <c r="D5" s="114"/>
      <c r="E5" s="114" t="s">
        <v>256</v>
      </c>
      <c r="F5" s="114"/>
      <c r="G5" s="114" t="s">
        <v>259</v>
      </c>
      <c r="H5" s="114"/>
    </row>
    <row r="8" spans="2:8" x14ac:dyDescent="0.3">
      <c r="B8" s="2" t="s">
        <v>269</v>
      </c>
      <c r="C8" s="115" t="s">
        <v>264</v>
      </c>
      <c r="D8" s="115"/>
      <c r="E8" s="115" t="s">
        <v>265</v>
      </c>
      <c r="F8" s="115"/>
      <c r="G8" s="115" t="s">
        <v>266</v>
      </c>
      <c r="H8" s="115"/>
    </row>
    <row r="9" spans="2:8" x14ac:dyDescent="0.3">
      <c r="C9" s="88" t="s">
        <v>267</v>
      </c>
      <c r="D9" s="88" t="s">
        <v>268</v>
      </c>
      <c r="E9" s="88" t="s">
        <v>267</v>
      </c>
      <c r="F9" s="88" t="s">
        <v>268</v>
      </c>
      <c r="G9" s="88" t="s">
        <v>267</v>
      </c>
      <c r="H9" s="88" t="s">
        <v>268</v>
      </c>
    </row>
    <row r="10" spans="2:8" x14ac:dyDescent="0.3">
      <c r="B10" s="88" t="s">
        <v>271</v>
      </c>
      <c r="C10" s="89">
        <v>100</v>
      </c>
      <c r="D10" s="89">
        <v>200</v>
      </c>
      <c r="E10" s="89">
        <v>1</v>
      </c>
      <c r="F10" s="89">
        <v>3</v>
      </c>
      <c r="G10" s="89">
        <v>5</v>
      </c>
      <c r="H10" s="89">
        <v>10</v>
      </c>
    </row>
    <row r="11" spans="2:8" x14ac:dyDescent="0.3">
      <c r="B11" s="88" t="s">
        <v>272</v>
      </c>
      <c r="C11" s="89">
        <v>200</v>
      </c>
      <c r="D11" s="89">
        <v>500</v>
      </c>
      <c r="E11" s="89">
        <v>3</v>
      </c>
      <c r="F11" s="89">
        <v>6</v>
      </c>
      <c r="G11" s="89">
        <v>10</v>
      </c>
      <c r="H11" s="89">
        <v>20</v>
      </c>
    </row>
    <row r="12" spans="2:8" x14ac:dyDescent="0.3">
      <c r="B12" s="88" t="s">
        <v>273</v>
      </c>
      <c r="C12" s="89">
        <v>500</v>
      </c>
      <c r="D12" s="89">
        <v>1000</v>
      </c>
      <c r="E12" s="89">
        <v>6</v>
      </c>
      <c r="F12" s="89">
        <v>9</v>
      </c>
      <c r="G12" s="89">
        <v>20</v>
      </c>
      <c r="H12" s="89">
        <v>40</v>
      </c>
    </row>
    <row r="13" spans="2:8" x14ac:dyDescent="0.3">
      <c r="B13" s="88" t="s">
        <v>275</v>
      </c>
      <c r="D13">
        <f>SUM(D10:D12)</f>
        <v>1700</v>
      </c>
      <c r="F13">
        <f>SUM(F10:F12)</f>
        <v>18</v>
      </c>
      <c r="H13">
        <f>SUM(H10:H12)</f>
        <v>70</v>
      </c>
    </row>
    <row r="15" spans="2:8" x14ac:dyDescent="0.3">
      <c r="B15" s="91" t="s">
        <v>274</v>
      </c>
    </row>
    <row r="17" spans="2:8" x14ac:dyDescent="0.3">
      <c r="B17" s="2" t="s">
        <v>269</v>
      </c>
      <c r="C17" s="115" t="s">
        <v>264</v>
      </c>
      <c r="D17" s="115"/>
      <c r="E17" s="115" t="s">
        <v>265</v>
      </c>
      <c r="F17" s="115"/>
      <c r="G17" s="115" t="s">
        <v>266</v>
      </c>
      <c r="H17" s="115"/>
    </row>
    <row r="18" spans="2:8" x14ac:dyDescent="0.3">
      <c r="C18" s="88" t="s">
        <v>267</v>
      </c>
      <c r="D18" s="88" t="s">
        <v>268</v>
      </c>
      <c r="E18" s="88" t="s">
        <v>267</v>
      </c>
      <c r="F18" s="88" t="s">
        <v>268</v>
      </c>
      <c r="G18" s="88" t="s">
        <v>267</v>
      </c>
      <c r="H18" s="88" t="s">
        <v>268</v>
      </c>
    </row>
    <row r="19" spans="2:8" x14ac:dyDescent="0.3">
      <c r="B19" s="88" t="s">
        <v>271</v>
      </c>
      <c r="C19" s="89">
        <f>C10/$D$13</f>
        <v>5.8823529411764705E-2</v>
      </c>
      <c r="D19" s="89">
        <f>D10/$D$13</f>
        <v>0.11764705882352941</v>
      </c>
      <c r="E19" s="89">
        <f>E10/$F$13</f>
        <v>5.5555555555555552E-2</v>
      </c>
      <c r="F19" s="89">
        <f>F10/$F$13</f>
        <v>0.16666666666666666</v>
      </c>
      <c r="G19" s="89">
        <f>G10/$H$13</f>
        <v>7.1428571428571425E-2</v>
      </c>
      <c r="H19" s="89">
        <f>H10/$H$13</f>
        <v>0.14285714285714285</v>
      </c>
    </row>
    <row r="20" spans="2:8" x14ac:dyDescent="0.3">
      <c r="B20" s="88" t="s">
        <v>272</v>
      </c>
      <c r="C20" s="89">
        <f>C11/$D$13</f>
        <v>0.11764705882352941</v>
      </c>
      <c r="D20" s="89">
        <f>D11/$D$13</f>
        <v>0.29411764705882354</v>
      </c>
      <c r="E20" s="89">
        <f t="shared" ref="E20:F21" si="0">E11/$F$13</f>
        <v>0.16666666666666666</v>
      </c>
      <c r="F20" s="89">
        <f t="shared" si="0"/>
        <v>0.33333333333333331</v>
      </c>
      <c r="G20" s="89">
        <f t="shared" ref="G20:H21" si="1">G11/$H$13</f>
        <v>0.14285714285714285</v>
      </c>
      <c r="H20" s="89">
        <f>H11/$H$13</f>
        <v>0.2857142857142857</v>
      </c>
    </row>
    <row r="21" spans="2:8" x14ac:dyDescent="0.3">
      <c r="B21" s="88" t="s">
        <v>273</v>
      </c>
      <c r="C21" s="89">
        <f t="shared" ref="C21:D21" si="2">C12/$D$13</f>
        <v>0.29411764705882354</v>
      </c>
      <c r="D21" s="89">
        <f t="shared" si="2"/>
        <v>0.58823529411764708</v>
      </c>
      <c r="E21" s="89">
        <f t="shared" si="0"/>
        <v>0.33333333333333331</v>
      </c>
      <c r="F21" s="89">
        <f t="shared" si="0"/>
        <v>0.5</v>
      </c>
      <c r="G21" s="89">
        <f t="shared" si="1"/>
        <v>0.2857142857142857</v>
      </c>
      <c r="H21" s="89">
        <f t="shared" si="1"/>
        <v>0.5714285714285714</v>
      </c>
    </row>
    <row r="23" spans="2:8" x14ac:dyDescent="0.3">
      <c r="B23" s="93" t="s">
        <v>283</v>
      </c>
    </row>
    <row r="24" spans="2:8" x14ac:dyDescent="0.3">
      <c r="B24" s="91"/>
    </row>
    <row r="25" spans="2:8" x14ac:dyDescent="0.3">
      <c r="B25" s="88" t="s">
        <v>279</v>
      </c>
      <c r="C25">
        <f>LN(3)^(-1)</f>
        <v>0.91023922662683732</v>
      </c>
    </row>
    <row r="27" spans="2:8" x14ac:dyDescent="0.3">
      <c r="C27" s="115" t="s">
        <v>264</v>
      </c>
      <c r="D27" s="115"/>
      <c r="E27" s="115" t="s">
        <v>265</v>
      </c>
      <c r="F27" s="115"/>
      <c r="G27" s="115" t="s">
        <v>266</v>
      </c>
      <c r="H27" s="115"/>
    </row>
    <row r="28" spans="2:8" x14ac:dyDescent="0.3">
      <c r="C28" s="88" t="s">
        <v>267</v>
      </c>
      <c r="D28" s="88" t="s">
        <v>268</v>
      </c>
      <c r="E28" s="88" t="s">
        <v>267</v>
      </c>
      <c r="F28" s="88" t="s">
        <v>268</v>
      </c>
      <c r="G28" s="88" t="s">
        <v>267</v>
      </c>
      <c r="H28" s="88" t="s">
        <v>268</v>
      </c>
    </row>
    <row r="29" spans="2:8" x14ac:dyDescent="0.3">
      <c r="C29" s="89">
        <f>C19*LN(C19)</f>
        <v>-0.16665960847389508</v>
      </c>
      <c r="D29" s="89">
        <f t="shared" ref="D29:H29" si="3">D19*LN(D19)</f>
        <v>-0.25177248982309069</v>
      </c>
      <c r="E29" s="89">
        <f t="shared" si="3"/>
        <v>-0.16057620877200915</v>
      </c>
      <c r="F29" s="89">
        <f t="shared" si="3"/>
        <v>-0.29862657820467581</v>
      </c>
      <c r="G29" s="89">
        <f t="shared" si="3"/>
        <v>-0.18850409497251847</v>
      </c>
      <c r="H29" s="89">
        <f t="shared" si="3"/>
        <v>-0.27798716415075903</v>
      </c>
    </row>
    <row r="30" spans="2:8" x14ac:dyDescent="0.3">
      <c r="B30" s="88"/>
      <c r="C30" s="89">
        <f t="shared" ref="C30:H30" si="4">C20*LN(C20)</f>
        <v>-0.25177248982309069</v>
      </c>
      <c r="D30" s="89">
        <f t="shared" si="4"/>
        <v>-0.35993395047709287</v>
      </c>
      <c r="E30" s="89">
        <f t="shared" si="4"/>
        <v>-0.29862657820467581</v>
      </c>
      <c r="F30" s="89">
        <f>F20*LN(F20)</f>
        <v>-0.36620409622270322</v>
      </c>
      <c r="G30" s="89">
        <f t="shared" si="4"/>
        <v>-0.27798716415075903</v>
      </c>
      <c r="H30" s="89">
        <f t="shared" si="4"/>
        <v>-0.35793227671296229</v>
      </c>
    </row>
    <row r="31" spans="2:8" x14ac:dyDescent="0.3">
      <c r="B31" s="88"/>
      <c r="C31" s="89">
        <f>C21*LN(C21)</f>
        <v>-0.35993395047709287</v>
      </c>
      <c r="D31" s="89">
        <f t="shared" ref="D31:H31" si="5">D21*LN(D21)</f>
        <v>-0.31213426533068844</v>
      </c>
      <c r="E31" s="89">
        <f t="shared" si="5"/>
        <v>-0.36620409622270322</v>
      </c>
      <c r="F31" s="89">
        <f t="shared" si="5"/>
        <v>-0.34657359027997264</v>
      </c>
      <c r="G31" s="89">
        <f t="shared" si="5"/>
        <v>-0.35793227671296229</v>
      </c>
      <c r="H31" s="89">
        <f t="shared" si="5"/>
        <v>-0.31978045024881302</v>
      </c>
    </row>
    <row r="32" spans="2:8" x14ac:dyDescent="0.3">
      <c r="B32" s="88" t="s">
        <v>275</v>
      </c>
      <c r="C32" s="89">
        <f>SUM(C29:C31)</f>
        <v>-0.77836604877407867</v>
      </c>
      <c r="D32" s="89">
        <f t="shared" ref="D32:H32" si="6">SUM(D29:D31)</f>
        <v>-0.92384070563087195</v>
      </c>
      <c r="E32" s="89">
        <f t="shared" si="6"/>
        <v>-0.82540688319938815</v>
      </c>
      <c r="F32" s="89">
        <f t="shared" si="6"/>
        <v>-1.0114042647073518</v>
      </c>
      <c r="G32" s="89">
        <f t="shared" si="6"/>
        <v>-0.82442353583623973</v>
      </c>
      <c r="H32" s="89">
        <f t="shared" si="6"/>
        <v>-0.95569989111253428</v>
      </c>
    </row>
    <row r="34" spans="2:8" x14ac:dyDescent="0.3">
      <c r="B34" s="88" t="s">
        <v>280</v>
      </c>
      <c r="C34" s="89">
        <f>-C25*C32</f>
        <v>0.7084993102687045</v>
      </c>
      <c r="D34" s="89">
        <f>-$C$25*D32</f>
        <v>0.84091604941983655</v>
      </c>
      <c r="E34" s="89">
        <f>-$C$25*E32</f>
        <v>0.75131772301587929</v>
      </c>
      <c r="F34" s="89">
        <f t="shared" ref="F34:H34" si="7">-$C$25*F32</f>
        <v>0.92061983571430495</v>
      </c>
      <c r="G34" s="89">
        <f t="shared" si="7"/>
        <v>0.75042264167254158</v>
      </c>
      <c r="H34" s="89">
        <f t="shared" si="7"/>
        <v>0.86991552977362585</v>
      </c>
    </row>
    <row r="35" spans="2:8" x14ac:dyDescent="0.3">
      <c r="B35" s="88"/>
    </row>
    <row r="36" spans="2:8" x14ac:dyDescent="0.3">
      <c r="B36" s="89"/>
      <c r="C36" s="88" t="s">
        <v>276</v>
      </c>
      <c r="D36" s="88" t="s">
        <v>277</v>
      </c>
      <c r="E36" s="88" t="s">
        <v>278</v>
      </c>
    </row>
    <row r="37" spans="2:8" x14ac:dyDescent="0.3">
      <c r="B37" s="88" t="s">
        <v>281</v>
      </c>
      <c r="C37" s="89">
        <f>MIN(C34:D34)</f>
        <v>0.7084993102687045</v>
      </c>
      <c r="D37" s="89">
        <f>MIN(E34:F34)</f>
        <v>0.75131772301587929</v>
      </c>
      <c r="E37" s="89">
        <f>MIN(G34:H34)</f>
        <v>0.75042264167254158</v>
      </c>
    </row>
    <row r="38" spans="2:8" x14ac:dyDescent="0.3">
      <c r="B38" s="88" t="s">
        <v>282</v>
      </c>
      <c r="C38" s="89">
        <f>MAX(C34:D34)</f>
        <v>0.84091604941983655</v>
      </c>
      <c r="D38" s="89">
        <f>MAX(E34:F34)</f>
        <v>0.92061983571430495</v>
      </c>
      <c r="E38" s="89">
        <f>MAX(G34:H34)</f>
        <v>0.86991552977362585</v>
      </c>
    </row>
    <row r="39" spans="2:8" x14ac:dyDescent="0.3">
      <c r="B39" s="2"/>
    </row>
    <row r="41" spans="2:8" x14ac:dyDescent="0.3">
      <c r="B41" s="2" t="s">
        <v>284</v>
      </c>
    </row>
    <row r="43" spans="2:8" x14ac:dyDescent="0.3">
      <c r="B43" s="88"/>
      <c r="C43" s="88" t="s">
        <v>276</v>
      </c>
      <c r="D43" s="88" t="s">
        <v>277</v>
      </c>
      <c r="E43" s="88" t="s">
        <v>278</v>
      </c>
      <c r="F43" s="2"/>
    </row>
    <row r="44" spans="2:8" x14ac:dyDescent="0.3">
      <c r="B44" s="88" t="s">
        <v>285</v>
      </c>
      <c r="C44" s="89">
        <f>1-C38</f>
        <v>0.15908395058016345</v>
      </c>
      <c r="D44" s="89">
        <f>1-D38</f>
        <v>7.9380164285695054E-2</v>
      </c>
      <c r="E44" s="89">
        <f>1-E38</f>
        <v>0.13008447022637415</v>
      </c>
    </row>
    <row r="45" spans="2:8" x14ac:dyDescent="0.3">
      <c r="B45" s="88" t="s">
        <v>286</v>
      </c>
      <c r="C45" s="89">
        <f>1-C37</f>
        <v>0.2915006897312955</v>
      </c>
      <c r="D45" s="89">
        <f>1-D37</f>
        <v>0.24868227698412071</v>
      </c>
      <c r="E45" s="89">
        <f>1-E37</f>
        <v>0.24957735832745842</v>
      </c>
    </row>
    <row r="48" spans="2:8" x14ac:dyDescent="0.3">
      <c r="B48" s="2" t="s">
        <v>287</v>
      </c>
    </row>
    <row r="50" spans="2:5" x14ac:dyDescent="0.3">
      <c r="B50" t="s">
        <v>288</v>
      </c>
      <c r="C50">
        <f>C44/SUM(C45:E45)</f>
        <v>0.20143320135957332</v>
      </c>
      <c r="D50">
        <f>D44/SUM(C45:E45)</f>
        <v>0.1005117144639871</v>
      </c>
      <c r="E50">
        <f>E44/SUM(C45:E45)</f>
        <v>0.16471385824466694</v>
      </c>
    </row>
    <row r="51" spans="2:5" x14ac:dyDescent="0.3">
      <c r="B51" t="s">
        <v>289</v>
      </c>
      <c r="C51">
        <f>C45/SUM(C44:E44)</f>
        <v>0.7909423655997615</v>
      </c>
      <c r="D51">
        <f>D45/SUM(C44:E44)</f>
        <v>0.67476117679813019</v>
      </c>
      <c r="E51">
        <f>E45/SUM(C44:E44)</f>
        <v>0.67718984259564963</v>
      </c>
    </row>
    <row r="54" spans="2:5" x14ac:dyDescent="0.3">
      <c r="B54" s="2" t="s">
        <v>296</v>
      </c>
    </row>
    <row r="57" spans="2:5" x14ac:dyDescent="0.3">
      <c r="B57" s="88" t="s">
        <v>290</v>
      </c>
      <c r="C57" s="89" t="s">
        <v>291</v>
      </c>
      <c r="D57" s="89" t="s">
        <v>292</v>
      </c>
      <c r="E57" s="89" t="s">
        <v>293</v>
      </c>
    </row>
    <row r="58" spans="2:5" x14ac:dyDescent="0.3">
      <c r="B58" s="95" t="s">
        <v>294</v>
      </c>
      <c r="C58" s="94">
        <f>AVERAGE(0.2,0.79)</f>
        <v>0.495</v>
      </c>
      <c r="D58" s="94">
        <f>AVERAGE(0.1,0.67)</f>
        <v>0.38500000000000001</v>
      </c>
      <c r="E58" s="94">
        <f>AVERAGE(0.16,0.68)</f>
        <v>0.42000000000000004</v>
      </c>
    </row>
    <row r="59" spans="2:5" x14ac:dyDescent="0.3">
      <c r="B59" s="88" t="s">
        <v>295</v>
      </c>
      <c r="C59" s="89">
        <f>(0.79-0.2)/2</f>
        <v>0.29500000000000004</v>
      </c>
      <c r="D59" s="89">
        <f>(0.67-0.1)/2</f>
        <v>0.28500000000000003</v>
      </c>
      <c r="E59" s="89">
        <f>(0.68-0.16)/2</f>
        <v>0.26</v>
      </c>
    </row>
    <row r="61" spans="2:5" x14ac:dyDescent="0.3">
      <c r="B61" s="2" t="s">
        <v>297</v>
      </c>
    </row>
    <row r="62" spans="2:5" x14ac:dyDescent="0.3">
      <c r="B62" s="2" t="s">
        <v>298</v>
      </c>
      <c r="C62">
        <f>(C58-D58)/(C59-D59)</f>
        <v>10.999999999999989</v>
      </c>
      <c r="D62" t="s">
        <v>299</v>
      </c>
    </row>
    <row r="63" spans="2:5" x14ac:dyDescent="0.3">
      <c r="B63" s="2" t="s">
        <v>300</v>
      </c>
      <c r="C63">
        <f>(C58-E58)/(C59-E59)</f>
        <v>2.1428571428571397</v>
      </c>
      <c r="D63" t="s">
        <v>301</v>
      </c>
    </row>
    <row r="64" spans="2:5" x14ac:dyDescent="0.3">
      <c r="B64" s="2" t="s">
        <v>302</v>
      </c>
      <c r="C64">
        <f>(D58-E58)/(D59-E59)</f>
        <v>-1.4</v>
      </c>
      <c r="D64" t="s">
        <v>303</v>
      </c>
    </row>
    <row r="66" spans="2:5" x14ac:dyDescent="0.3">
      <c r="B66" s="89"/>
      <c r="C66" s="88" t="s">
        <v>307</v>
      </c>
      <c r="D66" s="88" t="s">
        <v>309</v>
      </c>
      <c r="E66" s="89"/>
    </row>
    <row r="67" spans="2:5" x14ac:dyDescent="0.3">
      <c r="B67" s="88" t="s">
        <v>304</v>
      </c>
      <c r="C67" s="89">
        <v>1</v>
      </c>
      <c r="D67" s="96">
        <v>0.495</v>
      </c>
      <c r="E67" s="89"/>
    </row>
    <row r="68" spans="2:5" x14ac:dyDescent="0.3">
      <c r="B68" s="88" t="s">
        <v>306</v>
      </c>
      <c r="C68" s="89">
        <v>3</v>
      </c>
      <c r="D68" s="96">
        <v>0.38500000000000001</v>
      </c>
      <c r="E68" s="89"/>
    </row>
    <row r="69" spans="2:5" x14ac:dyDescent="0.3">
      <c r="B69" s="88" t="s">
        <v>305</v>
      </c>
      <c r="C69" s="89">
        <v>2</v>
      </c>
      <c r="D69" s="97">
        <v>0.42</v>
      </c>
      <c r="E69" s="89"/>
    </row>
    <row r="71" spans="2:5" x14ac:dyDescent="0.3">
      <c r="B71" t="s">
        <v>308</v>
      </c>
    </row>
    <row r="73" spans="2:5" x14ac:dyDescent="0.3">
      <c r="B73" s="2" t="s">
        <v>310</v>
      </c>
    </row>
    <row r="74" spans="2:5" x14ac:dyDescent="0.3">
      <c r="B74" s="88" t="s">
        <v>276</v>
      </c>
      <c r="C74" s="98">
        <f>D67/C77</f>
        <v>0.38076923076923075</v>
      </c>
      <c r="D74" s="97">
        <v>0.38</v>
      </c>
    </row>
    <row r="75" spans="2:5" x14ac:dyDescent="0.3">
      <c r="B75" s="88" t="s">
        <v>277</v>
      </c>
      <c r="C75" s="98">
        <f>D68/C77</f>
        <v>0.29615384615384616</v>
      </c>
      <c r="D75" s="96">
        <v>0.3</v>
      </c>
    </row>
    <row r="76" spans="2:5" x14ac:dyDescent="0.3">
      <c r="B76" s="88" t="s">
        <v>278</v>
      </c>
      <c r="C76" s="98">
        <f>D69/C77</f>
        <v>0.32307692307692304</v>
      </c>
      <c r="D76" s="96">
        <v>0.32</v>
      </c>
    </row>
    <row r="77" spans="2:5" x14ac:dyDescent="0.3">
      <c r="B77" s="88" t="s">
        <v>275</v>
      </c>
      <c r="C77" s="96">
        <f>SUM(D67:D69)</f>
        <v>1.3</v>
      </c>
      <c r="D77" s="97">
        <f>SUM(D74:D76)</f>
        <v>1</v>
      </c>
    </row>
    <row r="78" spans="2:5" x14ac:dyDescent="0.3">
      <c r="C78" s="92"/>
    </row>
    <row r="79" spans="2:5" x14ac:dyDescent="0.3">
      <c r="B79" t="s">
        <v>311</v>
      </c>
    </row>
    <row r="81" spans="2:8" x14ac:dyDescent="0.3">
      <c r="B81" s="2" t="s">
        <v>324</v>
      </c>
    </row>
    <row r="83" spans="2:8" x14ac:dyDescent="0.3">
      <c r="B83" s="2" t="s">
        <v>269</v>
      </c>
      <c r="C83" s="113" t="s">
        <v>248</v>
      </c>
      <c r="D83" s="113"/>
      <c r="E83" s="113" t="s">
        <v>260</v>
      </c>
      <c r="F83" s="113"/>
      <c r="G83" s="113" t="s">
        <v>261</v>
      </c>
      <c r="H83" s="113"/>
    </row>
    <row r="84" spans="2:8" x14ac:dyDescent="0.3">
      <c r="B84" s="2" t="s">
        <v>270</v>
      </c>
      <c r="C84" s="114" t="s">
        <v>253</v>
      </c>
      <c r="D84" s="114"/>
      <c r="E84" s="114" t="s">
        <v>254</v>
      </c>
      <c r="F84" s="114"/>
      <c r="G84" s="114" t="s">
        <v>257</v>
      </c>
      <c r="H84" s="114"/>
    </row>
    <row r="85" spans="2:8" x14ac:dyDescent="0.3">
      <c r="B85" s="2" t="s">
        <v>251</v>
      </c>
      <c r="C85" s="114" t="s">
        <v>250</v>
      </c>
      <c r="D85" s="114"/>
      <c r="E85" s="114" t="s">
        <v>255</v>
      </c>
      <c r="F85" s="114"/>
      <c r="G85" s="114" t="s">
        <v>258</v>
      </c>
      <c r="H85" s="114"/>
    </row>
    <row r="86" spans="2:8" x14ac:dyDescent="0.3">
      <c r="B86" s="2" t="s">
        <v>252</v>
      </c>
      <c r="C86" s="114" t="s">
        <v>249</v>
      </c>
      <c r="D86" s="114"/>
      <c r="E86" s="114" t="s">
        <v>256</v>
      </c>
      <c r="F86" s="114"/>
      <c r="G86" s="114" t="s">
        <v>259</v>
      </c>
      <c r="H86" s="114"/>
    </row>
    <row r="87" spans="2:8" x14ac:dyDescent="0.3">
      <c r="B87" s="90" t="s">
        <v>262</v>
      </c>
      <c r="C87" s="114">
        <v>0.38</v>
      </c>
      <c r="D87" s="114"/>
      <c r="E87" s="114">
        <v>0.3</v>
      </c>
      <c r="F87" s="114"/>
      <c r="G87" s="114">
        <v>0.32</v>
      </c>
      <c r="H87" s="114"/>
    </row>
    <row r="92" spans="2:8" x14ac:dyDescent="0.3">
      <c r="B92" s="88" t="s">
        <v>269</v>
      </c>
      <c r="C92" s="116" t="s">
        <v>264</v>
      </c>
      <c r="D92" s="116"/>
      <c r="E92" s="116" t="s">
        <v>265</v>
      </c>
      <c r="F92" s="116"/>
      <c r="G92" s="116" t="s">
        <v>266</v>
      </c>
      <c r="H92" s="116"/>
    </row>
    <row r="93" spans="2:8" x14ac:dyDescent="0.3">
      <c r="B93" s="89"/>
      <c r="C93" s="88" t="s">
        <v>267</v>
      </c>
      <c r="D93" s="88" t="s">
        <v>268</v>
      </c>
      <c r="E93" s="88" t="s">
        <v>267</v>
      </c>
      <c r="F93" s="88" t="s">
        <v>268</v>
      </c>
      <c r="G93" s="88" t="s">
        <v>267</v>
      </c>
      <c r="H93" s="88" t="s">
        <v>268</v>
      </c>
    </row>
    <row r="94" spans="2:8" x14ac:dyDescent="0.3">
      <c r="B94" s="88" t="s">
        <v>271</v>
      </c>
      <c r="C94" s="89">
        <v>100</v>
      </c>
      <c r="D94" s="89">
        <v>200</v>
      </c>
      <c r="E94" s="89">
        <v>1</v>
      </c>
      <c r="F94" s="89">
        <v>3</v>
      </c>
      <c r="G94" s="89">
        <v>5</v>
      </c>
      <c r="H94" s="89">
        <v>10</v>
      </c>
    </row>
    <row r="95" spans="2:8" x14ac:dyDescent="0.3">
      <c r="B95" s="88" t="s">
        <v>272</v>
      </c>
      <c r="C95" s="89">
        <v>200</v>
      </c>
      <c r="D95" s="89">
        <v>500</v>
      </c>
      <c r="E95" s="89">
        <v>3</v>
      </c>
      <c r="F95" s="89">
        <v>6</v>
      </c>
      <c r="G95" s="89">
        <v>10</v>
      </c>
      <c r="H95" s="89">
        <v>20</v>
      </c>
    </row>
    <row r="96" spans="2:8" x14ac:dyDescent="0.3">
      <c r="B96" s="88" t="s">
        <v>273</v>
      </c>
      <c r="C96" s="89">
        <v>500</v>
      </c>
      <c r="D96" s="89">
        <v>1000</v>
      </c>
      <c r="E96" s="89">
        <v>6</v>
      </c>
      <c r="F96" s="89">
        <v>9</v>
      </c>
      <c r="G96" s="89">
        <v>20</v>
      </c>
      <c r="H96" s="89">
        <v>40</v>
      </c>
    </row>
    <row r="97" spans="2:8" x14ac:dyDescent="0.3">
      <c r="B97" s="88" t="s">
        <v>275</v>
      </c>
      <c r="C97" s="89">
        <f>C94^2+C95^2+C96^2</f>
        <v>300000</v>
      </c>
      <c r="D97" s="89">
        <f>D94^2+D95^2+D96^2</f>
        <v>1290000</v>
      </c>
      <c r="E97" s="89">
        <f>E94^2+E95^2+E96^2</f>
        <v>46</v>
      </c>
      <c r="F97" s="89">
        <f t="shared" ref="F97:H97" si="8">F94^2+F95^2+F96^2</f>
        <v>126</v>
      </c>
      <c r="G97" s="89">
        <f>G94^2+G95^2+G96^2</f>
        <v>525</v>
      </c>
      <c r="H97" s="89">
        <f t="shared" si="8"/>
        <v>2100</v>
      </c>
    </row>
    <row r="99" spans="2:8" x14ac:dyDescent="0.3">
      <c r="B99" s="93" t="s">
        <v>312</v>
      </c>
    </row>
    <row r="101" spans="2:8" x14ac:dyDescent="0.3">
      <c r="B101" s="88" t="s">
        <v>269</v>
      </c>
      <c r="C101" s="116" t="s">
        <v>264</v>
      </c>
      <c r="D101" s="116"/>
      <c r="E101" s="116" t="s">
        <v>265</v>
      </c>
      <c r="F101" s="116"/>
      <c r="G101" s="116" t="s">
        <v>266</v>
      </c>
      <c r="H101" s="116"/>
    </row>
    <row r="102" spans="2:8" x14ac:dyDescent="0.3">
      <c r="B102" s="89"/>
      <c r="C102" s="88" t="s">
        <v>267</v>
      </c>
      <c r="D102" s="88" t="s">
        <v>268</v>
      </c>
      <c r="E102" s="88" t="s">
        <v>267</v>
      </c>
      <c r="F102" s="88" t="s">
        <v>268</v>
      </c>
      <c r="G102" s="88" t="s">
        <v>267</v>
      </c>
      <c r="H102" s="88" t="s">
        <v>268</v>
      </c>
    </row>
    <row r="103" spans="2:8" x14ac:dyDescent="0.3">
      <c r="B103" s="88" t="s">
        <v>271</v>
      </c>
      <c r="C103" s="89">
        <f>C94/SQRT($C$97+$D$97)</f>
        <v>7.9305158571814416E-2</v>
      </c>
      <c r="D103" s="89">
        <f>D94/SQRT($C$97+$D$97)</f>
        <v>0.15861031714362883</v>
      </c>
      <c r="E103" s="89">
        <f>E94/SQRT($E$97+$F$97)</f>
        <v>7.6249285166302333E-2</v>
      </c>
      <c r="F103" s="89">
        <f>F94/SQRT($E$97+$F$97)</f>
        <v>0.228747855498907</v>
      </c>
      <c r="G103" s="89">
        <f>G94/SQRT($G$97+$H$97)</f>
        <v>9.7590007294853315E-2</v>
      </c>
      <c r="H103" s="89">
        <f>H94/SQRT($G$97+$H$97)</f>
        <v>0.19518001458970663</v>
      </c>
    </row>
    <row r="104" spans="2:8" x14ac:dyDescent="0.3">
      <c r="B104" s="88" t="s">
        <v>272</v>
      </c>
      <c r="C104" s="89">
        <f t="shared" ref="C104" si="9">C95/SQRT($C$97+$D$97)</f>
        <v>0.15861031714362883</v>
      </c>
      <c r="D104" s="89">
        <f>D95/SQRT($C$97+$D$97)</f>
        <v>0.39652579285907208</v>
      </c>
      <c r="E104" s="89">
        <f t="shared" ref="E104:F105" si="10">E95/SQRT($E$97+$F$97)</f>
        <v>0.228747855498907</v>
      </c>
      <c r="F104" s="89">
        <f>F95/SQRT($E$97+$F$97)</f>
        <v>0.457495710997814</v>
      </c>
      <c r="G104" s="89">
        <f t="shared" ref="G104" si="11">G95/SQRT($G$97+$H$97)</f>
        <v>0.19518001458970663</v>
      </c>
      <c r="H104" s="89">
        <f>H95/SQRT($G$97+$H$97)</f>
        <v>0.39036002917941326</v>
      </c>
    </row>
    <row r="105" spans="2:8" x14ac:dyDescent="0.3">
      <c r="B105" s="88" t="s">
        <v>273</v>
      </c>
      <c r="C105" s="89">
        <f t="shared" ref="C105:D105" si="12">C96/SQRT($C$97+$D$97)</f>
        <v>0.39652579285907208</v>
      </c>
      <c r="D105" s="89">
        <f t="shared" si="12"/>
        <v>0.79305158571814416</v>
      </c>
      <c r="E105" s="89">
        <f t="shared" si="10"/>
        <v>0.457495710997814</v>
      </c>
      <c r="F105" s="89">
        <f t="shared" si="10"/>
        <v>0.68624356649672102</v>
      </c>
      <c r="G105" s="89">
        <f t="shared" ref="G105:H105" si="13">G96/SQRT($G$97+$H$97)</f>
        <v>0.39036002917941326</v>
      </c>
      <c r="H105" s="89">
        <f t="shared" si="13"/>
        <v>0.78072005835882652</v>
      </c>
    </row>
    <row r="106" spans="2:8" x14ac:dyDescent="0.3">
      <c r="B106" s="88" t="s">
        <v>262</v>
      </c>
      <c r="C106" s="117">
        <v>0.38</v>
      </c>
      <c r="D106" s="117"/>
      <c r="E106" s="117">
        <v>0.3</v>
      </c>
      <c r="F106" s="117"/>
      <c r="G106" s="117">
        <v>0.32</v>
      </c>
      <c r="H106" s="117"/>
    </row>
    <row r="108" spans="2:8" x14ac:dyDescent="0.3">
      <c r="B108" s="93" t="s">
        <v>313</v>
      </c>
    </row>
    <row r="110" spans="2:8" x14ac:dyDescent="0.3">
      <c r="B110" s="88" t="s">
        <v>269</v>
      </c>
      <c r="C110" s="116" t="s">
        <v>264</v>
      </c>
      <c r="D110" s="116"/>
      <c r="E110" s="116" t="s">
        <v>265</v>
      </c>
      <c r="F110" s="116"/>
      <c r="G110" s="116" t="s">
        <v>266</v>
      </c>
      <c r="H110" s="116"/>
    </row>
    <row r="111" spans="2:8" x14ac:dyDescent="0.3">
      <c r="B111" s="89"/>
      <c r="C111" s="88" t="s">
        <v>267</v>
      </c>
      <c r="D111" s="88" t="s">
        <v>268</v>
      </c>
      <c r="E111" s="88" t="s">
        <v>267</v>
      </c>
      <c r="F111" s="88" t="s">
        <v>268</v>
      </c>
      <c r="G111" s="88" t="s">
        <v>267</v>
      </c>
      <c r="H111" s="88" t="s">
        <v>268</v>
      </c>
    </row>
    <row r="112" spans="2:8" x14ac:dyDescent="0.3">
      <c r="B112" s="88" t="s">
        <v>271</v>
      </c>
      <c r="C112" s="89">
        <f>C106*C103</f>
        <v>3.0135960257289478E-2</v>
      </c>
      <c r="D112" s="89">
        <f>D103/$C$106</f>
        <v>0.41739557143060219</v>
      </c>
      <c r="E112" s="89">
        <f>E103/$E$106</f>
        <v>0.25416428388767448</v>
      </c>
      <c r="F112" s="89">
        <f>F103/$E$106</f>
        <v>0.76249285166302339</v>
      </c>
      <c r="G112" s="89">
        <f>G103/$G$106</f>
        <v>0.3049687727964166</v>
      </c>
      <c r="H112" s="89">
        <f>H103/$G$106</f>
        <v>0.6099375455928332</v>
      </c>
    </row>
    <row r="113" spans="2:8" x14ac:dyDescent="0.3">
      <c r="B113" s="88" t="s">
        <v>272</v>
      </c>
      <c r="C113" s="89">
        <f>C106*C104</f>
        <v>6.0271920514578955E-2</v>
      </c>
      <c r="D113" s="89">
        <f t="shared" ref="D113" si="14">D104/$C$106</f>
        <v>1.0434889285765054</v>
      </c>
      <c r="E113" s="89">
        <f>E104/$E$106</f>
        <v>0.76249285166302339</v>
      </c>
      <c r="F113" s="89">
        <f>F104/$E$106</f>
        <v>1.5249857033260468</v>
      </c>
      <c r="G113" s="89">
        <f t="shared" ref="G113" si="15">G104/$G$106</f>
        <v>0.6099375455928332</v>
      </c>
      <c r="H113" s="89">
        <f>H104/$G$106</f>
        <v>1.2198750911856664</v>
      </c>
    </row>
    <row r="114" spans="2:8" x14ac:dyDescent="0.3">
      <c r="B114" s="88" t="s">
        <v>273</v>
      </c>
      <c r="C114" s="89">
        <f>C106*C105</f>
        <v>0.1506798012864474</v>
      </c>
      <c r="D114" s="89">
        <f>D105/$C$106</f>
        <v>2.0869778571530109</v>
      </c>
      <c r="E114" s="89">
        <f t="shared" ref="E114" si="16">E105/$E$106</f>
        <v>1.5249857033260468</v>
      </c>
      <c r="F114" s="89">
        <f t="shared" ref="F114" si="17">F105/$E$106</f>
        <v>2.2874785549890704</v>
      </c>
      <c r="G114" s="89">
        <f t="shared" ref="G114:H114" si="18">G105/$G$106</f>
        <v>1.2198750911856664</v>
      </c>
      <c r="H114" s="89">
        <f t="shared" si="18"/>
        <v>2.4397501823713328</v>
      </c>
    </row>
    <row r="115" spans="2:8" x14ac:dyDescent="0.3">
      <c r="B115" s="90"/>
      <c r="C115" s="114"/>
      <c r="D115" s="114"/>
      <c r="E115" s="114"/>
      <c r="F115" s="114"/>
      <c r="G115" s="114"/>
      <c r="H115" s="114"/>
    </row>
    <row r="117" spans="2:8" x14ac:dyDescent="0.3">
      <c r="B117" s="93" t="s">
        <v>314</v>
      </c>
    </row>
    <row r="118" spans="2:8" x14ac:dyDescent="0.3">
      <c r="B118" s="88"/>
      <c r="C118" s="88" t="s">
        <v>276</v>
      </c>
      <c r="D118" s="88" t="s">
        <v>277</v>
      </c>
      <c r="E118" s="88" t="s">
        <v>278</v>
      </c>
    </row>
    <row r="119" spans="2:8" x14ac:dyDescent="0.3">
      <c r="B119" s="88" t="s">
        <v>315</v>
      </c>
      <c r="C119" s="89">
        <f>MIN(C112:C114)</f>
        <v>3.0135960257289478E-2</v>
      </c>
      <c r="D119" s="89">
        <f>MAX(F112:F114)</f>
        <v>2.2874785549890704</v>
      </c>
      <c r="E119" s="89">
        <f>MAX(H112:H114)</f>
        <v>2.4397501823713328</v>
      </c>
    </row>
    <row r="120" spans="2:8" x14ac:dyDescent="0.3">
      <c r="B120" s="88" t="s">
        <v>316</v>
      </c>
      <c r="C120" s="89">
        <f>MAX(D112:D114)</f>
        <v>2.0869778571530109</v>
      </c>
      <c r="D120" s="89">
        <f>MIN(E112:E114)</f>
        <v>0.25416428388767448</v>
      </c>
      <c r="E120" s="89">
        <f>MIN(G112:G114)</f>
        <v>0.3049687727964166</v>
      </c>
    </row>
    <row r="123" spans="2:8" x14ac:dyDescent="0.3">
      <c r="B123" s="2" t="s">
        <v>317</v>
      </c>
    </row>
    <row r="124" spans="2:8" x14ac:dyDescent="0.3">
      <c r="B124" s="88"/>
      <c r="C124" s="88" t="s">
        <v>271</v>
      </c>
      <c r="D124" s="88" t="s">
        <v>272</v>
      </c>
      <c r="E124" s="88" t="s">
        <v>273</v>
      </c>
    </row>
    <row r="125" spans="2:8" x14ac:dyDescent="0.3">
      <c r="B125" s="88" t="s">
        <v>318</v>
      </c>
      <c r="C125" s="89">
        <f>SQRT((D112-C119)^2+(E112-D119)^2+(G112-E119)^2)</f>
        <v>2.9734876152722367</v>
      </c>
      <c r="D125" s="89">
        <f>SQRT((D113-C119)^2+(E113-D119)^2+(G113-E119)^2)</f>
        <v>2.5885671556798542</v>
      </c>
      <c r="E125" s="89">
        <f>SQRT((D114-C119)^2+(E114-D119)^2+(G114-E119)^2)</f>
        <v>2.5099978437755754</v>
      </c>
    </row>
    <row r="126" spans="2:8" x14ac:dyDescent="0.3">
      <c r="B126" s="88" t="s">
        <v>319</v>
      </c>
      <c r="C126" s="89">
        <f>SQRT((C112-C120)^2+(F112-D120)^2+(H112-E120)^2)</f>
        <v>2.1405612521072785</v>
      </c>
      <c r="D126" s="89">
        <f>SQRT((C113-C120)^2+(F113-D120)^2+(H113-E120)^2)</f>
        <v>2.5611672349023586</v>
      </c>
      <c r="E126" s="89">
        <f>SQRT((C114-C120)^2+(F114-D120)^2+(H114-E120)^2)</f>
        <v>3.5271672419781712</v>
      </c>
    </row>
    <row r="128" spans="2:8" x14ac:dyDescent="0.3">
      <c r="B128" s="2" t="s">
        <v>320</v>
      </c>
    </row>
    <row r="129" spans="2:5" x14ac:dyDescent="0.3">
      <c r="B129" s="89"/>
      <c r="C129" s="88" t="s">
        <v>271</v>
      </c>
      <c r="D129" s="88" t="s">
        <v>272</v>
      </c>
      <c r="E129" s="88" t="s">
        <v>273</v>
      </c>
    </row>
    <row r="130" spans="2:5" x14ac:dyDescent="0.3">
      <c r="B130" s="88" t="s">
        <v>321</v>
      </c>
      <c r="C130" s="89">
        <f>C126/(C125+C126)</f>
        <v>0.4185648803164686</v>
      </c>
      <c r="D130" s="89">
        <f>D126/(D125+D126)</f>
        <v>0.49733967631150028</v>
      </c>
      <c r="E130" s="89">
        <f>E126/(E125+E126)</f>
        <v>0.58424230443878944</v>
      </c>
    </row>
    <row r="133" spans="2:5" x14ac:dyDescent="0.3">
      <c r="B133" t="s">
        <v>322</v>
      </c>
    </row>
    <row r="135" spans="2:5" x14ac:dyDescent="0.3">
      <c r="B135">
        <f>MAX(C130:E130)</f>
        <v>0.58424230443878944</v>
      </c>
      <c r="C135" t="s">
        <v>273</v>
      </c>
    </row>
    <row r="137" spans="2:5" x14ac:dyDescent="0.3">
      <c r="B137" t="s">
        <v>323</v>
      </c>
    </row>
    <row r="138" spans="2:5" x14ac:dyDescent="0.3">
      <c r="B138" t="s">
        <v>273</v>
      </c>
    </row>
    <row r="139" spans="2:5" x14ac:dyDescent="0.3">
      <c r="B139" t="s">
        <v>272</v>
      </c>
    </row>
    <row r="140" spans="2:5" x14ac:dyDescent="0.3">
      <c r="B140" t="s">
        <v>271</v>
      </c>
    </row>
  </sheetData>
  <mergeCells count="51">
    <mergeCell ref="C110:D110"/>
    <mergeCell ref="E110:F110"/>
    <mergeCell ref="G110:H110"/>
    <mergeCell ref="C115:D115"/>
    <mergeCell ref="E115:F115"/>
    <mergeCell ref="G115:H115"/>
    <mergeCell ref="C101:D101"/>
    <mergeCell ref="E101:F101"/>
    <mergeCell ref="G101:H101"/>
    <mergeCell ref="C106:D106"/>
    <mergeCell ref="E106:F106"/>
    <mergeCell ref="G106:H106"/>
    <mergeCell ref="C87:D87"/>
    <mergeCell ref="E87:F87"/>
    <mergeCell ref="G87:H87"/>
    <mergeCell ref="C92:D92"/>
    <mergeCell ref="E92:F92"/>
    <mergeCell ref="G92:H92"/>
    <mergeCell ref="C85:D85"/>
    <mergeCell ref="E85:F85"/>
    <mergeCell ref="G85:H85"/>
    <mergeCell ref="C86:D86"/>
    <mergeCell ref="E86:F86"/>
    <mergeCell ref="G86:H86"/>
    <mergeCell ref="C83:D83"/>
    <mergeCell ref="E83:F83"/>
    <mergeCell ref="G83:H83"/>
    <mergeCell ref="C84:D84"/>
    <mergeCell ref="E84:F84"/>
    <mergeCell ref="G84:H84"/>
    <mergeCell ref="C27:D27"/>
    <mergeCell ref="E27:F27"/>
    <mergeCell ref="G27:H27"/>
    <mergeCell ref="G4:H4"/>
    <mergeCell ref="G5:H5"/>
    <mergeCell ref="C8:D8"/>
    <mergeCell ref="E8:F8"/>
    <mergeCell ref="G8:H8"/>
    <mergeCell ref="C17:D17"/>
    <mergeCell ref="E17:F17"/>
    <mergeCell ref="G17:H17"/>
    <mergeCell ref="C5:D5"/>
    <mergeCell ref="E5:F5"/>
    <mergeCell ref="C2:D2"/>
    <mergeCell ref="E2:F2"/>
    <mergeCell ref="G2:H2"/>
    <mergeCell ref="C3:D3"/>
    <mergeCell ref="C4:D4"/>
    <mergeCell ref="E3:F3"/>
    <mergeCell ref="E4:F4"/>
    <mergeCell ref="G3:H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topLeftCell="A19" workbookViewId="0">
      <selection activeCell="M12" sqref="M12"/>
    </sheetView>
  </sheetViews>
  <sheetFormatPr defaultRowHeight="14.4" x14ac:dyDescent="0.3"/>
  <cols>
    <col min="2" max="2" width="5.21875" customWidth="1"/>
    <col min="3" max="3" width="13.44140625" style="11" customWidth="1"/>
    <col min="4" max="4" width="11.33203125" style="8" customWidth="1"/>
    <col min="5" max="5" width="10" style="8" bestFit="1" customWidth="1"/>
    <col min="6" max="6" width="18.21875" style="8" customWidth="1"/>
    <col min="7" max="7" width="17.33203125" style="8" customWidth="1"/>
    <col min="8" max="8" width="17.44140625" style="8" customWidth="1"/>
    <col min="9" max="9" width="19" customWidth="1"/>
    <col min="10" max="10" width="12.88671875" customWidth="1"/>
  </cols>
  <sheetData>
    <row r="1" spans="1:10" x14ac:dyDescent="0.3">
      <c r="A1" s="12" t="s">
        <v>149</v>
      </c>
      <c r="B1" s="12" t="s">
        <v>150</v>
      </c>
      <c r="C1" s="13" t="s">
        <v>151</v>
      </c>
      <c r="D1" s="14" t="s">
        <v>152</v>
      </c>
      <c r="E1" s="14" t="s">
        <v>153</v>
      </c>
      <c r="F1" s="14" t="s">
        <v>154</v>
      </c>
      <c r="G1" s="14" t="s">
        <v>155</v>
      </c>
      <c r="H1" s="14" t="s">
        <v>156</v>
      </c>
      <c r="I1" s="12" t="s">
        <v>157</v>
      </c>
      <c r="J1" s="14" t="s">
        <v>181</v>
      </c>
    </row>
    <row r="2" spans="1:10" x14ac:dyDescent="0.3">
      <c r="A2" s="9">
        <v>1</v>
      </c>
      <c r="B2" s="9">
        <v>2007</v>
      </c>
      <c r="C2" s="10">
        <v>22133144</v>
      </c>
      <c r="D2" s="7">
        <v>2399998</v>
      </c>
      <c r="E2" s="7">
        <v>18183015</v>
      </c>
      <c r="F2" s="7">
        <v>2542568</v>
      </c>
      <c r="G2" s="7">
        <v>17961664</v>
      </c>
      <c r="H2" s="7">
        <v>2321217</v>
      </c>
      <c r="I2" s="9">
        <v>305</v>
      </c>
      <c r="J2">
        <f>D2/C2</f>
        <v>0.10843457215115937</v>
      </c>
    </row>
    <row r="3" spans="1:10" x14ac:dyDescent="0.3">
      <c r="A3" s="9">
        <v>2</v>
      </c>
      <c r="B3" s="9">
        <v>2008</v>
      </c>
      <c r="C3" s="10">
        <v>64876609</v>
      </c>
      <c r="D3" s="7">
        <v>415823</v>
      </c>
      <c r="E3" s="7">
        <v>44039356</v>
      </c>
      <c r="F3" s="7">
        <v>2765694</v>
      </c>
      <c r="G3" s="7">
        <v>43273734</v>
      </c>
      <c r="H3" s="7">
        <v>2737040</v>
      </c>
      <c r="I3" s="9">
        <v>399</v>
      </c>
      <c r="J3">
        <f t="shared" ref="J3:J18" si="0">D3/C3</f>
        <v>6.4094441187578103E-3</v>
      </c>
    </row>
    <row r="4" spans="1:10" x14ac:dyDescent="0.3">
      <c r="A4" s="9">
        <v>3</v>
      </c>
      <c r="B4" s="9">
        <v>2009</v>
      </c>
      <c r="C4" s="10">
        <v>104876324</v>
      </c>
      <c r="D4" s="7">
        <v>7156247</v>
      </c>
      <c r="E4" s="7">
        <v>75746887</v>
      </c>
      <c r="F4" s="7">
        <v>2931938</v>
      </c>
      <c r="G4" s="7">
        <v>82152621</v>
      </c>
      <c r="H4" s="7">
        <v>9893286</v>
      </c>
      <c r="I4" s="9">
        <v>425</v>
      </c>
      <c r="J4">
        <f t="shared" si="0"/>
        <v>6.8235105189232217E-2</v>
      </c>
    </row>
    <row r="5" spans="1:10" x14ac:dyDescent="0.3">
      <c r="A5" s="9">
        <v>4</v>
      </c>
      <c r="B5" s="9">
        <v>2010</v>
      </c>
      <c r="C5" s="10">
        <v>122015011</v>
      </c>
      <c r="D5" s="7">
        <v>1012838</v>
      </c>
      <c r="E5" s="7">
        <v>78195040</v>
      </c>
      <c r="F5" s="7">
        <v>3275128</v>
      </c>
      <c r="G5" s="7">
        <v>86035513</v>
      </c>
      <c r="H5" s="7">
        <v>10906125</v>
      </c>
      <c r="I5" s="9">
        <v>379</v>
      </c>
      <c r="J5">
        <f t="shared" si="0"/>
        <v>8.3009294651458908E-3</v>
      </c>
    </row>
    <row r="6" spans="1:10" x14ac:dyDescent="0.3">
      <c r="A6" s="9">
        <v>5</v>
      </c>
      <c r="B6" s="9">
        <v>2011</v>
      </c>
      <c r="C6" s="10">
        <v>135614898</v>
      </c>
      <c r="D6" s="7">
        <v>4583174</v>
      </c>
      <c r="E6" s="7">
        <v>96955009</v>
      </c>
      <c r="F6" s="7">
        <v>44903941</v>
      </c>
      <c r="G6" s="7">
        <v>66932484</v>
      </c>
      <c r="H6" s="7">
        <v>13989298</v>
      </c>
      <c r="I6" s="9">
        <v>370</v>
      </c>
      <c r="J6">
        <f t="shared" si="0"/>
        <v>3.3795505269634901E-2</v>
      </c>
    </row>
    <row r="7" spans="1:10" x14ac:dyDescent="0.3">
      <c r="A7" s="9">
        <v>6</v>
      </c>
      <c r="B7" s="9">
        <v>2012</v>
      </c>
      <c r="C7" s="10">
        <v>160935943</v>
      </c>
      <c r="D7" s="7">
        <v>4975</v>
      </c>
      <c r="E7" s="7">
        <v>95748115</v>
      </c>
      <c r="F7" s="7">
        <v>4207798</v>
      </c>
      <c r="G7" s="7">
        <v>106595462</v>
      </c>
      <c r="H7" s="7">
        <v>13533273</v>
      </c>
      <c r="I7" s="9">
        <v>278</v>
      </c>
      <c r="J7">
        <f t="shared" si="0"/>
        <v>3.09129204282228E-5</v>
      </c>
    </row>
    <row r="8" spans="1:10" x14ac:dyDescent="0.3">
      <c r="A8" s="9">
        <v>7</v>
      </c>
      <c r="B8" s="9">
        <v>2013</v>
      </c>
      <c r="C8" s="10">
        <v>196513222</v>
      </c>
      <c r="D8" s="7">
        <v>11331647</v>
      </c>
      <c r="E8" s="7">
        <v>79982551</v>
      </c>
      <c r="F8" s="7">
        <v>35750205</v>
      </c>
      <c r="G8" s="7">
        <v>74309022</v>
      </c>
      <c r="H8" s="7">
        <v>24517321</v>
      </c>
      <c r="I8" s="9">
        <v>556</v>
      </c>
      <c r="J8">
        <f t="shared" si="0"/>
        <v>5.7663534721343078E-2</v>
      </c>
    </row>
    <row r="9" spans="1:10" x14ac:dyDescent="0.3">
      <c r="A9" s="9">
        <v>8</v>
      </c>
      <c r="B9" s="9">
        <v>2014</v>
      </c>
      <c r="C9" s="10">
        <v>251516730</v>
      </c>
      <c r="D9" s="7">
        <v>16858095</v>
      </c>
      <c r="E9" s="7">
        <v>116892349</v>
      </c>
      <c r="F9" s="7">
        <v>51831220</v>
      </c>
      <c r="G9" s="7">
        <v>150525666</v>
      </c>
      <c r="H9" s="7">
        <v>41375415</v>
      </c>
      <c r="I9" s="9">
        <v>595</v>
      </c>
      <c r="J9">
        <f t="shared" si="0"/>
        <v>6.7025740196288333E-2</v>
      </c>
    </row>
    <row r="10" spans="1:10" x14ac:dyDescent="0.3">
      <c r="A10" s="9">
        <v>9</v>
      </c>
      <c r="B10" s="9">
        <v>2015</v>
      </c>
      <c r="C10" s="10">
        <v>387037483</v>
      </c>
      <c r="D10" s="7">
        <v>57604725</v>
      </c>
      <c r="E10" s="7">
        <v>56521353</v>
      </c>
      <c r="F10" s="7">
        <v>41009762</v>
      </c>
      <c r="G10" s="7">
        <v>149970492</v>
      </c>
      <c r="H10" s="7">
        <v>71715716</v>
      </c>
      <c r="I10" s="9">
        <v>708</v>
      </c>
      <c r="J10">
        <f t="shared" si="0"/>
        <v>0.14883500314619399</v>
      </c>
    </row>
    <row r="11" spans="1:10" x14ac:dyDescent="0.3">
      <c r="A11" s="9">
        <v>10</v>
      </c>
      <c r="B11" s="9">
        <v>2016</v>
      </c>
      <c r="C11" s="10">
        <v>453169770</v>
      </c>
      <c r="D11" s="7">
        <v>27693557</v>
      </c>
      <c r="E11" s="7">
        <v>58080716</v>
      </c>
      <c r="F11" s="7">
        <v>27955128</v>
      </c>
      <c r="G11" s="7">
        <v>159116803</v>
      </c>
      <c r="H11" s="7">
        <v>53409273</v>
      </c>
      <c r="I11" s="9">
        <v>868</v>
      </c>
      <c r="J11">
        <f t="shared" si="0"/>
        <v>6.1110777534873963E-2</v>
      </c>
    </row>
    <row r="12" spans="1:10" x14ac:dyDescent="0.3">
      <c r="A12" s="9">
        <v>11</v>
      </c>
      <c r="B12" s="9">
        <v>2017</v>
      </c>
      <c r="C12" s="10">
        <v>591862278</v>
      </c>
      <c r="D12" s="7">
        <v>28427493</v>
      </c>
      <c r="E12" s="7">
        <v>98664919</v>
      </c>
      <c r="F12" s="7">
        <v>28626577</v>
      </c>
      <c r="G12" s="7">
        <v>229564776</v>
      </c>
      <c r="H12" s="7">
        <v>49816765</v>
      </c>
      <c r="I12" s="9">
        <v>1119</v>
      </c>
      <c r="J12">
        <f t="shared" si="0"/>
        <v>4.8030587615857483E-2</v>
      </c>
    </row>
    <row r="13" spans="1:10" x14ac:dyDescent="0.3">
      <c r="A13" s="9">
        <v>12</v>
      </c>
      <c r="B13" s="9">
        <v>2018</v>
      </c>
      <c r="C13" s="10">
        <v>545940714</v>
      </c>
      <c r="D13" s="7">
        <v>6449994</v>
      </c>
      <c r="E13" s="7">
        <v>104564549</v>
      </c>
      <c r="F13" s="7">
        <v>23502423</v>
      </c>
      <c r="G13" s="7">
        <v>297344709</v>
      </c>
      <c r="H13" s="7">
        <v>56266759</v>
      </c>
      <c r="I13" s="9">
        <v>1238</v>
      </c>
      <c r="J13">
        <f t="shared" si="0"/>
        <v>1.1814458666660277E-2</v>
      </c>
    </row>
    <row r="14" spans="1:10" x14ac:dyDescent="0.3">
      <c r="A14" s="9">
        <v>13</v>
      </c>
      <c r="B14" s="9">
        <v>2019</v>
      </c>
      <c r="C14" s="10">
        <v>671306085</v>
      </c>
      <c r="D14" s="7">
        <v>6796981</v>
      </c>
      <c r="E14" s="7">
        <v>175978056</v>
      </c>
      <c r="F14" s="7">
        <v>28550407</v>
      </c>
      <c r="G14" s="7">
        <v>364109554</v>
      </c>
      <c r="H14" s="7">
        <v>30063740</v>
      </c>
      <c r="I14" s="9">
        <v>1377</v>
      </c>
      <c r="J14">
        <f t="shared" si="0"/>
        <v>1.0125010262643456E-2</v>
      </c>
    </row>
    <row r="15" spans="1:10" x14ac:dyDescent="0.3">
      <c r="A15" s="9">
        <v>14</v>
      </c>
      <c r="B15" s="9">
        <v>2020</v>
      </c>
      <c r="C15" s="10">
        <v>869068558</v>
      </c>
      <c r="D15" s="7">
        <v>140449401</v>
      </c>
      <c r="E15" s="7">
        <v>120933038</v>
      </c>
      <c r="F15" s="7">
        <v>27209442</v>
      </c>
      <c r="G15" s="7">
        <v>438064425</v>
      </c>
      <c r="H15" s="7">
        <v>146415138</v>
      </c>
      <c r="I15" s="9">
        <v>1354</v>
      </c>
      <c r="J15">
        <f t="shared" si="0"/>
        <v>0.16160911553769503</v>
      </c>
    </row>
    <row r="16" spans="1:10" x14ac:dyDescent="0.3">
      <c r="A16" s="9">
        <v>15</v>
      </c>
      <c r="B16" s="9">
        <v>2021</v>
      </c>
      <c r="C16" s="10">
        <v>1084546939</v>
      </c>
      <c r="D16" s="7">
        <v>217205955</v>
      </c>
      <c r="E16" s="7">
        <v>145477586</v>
      </c>
      <c r="F16" s="7">
        <v>34866555</v>
      </c>
      <c r="G16" s="7">
        <v>667726075</v>
      </c>
      <c r="H16" s="7">
        <v>308526678</v>
      </c>
      <c r="I16" s="9">
        <v>1350</v>
      </c>
      <c r="J16">
        <f t="shared" si="0"/>
        <v>0.20027344800795202</v>
      </c>
    </row>
    <row r="17" spans="1:10" x14ac:dyDescent="0.3">
      <c r="A17" s="9">
        <v>16</v>
      </c>
      <c r="B17" s="9">
        <v>2022</v>
      </c>
      <c r="C17" s="10">
        <v>1458858561</v>
      </c>
      <c r="D17" s="7">
        <v>292313524</v>
      </c>
      <c r="E17" s="7">
        <v>191776762</v>
      </c>
      <c r="F17" s="7">
        <v>48458949</v>
      </c>
      <c r="G17" s="7">
        <v>794736386</v>
      </c>
      <c r="H17" s="7">
        <v>441167343</v>
      </c>
      <c r="I17" s="9">
        <v>1469</v>
      </c>
      <c r="J17">
        <f t="shared" si="0"/>
        <v>0.20037139433148926</v>
      </c>
    </row>
    <row r="18" spans="1:10" x14ac:dyDescent="0.3">
      <c r="A18" s="9">
        <v>17</v>
      </c>
      <c r="B18" s="9">
        <v>2023</v>
      </c>
      <c r="C18" s="10">
        <v>1029276944</v>
      </c>
      <c r="D18" s="7">
        <v>-122676743</v>
      </c>
      <c r="E18" s="7">
        <v>207855185</v>
      </c>
      <c r="F18" s="7">
        <v>54484667</v>
      </c>
      <c r="G18" s="7">
        <v>1095824011</v>
      </c>
      <c r="H18" s="7">
        <v>275376747</v>
      </c>
      <c r="I18" s="9">
        <v>1539</v>
      </c>
      <c r="J18">
        <f t="shared" si="0"/>
        <v>-0.11918730300442833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E8EF9-62DD-4D2E-8C9E-807403AD5304}">
  <dimension ref="A1:N15"/>
  <sheetViews>
    <sheetView topLeftCell="B1" workbookViewId="0">
      <selection activeCell="G21" sqref="G21"/>
    </sheetView>
  </sheetViews>
  <sheetFormatPr defaultRowHeight="14.4" x14ac:dyDescent="0.3"/>
  <cols>
    <col min="1" max="1" width="16.5546875" bestFit="1" customWidth="1"/>
    <col min="2" max="2" width="12" bestFit="1" customWidth="1"/>
    <col min="3" max="3" width="16.5546875" bestFit="1" customWidth="1"/>
    <col min="4" max="4" width="12" bestFit="1" customWidth="1"/>
    <col min="5" max="5" width="16.5546875" bestFit="1" customWidth="1"/>
    <col min="6" max="6" width="18.44140625" bestFit="1" customWidth="1"/>
    <col min="7" max="7" width="16.5546875" bestFit="1" customWidth="1"/>
    <col min="8" max="8" width="12.6640625" bestFit="1" customWidth="1"/>
    <col min="9" max="9" width="16.5546875" bestFit="1" customWidth="1"/>
    <col min="10" max="10" width="12" bestFit="1" customWidth="1"/>
    <col min="11" max="11" width="16.5546875" bestFit="1" customWidth="1"/>
    <col min="12" max="12" width="12" bestFit="1" customWidth="1"/>
    <col min="13" max="13" width="17.33203125" bestFit="1" customWidth="1"/>
    <col min="14" max="14" width="12.6640625" bestFit="1" customWidth="1"/>
  </cols>
  <sheetData>
    <row r="1" spans="1:14" s="2" customFormat="1" x14ac:dyDescent="0.3">
      <c r="A1" s="16" t="s">
        <v>151</v>
      </c>
      <c r="B1" s="16"/>
      <c r="C1" s="16" t="s">
        <v>152</v>
      </c>
      <c r="D1" s="16"/>
      <c r="E1" s="16" t="s">
        <v>153</v>
      </c>
      <c r="F1" s="16"/>
      <c r="G1" s="16" t="s">
        <v>154</v>
      </c>
      <c r="H1" s="16"/>
      <c r="I1" s="16" t="s">
        <v>155</v>
      </c>
      <c r="J1" s="16"/>
      <c r="K1" s="16" t="s">
        <v>156</v>
      </c>
      <c r="L1" s="16"/>
      <c r="M1" s="16" t="s">
        <v>157</v>
      </c>
      <c r="N1" s="16"/>
    </row>
    <row r="3" spans="1:14" x14ac:dyDescent="0.3">
      <c r="A3" t="s">
        <v>158</v>
      </c>
      <c r="B3">
        <v>479385247.82352942</v>
      </c>
      <c r="C3" t="s">
        <v>158</v>
      </c>
      <c r="D3">
        <v>41060452</v>
      </c>
      <c r="E3" t="s">
        <v>158</v>
      </c>
      <c r="F3">
        <v>103858499.17647059</v>
      </c>
      <c r="G3" t="s">
        <v>158</v>
      </c>
      <c r="H3">
        <v>27227788.352941178</v>
      </c>
      <c r="I3" t="s">
        <v>158</v>
      </c>
      <c r="J3">
        <v>283779023.35294116</v>
      </c>
      <c r="K3" t="s">
        <v>158</v>
      </c>
      <c r="L3">
        <v>91295949.058823526</v>
      </c>
      <c r="M3" t="s">
        <v>158</v>
      </c>
      <c r="N3">
        <v>842.88235294117646</v>
      </c>
    </row>
    <row r="4" spans="1:14" x14ac:dyDescent="0.3">
      <c r="A4" t="s">
        <v>159</v>
      </c>
      <c r="B4">
        <v>102242291.8926879</v>
      </c>
      <c r="C4" t="s">
        <v>159</v>
      </c>
      <c r="D4">
        <v>23025948.229285546</v>
      </c>
      <c r="E4" t="s">
        <v>159</v>
      </c>
      <c r="F4">
        <v>12625051.829933228</v>
      </c>
      <c r="G4" t="s">
        <v>159</v>
      </c>
      <c r="H4">
        <v>4435902.1625178475</v>
      </c>
      <c r="I4" t="s">
        <v>159</v>
      </c>
      <c r="J4">
        <v>73840133.117277741</v>
      </c>
      <c r="K4" t="s">
        <v>159</v>
      </c>
      <c r="L4">
        <v>31087026.844992131</v>
      </c>
      <c r="M4" t="s">
        <v>159</v>
      </c>
      <c r="N4">
        <v>113.33993255432387</v>
      </c>
    </row>
    <row r="5" spans="1:14" x14ac:dyDescent="0.3">
      <c r="A5" t="s">
        <v>160</v>
      </c>
      <c r="B5">
        <v>387037483</v>
      </c>
      <c r="C5" t="s">
        <v>160</v>
      </c>
      <c r="D5">
        <v>7156247</v>
      </c>
      <c r="E5" t="s">
        <v>160</v>
      </c>
      <c r="F5">
        <v>96955009</v>
      </c>
      <c r="G5" t="s">
        <v>160</v>
      </c>
      <c r="H5">
        <v>28550407</v>
      </c>
      <c r="I5" t="s">
        <v>160</v>
      </c>
      <c r="J5">
        <v>150525666</v>
      </c>
      <c r="K5" t="s">
        <v>160</v>
      </c>
      <c r="L5">
        <v>41375415</v>
      </c>
      <c r="M5" t="s">
        <v>160</v>
      </c>
      <c r="N5">
        <v>708</v>
      </c>
    </row>
    <row r="6" spans="1:14" x14ac:dyDescent="0.3">
      <c r="A6" t="s">
        <v>161</v>
      </c>
      <c r="B6" t="e">
        <v>#N/A</v>
      </c>
      <c r="C6" t="s">
        <v>161</v>
      </c>
      <c r="D6" t="e">
        <v>#N/A</v>
      </c>
      <c r="E6" t="s">
        <v>161</v>
      </c>
      <c r="F6" t="e">
        <v>#N/A</v>
      </c>
      <c r="G6" t="s">
        <v>161</v>
      </c>
      <c r="H6" t="e">
        <v>#N/A</v>
      </c>
      <c r="I6" t="s">
        <v>161</v>
      </c>
      <c r="J6" t="e">
        <v>#N/A</v>
      </c>
      <c r="K6" t="s">
        <v>161</v>
      </c>
      <c r="L6" t="e">
        <v>#N/A</v>
      </c>
      <c r="M6" t="s">
        <v>161</v>
      </c>
      <c r="N6" t="e">
        <v>#N/A</v>
      </c>
    </row>
    <row r="7" spans="1:14" x14ac:dyDescent="0.3">
      <c r="A7" t="s">
        <v>162</v>
      </c>
      <c r="B7">
        <v>421555768.87878442</v>
      </c>
      <c r="C7" t="s">
        <v>162</v>
      </c>
      <c r="D7">
        <v>94938416.679348245</v>
      </c>
      <c r="E7" t="s">
        <v>162</v>
      </c>
      <c r="F7" s="17">
        <v>520544222237122</v>
      </c>
      <c r="G7" t="s">
        <v>162</v>
      </c>
      <c r="H7">
        <v>18289693.160966884</v>
      </c>
      <c r="I7" t="s">
        <v>162</v>
      </c>
      <c r="J7">
        <v>304450668.25220478</v>
      </c>
      <c r="K7" t="s">
        <v>162</v>
      </c>
      <c r="L7">
        <v>128175095.26831429</v>
      </c>
      <c r="M7" t="s">
        <v>162</v>
      </c>
      <c r="N7">
        <v>467.31251352185893</v>
      </c>
    </row>
    <row r="8" spans="1:14" x14ac:dyDescent="0.3">
      <c r="A8" t="s">
        <v>163</v>
      </c>
      <c r="B8">
        <v>1.777092662749831E+17</v>
      </c>
      <c r="C8" t="s">
        <v>163</v>
      </c>
      <c r="D8">
        <v>9013302961581548</v>
      </c>
      <c r="E8" t="s">
        <v>163</v>
      </c>
      <c r="F8">
        <v>2709662873044506</v>
      </c>
      <c r="G8" t="s">
        <v>163</v>
      </c>
      <c r="H8">
        <v>334512875922318.88</v>
      </c>
      <c r="I8" t="s">
        <v>163</v>
      </c>
      <c r="J8">
        <v>9.2690209399214064E+16</v>
      </c>
      <c r="K8" t="s">
        <v>163</v>
      </c>
      <c r="L8">
        <v>1.6428855047041442E+16</v>
      </c>
      <c r="M8" t="s">
        <v>163</v>
      </c>
      <c r="N8">
        <v>218380.98529411759</v>
      </c>
    </row>
    <row r="9" spans="1:14" x14ac:dyDescent="0.3">
      <c r="A9" t="s">
        <v>164</v>
      </c>
      <c r="B9">
        <v>0.12976275782757929</v>
      </c>
      <c r="C9" t="s">
        <v>164</v>
      </c>
      <c r="D9">
        <v>2.824307338035394</v>
      </c>
      <c r="E9" t="s">
        <v>164</v>
      </c>
      <c r="F9">
        <v>-0.12986727407523668</v>
      </c>
      <c r="G9" t="s">
        <v>164</v>
      </c>
      <c r="H9">
        <v>-1.254620616354102</v>
      </c>
      <c r="I9" t="s">
        <v>164</v>
      </c>
      <c r="J9">
        <v>2.097286410567603</v>
      </c>
      <c r="K9" t="s">
        <v>164</v>
      </c>
      <c r="L9">
        <v>2.6517072777103308</v>
      </c>
      <c r="M9" t="s">
        <v>164</v>
      </c>
      <c r="N9">
        <v>-1.7542125248444325</v>
      </c>
    </row>
    <row r="10" spans="1:14" x14ac:dyDescent="0.3">
      <c r="A10" t="s">
        <v>165</v>
      </c>
      <c r="B10">
        <v>0.96666033694016795</v>
      </c>
      <c r="C10" t="s">
        <v>165</v>
      </c>
      <c r="D10">
        <v>1.444512539439829</v>
      </c>
      <c r="E10" t="s">
        <v>165</v>
      </c>
      <c r="F10">
        <v>0.58256240546413451</v>
      </c>
      <c r="G10" t="s">
        <v>165</v>
      </c>
      <c r="H10">
        <v>-0.18628593243364031</v>
      </c>
      <c r="I10" t="s">
        <v>165</v>
      </c>
      <c r="J10">
        <v>1.6296348521975994</v>
      </c>
      <c r="K10" t="s">
        <v>165</v>
      </c>
      <c r="L10">
        <v>1.8590154341439677</v>
      </c>
      <c r="M10" t="s">
        <v>165</v>
      </c>
      <c r="N10">
        <v>0.23507472576016078</v>
      </c>
    </row>
    <row r="11" spans="1:14" x14ac:dyDescent="0.3">
      <c r="A11" t="s">
        <v>166</v>
      </c>
      <c r="B11">
        <v>1436725417</v>
      </c>
      <c r="C11" t="s">
        <v>166</v>
      </c>
      <c r="D11">
        <v>414990267</v>
      </c>
      <c r="E11" t="s">
        <v>166</v>
      </c>
      <c r="F11">
        <v>189672170</v>
      </c>
      <c r="G11" t="s">
        <v>166</v>
      </c>
      <c r="H11">
        <v>51942099</v>
      </c>
      <c r="I11" t="s">
        <v>166</v>
      </c>
      <c r="J11">
        <v>1077862347</v>
      </c>
      <c r="K11" t="s">
        <v>166</v>
      </c>
      <c r="L11">
        <v>438846126</v>
      </c>
      <c r="M11" t="s">
        <v>166</v>
      </c>
      <c r="N11">
        <v>1261</v>
      </c>
    </row>
    <row r="12" spans="1:14" x14ac:dyDescent="0.3">
      <c r="A12" t="s">
        <v>167</v>
      </c>
      <c r="B12">
        <v>22133144</v>
      </c>
      <c r="C12" t="s">
        <v>167</v>
      </c>
      <c r="D12">
        <v>-122676743</v>
      </c>
      <c r="E12" t="s">
        <v>167</v>
      </c>
      <c r="F12">
        <v>18183015</v>
      </c>
      <c r="G12" t="s">
        <v>167</v>
      </c>
      <c r="H12">
        <v>2542568</v>
      </c>
      <c r="I12" t="s">
        <v>167</v>
      </c>
      <c r="J12">
        <v>17961664</v>
      </c>
      <c r="K12" t="s">
        <v>167</v>
      </c>
      <c r="L12">
        <v>2321217</v>
      </c>
      <c r="M12" t="s">
        <v>167</v>
      </c>
      <c r="N12">
        <v>278</v>
      </c>
    </row>
    <row r="13" spans="1:14" x14ac:dyDescent="0.3">
      <c r="A13" t="s">
        <v>168</v>
      </c>
      <c r="B13">
        <v>1458858561</v>
      </c>
      <c r="C13" t="s">
        <v>168</v>
      </c>
      <c r="D13">
        <v>292313524</v>
      </c>
      <c r="E13" t="s">
        <v>168</v>
      </c>
      <c r="F13">
        <v>207855185</v>
      </c>
      <c r="G13" t="s">
        <v>168</v>
      </c>
      <c r="H13">
        <v>54484667</v>
      </c>
      <c r="I13" t="s">
        <v>168</v>
      </c>
      <c r="J13">
        <v>1095824011</v>
      </c>
      <c r="K13" t="s">
        <v>168</v>
      </c>
      <c r="L13">
        <v>441167343</v>
      </c>
      <c r="M13" t="s">
        <v>168</v>
      </c>
      <c r="N13">
        <v>1539</v>
      </c>
    </row>
    <row r="14" spans="1:14" x14ac:dyDescent="0.3">
      <c r="A14" t="s">
        <v>169</v>
      </c>
      <c r="B14">
        <v>8149549213</v>
      </c>
      <c r="C14" t="s">
        <v>169</v>
      </c>
      <c r="D14">
        <v>698027684</v>
      </c>
      <c r="E14" t="s">
        <v>169</v>
      </c>
      <c r="F14">
        <v>1765594486</v>
      </c>
      <c r="G14" t="s">
        <v>169</v>
      </c>
      <c r="H14">
        <v>462872402</v>
      </c>
      <c r="I14" t="s">
        <v>169</v>
      </c>
      <c r="J14">
        <v>4824243397</v>
      </c>
      <c r="K14" t="s">
        <v>169</v>
      </c>
      <c r="L14">
        <v>1552031134</v>
      </c>
      <c r="M14" t="s">
        <v>169</v>
      </c>
      <c r="N14">
        <v>14329</v>
      </c>
    </row>
    <row r="15" spans="1:14" ht="15" thickBot="1" x14ac:dyDescent="0.35">
      <c r="A15" s="15" t="s">
        <v>170</v>
      </c>
      <c r="B15" s="15">
        <v>17</v>
      </c>
      <c r="C15" s="15" t="s">
        <v>170</v>
      </c>
      <c r="D15" s="15">
        <v>17</v>
      </c>
      <c r="E15" s="15" t="s">
        <v>170</v>
      </c>
      <c r="F15" s="15">
        <v>17</v>
      </c>
      <c r="G15" s="15" t="s">
        <v>170</v>
      </c>
      <c r="H15" s="15">
        <v>17</v>
      </c>
      <c r="I15" s="15" t="s">
        <v>170</v>
      </c>
      <c r="J15" s="15">
        <v>17</v>
      </c>
      <c r="K15" s="15" t="s">
        <v>170</v>
      </c>
      <c r="L15" s="15">
        <v>17</v>
      </c>
      <c r="M15" s="15" t="s">
        <v>170</v>
      </c>
      <c r="N15" s="15">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68835-360E-4A87-B56E-672DF863BFCE}">
  <dimension ref="A1:C28"/>
  <sheetViews>
    <sheetView workbookViewId="0"/>
  </sheetViews>
  <sheetFormatPr defaultRowHeight="14.4" x14ac:dyDescent="0.3"/>
  <cols>
    <col min="1" max="2" width="36.77734375" customWidth="1"/>
  </cols>
  <sheetData>
    <row r="1" spans="1:3" x14ac:dyDescent="0.3">
      <c r="A1" s="2" t="s">
        <v>190</v>
      </c>
    </row>
    <row r="3" spans="1:3" x14ac:dyDescent="0.3">
      <c r="A3" t="s">
        <v>191</v>
      </c>
      <c r="B3" t="s">
        <v>192</v>
      </c>
      <c r="C3">
        <v>0</v>
      </c>
    </row>
    <row r="4" spans="1:3" x14ac:dyDescent="0.3">
      <c r="A4" t="s">
        <v>193</v>
      </c>
    </row>
    <row r="5" spans="1:3" x14ac:dyDescent="0.3">
      <c r="A5" t="s">
        <v>194</v>
      </c>
    </row>
    <row r="7" spans="1:3" x14ac:dyDescent="0.3">
      <c r="A7" s="2" t="s">
        <v>195</v>
      </c>
      <c r="B7" t="s">
        <v>196</v>
      </c>
    </row>
    <row r="8" spans="1:3" x14ac:dyDescent="0.3">
      <c r="B8">
        <v>2</v>
      </c>
    </row>
    <row r="10" spans="1:3" x14ac:dyDescent="0.3">
      <c r="A10" t="s">
        <v>197</v>
      </c>
    </row>
    <row r="11" spans="1:3" x14ac:dyDescent="0.3">
      <c r="A11" t="e">
        <f>CB_DATA_!#REF!</f>
        <v>#REF!</v>
      </c>
      <c r="B11" t="e">
        <f>#REF!</f>
        <v>#REF!</v>
      </c>
    </row>
    <row r="13" spans="1:3" x14ac:dyDescent="0.3">
      <c r="A13" t="s">
        <v>198</v>
      </c>
    </row>
    <row r="14" spans="1:3" x14ac:dyDescent="0.3">
      <c r="A14" t="s">
        <v>202</v>
      </c>
      <c r="B14" t="s">
        <v>206</v>
      </c>
    </row>
    <row r="16" spans="1:3" x14ac:dyDescent="0.3">
      <c r="A16" t="s">
        <v>199</v>
      </c>
    </row>
    <row r="17" spans="1:2" x14ac:dyDescent="0.3">
      <c r="B17">
        <v>4</v>
      </c>
    </row>
    <row r="19" spans="1:2" x14ac:dyDescent="0.3">
      <c r="A19" t="s">
        <v>200</v>
      </c>
    </row>
    <row r="20" spans="1:2" x14ac:dyDescent="0.3">
      <c r="A20">
        <v>28</v>
      </c>
      <c r="B20">
        <v>28</v>
      </c>
    </row>
    <row r="25" spans="1:2" x14ac:dyDescent="0.3">
      <c r="A25" s="2" t="s">
        <v>201</v>
      </c>
    </row>
    <row r="26" spans="1:2" x14ac:dyDescent="0.3">
      <c r="A26" s="24" t="s">
        <v>203</v>
      </c>
      <c r="B26" s="24" t="s">
        <v>207</v>
      </c>
    </row>
    <row r="27" spans="1:2" x14ac:dyDescent="0.3">
      <c r="A27" t="s">
        <v>204</v>
      </c>
      <c r="B27" t="s">
        <v>208</v>
      </c>
    </row>
    <row r="28" spans="1:2" x14ac:dyDescent="0.3">
      <c r="A28" s="24" t="s">
        <v>205</v>
      </c>
      <c r="B28" s="24" t="s">
        <v>205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0AA0A-B634-4881-BF3C-2B7BB728E091}">
  <dimension ref="A3:I21"/>
  <sheetViews>
    <sheetView workbookViewId="0">
      <selection activeCell="D1" sqref="D1"/>
    </sheetView>
  </sheetViews>
  <sheetFormatPr defaultRowHeight="14.4" x14ac:dyDescent="0.3"/>
  <cols>
    <col min="1" max="1" width="12.5546875" bestFit="1" customWidth="1"/>
    <col min="2" max="2" width="18.21875" bestFit="1" customWidth="1"/>
    <col min="3" max="3" width="16" bestFit="1" customWidth="1"/>
    <col min="4" max="4" width="23.109375" bestFit="1" customWidth="1"/>
    <col min="5" max="5" width="22.21875" bestFit="1" customWidth="1"/>
    <col min="6" max="6" width="22.33203125" bestFit="1" customWidth="1"/>
    <col min="7" max="7" width="13.109375" bestFit="1" customWidth="1"/>
    <col min="8" max="8" width="23.88671875" bestFit="1" customWidth="1"/>
    <col min="9" max="9" width="17" bestFit="1" customWidth="1"/>
  </cols>
  <sheetData>
    <row r="3" spans="1:9" x14ac:dyDescent="0.3">
      <c r="A3" s="18" t="s">
        <v>172</v>
      </c>
      <c r="B3" t="s">
        <v>173</v>
      </c>
      <c r="C3" t="s">
        <v>174</v>
      </c>
      <c r="D3" t="s">
        <v>176</v>
      </c>
      <c r="E3" t="s">
        <v>177</v>
      </c>
      <c r="F3" t="s">
        <v>178</v>
      </c>
      <c r="G3" t="s">
        <v>175</v>
      </c>
      <c r="H3" t="s">
        <v>179</v>
      </c>
      <c r="I3" t="s">
        <v>182</v>
      </c>
    </row>
    <row r="4" spans="1:9" x14ac:dyDescent="0.3">
      <c r="A4" s="19">
        <v>2007</v>
      </c>
      <c r="B4" s="11">
        <v>22133144</v>
      </c>
      <c r="C4" s="8">
        <v>2399998</v>
      </c>
      <c r="D4" s="8">
        <v>2542568</v>
      </c>
      <c r="E4" s="8">
        <v>17961664</v>
      </c>
      <c r="F4" s="8">
        <v>2321217</v>
      </c>
      <c r="G4" s="8">
        <v>18183015</v>
      </c>
      <c r="H4">
        <v>305</v>
      </c>
      <c r="I4">
        <v>0.10843457215115937</v>
      </c>
    </row>
    <row r="5" spans="1:9" x14ac:dyDescent="0.3">
      <c r="A5" s="19">
        <v>2008</v>
      </c>
      <c r="B5" s="11">
        <v>64876609</v>
      </c>
      <c r="C5" s="8">
        <v>415823</v>
      </c>
      <c r="D5" s="8">
        <v>2765694</v>
      </c>
      <c r="E5" s="8">
        <v>43273734</v>
      </c>
      <c r="F5" s="8">
        <v>2737040</v>
      </c>
      <c r="G5" s="8">
        <v>44039356</v>
      </c>
      <c r="H5">
        <v>399</v>
      </c>
      <c r="I5">
        <v>6.4094441187578103E-3</v>
      </c>
    </row>
    <row r="6" spans="1:9" x14ac:dyDescent="0.3">
      <c r="A6" s="19">
        <v>2009</v>
      </c>
      <c r="B6" s="11">
        <v>104876324</v>
      </c>
      <c r="C6" s="8">
        <v>7156247</v>
      </c>
      <c r="D6" s="8">
        <v>2931938</v>
      </c>
      <c r="E6" s="8">
        <v>82152621</v>
      </c>
      <c r="F6" s="8">
        <v>9893286</v>
      </c>
      <c r="G6" s="8">
        <v>75746887</v>
      </c>
      <c r="H6">
        <v>425</v>
      </c>
      <c r="I6">
        <v>6.8235105189232217E-2</v>
      </c>
    </row>
    <row r="7" spans="1:9" x14ac:dyDescent="0.3">
      <c r="A7" s="19">
        <v>2010</v>
      </c>
      <c r="B7" s="11">
        <v>122015011</v>
      </c>
      <c r="C7" s="8">
        <v>1012838</v>
      </c>
      <c r="D7" s="8">
        <v>3275128</v>
      </c>
      <c r="E7" s="8">
        <v>86035513</v>
      </c>
      <c r="F7" s="8">
        <v>10906125</v>
      </c>
      <c r="G7" s="8">
        <v>78195040</v>
      </c>
      <c r="H7">
        <v>379</v>
      </c>
      <c r="I7">
        <v>8.3009294651458908E-3</v>
      </c>
    </row>
    <row r="8" spans="1:9" x14ac:dyDescent="0.3">
      <c r="A8" s="19">
        <v>2011</v>
      </c>
      <c r="B8" s="11">
        <v>135614898</v>
      </c>
      <c r="C8" s="8">
        <v>4583174</v>
      </c>
      <c r="D8" s="8">
        <v>44903941</v>
      </c>
      <c r="E8" s="8">
        <v>66932484</v>
      </c>
      <c r="F8" s="8">
        <v>13989298</v>
      </c>
      <c r="G8" s="8">
        <v>96955009</v>
      </c>
      <c r="H8">
        <v>370</v>
      </c>
      <c r="I8">
        <v>3.3795505269634901E-2</v>
      </c>
    </row>
    <row r="9" spans="1:9" x14ac:dyDescent="0.3">
      <c r="A9" s="19">
        <v>2012</v>
      </c>
      <c r="B9" s="11">
        <v>160935943</v>
      </c>
      <c r="C9" s="8">
        <v>4975</v>
      </c>
      <c r="D9" s="8">
        <v>4207798</v>
      </c>
      <c r="E9" s="8">
        <v>106595462</v>
      </c>
      <c r="F9" s="8">
        <v>13533273</v>
      </c>
      <c r="G9" s="8">
        <v>95748115</v>
      </c>
      <c r="H9">
        <v>278</v>
      </c>
      <c r="I9">
        <v>3.09129204282228E-5</v>
      </c>
    </row>
    <row r="10" spans="1:9" x14ac:dyDescent="0.3">
      <c r="A10" s="19">
        <v>2013</v>
      </c>
      <c r="B10" s="11">
        <v>196513222</v>
      </c>
      <c r="C10" s="8">
        <v>11331647</v>
      </c>
      <c r="D10" s="8">
        <v>35750205</v>
      </c>
      <c r="E10" s="8">
        <v>74309022</v>
      </c>
      <c r="F10" s="8">
        <v>24517321</v>
      </c>
      <c r="G10" s="8">
        <v>79982551</v>
      </c>
      <c r="H10">
        <v>556</v>
      </c>
      <c r="I10">
        <v>5.7663534721343078E-2</v>
      </c>
    </row>
    <row r="11" spans="1:9" x14ac:dyDescent="0.3">
      <c r="A11" s="19">
        <v>2014</v>
      </c>
      <c r="B11" s="11">
        <v>251516730</v>
      </c>
      <c r="C11" s="8">
        <v>16858095</v>
      </c>
      <c r="D11" s="8">
        <v>51831220</v>
      </c>
      <c r="E11" s="8">
        <v>150525666</v>
      </c>
      <c r="F11" s="8">
        <v>41375415</v>
      </c>
      <c r="G11" s="8">
        <v>116892349</v>
      </c>
      <c r="H11">
        <v>595</v>
      </c>
      <c r="I11">
        <v>6.7025740196288333E-2</v>
      </c>
    </row>
    <row r="12" spans="1:9" x14ac:dyDescent="0.3">
      <c r="A12" s="19">
        <v>2015</v>
      </c>
      <c r="B12" s="11">
        <v>387037483</v>
      </c>
      <c r="C12" s="8">
        <v>57604725</v>
      </c>
      <c r="D12" s="8">
        <v>41009762</v>
      </c>
      <c r="E12" s="8">
        <v>149970492</v>
      </c>
      <c r="F12" s="8">
        <v>71715716</v>
      </c>
      <c r="G12" s="8">
        <v>56521353</v>
      </c>
      <c r="H12">
        <v>708</v>
      </c>
      <c r="I12">
        <v>0.14883500314619399</v>
      </c>
    </row>
    <row r="13" spans="1:9" x14ac:dyDescent="0.3">
      <c r="A13" s="19">
        <v>2016</v>
      </c>
      <c r="B13" s="11">
        <v>453169770</v>
      </c>
      <c r="C13" s="8">
        <v>27693557</v>
      </c>
      <c r="D13" s="8">
        <v>27955128</v>
      </c>
      <c r="E13" s="8">
        <v>159116803</v>
      </c>
      <c r="F13" s="8">
        <v>53409273</v>
      </c>
      <c r="G13" s="8">
        <v>58080716</v>
      </c>
      <c r="H13">
        <v>868</v>
      </c>
      <c r="I13">
        <v>6.1110777534873963E-2</v>
      </c>
    </row>
    <row r="14" spans="1:9" x14ac:dyDescent="0.3">
      <c r="A14" s="19">
        <v>2017</v>
      </c>
      <c r="B14" s="11">
        <v>591862278</v>
      </c>
      <c r="C14" s="8">
        <v>28427493</v>
      </c>
      <c r="D14" s="8">
        <v>28626577</v>
      </c>
      <c r="E14" s="8">
        <v>229564776</v>
      </c>
      <c r="F14" s="8">
        <v>49816765</v>
      </c>
      <c r="G14" s="8">
        <v>98664919</v>
      </c>
      <c r="H14">
        <v>1119</v>
      </c>
      <c r="I14">
        <v>4.8030587615857483E-2</v>
      </c>
    </row>
    <row r="15" spans="1:9" x14ac:dyDescent="0.3">
      <c r="A15" s="19">
        <v>2018</v>
      </c>
      <c r="B15" s="11">
        <v>545940714</v>
      </c>
      <c r="C15" s="8">
        <v>6449994</v>
      </c>
      <c r="D15" s="8">
        <v>23502423</v>
      </c>
      <c r="E15" s="8">
        <v>297344709</v>
      </c>
      <c r="F15" s="8">
        <v>56266759</v>
      </c>
      <c r="G15" s="8">
        <v>104564549</v>
      </c>
      <c r="H15">
        <v>1238</v>
      </c>
      <c r="I15">
        <v>1.1814458666660277E-2</v>
      </c>
    </row>
    <row r="16" spans="1:9" x14ac:dyDescent="0.3">
      <c r="A16" s="19">
        <v>2019</v>
      </c>
      <c r="B16" s="11">
        <v>671306085</v>
      </c>
      <c r="C16" s="8">
        <v>6796981</v>
      </c>
      <c r="D16" s="8">
        <v>28550407</v>
      </c>
      <c r="E16" s="8">
        <v>364109554</v>
      </c>
      <c r="F16" s="8">
        <v>30063740</v>
      </c>
      <c r="G16" s="8">
        <v>175978056</v>
      </c>
      <c r="H16">
        <v>1377</v>
      </c>
      <c r="I16">
        <v>1.0125010262643456E-2</v>
      </c>
    </row>
    <row r="17" spans="1:9" x14ac:dyDescent="0.3">
      <c r="A17" s="19">
        <v>2020</v>
      </c>
      <c r="B17" s="11">
        <v>869068558</v>
      </c>
      <c r="C17" s="8">
        <v>140449401</v>
      </c>
      <c r="D17" s="8">
        <v>27209442</v>
      </c>
      <c r="E17" s="8">
        <v>438064425</v>
      </c>
      <c r="F17" s="8">
        <v>146415138</v>
      </c>
      <c r="G17" s="8">
        <v>120933038</v>
      </c>
      <c r="H17">
        <v>1354</v>
      </c>
      <c r="I17">
        <v>0.16160911553769503</v>
      </c>
    </row>
    <row r="18" spans="1:9" x14ac:dyDescent="0.3">
      <c r="A18" s="19">
        <v>2021</v>
      </c>
      <c r="B18" s="11">
        <v>1084546939</v>
      </c>
      <c r="C18" s="8">
        <v>217205955</v>
      </c>
      <c r="D18" s="8">
        <v>34866555</v>
      </c>
      <c r="E18" s="8">
        <v>667726075</v>
      </c>
      <c r="F18" s="8">
        <v>308526678</v>
      </c>
      <c r="G18" s="8">
        <v>145477586</v>
      </c>
      <c r="H18">
        <v>1350</v>
      </c>
      <c r="I18">
        <v>0.20027344800795202</v>
      </c>
    </row>
    <row r="19" spans="1:9" x14ac:dyDescent="0.3">
      <c r="A19" s="19">
        <v>2022</v>
      </c>
      <c r="B19" s="11">
        <v>1458858561</v>
      </c>
      <c r="C19" s="8">
        <v>292313524</v>
      </c>
      <c r="D19" s="8">
        <v>48458949</v>
      </c>
      <c r="E19" s="8">
        <v>794736386</v>
      </c>
      <c r="F19" s="8">
        <v>441167343</v>
      </c>
      <c r="G19" s="8">
        <v>191776762</v>
      </c>
      <c r="H19">
        <v>1469</v>
      </c>
      <c r="I19">
        <v>0.20037139433148926</v>
      </c>
    </row>
    <row r="20" spans="1:9" x14ac:dyDescent="0.3">
      <c r="A20" s="19">
        <v>2023</v>
      </c>
      <c r="B20" s="11">
        <v>1029276944</v>
      </c>
      <c r="C20" s="8">
        <v>-122676743</v>
      </c>
      <c r="D20" s="8">
        <v>54484667</v>
      </c>
      <c r="E20" s="8">
        <v>1095824011</v>
      </c>
      <c r="F20" s="8">
        <v>275376747</v>
      </c>
      <c r="G20" s="8">
        <v>207855185</v>
      </c>
      <c r="H20">
        <v>1539</v>
      </c>
      <c r="I20">
        <v>-0.11918730300442833</v>
      </c>
    </row>
    <row r="21" spans="1:9" x14ac:dyDescent="0.3">
      <c r="A21" s="19" t="s">
        <v>171</v>
      </c>
      <c r="B21" s="11">
        <v>8149549213</v>
      </c>
      <c r="C21" s="8">
        <v>698027684</v>
      </c>
      <c r="D21" s="8">
        <v>462872402</v>
      </c>
      <c r="E21" s="8">
        <v>4824243397</v>
      </c>
      <c r="F21" s="8">
        <v>1552031134</v>
      </c>
      <c r="G21" s="8">
        <v>1765594486</v>
      </c>
      <c r="H21">
        <v>14329</v>
      </c>
      <c r="I21">
        <v>1.0728782361309268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35962-091A-4612-AE09-EC9E4ED533AE}">
  <dimension ref="A3:C21"/>
  <sheetViews>
    <sheetView workbookViewId="0">
      <selection activeCell="B6" sqref="B6"/>
    </sheetView>
  </sheetViews>
  <sheetFormatPr defaultRowHeight="14.4" x14ac:dyDescent="0.3"/>
  <cols>
    <col min="1" max="1" width="12.5546875" bestFit="1" customWidth="1"/>
    <col min="2" max="2" width="18.21875" bestFit="1" customWidth="1"/>
    <col min="3" max="3" width="16" bestFit="1" customWidth="1"/>
  </cols>
  <sheetData>
    <row r="3" spans="1:3" x14ac:dyDescent="0.3">
      <c r="A3" s="18" t="s">
        <v>172</v>
      </c>
      <c r="B3" t="s">
        <v>173</v>
      </c>
      <c r="C3" t="s">
        <v>174</v>
      </c>
    </row>
    <row r="4" spans="1:3" x14ac:dyDescent="0.3">
      <c r="A4" s="19">
        <v>2007</v>
      </c>
      <c r="B4" s="11">
        <v>22133144</v>
      </c>
      <c r="C4" s="8">
        <v>2399998</v>
      </c>
    </row>
    <row r="5" spans="1:3" x14ac:dyDescent="0.3">
      <c r="A5" s="19">
        <v>2008</v>
      </c>
      <c r="B5" s="11">
        <v>64876609</v>
      </c>
      <c r="C5" s="8">
        <v>415823</v>
      </c>
    </row>
    <row r="6" spans="1:3" x14ac:dyDescent="0.3">
      <c r="A6" s="19">
        <v>2009</v>
      </c>
      <c r="B6" s="11">
        <v>104876324</v>
      </c>
      <c r="C6" s="8">
        <v>7156247</v>
      </c>
    </row>
    <row r="7" spans="1:3" x14ac:dyDescent="0.3">
      <c r="A7" s="19">
        <v>2010</v>
      </c>
      <c r="B7" s="11">
        <v>122015011</v>
      </c>
      <c r="C7" s="8">
        <v>1012838</v>
      </c>
    </row>
    <row r="8" spans="1:3" x14ac:dyDescent="0.3">
      <c r="A8" s="19">
        <v>2011</v>
      </c>
      <c r="B8" s="11">
        <v>135614898</v>
      </c>
      <c r="C8" s="8">
        <v>4583174</v>
      </c>
    </row>
    <row r="9" spans="1:3" x14ac:dyDescent="0.3">
      <c r="A9" s="19">
        <v>2012</v>
      </c>
      <c r="B9" s="11">
        <v>160935943</v>
      </c>
      <c r="C9" s="8">
        <v>4975</v>
      </c>
    </row>
    <row r="10" spans="1:3" x14ac:dyDescent="0.3">
      <c r="A10" s="19">
        <v>2013</v>
      </c>
      <c r="B10" s="11">
        <v>196513222</v>
      </c>
      <c r="C10" s="8">
        <v>11331647</v>
      </c>
    </row>
    <row r="11" spans="1:3" x14ac:dyDescent="0.3">
      <c r="A11" s="19">
        <v>2014</v>
      </c>
      <c r="B11" s="11">
        <v>251516730</v>
      </c>
      <c r="C11" s="8">
        <v>16858095</v>
      </c>
    </row>
    <row r="12" spans="1:3" x14ac:dyDescent="0.3">
      <c r="A12" s="19">
        <v>2015</v>
      </c>
      <c r="B12" s="11">
        <v>387037483</v>
      </c>
      <c r="C12" s="8">
        <v>57604725</v>
      </c>
    </row>
    <row r="13" spans="1:3" x14ac:dyDescent="0.3">
      <c r="A13" s="19">
        <v>2016</v>
      </c>
      <c r="B13" s="11">
        <v>453169770</v>
      </c>
      <c r="C13" s="8">
        <v>27693557</v>
      </c>
    </row>
    <row r="14" spans="1:3" x14ac:dyDescent="0.3">
      <c r="A14" s="19">
        <v>2017</v>
      </c>
      <c r="B14" s="11">
        <v>591862278</v>
      </c>
      <c r="C14" s="8">
        <v>28427493</v>
      </c>
    </row>
    <row r="15" spans="1:3" x14ac:dyDescent="0.3">
      <c r="A15" s="19">
        <v>2018</v>
      </c>
      <c r="B15" s="11">
        <v>545940714</v>
      </c>
      <c r="C15" s="8">
        <v>6449994</v>
      </c>
    </row>
    <row r="16" spans="1:3" x14ac:dyDescent="0.3">
      <c r="A16" s="19">
        <v>2019</v>
      </c>
      <c r="B16" s="11">
        <v>671306085</v>
      </c>
      <c r="C16" s="8">
        <v>6796981</v>
      </c>
    </row>
    <row r="17" spans="1:3" x14ac:dyDescent="0.3">
      <c r="A17" s="19">
        <v>2020</v>
      </c>
      <c r="B17" s="11">
        <v>869068558</v>
      </c>
      <c r="C17" s="8">
        <v>140449401</v>
      </c>
    </row>
    <row r="18" spans="1:3" x14ac:dyDescent="0.3">
      <c r="A18" s="19">
        <v>2021</v>
      </c>
      <c r="B18" s="11">
        <v>1084546939</v>
      </c>
      <c r="C18" s="8">
        <v>217205955</v>
      </c>
    </row>
    <row r="19" spans="1:3" x14ac:dyDescent="0.3">
      <c r="A19" s="19">
        <v>2022</v>
      </c>
      <c r="B19" s="11">
        <v>1458858561</v>
      </c>
      <c r="C19" s="8">
        <v>292313524</v>
      </c>
    </row>
    <row r="20" spans="1:3" x14ac:dyDescent="0.3">
      <c r="A20" s="19">
        <v>2023</v>
      </c>
      <c r="B20" s="11">
        <v>1029276944</v>
      </c>
      <c r="C20" s="8">
        <v>-122676743</v>
      </c>
    </row>
    <row r="21" spans="1:3" x14ac:dyDescent="0.3">
      <c r="A21" s="19" t="s">
        <v>171</v>
      </c>
      <c r="B21" s="11">
        <v>8149549213</v>
      </c>
      <c r="C21" s="8">
        <v>698027684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5EA39-D7E5-4FC8-AB8C-9C808684F9A1}">
  <dimension ref="A1:B23"/>
  <sheetViews>
    <sheetView workbookViewId="0">
      <selection activeCell="E26" sqref="E26"/>
    </sheetView>
  </sheetViews>
  <sheetFormatPr defaultRowHeight="14.4" x14ac:dyDescent="0.3"/>
  <cols>
    <col min="1" max="1" width="19.88671875" bestFit="1" customWidth="1"/>
    <col min="2" max="2" width="22.5546875" bestFit="1" customWidth="1"/>
  </cols>
  <sheetData>
    <row r="1" spans="1:2" x14ac:dyDescent="0.3">
      <c r="A1" s="18" t="s">
        <v>0</v>
      </c>
      <c r="B1" t="s">
        <v>209</v>
      </c>
    </row>
    <row r="3" spans="1:2" x14ac:dyDescent="0.3">
      <c r="A3" s="18" t="s">
        <v>172</v>
      </c>
      <c r="B3" t="s">
        <v>180</v>
      </c>
    </row>
    <row r="4" spans="1:2" x14ac:dyDescent="0.3">
      <c r="A4" s="19" t="s">
        <v>108</v>
      </c>
      <c r="B4" s="8">
        <v>8500</v>
      </c>
    </row>
    <row r="5" spans="1:2" x14ac:dyDescent="0.3">
      <c r="A5" s="19" t="s">
        <v>60</v>
      </c>
      <c r="B5" s="8">
        <v>8500</v>
      </c>
    </row>
    <row r="6" spans="1:2" x14ac:dyDescent="0.3">
      <c r="A6" s="19" t="s">
        <v>118</v>
      </c>
      <c r="B6" s="8">
        <v>9000</v>
      </c>
    </row>
    <row r="7" spans="1:2" x14ac:dyDescent="0.3">
      <c r="A7" s="19" t="s">
        <v>90</v>
      </c>
      <c r="B7" s="8">
        <v>8000</v>
      </c>
    </row>
    <row r="8" spans="1:2" x14ac:dyDescent="0.3">
      <c r="A8" s="19" t="s">
        <v>52</v>
      </c>
      <c r="B8" s="8">
        <v>7500</v>
      </c>
    </row>
    <row r="9" spans="1:2" x14ac:dyDescent="0.3">
      <c r="A9" s="19" t="s">
        <v>102</v>
      </c>
      <c r="B9" s="8">
        <v>7600</v>
      </c>
    </row>
    <row r="10" spans="1:2" x14ac:dyDescent="0.3">
      <c r="A10" s="19" t="s">
        <v>66</v>
      </c>
      <c r="B10" s="8">
        <v>6500</v>
      </c>
    </row>
    <row r="11" spans="1:2" x14ac:dyDescent="0.3">
      <c r="A11" s="19" t="s">
        <v>72</v>
      </c>
      <c r="B11" s="8">
        <v>5800</v>
      </c>
    </row>
    <row r="12" spans="1:2" x14ac:dyDescent="0.3">
      <c r="A12" s="19" t="s">
        <v>38</v>
      </c>
      <c r="B12" s="8">
        <v>7000</v>
      </c>
    </row>
    <row r="13" spans="1:2" x14ac:dyDescent="0.3">
      <c r="A13" s="19" t="s">
        <v>45</v>
      </c>
      <c r="B13" s="8">
        <v>9000</v>
      </c>
    </row>
    <row r="14" spans="1:2" x14ac:dyDescent="0.3">
      <c r="A14" s="19" t="s">
        <v>96</v>
      </c>
      <c r="B14" s="8">
        <v>10500</v>
      </c>
    </row>
    <row r="15" spans="1:2" x14ac:dyDescent="0.3">
      <c r="A15" s="19" t="s">
        <v>30</v>
      </c>
      <c r="B15" s="8">
        <v>22000</v>
      </c>
    </row>
    <row r="16" spans="1:2" x14ac:dyDescent="0.3">
      <c r="A16" s="19" t="s">
        <v>24</v>
      </c>
      <c r="B16" s="8">
        <v>6500</v>
      </c>
    </row>
    <row r="17" spans="1:2" x14ac:dyDescent="0.3">
      <c r="A17" s="19" t="s">
        <v>129</v>
      </c>
      <c r="B17" s="8">
        <v>9500</v>
      </c>
    </row>
    <row r="18" spans="1:2" x14ac:dyDescent="0.3">
      <c r="A18" s="19" t="s">
        <v>84</v>
      </c>
      <c r="B18" s="8">
        <v>11500</v>
      </c>
    </row>
    <row r="19" spans="1:2" x14ac:dyDescent="0.3">
      <c r="A19" s="19" t="s">
        <v>17</v>
      </c>
      <c r="B19" s="8">
        <v>8000</v>
      </c>
    </row>
    <row r="20" spans="1:2" x14ac:dyDescent="0.3">
      <c r="A20" s="19" t="s">
        <v>78</v>
      </c>
      <c r="B20" s="8">
        <v>9500</v>
      </c>
    </row>
    <row r="21" spans="1:2" x14ac:dyDescent="0.3">
      <c r="A21" s="19" t="s">
        <v>123</v>
      </c>
      <c r="B21" s="8">
        <v>8200</v>
      </c>
    </row>
    <row r="22" spans="1:2" x14ac:dyDescent="0.3">
      <c r="A22" s="19" t="s">
        <v>134</v>
      </c>
      <c r="B22" s="8">
        <v>7000</v>
      </c>
    </row>
    <row r="23" spans="1:2" x14ac:dyDescent="0.3">
      <c r="A23" s="19" t="s">
        <v>171</v>
      </c>
      <c r="B23" s="8">
        <v>170100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6D7B4-E012-4584-9999-402993FFE948}">
  <dimension ref="A3:C21"/>
  <sheetViews>
    <sheetView workbookViewId="0">
      <selection activeCell="A3" sqref="A3:C21"/>
    </sheetView>
  </sheetViews>
  <sheetFormatPr defaultRowHeight="14.4" x14ac:dyDescent="0.3"/>
  <cols>
    <col min="1" max="1" width="12.5546875" bestFit="1" customWidth="1"/>
    <col min="2" max="2" width="13.109375" bestFit="1" customWidth="1"/>
    <col min="3" max="3" width="22.33203125" bestFit="1" customWidth="1"/>
  </cols>
  <sheetData>
    <row r="3" spans="1:3" x14ac:dyDescent="0.3">
      <c r="A3" s="18" t="s">
        <v>172</v>
      </c>
      <c r="B3" t="s">
        <v>175</v>
      </c>
      <c r="C3" t="s">
        <v>178</v>
      </c>
    </row>
    <row r="4" spans="1:3" x14ac:dyDescent="0.3">
      <c r="A4" s="19">
        <v>2007</v>
      </c>
      <c r="B4" s="20"/>
      <c r="C4" s="20"/>
    </row>
    <row r="5" spans="1:3" x14ac:dyDescent="0.3">
      <c r="A5" s="19">
        <v>2008</v>
      </c>
      <c r="B5" s="20">
        <v>1.4220051515109018</v>
      </c>
      <c r="C5" s="20">
        <v>0.17914008039748114</v>
      </c>
    </row>
    <row r="6" spans="1:3" x14ac:dyDescent="0.3">
      <c r="A6" s="19">
        <v>2009</v>
      </c>
      <c r="B6" s="20">
        <v>0.71998171362905483</v>
      </c>
      <c r="C6" s="20">
        <v>2.6145931371116244</v>
      </c>
    </row>
    <row r="7" spans="1:3" x14ac:dyDescent="0.3">
      <c r="A7" s="19">
        <v>2010</v>
      </c>
      <c r="B7" s="20">
        <v>3.2320179705866987E-2</v>
      </c>
      <c r="C7" s="20">
        <v>0.10237639950972811</v>
      </c>
    </row>
    <row r="8" spans="1:3" x14ac:dyDescent="0.3">
      <c r="A8" s="19">
        <v>2011</v>
      </c>
      <c r="B8" s="20">
        <v>0.23991251874799219</v>
      </c>
      <c r="C8" s="20">
        <v>0.28270105101491133</v>
      </c>
    </row>
    <row r="9" spans="1:3" x14ac:dyDescent="0.3">
      <c r="A9" s="19">
        <v>2012</v>
      </c>
      <c r="B9" s="20">
        <v>-1.2447979866620404E-2</v>
      </c>
      <c r="C9" s="20">
        <v>-3.2598133230130631E-2</v>
      </c>
    </row>
    <row r="10" spans="1:3" x14ac:dyDescent="0.3">
      <c r="A10" s="19">
        <v>2013</v>
      </c>
      <c r="B10" s="20">
        <v>-0.16465665146514896</v>
      </c>
      <c r="C10" s="20">
        <v>0.81163278092446667</v>
      </c>
    </row>
    <row r="11" spans="1:3" x14ac:dyDescent="0.3">
      <c r="A11" s="19">
        <v>2014</v>
      </c>
      <c r="B11" s="20">
        <v>0.46147312805764346</v>
      </c>
      <c r="C11" s="20">
        <v>0.68759935067946454</v>
      </c>
    </row>
    <row r="12" spans="1:3" x14ac:dyDescent="0.3">
      <c r="A12" s="19">
        <v>2015</v>
      </c>
      <c r="B12" s="20">
        <v>-0.51646661664742488</v>
      </c>
      <c r="C12" s="20">
        <v>0.7332929712004097</v>
      </c>
    </row>
    <row r="13" spans="1:3" x14ac:dyDescent="0.3">
      <c r="A13" s="19">
        <v>2016</v>
      </c>
      <c r="B13" s="20">
        <v>2.7588918474757671E-2</v>
      </c>
      <c r="C13" s="20">
        <v>-0.25526403445515344</v>
      </c>
    </row>
    <row r="14" spans="1:3" x14ac:dyDescent="0.3">
      <c r="A14" s="19">
        <v>2017</v>
      </c>
      <c r="B14" s="20">
        <v>0.69875521162652332</v>
      </c>
      <c r="C14" s="20">
        <v>-6.7263750248014051E-2</v>
      </c>
    </row>
    <row r="15" spans="1:3" x14ac:dyDescent="0.3">
      <c r="A15" s="19">
        <v>2018</v>
      </c>
      <c r="B15" s="20">
        <v>5.9794606429464561E-2</v>
      </c>
      <c r="C15" s="20">
        <v>0.12947436470433196</v>
      </c>
    </row>
    <row r="16" spans="1:3" x14ac:dyDescent="0.3">
      <c r="A16" s="19">
        <v>2019</v>
      </c>
      <c r="B16" s="20">
        <v>0.6829609813551627</v>
      </c>
      <c r="C16" s="20">
        <v>-0.46569270144029445</v>
      </c>
    </row>
    <row r="17" spans="1:3" x14ac:dyDescent="0.3">
      <c r="A17" s="19">
        <v>2020</v>
      </c>
      <c r="B17" s="20">
        <v>-0.31279478391328519</v>
      </c>
      <c r="C17" s="20">
        <v>3.8701571394643515</v>
      </c>
    </row>
    <row r="18" spans="1:3" x14ac:dyDescent="0.3">
      <c r="A18" s="19">
        <v>2021</v>
      </c>
      <c r="B18" s="20">
        <v>0.20295982310474991</v>
      </c>
      <c r="C18" s="20">
        <v>1.1072047755062049</v>
      </c>
    </row>
    <row r="19" spans="1:3" x14ac:dyDescent="0.3">
      <c r="A19" s="19">
        <v>2022</v>
      </c>
      <c r="B19" s="20">
        <v>0.31825642198929532</v>
      </c>
      <c r="C19" s="20">
        <v>0.42991635556391011</v>
      </c>
    </row>
    <row r="20" spans="1:3" x14ac:dyDescent="0.3">
      <c r="A20" s="19">
        <v>2023</v>
      </c>
      <c r="B20" s="20">
        <v>8.3839266198477161E-2</v>
      </c>
      <c r="C20" s="20">
        <v>-0.37579979259706903</v>
      </c>
    </row>
    <row r="21" spans="1:3" x14ac:dyDescent="0.3">
      <c r="A21" s="19" t="s">
        <v>171</v>
      </c>
      <c r="B21" s="20"/>
      <c r="C21" s="20"/>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3F79C-8514-442D-829F-DAA423F61E61}">
  <dimension ref="A3:B21"/>
  <sheetViews>
    <sheetView workbookViewId="0">
      <selection activeCell="C1" sqref="C1"/>
    </sheetView>
  </sheetViews>
  <sheetFormatPr defaultRowHeight="14.4" x14ac:dyDescent="0.3"/>
  <cols>
    <col min="1" max="1" width="12.5546875" bestFit="1" customWidth="1"/>
    <col min="2" max="2" width="16" bestFit="1" customWidth="1"/>
  </cols>
  <sheetData>
    <row r="3" spans="1:2" x14ac:dyDescent="0.3">
      <c r="A3" s="18" t="s">
        <v>172</v>
      </c>
      <c r="B3" t="s">
        <v>174</v>
      </c>
    </row>
    <row r="4" spans="1:2" x14ac:dyDescent="0.3">
      <c r="A4" s="19">
        <v>2007</v>
      </c>
      <c r="B4" s="8">
        <v>2399998</v>
      </c>
    </row>
    <row r="5" spans="1:2" x14ac:dyDescent="0.3">
      <c r="A5" s="19">
        <v>2008</v>
      </c>
      <c r="B5" s="8">
        <v>415823</v>
      </c>
    </row>
    <row r="6" spans="1:2" x14ac:dyDescent="0.3">
      <c r="A6" s="19">
        <v>2009</v>
      </c>
      <c r="B6" s="8">
        <v>7156247</v>
      </c>
    </row>
    <row r="7" spans="1:2" x14ac:dyDescent="0.3">
      <c r="A7" s="19">
        <v>2010</v>
      </c>
      <c r="B7" s="8">
        <v>1012838</v>
      </c>
    </row>
    <row r="8" spans="1:2" x14ac:dyDescent="0.3">
      <c r="A8" s="19">
        <v>2011</v>
      </c>
      <c r="B8" s="8">
        <v>4583174</v>
      </c>
    </row>
    <row r="9" spans="1:2" x14ac:dyDescent="0.3">
      <c r="A9" s="19">
        <v>2012</v>
      </c>
      <c r="B9" s="8">
        <v>4975</v>
      </c>
    </row>
    <row r="10" spans="1:2" x14ac:dyDescent="0.3">
      <c r="A10" s="19">
        <v>2013</v>
      </c>
      <c r="B10" s="8">
        <v>11331647</v>
      </c>
    </row>
    <row r="11" spans="1:2" x14ac:dyDescent="0.3">
      <c r="A11" s="19">
        <v>2014</v>
      </c>
      <c r="B11" s="8">
        <v>16858095</v>
      </c>
    </row>
    <row r="12" spans="1:2" x14ac:dyDescent="0.3">
      <c r="A12" s="19">
        <v>2015</v>
      </c>
      <c r="B12" s="8">
        <v>57604725</v>
      </c>
    </row>
    <row r="13" spans="1:2" x14ac:dyDescent="0.3">
      <c r="A13" s="19">
        <v>2016</v>
      </c>
      <c r="B13" s="8">
        <v>27693557</v>
      </c>
    </row>
    <row r="14" spans="1:2" x14ac:dyDescent="0.3">
      <c r="A14" s="19">
        <v>2017</v>
      </c>
      <c r="B14" s="8">
        <v>28427493</v>
      </c>
    </row>
    <row r="15" spans="1:2" x14ac:dyDescent="0.3">
      <c r="A15" s="19">
        <v>2018</v>
      </c>
      <c r="B15" s="8">
        <v>6449994</v>
      </c>
    </row>
    <row r="16" spans="1:2" x14ac:dyDescent="0.3">
      <c r="A16" s="19">
        <v>2019</v>
      </c>
      <c r="B16" s="8">
        <v>6796981</v>
      </c>
    </row>
    <row r="17" spans="1:2" x14ac:dyDescent="0.3">
      <c r="A17" s="19">
        <v>2020</v>
      </c>
      <c r="B17" s="8">
        <v>140449401</v>
      </c>
    </row>
    <row r="18" spans="1:2" x14ac:dyDescent="0.3">
      <c r="A18" s="19">
        <v>2021</v>
      </c>
      <c r="B18" s="8">
        <v>217205955</v>
      </c>
    </row>
    <row r="19" spans="1:2" x14ac:dyDescent="0.3">
      <c r="A19" s="19">
        <v>2022</v>
      </c>
      <c r="B19" s="8">
        <v>292313524</v>
      </c>
    </row>
    <row r="20" spans="1:2" x14ac:dyDescent="0.3">
      <c r="A20" s="19">
        <v>2023</v>
      </c>
      <c r="B20" s="8">
        <v>-122676743</v>
      </c>
    </row>
    <row r="21" spans="1:2" x14ac:dyDescent="0.3">
      <c r="A21" s="19" t="s">
        <v>171</v>
      </c>
      <c r="B21" s="8">
        <v>698027684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DateAnaliza</vt:lpstr>
      <vt:lpstr>Indicatori_financiari</vt:lpstr>
      <vt:lpstr>Statistici</vt:lpstr>
      <vt:lpstr>Pivot1</vt:lpstr>
      <vt:lpstr>Pivot2</vt:lpstr>
      <vt:lpstr>Pivot3</vt:lpstr>
      <vt:lpstr>Pivot4</vt:lpstr>
      <vt:lpstr>Pivot5</vt:lpstr>
      <vt:lpstr>Pivot6</vt:lpstr>
      <vt:lpstr>Dashboard</vt:lpstr>
      <vt:lpstr>MA + ExponentialSmoothing</vt:lpstr>
      <vt:lpstr>Holt-Winters</vt:lpstr>
      <vt:lpstr>TOPSIS</vt:lpstr>
      <vt:lpstr>DateAnaliza!_FilterDatabase</vt:lpstr>
      <vt:lpstr>DateAnaliza</vt:lpstr>
      <vt:lpstr>Indicatori_financiari</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Iordan</dc:creator>
  <cp:lastModifiedBy>Maria Iordan</cp:lastModifiedBy>
  <dcterms:created xsi:type="dcterms:W3CDTF">2025-01-03T11:37:04Z</dcterms:created>
  <dcterms:modified xsi:type="dcterms:W3CDTF">2025-01-06T17:07:53Z</dcterms:modified>
</cp:coreProperties>
</file>