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600" windowHeight="9510"/>
  </bookViews>
  <sheets>
    <sheet name="Revenues (Sales)" sheetId="2" r:id="rId1"/>
    <sheet name="Cost of Sales" sheetId="3" r:id="rId2"/>
    <sheet name="Expenses" sheetId="4" r:id="rId3"/>
  </sheets>
  <definedNames>
    <definedName name="Company_Name">'Revenues (Sales)'!$AD$1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(Sales)'!$AC$2</definedName>
    <definedName name="FYStartYear">'Revenues (Sales)'!$AD$2</definedName>
    <definedName name="_xlnm.Print_Titles" localSheetId="1">'Cost of Sales'!$3:$4</definedName>
    <definedName name="_xlnm.Print_Titles" localSheetId="2">Expenses!$3:$4</definedName>
    <definedName name="_xlnm.Print_Titles" localSheetId="0">'Revenues (Sales)'!$3:$4</definedName>
    <definedName name="Projection_Period_Title">'Revenues (Sales)'!$B$1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(Sales)'!$B$2</definedName>
  </definedNames>
  <calcPr calcId="124519"/>
</workbook>
</file>

<file path=xl/calcChain.xml><?xml version="1.0" encoding="utf-8"?>
<calcChain xmlns="http://schemas.openxmlformats.org/spreadsheetml/2006/main">
  <c r="AD1" i="4"/>
  <c r="B1"/>
  <c r="B1" i="3"/>
  <c r="AD1"/>
  <c r="AD2" i="2"/>
  <c r="B2" i="3"/>
  <c r="O3" i="4" l="1"/>
  <c r="AC3" s="1"/>
  <c r="K3"/>
  <c r="Y3" s="1"/>
  <c r="G3"/>
  <c r="U3" s="1"/>
  <c r="J3"/>
  <c r="X3" s="1"/>
  <c r="F3"/>
  <c r="T3" s="1"/>
  <c r="L3"/>
  <c r="Z3" s="1"/>
  <c r="N3"/>
  <c r="AB3" s="1"/>
  <c r="H3"/>
  <c r="V3" s="1"/>
  <c r="M3"/>
  <c r="AA3" s="1"/>
  <c r="I3"/>
  <c r="W3" s="1"/>
  <c r="E3"/>
  <c r="S3" s="1"/>
  <c r="D3"/>
  <c r="R3" s="1"/>
  <c r="L3" i="3"/>
  <c r="Z3" s="1"/>
  <c r="H3"/>
  <c r="V3" s="1"/>
  <c r="D3"/>
  <c r="R3" s="1"/>
  <c r="O3"/>
  <c r="AC3" s="1"/>
  <c r="K3"/>
  <c r="Y3" s="1"/>
  <c r="G3"/>
  <c r="U3" s="1"/>
  <c r="N3"/>
  <c r="AB3" s="1"/>
  <c r="J3"/>
  <c r="X3" s="1"/>
  <c r="F3"/>
  <c r="T3" s="1"/>
  <c r="M3"/>
  <c r="AA3" s="1"/>
  <c r="I3"/>
  <c r="W3" s="1"/>
  <c r="E3"/>
  <c r="S3" s="1"/>
  <c r="B2" i="4"/>
  <c r="AD2"/>
  <c r="AC2"/>
  <c r="AD2" i="3"/>
  <c r="AC2"/>
  <c r="Q24" i="4" l="1"/>
  <c r="O24"/>
  <c r="N24"/>
  <c r="AB20" s="1"/>
  <c r="M24"/>
  <c r="AA23" s="1"/>
  <c r="L24"/>
  <c r="Z22" s="1"/>
  <c r="K24"/>
  <c r="J24"/>
  <c r="X23" s="1"/>
  <c r="I24"/>
  <c r="W23" s="1"/>
  <c r="H24"/>
  <c r="V23" s="1"/>
  <c r="G24"/>
  <c r="F24"/>
  <c r="T19" s="1"/>
  <c r="E24"/>
  <c r="S23" s="1"/>
  <c r="D24"/>
  <c r="R23" s="1"/>
  <c r="AC23"/>
  <c r="AB23"/>
  <c r="Y23"/>
  <c r="U23"/>
  <c r="T23"/>
  <c r="P23"/>
  <c r="AC22"/>
  <c r="Y22"/>
  <c r="X22"/>
  <c r="V22"/>
  <c r="U22"/>
  <c r="T22"/>
  <c r="P22"/>
  <c r="AC21"/>
  <c r="Y21"/>
  <c r="X21"/>
  <c r="U21"/>
  <c r="P21"/>
  <c r="AC20"/>
  <c r="Y20"/>
  <c r="X20"/>
  <c r="V20"/>
  <c r="U20"/>
  <c r="P20"/>
  <c r="AC19"/>
  <c r="Y19"/>
  <c r="X19"/>
  <c r="U19"/>
  <c r="P19"/>
  <c r="AC18"/>
  <c r="AB18"/>
  <c r="Y18"/>
  <c r="V18"/>
  <c r="U18"/>
  <c r="P18"/>
  <c r="AC17"/>
  <c r="AB17"/>
  <c r="Y17"/>
  <c r="U17"/>
  <c r="T17"/>
  <c r="P17"/>
  <c r="AC16"/>
  <c r="AB16"/>
  <c r="Y16"/>
  <c r="V16"/>
  <c r="U16"/>
  <c r="T16"/>
  <c r="P16"/>
  <c r="AC15"/>
  <c r="AB15"/>
  <c r="Y15"/>
  <c r="U15"/>
  <c r="T15"/>
  <c r="P15"/>
  <c r="AC14"/>
  <c r="Y14"/>
  <c r="X14"/>
  <c r="V14"/>
  <c r="U14"/>
  <c r="T14"/>
  <c r="P14"/>
  <c r="AC13"/>
  <c r="Y13"/>
  <c r="X13"/>
  <c r="U13"/>
  <c r="P13"/>
  <c r="AC12"/>
  <c r="Y12"/>
  <c r="X12"/>
  <c r="V12"/>
  <c r="U12"/>
  <c r="P12"/>
  <c r="AC11"/>
  <c r="Y11"/>
  <c r="X11"/>
  <c r="U11"/>
  <c r="P11"/>
  <c r="AC10"/>
  <c r="AB10"/>
  <c r="Y10"/>
  <c r="V10"/>
  <c r="U10"/>
  <c r="P10"/>
  <c r="AC9"/>
  <c r="AB9"/>
  <c r="Y9"/>
  <c r="U9"/>
  <c r="T9"/>
  <c r="P9"/>
  <c r="AC8"/>
  <c r="AB8"/>
  <c r="Y8"/>
  <c r="V8"/>
  <c r="U8"/>
  <c r="T8"/>
  <c r="P8"/>
  <c r="AC7"/>
  <c r="AB7"/>
  <c r="Y7"/>
  <c r="U7"/>
  <c r="T7"/>
  <c r="P7"/>
  <c r="AC6"/>
  <c r="Y6"/>
  <c r="X6"/>
  <c r="V6"/>
  <c r="U6"/>
  <c r="T6"/>
  <c r="P6"/>
  <c r="AC5"/>
  <c r="Y5"/>
  <c r="X5"/>
  <c r="U5"/>
  <c r="P5"/>
  <c r="P5" i="2"/>
  <c r="P6"/>
  <c r="P7"/>
  <c r="P8"/>
  <c r="P9"/>
  <c r="P10"/>
  <c r="P11"/>
  <c r="D12"/>
  <c r="R5" s="1"/>
  <c r="E12"/>
  <c r="S5" s="1"/>
  <c r="F12"/>
  <c r="T6" s="1"/>
  <c r="G12"/>
  <c r="U6" s="1"/>
  <c r="H12"/>
  <c r="V5" s="1"/>
  <c r="I12"/>
  <c r="W5" s="1"/>
  <c r="J12"/>
  <c r="X6" s="1"/>
  <c r="K12"/>
  <c r="Y6" s="1"/>
  <c r="L12"/>
  <c r="Z5" s="1"/>
  <c r="M12"/>
  <c r="AA5" s="1"/>
  <c r="N12"/>
  <c r="AB6" s="1"/>
  <c r="O12"/>
  <c r="AC6" s="1"/>
  <c r="Q12"/>
  <c r="Q12" i="3"/>
  <c r="O12"/>
  <c r="AC7" s="1"/>
  <c r="N12"/>
  <c r="AB7" s="1"/>
  <c r="M12"/>
  <c r="AA5" s="1"/>
  <c r="L12"/>
  <c r="Z6" s="1"/>
  <c r="K12"/>
  <c r="Y7" s="1"/>
  <c r="J12"/>
  <c r="X8" s="1"/>
  <c r="I12"/>
  <c r="H12"/>
  <c r="G12"/>
  <c r="U11" s="1"/>
  <c r="F12"/>
  <c r="T9" s="1"/>
  <c r="E12"/>
  <c r="S5" s="1"/>
  <c r="D12"/>
  <c r="R10" s="1"/>
  <c r="AC11"/>
  <c r="AB11"/>
  <c r="AA11"/>
  <c r="P11"/>
  <c r="AC10"/>
  <c r="T10"/>
  <c r="P10"/>
  <c r="W9"/>
  <c r="P9"/>
  <c r="AB8"/>
  <c r="U8"/>
  <c r="P8"/>
  <c r="P7"/>
  <c r="AC6"/>
  <c r="X6"/>
  <c r="P6"/>
  <c r="AB5"/>
  <c r="P5"/>
  <c r="T5" i="4" l="1"/>
  <c r="AB5"/>
  <c r="AB6"/>
  <c r="X9"/>
  <c r="X10"/>
  <c r="T12"/>
  <c r="T13"/>
  <c r="AB13"/>
  <c r="AB14"/>
  <c r="X17"/>
  <c r="X18"/>
  <c r="T20"/>
  <c r="T21"/>
  <c r="AB21"/>
  <c r="AB22"/>
  <c r="X7"/>
  <c r="X24" s="1"/>
  <c r="X8"/>
  <c r="T10"/>
  <c r="T11"/>
  <c r="AB11"/>
  <c r="AB12"/>
  <c r="X15"/>
  <c r="X16"/>
  <c r="T18"/>
  <c r="AB19"/>
  <c r="AA10" i="2"/>
  <c r="Y24" i="4"/>
  <c r="U6" i="3"/>
  <c r="T7"/>
  <c r="I14"/>
  <c r="AA6" i="2"/>
  <c r="T24" i="4"/>
  <c r="U7" i="3"/>
  <c r="AC8"/>
  <c r="AA8" i="2"/>
  <c r="U24" i="4"/>
  <c r="AC24"/>
  <c r="Y11" i="2"/>
  <c r="W10"/>
  <c r="Y9"/>
  <c r="W8"/>
  <c r="Y7"/>
  <c r="W6"/>
  <c r="Y5"/>
  <c r="AC11"/>
  <c r="AC9"/>
  <c r="AC7"/>
  <c r="AC5"/>
  <c r="H14" i="3"/>
  <c r="U11" i="2"/>
  <c r="S10"/>
  <c r="U9"/>
  <c r="S8"/>
  <c r="U7"/>
  <c r="S6"/>
  <c r="U5"/>
  <c r="Z5" i="4"/>
  <c r="R6"/>
  <c r="Z7"/>
  <c r="R8"/>
  <c r="Z9"/>
  <c r="R10"/>
  <c r="Z11"/>
  <c r="R12"/>
  <c r="Z13"/>
  <c r="R14"/>
  <c r="Z15"/>
  <c r="R16"/>
  <c r="Z17"/>
  <c r="R18"/>
  <c r="Z19"/>
  <c r="R20"/>
  <c r="Z21"/>
  <c r="R22"/>
  <c r="Z23"/>
  <c r="I26"/>
  <c r="H26"/>
  <c r="P24"/>
  <c r="AD8" s="1"/>
  <c r="V5"/>
  <c r="AB24"/>
  <c r="V7"/>
  <c r="V9"/>
  <c r="V11"/>
  <c r="V13"/>
  <c r="V15"/>
  <c r="V17"/>
  <c r="V19"/>
  <c r="V21"/>
  <c r="R5"/>
  <c r="Z6"/>
  <c r="R7"/>
  <c r="Z8"/>
  <c r="R9"/>
  <c r="Z10"/>
  <c r="R11"/>
  <c r="Z12"/>
  <c r="R13"/>
  <c r="Z14"/>
  <c r="R15"/>
  <c r="Z16"/>
  <c r="R17"/>
  <c r="Z18"/>
  <c r="R19"/>
  <c r="Z20"/>
  <c r="R21"/>
  <c r="S6"/>
  <c r="W6"/>
  <c r="AA6"/>
  <c r="S8"/>
  <c r="W8"/>
  <c r="AA8"/>
  <c r="S10"/>
  <c r="W10"/>
  <c r="AA10"/>
  <c r="S12"/>
  <c r="W12"/>
  <c r="AA12"/>
  <c r="S14"/>
  <c r="W14"/>
  <c r="AA14"/>
  <c r="S16"/>
  <c r="W16"/>
  <c r="AA16"/>
  <c r="S18"/>
  <c r="W18"/>
  <c r="AA18"/>
  <c r="S20"/>
  <c r="W20"/>
  <c r="AA20"/>
  <c r="S22"/>
  <c r="W22"/>
  <c r="AA22"/>
  <c r="S5"/>
  <c r="W5"/>
  <c r="AA5"/>
  <c r="S7"/>
  <c r="W7"/>
  <c r="AA7"/>
  <c r="S9"/>
  <c r="W9"/>
  <c r="AA9"/>
  <c r="S11"/>
  <c r="W11"/>
  <c r="AA11"/>
  <c r="S13"/>
  <c r="W13"/>
  <c r="AA13"/>
  <c r="S15"/>
  <c r="W15"/>
  <c r="AA15"/>
  <c r="S17"/>
  <c r="W17"/>
  <c r="AA17"/>
  <c r="S19"/>
  <c r="W19"/>
  <c r="AA19"/>
  <c r="S21"/>
  <c r="W21"/>
  <c r="AA21"/>
  <c r="AB6" i="3"/>
  <c r="T8"/>
  <c r="X9"/>
  <c r="X10"/>
  <c r="T11"/>
  <c r="T5"/>
  <c r="T6"/>
  <c r="X7"/>
  <c r="AB9"/>
  <c r="AB10"/>
  <c r="X11"/>
  <c r="X5"/>
  <c r="F14"/>
  <c r="F26" i="4" s="1"/>
  <c r="AB11" i="2"/>
  <c r="X11"/>
  <c r="T11"/>
  <c r="Z10"/>
  <c r="V10"/>
  <c r="R10"/>
  <c r="AB9"/>
  <c r="X9"/>
  <c r="T9"/>
  <c r="Z8"/>
  <c r="V8"/>
  <c r="R8"/>
  <c r="AB7"/>
  <c r="X7"/>
  <c r="T7"/>
  <c r="Z6"/>
  <c r="V6"/>
  <c r="R6"/>
  <c r="AB5"/>
  <c r="X5"/>
  <c r="T5"/>
  <c r="J14" i="3"/>
  <c r="J26" i="4" s="1"/>
  <c r="P12" i="2"/>
  <c r="AD8" s="1"/>
  <c r="AA11"/>
  <c r="W11"/>
  <c r="S11"/>
  <c r="AC10"/>
  <c r="Y10"/>
  <c r="U10"/>
  <c r="AA9"/>
  <c r="W9"/>
  <c r="S9"/>
  <c r="AC8"/>
  <c r="Y8"/>
  <c r="U8"/>
  <c r="AA7"/>
  <c r="W7"/>
  <c r="S7"/>
  <c r="N14" i="3"/>
  <c r="N26" i="4" s="1"/>
  <c r="Z11" i="2"/>
  <c r="V11"/>
  <c r="R11"/>
  <c r="AB10"/>
  <c r="X10"/>
  <c r="T10"/>
  <c r="Z9"/>
  <c r="V9"/>
  <c r="R9"/>
  <c r="AB8"/>
  <c r="X8"/>
  <c r="T8"/>
  <c r="Z7"/>
  <c r="V7"/>
  <c r="R7"/>
  <c r="W7" i="3"/>
  <c r="U10"/>
  <c r="G14"/>
  <c r="G26" i="4" s="1"/>
  <c r="K14" i="3"/>
  <c r="K26" i="4" s="1"/>
  <c r="O14" i="3"/>
  <c r="O26" i="4" s="1"/>
  <c r="S7" i="3"/>
  <c r="D14"/>
  <c r="D26" i="4" s="1"/>
  <c r="L14" i="3"/>
  <c r="L26" i="4" s="1"/>
  <c r="E14" i="3"/>
  <c r="E26" i="4" s="1"/>
  <c r="M14" i="3"/>
  <c r="M26" i="4" s="1"/>
  <c r="AC5" i="3"/>
  <c r="AC9"/>
  <c r="Y11"/>
  <c r="Y9"/>
  <c r="U5"/>
  <c r="Y6"/>
  <c r="Y8"/>
  <c r="P12"/>
  <c r="AD6" s="1"/>
  <c r="Y10"/>
  <c r="Y5"/>
  <c r="U9"/>
  <c r="AA9"/>
  <c r="V11"/>
  <c r="V9"/>
  <c r="V7"/>
  <c r="V5"/>
  <c r="W10"/>
  <c r="W8"/>
  <c r="W6"/>
  <c r="R11"/>
  <c r="R9"/>
  <c r="R7"/>
  <c r="R5"/>
  <c r="Z11"/>
  <c r="Z9"/>
  <c r="Z7"/>
  <c r="Z5"/>
  <c r="V6"/>
  <c r="Z8"/>
  <c r="S10"/>
  <c r="S8"/>
  <c r="S6"/>
  <c r="AA10"/>
  <c r="AA8"/>
  <c r="AA6"/>
  <c r="R6"/>
  <c r="V8"/>
  <c r="S9"/>
  <c r="Z10"/>
  <c r="W11"/>
  <c r="W5"/>
  <c r="AA7"/>
  <c r="R8"/>
  <c r="V10"/>
  <c r="S11"/>
  <c r="O3" i="2"/>
  <c r="AC3" s="1"/>
  <c r="N3"/>
  <c r="AB3" s="1"/>
  <c r="M3"/>
  <c r="AA3" s="1"/>
  <c r="L3"/>
  <c r="Z3" s="1"/>
  <c r="K3"/>
  <c r="Y3" s="1"/>
  <c r="J3"/>
  <c r="X3" s="1"/>
  <c r="I3"/>
  <c r="W3" s="1"/>
  <c r="H3"/>
  <c r="V3" s="1"/>
  <c r="G3"/>
  <c r="U3" s="1"/>
  <c r="F3"/>
  <c r="T3" s="1"/>
  <c r="E3"/>
  <c r="S3" s="1"/>
  <c r="D3"/>
  <c r="R3" s="1"/>
  <c r="AD19" i="4" l="1"/>
  <c r="AD9"/>
  <c r="AD18"/>
  <c r="X12" i="3"/>
  <c r="U12" i="2"/>
  <c r="S12"/>
  <c r="Y12"/>
  <c r="AA12"/>
  <c r="Z12"/>
  <c r="AD17" i="4"/>
  <c r="AD7"/>
  <c r="AD22"/>
  <c r="AC12" i="3"/>
  <c r="V12" i="2"/>
  <c r="W12"/>
  <c r="AD15" i="4"/>
  <c r="AD12"/>
  <c r="AD10"/>
  <c r="AB12" i="3"/>
  <c r="AD5" i="4"/>
  <c r="AD23"/>
  <c r="AD11"/>
  <c r="AD14"/>
  <c r="AD16"/>
  <c r="R12" i="2"/>
  <c r="AC12"/>
  <c r="AD21" i="4"/>
  <c r="AD13"/>
  <c r="AD6"/>
  <c r="AD20"/>
  <c r="V24"/>
  <c r="R24"/>
  <c r="Z24"/>
  <c r="W24"/>
  <c r="S24"/>
  <c r="P26"/>
  <c r="X26" s="1"/>
  <c r="AA24"/>
  <c r="U12" i="3"/>
  <c r="T12"/>
  <c r="AD9" i="2"/>
  <c r="AD6"/>
  <c r="AD10"/>
  <c r="T12"/>
  <c r="AD7"/>
  <c r="AD11"/>
  <c r="AB12"/>
  <c r="AD5"/>
  <c r="X12"/>
  <c r="AD10" i="3"/>
  <c r="P14"/>
  <c r="Z14" s="1"/>
  <c r="W12"/>
  <c r="Y12"/>
  <c r="AD8"/>
  <c r="AD5"/>
  <c r="AD11"/>
  <c r="AD9"/>
  <c r="AD7"/>
  <c r="S12"/>
  <c r="AA12"/>
  <c r="Z12"/>
  <c r="R12"/>
  <c r="V12"/>
  <c r="AD12" l="1"/>
  <c r="AD24" i="4"/>
  <c r="AD12" i="2"/>
  <c r="T26" i="4"/>
  <c r="V26"/>
  <c r="AB26"/>
  <c r="U26"/>
  <c r="R26"/>
  <c r="AD26"/>
  <c r="S26"/>
  <c r="W26"/>
  <c r="AA26"/>
  <c r="AC26"/>
  <c r="Z26"/>
  <c r="Y26"/>
  <c r="AA14" i="3"/>
  <c r="U14"/>
  <c r="AD14"/>
  <c r="V14"/>
  <c r="T14"/>
  <c r="X14"/>
  <c r="W14"/>
  <c r="AB14"/>
  <c r="Y14"/>
  <c r="AC14"/>
  <c r="R14"/>
  <c r="S14"/>
</calcChain>
</file>

<file path=xl/sharedStrings.xml><?xml version="1.0" encoding="utf-8"?>
<sst xmlns="http://schemas.openxmlformats.org/spreadsheetml/2006/main" count="161" uniqueCount="78">
  <si>
    <t>Yearly</t>
  </si>
  <si>
    <t>Gross Profit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</si>
  <si>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</si>
  <si>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</si>
  <si>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</si>
  <si>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</si>
  <si>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</si>
  <si>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</si>
  <si>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</si>
  <si>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</si>
  <si>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</si>
  <si>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</si>
  <si>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</si>
  <si>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</si>
  <si>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</si>
  <si>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</si>
  <si>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</si>
  <si>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</si>
  <si>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</si>
  <si>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Net Profit</t>
  </si>
  <si>
    <t xml:space="preserve"> </t>
  </si>
  <si>
    <t>Twelve Month</t>
  </si>
  <si>
    <t>PROFIT &amp; LOSS PROJECTION</t>
  </si>
  <si>
    <t>Company Name</t>
  </si>
  <si>
    <t>REVENUES (SALES)</t>
  </si>
  <si>
    <t>TREND</t>
  </si>
  <si>
    <t>TOTAL SALES</t>
  </si>
  <si>
    <t>COST OF SALES</t>
  </si>
  <si>
    <t>TOTAL COST OF SALES</t>
  </si>
  <si>
    <t>EXPENSES</t>
  </si>
  <si>
    <t>TOTAL EXPENSES</t>
  </si>
  <si>
    <t>FISCAL YEAR BEGINS:</t>
  </si>
  <si>
    <t>JAN</t>
  </si>
  <si>
    <t>IND %</t>
  </si>
  <si>
    <t>YEARLY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</si>
  <si>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</si>
  <si>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</si>
  <si>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</si>
  <si>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</si>
  <si>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</si>
  <si>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</si>
  <si>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</si>
  <si>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</si>
  <si>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Cost 1</t>
  </si>
  <si>
    <t>Cost 2</t>
  </si>
  <si>
    <t>Cost 3</t>
  </si>
  <si>
    <t>Cost 4</t>
  </si>
  <si>
    <t>Cost 5</t>
  </si>
  <si>
    <t>Cost 6</t>
  </si>
  <si>
    <t>Cost 7</t>
  </si>
  <si>
    <t>FISCAL YEAR 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</si>
  <si>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</si>
  <si>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</si>
  <si>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</si>
  <si>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</si>
  <si>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</si>
  <si>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</si>
  <si>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</si>
  <si>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</si>
  <si>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</si>
  <si>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</si>
  <si>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</si>
  <si>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</si>
  <si>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</si>
  <si>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</si>
  <si>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</si>
  <si>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</si>
  <si>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</si>
  <si>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</si>
  <si>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</si>
  <si>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</si>
  <si>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</si>
  <si>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</si>
  <si>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</si>
  <si>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</si>
  <si>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</si>
  <si>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</si>
  <si>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Column1</t>
  </si>
</sst>
</file>

<file path=xl/styles.xml><?xml version="1.0" encoding="utf-8"?>
<styleSheet xmlns="http://schemas.openxmlformats.org/spreadsheetml/2006/main">
  <numFmts count="7">
    <numFmt numFmtId="176" formatCode="_(&quot;$&quot;* #,##0_);_(&quot;$&quot;* \(#,##0\);_(&quot;$&quot;* &quot;-&quot;_);_(@_)"/>
    <numFmt numFmtId="177" formatCode="_(* #,##0_);_(* \(#,##0\);_(* &quot;-&quot;_);_(@_)"/>
    <numFmt numFmtId="178" formatCode="_(* #,##0.00_);_(* \(#,##0.00\);_(* &quot;-&quot;??_);_(@_)"/>
    <numFmt numFmtId="179" formatCode=";;;"/>
    <numFmt numFmtId="180" formatCode="0%;;&quot;-&quot;;"/>
    <numFmt numFmtId="181" formatCode="_(&quot;$&quot;* #,##0_);_(&quot;$&quot;* \(#,##0\);_(&quot;$&quot;* &quot;-&quot;??_);_(@_)"/>
    <numFmt numFmtId="182" formatCode="[$-409]mmm\-yy;@"/>
  </numFmts>
  <fonts count="16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2"/>
      <color theme="8"/>
      <name val="Bookman Old Style"/>
      <family val="1"/>
      <scheme val="major"/>
    </font>
    <font>
      <sz val="10"/>
      <color theme="1"/>
      <name val="Century Gothic"/>
      <family val="2"/>
      <scheme val="minor"/>
    </font>
    <font>
      <b/>
      <sz val="26"/>
      <color theme="3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b/>
      <sz val="12"/>
      <color theme="3"/>
      <name val="Century Gothic"/>
      <family val="2"/>
      <scheme val="minor"/>
    </font>
    <font>
      <b/>
      <i/>
      <sz val="22"/>
      <color theme="7"/>
      <name val="Bookman Old Style"/>
      <family val="1"/>
      <scheme val="major"/>
    </font>
    <font>
      <b/>
      <sz val="11"/>
      <color theme="8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3"/>
      <name val="Bookman Old Style"/>
      <family val="1"/>
      <scheme val="major"/>
    </font>
    <font>
      <sz val="11"/>
      <name val="Century Gothic"/>
      <family val="2"/>
      <scheme val="minor"/>
    </font>
    <font>
      <b/>
      <i/>
      <sz val="16"/>
      <color theme="7" tint="-0.24994659260841701"/>
      <name val="Bookman Old Style"/>
      <family val="1"/>
      <scheme val="major"/>
    </font>
    <font>
      <b/>
      <i/>
      <sz val="22"/>
      <color theme="7" tint="-0.24994659260841701"/>
      <name val="Bookman Old Style"/>
      <family val="1"/>
      <scheme val="major"/>
    </font>
    <font>
      <sz val="8"/>
      <name val="돋움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</borders>
  <cellStyleXfs count="19">
    <xf numFmtId="0" fontId="0" fillId="0" borderId="0"/>
    <xf numFmtId="9" fontId="12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0" fontId="13" fillId="0" borderId="3" applyProtection="0">
      <alignment vertical="center"/>
    </xf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2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176" fontId="10" fillId="2" borderId="0" applyBorder="0" applyAlignment="0" applyProtection="0"/>
    <xf numFmtId="9" fontId="10" fillId="2" borderId="0" applyBorder="0" applyAlignment="0" applyProtection="0"/>
    <xf numFmtId="0" fontId="1" fillId="0" borderId="0">
      <alignment horizontal="right" wrapText="1" indent="1"/>
    </xf>
    <xf numFmtId="0" fontId="14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82" fontId="11" fillId="0" borderId="2" applyFill="0" applyProtection="0">
      <alignment horizontal="center" vertical="center"/>
    </xf>
    <xf numFmtId="0" fontId="7" fillId="0" borderId="0">
      <alignment horizontal="right" indent="1"/>
    </xf>
    <xf numFmtId="176" fontId="1" fillId="5" borderId="4" applyNumberFormat="0" applyFont="0" applyAlignment="0">
      <alignment horizontal="center"/>
    </xf>
    <xf numFmtId="176" fontId="12" fillId="3" borderId="4" applyNumberFormat="0" applyFont="0" applyAlignment="0"/>
    <xf numFmtId="176" fontId="12" fillId="6" borderId="4" applyNumberFormat="0" applyFont="0" applyAlignment="0"/>
  </cellStyleXfs>
  <cellXfs count="4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vertical="center"/>
    </xf>
    <xf numFmtId="0" fontId="6" fillId="0" borderId="0" xfId="2" applyBorder="1" applyAlignment="1">
      <alignment vertical="center"/>
    </xf>
    <xf numFmtId="0" fontId="9" fillId="0" borderId="0" xfId="0" applyFont="1"/>
    <xf numFmtId="0" fontId="0" fillId="0" borderId="0" xfId="0" applyNumberFormat="1"/>
    <xf numFmtId="0" fontId="8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/>
    <xf numFmtId="0" fontId="0" fillId="0" borderId="0" xfId="0"/>
    <xf numFmtId="0" fontId="0" fillId="0" borderId="0" xfId="0" applyFont="1"/>
    <xf numFmtId="0" fontId="2" fillId="2" borderId="0" xfId="8">
      <alignment horizontal="right" vertical="center" indent="1"/>
    </xf>
    <xf numFmtId="176" fontId="10" fillId="2" borderId="0" xfId="9" applyFill="1" applyAlignment="1">
      <alignment horizontal="right" vertical="center" indent="1"/>
    </xf>
    <xf numFmtId="9" fontId="10" fillId="2" borderId="0" xfId="10" applyFill="1" applyAlignment="1">
      <alignment horizontal="right" vertical="center" indent="1"/>
    </xf>
    <xf numFmtId="0" fontId="1" fillId="0" borderId="0" xfId="11">
      <alignment horizontal="right" wrapText="1" indent="1"/>
    </xf>
    <xf numFmtId="176" fontId="12" fillId="0" borderId="0" xfId="6" applyFill="1" applyBorder="1"/>
    <xf numFmtId="180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9" fontId="12" fillId="0" borderId="0" xfId="1" applyFill="1" applyBorder="1" applyAlignment="1">
      <alignment horizontal="right"/>
    </xf>
    <xf numFmtId="0" fontId="14" fillId="0" borderId="0" xfId="12">
      <alignment horizontal="right" vertical="center"/>
    </xf>
    <xf numFmtId="0" fontId="3" fillId="0" borderId="0" xfId="13">
      <alignment horizontal="right" vertical="center"/>
    </xf>
    <xf numFmtId="182" fontId="11" fillId="0" borderId="2" xfId="14">
      <alignment horizontal="center" vertical="center"/>
    </xf>
    <xf numFmtId="0" fontId="13" fillId="0" borderId="3" xfId="3">
      <alignment vertical="center"/>
    </xf>
    <xf numFmtId="179" fontId="0" fillId="0" borderId="0" xfId="0" applyNumberFormat="1" applyFont="1" applyFill="1" applyBorder="1" applyAlignment="1">
      <alignment horizontal="center"/>
    </xf>
    <xf numFmtId="179" fontId="0" fillId="0" borderId="0" xfId="0" applyNumberFormat="1" applyFont="1" applyFill="1" applyBorder="1" applyAlignment="1">
      <alignment horizontal="right"/>
    </xf>
    <xf numFmtId="0" fontId="0" fillId="0" borderId="0" xfId="11" applyFont="1" applyFill="1" applyBorder="1">
      <alignment horizontal="right" wrapText="1" indent="1"/>
    </xf>
    <xf numFmtId="176" fontId="0" fillId="0" borderId="0" xfId="6" applyFont="1" applyFill="1" applyBorder="1"/>
    <xf numFmtId="9" fontId="0" fillId="0" borderId="0" xfId="1" applyFont="1" applyFill="1" applyBorder="1" applyAlignment="1">
      <alignment horizontal="right"/>
    </xf>
    <xf numFmtId="0" fontId="0" fillId="0" borderId="0" xfId="0" applyFont="1" applyFill="1" applyBorder="1"/>
    <xf numFmtId="181" fontId="0" fillId="0" borderId="0" xfId="0" applyNumberFormat="1" applyFont="1" applyFill="1" applyBorder="1"/>
    <xf numFmtId="9" fontId="0" fillId="0" borderId="0" xfId="0" applyNumberFormat="1" applyFont="1" applyFill="1" applyBorder="1" applyAlignment="1">
      <alignment horizontal="right"/>
    </xf>
    <xf numFmtId="0" fontId="7" fillId="0" borderId="0" xfId="15">
      <alignment horizontal="right" indent="1"/>
    </xf>
    <xf numFmtId="0" fontId="4" fillId="5" borderId="4" xfId="16" applyNumberFormat="1" applyFont="1" applyAlignment="1">
      <alignment horizontal="center"/>
    </xf>
    <xf numFmtId="176" fontId="12" fillId="5" borderId="4" xfId="6" applyFill="1" applyBorder="1" applyAlignment="1">
      <alignment horizontal="center"/>
    </xf>
    <xf numFmtId="9" fontId="12" fillId="5" borderId="4" xfId="1" applyFill="1" applyBorder="1" applyAlignment="1">
      <alignment horizontal="right"/>
    </xf>
    <xf numFmtId="0" fontId="6" fillId="0" borderId="0" xfId="2" applyBorder="1">
      <alignment vertical="center"/>
    </xf>
    <xf numFmtId="0" fontId="0" fillId="3" borderId="4" xfId="17" applyNumberFormat="1" applyFont="1"/>
    <xf numFmtId="176" fontId="0" fillId="3" borderId="4" xfId="17" applyFont="1"/>
    <xf numFmtId="9" fontId="0" fillId="3" borderId="4" xfId="17" applyNumberFormat="1" applyFont="1" applyAlignment="1">
      <alignment horizontal="right"/>
    </xf>
    <xf numFmtId="0" fontId="0" fillId="6" borderId="4" xfId="18" applyNumberFormat="1" applyFont="1" applyAlignment="1">
      <alignment horizontal="center"/>
    </xf>
    <xf numFmtId="176" fontId="12" fillId="6" borderId="4" xfId="6" applyFill="1" applyBorder="1"/>
    <xf numFmtId="9" fontId="12" fillId="6" borderId="4" xfId="1" applyFill="1" applyBorder="1" applyAlignment="1">
      <alignment horizontal="right"/>
    </xf>
    <xf numFmtId="0" fontId="3" fillId="0" borderId="0" xfId="13" applyNumberFormat="1">
      <alignment horizontal="right" vertical="center"/>
    </xf>
    <xf numFmtId="9" fontId="12" fillId="5" borderId="4" xfId="1" applyFill="1" applyBorder="1">
      <alignment horizontal="right"/>
    </xf>
    <xf numFmtId="9" fontId="0" fillId="0" borderId="0" xfId="0" applyNumberFormat="1"/>
  </cellXfs>
  <cellStyles count="19">
    <cellStyle name="Cost of Sales fill" xfId="17"/>
    <cellStyle name="Expenses fill" xfId="18"/>
    <cellStyle name="Profit" xfId="8"/>
    <cellStyle name="Profit Amount" xfId="9"/>
    <cellStyle name="Profit Percent" xfId="10"/>
    <cellStyle name="Revenue fill" xfId="16"/>
    <cellStyle name="Table Details" xfId="11"/>
    <cellStyle name="Table Heading 1" xfId="15"/>
    <cellStyle name="메모" xfId="7" builtinId="10" customBuiltin="1"/>
    <cellStyle name="백분율" xfId="1" builtinId="5" customBuiltin="1"/>
    <cellStyle name="쉼표" xfId="4" builtinId="3" customBuiltin="1"/>
    <cellStyle name="쉼표 [0]" xfId="5" builtinId="6" customBuiltin="1"/>
    <cellStyle name="제목" xfId="2" builtinId="15" customBuiltin="1"/>
    <cellStyle name="제목 1" xfId="3" builtinId="16" customBuiltin="1"/>
    <cellStyle name="제목 2" xfId="12" builtinId="17" customBuiltin="1"/>
    <cellStyle name="제목 3" xfId="13" builtinId="18" customBuiltin="1"/>
    <cellStyle name="제목 4" xfId="14" builtinId="19" customBuiltin="1"/>
    <cellStyle name="통화 [0]" xfId="6" builtinId="7" customBuiltin="1"/>
    <cellStyle name="표준" xfId="0" builtinId="0" customBuiltin="1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80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81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81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76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Profit &amp; Loss Revenue" defaultPivotStyle="PivotStyleLight16">
    <tableStyle name="Profit &amp; Loss Expenses" pivot="0" count="5">
      <tableStyleElement type="wholeTable" dxfId="102"/>
      <tableStyleElement type="headerRow" dxfId="101"/>
      <tableStyleElement type="totalRow" dxfId="100"/>
      <tableStyleElement type="firstRowStripe" dxfId="99"/>
      <tableStyleElement type="secondRowStripe" dxfId="98"/>
    </tableStyle>
    <tableStyle name="Profit &amp; Loss Revenue" pivot="0" count="5">
      <tableStyleElement type="wholeTable" dxfId="97"/>
      <tableStyleElement type="headerRow" dxfId="96"/>
      <tableStyleElement type="totalRow" dxfId="95"/>
      <tableStyleElement type="firstRowStripe" dxfId="94"/>
      <tableStyleElement type="secondRowStripe" dxfId="93"/>
    </tableStyle>
    <tableStyle name="Profit &amp; Loss Sales" pivot="0" count="5">
      <tableStyleElement type="wholeTable" dxfId="92"/>
      <tableStyleElement type="headerRow" dxfId="91"/>
      <tableStyleElement type="totalRow" dxfId="90"/>
      <tableStyleElement type="firstRowStripe" dxfId="89"/>
      <tableStyleElement type="secondRow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Revenue" displayName="Revenue" ref="B4:AD12" totalsRowCount="1">
  <autoFilter ref="B4:AD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name="REVENUES (SALES)" totalsRowLabel="TOTAL SALES" totalsRowDxfId="87" dataCellStyle="Table Details"/>
    <tableColumn id="29" name="TREND" dataDxfId="86" totalsRowDxfId="85" dataCellStyle="Revenue fill"/>
    <tableColumn id="2" name="Jan" totalsRowFunction="sum" totalsRowDxfId="84"/>
    <tableColumn id="3" name="Feb" totalsRowFunction="sum" totalsRowDxfId="83"/>
    <tableColumn id="4" name="Mar" totalsRowFunction="sum" totalsRowDxfId="82"/>
    <tableColumn id="5" name="Apr" totalsRowFunction="sum" totalsRowDxfId="81"/>
    <tableColumn id="6" name="May" totalsRowFunction="sum" totalsRowDxfId="80"/>
    <tableColumn id="7" name="Jun" totalsRowFunction="sum" totalsRowDxfId="79"/>
    <tableColumn id="8" name="Jul" totalsRowFunction="sum" totalsRowDxfId="78"/>
    <tableColumn id="9" name="Aug" totalsRowFunction="sum" totalsRowDxfId="77"/>
    <tableColumn id="10" name="Sep" totalsRowFunction="sum" totalsRowDxfId="76"/>
    <tableColumn id="11" name="Oct" totalsRowFunction="sum" totalsRowDxfId="75"/>
    <tableColumn id="12" name="Nov" totalsRowFunction="sum" totalsRowDxfId="74"/>
    <tableColumn id="13" name="Dec" totalsRowFunction="sum" totalsRowDxfId="73"/>
    <tableColumn id="14" name="Yearly" totalsRowFunction="sum" totalsRowDxfId="72">
      <calculatedColumnFormula>SUM(Revenue[[#This Row],[Jan]:[Dec]])</calculatedColumnFormula>
    </tableColumn>
    <tableColumn id="15" name="Index %" totalsRowFunction="sum" totalsRowDxfId="71"/>
    <tableColumn id="16" name="Jan %" totalsRowFunction="sum" totalsRowDxfId="70">
      <calculatedColumnFormula>IFERROR(Revenue[[#This Row],[Jan]]/Revenue[[#Totals],[Jan]],"-")</calculatedColumnFormula>
    </tableColumn>
    <tableColumn id="17" name="Feb %" totalsRowFunction="sum" totalsRowDxfId="69">
      <calculatedColumnFormula>IFERROR(Revenue[[#This Row],[Feb]]/Revenue[[#Totals],[Feb]],"-")</calculatedColumnFormula>
    </tableColumn>
    <tableColumn id="18" name="Mar %" totalsRowFunction="sum" totalsRowDxfId="68">
      <calculatedColumnFormula>IFERROR(Revenue[[#This Row],[Mar]]/Revenue[[#Totals],[Mar]],"-")</calculatedColumnFormula>
    </tableColumn>
    <tableColumn id="19" name="Apr %" totalsRowFunction="sum" totalsRowDxfId="67">
      <calculatedColumnFormula>IFERROR(Revenue[[#This Row],[Apr]]/Revenue[[#Totals],[Apr]],"-")</calculatedColumnFormula>
    </tableColumn>
    <tableColumn id="20" name="May %" totalsRowFunction="sum" totalsRowDxfId="66">
      <calculatedColumnFormula>IFERROR(Revenue[[#This Row],[May]]/Revenue[[#Totals],[May]],"-")</calculatedColumnFormula>
    </tableColumn>
    <tableColumn id="21" name="Jun %" totalsRowFunction="sum" totalsRowDxfId="65">
      <calculatedColumnFormula>IFERROR(Revenue[[#This Row],[Jun]]/Revenue[[#Totals],[Jun]],"-")</calculatedColumnFormula>
    </tableColumn>
    <tableColumn id="22" name="Jul %" totalsRowFunction="sum" totalsRowDxfId="64">
      <calculatedColumnFormula>IFERROR(Revenue[[#This Row],[Jul]]/Revenue[[#Totals],[Jul]],"-")</calculatedColumnFormula>
    </tableColumn>
    <tableColumn id="23" name="Aug %" totalsRowFunction="sum" totalsRowDxfId="63">
      <calculatedColumnFormula>IFERROR(Revenue[[#This Row],[Aug]]/Revenue[[#Totals],[Aug]],"-")</calculatedColumnFormula>
    </tableColumn>
    <tableColumn id="24" name="Sep %" totalsRowFunction="sum" totalsRowDxfId="62">
      <calculatedColumnFormula>IFERROR(Revenue[[#This Row],[Sep]]/Revenue[[#Totals],[Sep]],"-")</calculatedColumnFormula>
    </tableColumn>
    <tableColumn id="25" name="Oct %" totalsRowFunction="sum" totalsRowDxfId="61">
      <calculatedColumnFormula>IFERROR(Revenue[[#This Row],[Oct]]/Revenue[[#Totals],[Oct]],"-")</calculatedColumnFormula>
    </tableColumn>
    <tableColumn id="26" name="Nov %" totalsRowFunction="sum" totalsRowDxfId="60">
      <calculatedColumnFormula>IFERROR(Revenue[[#This Row],[Nov]]/Revenue[[#Totals],[Nov]],"-")</calculatedColumnFormula>
    </tableColumn>
    <tableColumn id="27" name="Dec %" totalsRowFunction="sum" totalsRowDxfId="59">
      <calculatedColumnFormula>IFERROR(Revenue[[#This Row],[Dec]]/Revenue[[#Totals],[Dec]],"-")</calculatedColumnFormula>
    </tableColumn>
    <tableColumn id="28" name="Year %" totalsRowFunction="sum" totalsRowDxfId="58">
      <calculatedColumnFormula>IFERROR(Revenue[[#This Row],[Yearly]]/Revenue[[#Totals],[Yearly]],"-")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id="2" name="CostofSales" displayName="CostofSales" ref="B4:AD12" totalsRowCount="1">
  <tableColumns count="29">
    <tableColumn id="1" name="COST OF SALES" totalsRowLabel="TOTAL COST OF SALES" totalsRowDxfId="57"/>
    <tableColumn id="2" name="TREND" totalsRowDxfId="56" dataCellStyle="Cost of Sales fill"/>
    <tableColumn id="3" name="Jan" totalsRowFunction="sum" totalsRowDxfId="55"/>
    <tableColumn id="4" name="Feb" totalsRowFunction="sum" totalsRowDxfId="54"/>
    <tableColumn id="5" name="Mar" totalsRowFunction="sum" totalsRowDxfId="53"/>
    <tableColumn id="6" name="Apr" totalsRowFunction="sum" totalsRowDxfId="52"/>
    <tableColumn id="7" name="May" totalsRowFunction="sum" totalsRowDxfId="51"/>
    <tableColumn id="8" name="Jun" totalsRowFunction="sum" totalsRowDxfId="50"/>
    <tableColumn id="9" name="Jul" totalsRowFunction="sum" totalsRowDxfId="49"/>
    <tableColumn id="10" name="Aug" totalsRowFunction="sum" totalsRowDxfId="48"/>
    <tableColumn id="11" name="Sep" totalsRowFunction="sum" totalsRowDxfId="47"/>
    <tableColumn id="12" name="Oct" totalsRowFunction="sum" totalsRowDxfId="46"/>
    <tableColumn id="13" name="Nov" totalsRowFunction="sum" totalsRowDxfId="45"/>
    <tableColumn id="14" name="Dec" totalsRowFunction="sum" totalsRowDxfId="44"/>
    <tableColumn id="15" name="Yearly" totalsRowFunction="sum" totalsRowDxfId="43" dataCellStyle="Cost of Sales fill">
      <calculatedColumnFormula>SUM(CostofSales[[#This Row],[Jan]:[Dec]])</calculatedColumnFormula>
    </tableColumn>
    <tableColumn id="16" name="Index %" totalsRowFunction="sum" totalsRowDxfId="42"/>
    <tableColumn id="17" name="Jan %" totalsRowFunction="sum" totalsRowDxfId="41" dataCellStyle="Cost of Sales fill">
      <calculatedColumnFormula>IFERROR(CostofSales[[#This Row],[Jan]]/CostofSales[[#Totals],[Jan]],"-")</calculatedColumnFormula>
    </tableColumn>
    <tableColumn id="18" name="Feb %" totalsRowFunction="sum" totalsRowDxfId="40" dataCellStyle="Cost of Sales fill">
      <calculatedColumnFormula>IFERROR(CostofSales[[#This Row],[Feb]]/CostofSales[[#Totals],[Feb]],"-")</calculatedColumnFormula>
    </tableColumn>
    <tableColumn id="19" name="Mar %" totalsRowFunction="sum" totalsRowDxfId="39" dataCellStyle="Cost of Sales fill">
      <calculatedColumnFormula>IFERROR(CostofSales[[#This Row],[Mar]]/CostofSales[[#Totals],[Mar]],"-")</calculatedColumnFormula>
    </tableColumn>
    <tableColumn id="20" name="Apr %" totalsRowFunction="sum" totalsRowDxfId="38" dataCellStyle="Cost of Sales fill">
      <calculatedColumnFormula>IFERROR(CostofSales[[#This Row],[Apr]]/CostofSales[[#Totals],[Apr]],"-")</calculatedColumnFormula>
    </tableColumn>
    <tableColumn id="21" name="May %" totalsRowFunction="sum" totalsRowDxfId="37" dataCellStyle="Cost of Sales fill">
      <calculatedColumnFormula>IFERROR(CostofSales[[#This Row],[May]]/CostofSales[[#Totals],[May]],"-")</calculatedColumnFormula>
    </tableColumn>
    <tableColumn id="22" name="Jun %" totalsRowFunction="sum" totalsRowDxfId="36" dataCellStyle="Cost of Sales fill">
      <calculatedColumnFormula>IFERROR(CostofSales[[#This Row],[Jun]]/CostofSales[[#Totals],[Jun]],"-")</calculatedColumnFormula>
    </tableColumn>
    <tableColumn id="23" name="Jul %" totalsRowFunction="sum" totalsRowDxfId="35" dataCellStyle="Cost of Sales fill">
      <calculatedColumnFormula>IFERROR(CostofSales[[#This Row],[Jul]]/CostofSales[[#Totals],[Jul]],"-")</calculatedColumnFormula>
    </tableColumn>
    <tableColumn id="24" name="Aug %" totalsRowFunction="sum" totalsRowDxfId="34" dataCellStyle="Cost of Sales fill">
      <calculatedColumnFormula>IFERROR(CostofSales[[#This Row],[Aug]]/CostofSales[[#Totals],[Aug]],"-")</calculatedColumnFormula>
    </tableColumn>
    <tableColumn id="25" name="Sep %" totalsRowFunction="sum" totalsRowDxfId="33" dataCellStyle="Cost of Sales fill">
      <calculatedColumnFormula>IFERROR(CostofSales[[#This Row],[Sep]]/CostofSales[[#Totals],[Sep]],"-")</calculatedColumnFormula>
    </tableColumn>
    <tableColumn id="26" name="Oct %" totalsRowFunction="sum" totalsRowDxfId="32" dataCellStyle="Cost of Sales fill">
      <calculatedColumnFormula>IFERROR(CostofSales[[#This Row],[Oct]]/CostofSales[[#Totals],[Oct]],"-")</calculatedColumnFormula>
    </tableColumn>
    <tableColumn id="27" name="Nov %" totalsRowFunction="sum" totalsRowDxfId="31" dataCellStyle="Cost of Sales fill">
      <calculatedColumnFormula>IFERROR(CostofSales[[#This Row],[Nov]]/CostofSales[[#Totals],[Nov]],"-")</calculatedColumnFormula>
    </tableColumn>
    <tableColumn id="28" name="Dec %" totalsRowFunction="sum" totalsRowDxfId="30" dataCellStyle="Cost of Sales fill">
      <calculatedColumnFormula>IFERROR(CostofSales[[#This Row],[Dec]]/CostofSales[[#Totals],[Dec]],"-")</calculatedColumnFormula>
    </tableColumn>
    <tableColumn id="29" name="Year %" totalsRowFunction="sum" totalsRowDxfId="29" dataCellStyle="Cost of Sales fill">
      <calculatedColumnFormula>IFERROR(CostofSales[[#This Row],[Yearly]]/CostofSales[[#Totals],[Yearly]],"-")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id="8" name="tblExpenses" displayName="tblExpenses" ref="B4:AD24" totalsRowCount="1">
  <tableColumns count="29">
    <tableColumn id="1" name="EXPENSES" totalsRowLabel="TOTAL EXPENSES" totalsRowDxfId="28" dataCellStyle="Table Details"/>
    <tableColumn id="2" name="TREND" totalsRowLabel=" " totalsRowDxfId="27" dataCellStyle="Expenses fill"/>
    <tableColumn id="3" name="Column1" totalsRowFunction="sum" totalsRowDxfId="26"/>
    <tableColumn id="4" name="Feb" totalsRowFunction="sum" totalsRowDxfId="25"/>
    <tableColumn id="5" name="Mar" totalsRowFunction="sum" totalsRowDxfId="24"/>
    <tableColumn id="6" name="Apr" totalsRowFunction="sum" totalsRowDxfId="23"/>
    <tableColumn id="7" name="May" totalsRowFunction="sum" totalsRowDxfId="22"/>
    <tableColumn id="8" name="Jun" totalsRowFunction="sum" totalsRowDxfId="21"/>
    <tableColumn id="9" name="Jul" totalsRowFunction="sum" totalsRowDxfId="20"/>
    <tableColumn id="10" name="Aug" totalsRowFunction="sum" totalsRowDxfId="19"/>
    <tableColumn id="11" name="Sep" totalsRowFunction="sum" totalsRowDxfId="18"/>
    <tableColumn id="12" name="Oct" totalsRowFunction="sum" totalsRowDxfId="17"/>
    <tableColumn id="13" name="Nov" totalsRowFunction="sum" totalsRowDxfId="16"/>
    <tableColumn id="14" name="Dec" totalsRowFunction="sum" totalsRowDxfId="15"/>
    <tableColumn id="15" name="Yearly" totalsRowFunction="sum" totalsRowDxfId="14">
      <calculatedColumnFormula>SUM(tblExpenses[[#This Row],[Column1]:[Dec]])</calculatedColumnFormula>
    </tableColumn>
    <tableColumn id="16" name="Index %" totalsRowFunction="sum" totalsRowDxfId="13"/>
    <tableColumn id="17" name="Jan %" totalsRowFunction="sum" totalsRowDxfId="12">
      <calculatedColumnFormula>tblExpenses[[#This Row],[Column1]]/tblExpenses[[#Totals],[Column1]]</calculatedColumnFormula>
    </tableColumn>
    <tableColumn id="18" name="Feb %" totalsRowFunction="sum" totalsRowDxfId="11">
      <calculatedColumnFormula>tblExpenses[[#This Row],[Feb]]/tblExpenses[[#Totals],[Feb]]</calculatedColumnFormula>
    </tableColumn>
    <tableColumn id="19" name="Mar %" totalsRowFunction="sum" totalsRowDxfId="10">
      <calculatedColumnFormula>tblExpenses[[#This Row],[Mar]]/tblExpenses[[#Totals],[Mar]]</calculatedColumnFormula>
    </tableColumn>
    <tableColumn id="20" name="Apr %" totalsRowFunction="sum" totalsRowDxfId="9">
      <calculatedColumnFormula>tblExpenses[[#This Row],[Apr]]/tblExpenses[[#Totals],[Apr]]</calculatedColumnFormula>
    </tableColumn>
    <tableColumn id="21" name="May %" totalsRowFunction="sum" totalsRowDxfId="8">
      <calculatedColumnFormula>tblExpenses[[#This Row],[May]]/tblExpenses[[#Totals],[May]]</calculatedColumnFormula>
    </tableColumn>
    <tableColumn id="22" name="Jun %" totalsRowFunction="sum" totalsRowDxfId="7">
      <calculatedColumnFormula>tblExpenses[[#This Row],[Jun]]/tblExpenses[[#Totals],[Jun]]</calculatedColumnFormula>
    </tableColumn>
    <tableColumn id="23" name="Jul %" totalsRowFunction="sum" totalsRowDxfId="6">
      <calculatedColumnFormula>tblExpenses[[#This Row],[Jul]]/tblExpenses[[#Totals],[Jul]]</calculatedColumnFormula>
    </tableColumn>
    <tableColumn id="24" name="Aug %" totalsRowFunction="sum" totalsRowDxfId="5">
      <calculatedColumnFormula>tblExpenses[[#This Row],[Aug]]/tblExpenses[[#Totals],[Aug]]</calculatedColumnFormula>
    </tableColumn>
    <tableColumn id="25" name="Sep %" totalsRowFunction="sum" totalsRowDxfId="4">
      <calculatedColumnFormula>tblExpenses[[#This Row],[Sep]]/tblExpenses[[#Totals],[Sep]]</calculatedColumnFormula>
    </tableColumn>
    <tableColumn id="26" name="Oct %" totalsRowFunction="sum" totalsRowDxfId="3">
      <calculatedColumnFormula>tblExpenses[[#This Row],[Oct]]/tblExpenses[[#Totals],[Oct]]</calculatedColumnFormula>
    </tableColumn>
    <tableColumn id="27" name="Nov %" totalsRowFunction="sum" totalsRowDxfId="2">
      <calculatedColumnFormula>tblExpenses[[#This Row],[Nov]]/tblExpenses[[#Totals],[Nov]]</calculatedColumnFormula>
    </tableColumn>
    <tableColumn id="28" name="Dec %" totalsRowFunction="sum" totalsRowDxfId="1">
      <calculatedColumnFormula>tblExpenses[[#This Row],[Dec]]/tblExpenses[[#Totals],[Dec]]</calculatedColumnFormula>
    </tableColumn>
    <tableColumn id="29" name="Year %" totalsRowFunction="sum" totalsRowDxfId="0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fit Loss Statemen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autoPageBreaks="0" fitToPage="1"/>
  </sheetPr>
  <dimension ref="A1:AD12"/>
  <sheetViews>
    <sheetView showGridLines="0" tabSelected="1" workbookViewId="0">
      <pane ySplit="3" topLeftCell="A4" activePane="bottomLeft" state="frozen"/>
      <selection pane="bottomLeft" activeCell="B2" sqref="B2"/>
    </sheetView>
  </sheetViews>
  <sheetFormatPr defaultRowHeight="30" customHeight="1"/>
  <cols>
    <col min="1" max="1" width="2.625" customWidth="1"/>
    <col min="2" max="2" width="20.625" customWidth="1"/>
    <col min="3" max="3" width="12.625" customWidth="1"/>
    <col min="4" max="15" width="9" customWidth="1"/>
    <col min="16" max="16" width="9.875" customWidth="1"/>
    <col min="17" max="29" width="7.75" customWidth="1"/>
    <col min="30" max="30" width="9.875" customWidth="1"/>
    <col min="31" max="31" width="2.625" customWidth="1"/>
  </cols>
  <sheetData>
    <row r="1" spans="1:30" ht="35.1" customHeight="1">
      <c r="A1" s="7"/>
      <c r="B1" s="26" t="s">
        <v>21</v>
      </c>
      <c r="C1" s="13"/>
      <c r="J1" s="2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">
        <v>23</v>
      </c>
    </row>
    <row r="2" spans="1:30" ht="60" customHeight="1">
      <c r="B2" s="5" t="s">
        <v>22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31</v>
      </c>
      <c r="AC2" s="24" t="s">
        <v>32</v>
      </c>
      <c r="AD2" s="46">
        <f ca="1">YEAR(TODAY())</f>
        <v>2021</v>
      </c>
    </row>
    <row r="3" spans="1:30" ht="20.100000000000001" customHeight="1">
      <c r="D3" s="25" t="str">
        <f ca="1">UPPER(TEXT(DATE(FYStartYear,FYMonthNo,1),"mmm-yy"))</f>
        <v>JAN-21</v>
      </c>
      <c r="E3" s="25" t="str">
        <f ca="1">UPPER(TEXT(DATE(FYStartYear,FYMonthNo+1,1),"mmm-yy"))</f>
        <v>FEB-21</v>
      </c>
      <c r="F3" s="25" t="str">
        <f ca="1">UPPER(TEXT(DATE(FYStartYear,FYMonthNo+2,1),"mmm-yy"))</f>
        <v>MAR-21</v>
      </c>
      <c r="G3" s="25" t="str">
        <f ca="1">UPPER(TEXT(DATE(FYStartYear,FYMonthNo+3,1),"mmm-yy"))</f>
        <v>APR-21</v>
      </c>
      <c r="H3" s="25" t="str">
        <f ca="1">UPPER(TEXT(DATE(FYStartYear,FYMonthNo+4,1),"mmm-yy"))</f>
        <v>MAY-21</v>
      </c>
      <c r="I3" s="25" t="str">
        <f ca="1">UPPER(TEXT(DATE(FYStartYear,FYMonthNo+5,1),"mmm-yy"))</f>
        <v>JUN-21</v>
      </c>
      <c r="J3" s="25" t="str">
        <f ca="1">UPPER(TEXT(DATE(FYStartYear,FYMonthNo+6,1),"mmm-yy"))</f>
        <v>JUL-21</v>
      </c>
      <c r="K3" s="25" t="str">
        <f ca="1">UPPER(TEXT(DATE(FYStartYear,FYMonthNo+7,1),"mmm-yy"))</f>
        <v>AUG-21</v>
      </c>
      <c r="L3" s="25" t="str">
        <f ca="1">UPPER(TEXT(DATE(FYStartYear,FYMonthNo+8,1),"mmm-yy"))</f>
        <v>SEP-21</v>
      </c>
      <c r="M3" s="25" t="str">
        <f ca="1">UPPER(TEXT(DATE(FYStartYear,FYMonthNo+9,1),"mmm-yy"))</f>
        <v>OCT-21</v>
      </c>
      <c r="N3" s="25" t="str">
        <f ca="1">UPPER(TEXT(DATE(FYStartYear,FYMonthNo+10,1),"mmm-yy"))</f>
        <v>NOV-21</v>
      </c>
      <c r="O3" s="25" t="str">
        <f ca="1">UPPER(TEXT(DATE(FYStartYear,FYMonthNo+11,1),"mmm-yy"))</f>
        <v>DEC-21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>
      <c r="B4" s="35" t="s">
        <v>24</v>
      </c>
      <c r="C4" s="35" t="s">
        <v>25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>
      <c r="B5" s="18" t="s">
        <v>36</v>
      </c>
      <c r="C5" s="36"/>
      <c r="D5" s="19">
        <v>186</v>
      </c>
      <c r="E5" s="19">
        <v>108</v>
      </c>
      <c r="F5" s="19">
        <v>92</v>
      </c>
      <c r="G5" s="19">
        <v>122</v>
      </c>
      <c r="H5" s="19">
        <v>190</v>
      </c>
      <c r="I5" s="19">
        <v>71</v>
      </c>
      <c r="J5" s="19">
        <v>21</v>
      </c>
      <c r="K5" s="19">
        <v>37</v>
      </c>
      <c r="L5" s="19">
        <v>24</v>
      </c>
      <c r="M5" s="19">
        <v>178</v>
      </c>
      <c r="N5" s="19">
        <v>92</v>
      </c>
      <c r="O5" s="19">
        <v>97</v>
      </c>
      <c r="P5" s="37">
        <f>SUM(Revenue[[#This Row],[Jan]:[Dec]])</f>
        <v>1218</v>
      </c>
      <c r="Q5" s="22">
        <v>0.12</v>
      </c>
      <c r="R5" s="38">
        <f>IFERROR(Revenue[[#This Row],[Jan]]/Revenue[[#Totals],[Jan]],"-")</f>
        <v>0.29807692307692307</v>
      </c>
      <c r="S5" s="38">
        <f>IFERROR(Revenue[[#This Row],[Feb]]/Revenue[[#Totals],[Feb]],"-")</f>
        <v>0.14673913043478262</v>
      </c>
      <c r="T5" s="38">
        <f>IFERROR(Revenue[[#This Row],[Mar]]/Revenue[[#Totals],[Mar]],"-")</f>
        <v>0.11219512195121951</v>
      </c>
      <c r="U5" s="38">
        <f>IFERROR(Revenue[[#This Row],[Apr]]/Revenue[[#Totals],[Apr]],"-")</f>
        <v>0.19967266775777415</v>
      </c>
      <c r="V5" s="38">
        <f>IFERROR(Revenue[[#This Row],[May]]/Revenue[[#Totals],[May]],"-")</f>
        <v>0.23399014778325122</v>
      </c>
      <c r="W5" s="38">
        <f>IFERROR(Revenue[[#This Row],[Jun]]/Revenue[[#Totals],[Jun]],"-")</f>
        <v>0.12283737024221453</v>
      </c>
      <c r="X5" s="38">
        <f>IFERROR(Revenue[[#This Row],[Jul]]/Revenue[[#Totals],[Jul]],"-")</f>
        <v>3.5175879396984924E-2</v>
      </c>
      <c r="Y5" s="38">
        <f>IFERROR(Revenue[[#This Row],[Aug]]/Revenue[[#Totals],[Aug]],"-")</f>
        <v>5.4814814814814816E-2</v>
      </c>
      <c r="Z5" s="38">
        <f>IFERROR(Revenue[[#This Row],[Sep]]/Revenue[[#Totals],[Sep]],"-")</f>
        <v>3.2258064516129031E-2</v>
      </c>
      <c r="AA5" s="38">
        <f>IFERROR(Revenue[[#This Row],[Oct]]/Revenue[[#Totals],[Oct]],"-")</f>
        <v>0.26138032305433184</v>
      </c>
      <c r="AB5" s="38">
        <f>IFERROR(Revenue[[#This Row],[Nov]]/Revenue[[#Totals],[Nov]],"-")</f>
        <v>0.12449255751014884</v>
      </c>
      <c r="AC5" s="38">
        <f>IFERROR(Revenue[[#This Row],[Dec]]/Revenue[[#Totals],[Dec]],"-")</f>
        <v>9.3000958772770856E-2</v>
      </c>
      <c r="AD5" s="47">
        <f>IFERROR(Revenue[[#This Row],[Yearly]]/Revenue[[#Totals],[Yearly]],"-")</f>
        <v>0.14064665127020784</v>
      </c>
    </row>
    <row r="6" spans="1:30" ht="30" customHeight="1">
      <c r="B6" s="18" t="s">
        <v>37</v>
      </c>
      <c r="C6" s="36"/>
      <c r="D6" s="19">
        <v>15</v>
      </c>
      <c r="E6" s="19">
        <v>16</v>
      </c>
      <c r="F6" s="19">
        <v>198</v>
      </c>
      <c r="G6" s="19">
        <v>44</v>
      </c>
      <c r="H6" s="19">
        <v>25</v>
      </c>
      <c r="I6" s="19">
        <v>68</v>
      </c>
      <c r="J6" s="19">
        <v>43</v>
      </c>
      <c r="K6" s="19">
        <v>119</v>
      </c>
      <c r="L6" s="19">
        <v>37</v>
      </c>
      <c r="M6" s="19">
        <v>118</v>
      </c>
      <c r="N6" s="19">
        <v>29</v>
      </c>
      <c r="O6" s="19">
        <v>171</v>
      </c>
      <c r="P6" s="37">
        <f>SUM(Revenue[[#This Row],[Jan]:[Dec]])</f>
        <v>883</v>
      </c>
      <c r="Q6" s="22">
        <v>0.18</v>
      </c>
      <c r="R6" s="38">
        <f>IFERROR(Revenue[[#This Row],[Jan]]/Revenue[[#Totals],[Jan]],"-")</f>
        <v>2.403846153846154E-2</v>
      </c>
      <c r="S6" s="38">
        <f>IFERROR(Revenue[[#This Row],[Feb]]/Revenue[[#Totals],[Feb]],"-")</f>
        <v>2.1739130434782608E-2</v>
      </c>
      <c r="T6" s="38">
        <f>IFERROR(Revenue[[#This Row],[Mar]]/Revenue[[#Totals],[Mar]],"-")</f>
        <v>0.24146341463414633</v>
      </c>
      <c r="U6" s="38">
        <f>IFERROR(Revenue[[#This Row],[Apr]]/Revenue[[#Totals],[Apr]],"-")</f>
        <v>7.2013093289689037E-2</v>
      </c>
      <c r="V6" s="38">
        <f>IFERROR(Revenue[[#This Row],[May]]/Revenue[[#Totals],[May]],"-")</f>
        <v>3.0788177339901478E-2</v>
      </c>
      <c r="W6" s="38">
        <f>IFERROR(Revenue[[#This Row],[Jun]]/Revenue[[#Totals],[Jun]],"-")</f>
        <v>0.11764705882352941</v>
      </c>
      <c r="X6" s="38">
        <f>IFERROR(Revenue[[#This Row],[Jul]]/Revenue[[#Totals],[Jul]],"-")</f>
        <v>7.2026800670016752E-2</v>
      </c>
      <c r="Y6" s="38">
        <f>IFERROR(Revenue[[#This Row],[Aug]]/Revenue[[#Totals],[Aug]],"-")</f>
        <v>0.17629629629629628</v>
      </c>
      <c r="Z6" s="38">
        <f>IFERROR(Revenue[[#This Row],[Sep]]/Revenue[[#Totals],[Sep]],"-")</f>
        <v>4.9731182795698922E-2</v>
      </c>
      <c r="AA6" s="38">
        <f>IFERROR(Revenue[[#This Row],[Oct]]/Revenue[[#Totals],[Oct]],"-")</f>
        <v>0.17327459618208516</v>
      </c>
      <c r="AB6" s="38">
        <f>IFERROR(Revenue[[#This Row],[Nov]]/Revenue[[#Totals],[Nov]],"-")</f>
        <v>3.9242219215155617E-2</v>
      </c>
      <c r="AC6" s="38">
        <f>IFERROR(Revenue[[#This Row],[Dec]]/Revenue[[#Totals],[Dec]],"-")</f>
        <v>0.16395014381591563</v>
      </c>
      <c r="AD6" s="47">
        <f>IFERROR(Revenue[[#This Row],[Yearly]]/Revenue[[#Totals],[Yearly]],"-")</f>
        <v>0.10196304849884527</v>
      </c>
    </row>
    <row r="7" spans="1:30" ht="30" customHeight="1">
      <c r="B7" s="18" t="s">
        <v>38</v>
      </c>
      <c r="C7" s="36"/>
      <c r="D7" s="19">
        <v>166</v>
      </c>
      <c r="E7" s="19">
        <v>185</v>
      </c>
      <c r="F7" s="19">
        <v>89</v>
      </c>
      <c r="G7" s="19">
        <v>170</v>
      </c>
      <c r="H7" s="19">
        <v>131</v>
      </c>
      <c r="I7" s="19">
        <v>70</v>
      </c>
      <c r="J7" s="19">
        <v>50</v>
      </c>
      <c r="K7" s="19">
        <v>149</v>
      </c>
      <c r="L7" s="19">
        <v>179</v>
      </c>
      <c r="M7" s="19">
        <v>104</v>
      </c>
      <c r="N7" s="19">
        <v>119</v>
      </c>
      <c r="O7" s="19">
        <v>187</v>
      </c>
      <c r="P7" s="37">
        <f>SUM(Revenue[[#This Row],[Jan]:[Dec]])</f>
        <v>1599</v>
      </c>
      <c r="Q7" s="22">
        <v>0.19</v>
      </c>
      <c r="R7" s="38">
        <f>IFERROR(Revenue[[#This Row],[Jan]]/Revenue[[#Totals],[Jan]],"-")</f>
        <v>0.26602564102564102</v>
      </c>
      <c r="S7" s="38">
        <f>IFERROR(Revenue[[#This Row],[Feb]]/Revenue[[#Totals],[Feb]],"-")</f>
        <v>0.25135869565217389</v>
      </c>
      <c r="T7" s="38">
        <f>IFERROR(Revenue[[#This Row],[Mar]]/Revenue[[#Totals],[Mar]],"-")</f>
        <v>0.10853658536585366</v>
      </c>
      <c r="U7" s="38">
        <f>IFERROR(Revenue[[#This Row],[Apr]]/Revenue[[#Totals],[Apr]],"-")</f>
        <v>0.27823240589198034</v>
      </c>
      <c r="V7" s="38">
        <f>IFERROR(Revenue[[#This Row],[May]]/Revenue[[#Totals],[May]],"-")</f>
        <v>0.16133004926108374</v>
      </c>
      <c r="W7" s="38">
        <f>IFERROR(Revenue[[#This Row],[Jun]]/Revenue[[#Totals],[Jun]],"-")</f>
        <v>0.12110726643598616</v>
      </c>
      <c r="X7" s="38">
        <f>IFERROR(Revenue[[#This Row],[Jul]]/Revenue[[#Totals],[Jul]],"-")</f>
        <v>8.3752093802345065E-2</v>
      </c>
      <c r="Y7" s="38">
        <f>IFERROR(Revenue[[#This Row],[Aug]]/Revenue[[#Totals],[Aug]],"-")</f>
        <v>0.22074074074074074</v>
      </c>
      <c r="Z7" s="38">
        <f>IFERROR(Revenue[[#This Row],[Sep]]/Revenue[[#Totals],[Sep]],"-")</f>
        <v>0.24059139784946237</v>
      </c>
      <c r="AA7" s="38">
        <f>IFERROR(Revenue[[#This Row],[Oct]]/Revenue[[#Totals],[Oct]],"-")</f>
        <v>0.1527165932452276</v>
      </c>
      <c r="AB7" s="38">
        <f>IFERROR(Revenue[[#This Row],[Nov]]/Revenue[[#Totals],[Nov]],"-")</f>
        <v>0.16102841677943167</v>
      </c>
      <c r="AC7" s="38">
        <f>IFERROR(Revenue[[#This Row],[Dec]]/Revenue[[#Totals],[Dec]],"-")</f>
        <v>0.17929050814956854</v>
      </c>
      <c r="AD7" s="47">
        <f>IFERROR(Revenue[[#This Row],[Yearly]]/Revenue[[#Totals],[Yearly]],"-")</f>
        <v>0.18464203233256352</v>
      </c>
    </row>
    <row r="8" spans="1:30" ht="30" customHeight="1">
      <c r="B8" s="18" t="s">
        <v>39</v>
      </c>
      <c r="C8" s="36"/>
      <c r="D8" s="19">
        <v>21</v>
      </c>
      <c r="E8" s="19">
        <v>113</v>
      </c>
      <c r="F8" s="19">
        <v>83</v>
      </c>
      <c r="G8" s="19">
        <v>17</v>
      </c>
      <c r="H8" s="19">
        <v>130</v>
      </c>
      <c r="I8" s="19">
        <v>26</v>
      </c>
      <c r="J8" s="19">
        <v>167</v>
      </c>
      <c r="K8" s="19">
        <v>102</v>
      </c>
      <c r="L8" s="19">
        <v>82</v>
      </c>
      <c r="M8" s="19">
        <v>33</v>
      </c>
      <c r="N8" s="19">
        <v>88</v>
      </c>
      <c r="O8" s="19">
        <v>193</v>
      </c>
      <c r="P8" s="37">
        <f>SUM(Revenue[[#This Row],[Jan]:[Dec]])</f>
        <v>1055</v>
      </c>
      <c r="Q8" s="22">
        <v>0.11</v>
      </c>
      <c r="R8" s="38">
        <f>IFERROR(Revenue[[#This Row],[Jan]]/Revenue[[#Totals],[Jan]],"-")</f>
        <v>3.3653846153846152E-2</v>
      </c>
      <c r="S8" s="38">
        <f>IFERROR(Revenue[[#This Row],[Feb]]/Revenue[[#Totals],[Feb]],"-")</f>
        <v>0.15353260869565216</v>
      </c>
      <c r="T8" s="38">
        <f>IFERROR(Revenue[[#This Row],[Mar]]/Revenue[[#Totals],[Mar]],"-")</f>
        <v>0.10121951219512196</v>
      </c>
      <c r="U8" s="38">
        <f>IFERROR(Revenue[[#This Row],[Apr]]/Revenue[[#Totals],[Apr]],"-")</f>
        <v>2.7823240589198037E-2</v>
      </c>
      <c r="V8" s="38">
        <f>IFERROR(Revenue[[#This Row],[May]]/Revenue[[#Totals],[May]],"-")</f>
        <v>0.16009852216748768</v>
      </c>
      <c r="W8" s="38">
        <f>IFERROR(Revenue[[#This Row],[Jun]]/Revenue[[#Totals],[Jun]],"-")</f>
        <v>4.4982698961937718E-2</v>
      </c>
      <c r="X8" s="38">
        <f>IFERROR(Revenue[[#This Row],[Jul]]/Revenue[[#Totals],[Jul]],"-")</f>
        <v>0.2797319932998325</v>
      </c>
      <c r="Y8" s="38">
        <f>IFERROR(Revenue[[#This Row],[Aug]]/Revenue[[#Totals],[Aug]],"-")</f>
        <v>0.15111111111111111</v>
      </c>
      <c r="Z8" s="38">
        <f>IFERROR(Revenue[[#This Row],[Sep]]/Revenue[[#Totals],[Sep]],"-")</f>
        <v>0.11021505376344086</v>
      </c>
      <c r="AA8" s="38">
        <f>IFERROR(Revenue[[#This Row],[Oct]]/Revenue[[#Totals],[Oct]],"-")</f>
        <v>4.8458149779735685E-2</v>
      </c>
      <c r="AB8" s="38">
        <f>IFERROR(Revenue[[#This Row],[Nov]]/Revenue[[#Totals],[Nov]],"-")</f>
        <v>0.11907983761840325</v>
      </c>
      <c r="AC8" s="38">
        <f>IFERROR(Revenue[[#This Row],[Dec]]/Revenue[[#Totals],[Dec]],"-")</f>
        <v>0.18504314477468839</v>
      </c>
      <c r="AD8" s="47">
        <f>IFERROR(Revenue[[#This Row],[Yearly]]/Revenue[[#Totals],[Yearly]],"-")</f>
        <v>0.12182448036951501</v>
      </c>
    </row>
    <row r="9" spans="1:30" ht="30" customHeight="1">
      <c r="B9" s="18" t="s">
        <v>40</v>
      </c>
      <c r="C9" s="36"/>
      <c r="D9" s="19">
        <v>70</v>
      </c>
      <c r="E9" s="19">
        <v>160</v>
      </c>
      <c r="F9" s="19">
        <v>125</v>
      </c>
      <c r="G9" s="19">
        <v>84</v>
      </c>
      <c r="H9" s="19">
        <v>191</v>
      </c>
      <c r="I9" s="19">
        <v>97</v>
      </c>
      <c r="J9" s="19">
        <v>52</v>
      </c>
      <c r="K9" s="19">
        <v>45</v>
      </c>
      <c r="L9" s="19">
        <v>173</v>
      </c>
      <c r="M9" s="19">
        <v>136</v>
      </c>
      <c r="N9" s="19">
        <v>144</v>
      </c>
      <c r="O9" s="19">
        <v>167</v>
      </c>
      <c r="P9" s="37">
        <f>SUM(Revenue[[#This Row],[Jan]:[Dec]])</f>
        <v>1444</v>
      </c>
      <c r="Q9" s="22">
        <v>0.2</v>
      </c>
      <c r="R9" s="38">
        <f>IFERROR(Revenue[[#This Row],[Jan]]/Revenue[[#Totals],[Jan]],"-")</f>
        <v>0.11217948717948718</v>
      </c>
      <c r="S9" s="38">
        <f>IFERROR(Revenue[[#This Row],[Feb]]/Revenue[[#Totals],[Feb]],"-")</f>
        <v>0.21739130434782608</v>
      </c>
      <c r="T9" s="38">
        <f>IFERROR(Revenue[[#This Row],[Mar]]/Revenue[[#Totals],[Mar]],"-")</f>
        <v>0.1524390243902439</v>
      </c>
      <c r="U9" s="38">
        <f>IFERROR(Revenue[[#This Row],[Apr]]/Revenue[[#Totals],[Apr]],"-")</f>
        <v>0.13747954173486088</v>
      </c>
      <c r="V9" s="38">
        <f>IFERROR(Revenue[[#This Row],[May]]/Revenue[[#Totals],[May]],"-")</f>
        <v>0.23522167487684728</v>
      </c>
      <c r="W9" s="38">
        <f>IFERROR(Revenue[[#This Row],[Jun]]/Revenue[[#Totals],[Jun]],"-")</f>
        <v>0.16782006920415224</v>
      </c>
      <c r="X9" s="38">
        <f>IFERROR(Revenue[[#This Row],[Jul]]/Revenue[[#Totals],[Jul]],"-")</f>
        <v>8.7102177554438859E-2</v>
      </c>
      <c r="Y9" s="38">
        <f>IFERROR(Revenue[[#This Row],[Aug]]/Revenue[[#Totals],[Aug]],"-")</f>
        <v>6.6666666666666666E-2</v>
      </c>
      <c r="Z9" s="38">
        <f>IFERROR(Revenue[[#This Row],[Sep]]/Revenue[[#Totals],[Sep]],"-")</f>
        <v>0.2325268817204301</v>
      </c>
      <c r="AA9" s="38">
        <f>IFERROR(Revenue[[#This Row],[Oct]]/Revenue[[#Totals],[Oct]],"-")</f>
        <v>0.19970631424375918</v>
      </c>
      <c r="AB9" s="38">
        <f>IFERROR(Revenue[[#This Row],[Nov]]/Revenue[[#Totals],[Nov]],"-")</f>
        <v>0.19485791610284167</v>
      </c>
      <c r="AC9" s="38">
        <f>IFERROR(Revenue[[#This Row],[Dec]]/Revenue[[#Totals],[Dec]],"-")</f>
        <v>0.1601150527325024</v>
      </c>
      <c r="AD9" s="47">
        <f>IFERROR(Revenue[[#This Row],[Yearly]]/Revenue[[#Totals],[Yearly]],"-")</f>
        <v>0.16674364896073904</v>
      </c>
    </row>
    <row r="10" spans="1:30" ht="30" customHeight="1">
      <c r="B10" s="18" t="s">
        <v>41</v>
      </c>
      <c r="C10" s="36"/>
      <c r="D10" s="19">
        <v>61</v>
      </c>
      <c r="E10" s="19">
        <v>99</v>
      </c>
      <c r="F10" s="19">
        <v>70</v>
      </c>
      <c r="G10" s="19">
        <v>162</v>
      </c>
      <c r="H10" s="19">
        <v>28</v>
      </c>
      <c r="I10" s="19">
        <v>163</v>
      </c>
      <c r="J10" s="19">
        <v>101</v>
      </c>
      <c r="K10" s="19">
        <v>103</v>
      </c>
      <c r="L10" s="19">
        <v>78</v>
      </c>
      <c r="M10" s="19">
        <v>33</v>
      </c>
      <c r="N10" s="19">
        <v>162</v>
      </c>
      <c r="O10" s="19">
        <v>159</v>
      </c>
      <c r="P10" s="37">
        <f>SUM(Revenue[[#This Row],[Jan]:[Dec]])</f>
        <v>1219</v>
      </c>
      <c r="Q10" s="22">
        <v>0.1</v>
      </c>
      <c r="R10" s="38">
        <f>IFERROR(Revenue[[#This Row],[Jan]]/Revenue[[#Totals],[Jan]],"-")</f>
        <v>9.7756410256410256E-2</v>
      </c>
      <c r="S10" s="38">
        <f>IFERROR(Revenue[[#This Row],[Feb]]/Revenue[[#Totals],[Feb]],"-")</f>
        <v>0.13451086956521738</v>
      </c>
      <c r="T10" s="38">
        <f>IFERROR(Revenue[[#This Row],[Mar]]/Revenue[[#Totals],[Mar]],"-")</f>
        <v>8.5365853658536592E-2</v>
      </c>
      <c r="U10" s="38">
        <f>IFERROR(Revenue[[#This Row],[Apr]]/Revenue[[#Totals],[Apr]],"-")</f>
        <v>0.265139116202946</v>
      </c>
      <c r="V10" s="38">
        <f>IFERROR(Revenue[[#This Row],[May]]/Revenue[[#Totals],[May]],"-")</f>
        <v>3.4482758620689655E-2</v>
      </c>
      <c r="W10" s="38">
        <f>IFERROR(Revenue[[#This Row],[Jun]]/Revenue[[#Totals],[Jun]],"-")</f>
        <v>0.2820069204152249</v>
      </c>
      <c r="X10" s="38">
        <f>IFERROR(Revenue[[#This Row],[Jul]]/Revenue[[#Totals],[Jul]],"-")</f>
        <v>0.16917922948073702</v>
      </c>
      <c r="Y10" s="38">
        <f>IFERROR(Revenue[[#This Row],[Aug]]/Revenue[[#Totals],[Aug]],"-")</f>
        <v>0.15259259259259259</v>
      </c>
      <c r="Z10" s="38">
        <f>IFERROR(Revenue[[#This Row],[Sep]]/Revenue[[#Totals],[Sep]],"-")</f>
        <v>0.10483870967741936</v>
      </c>
      <c r="AA10" s="38">
        <f>IFERROR(Revenue[[#This Row],[Oct]]/Revenue[[#Totals],[Oct]],"-")</f>
        <v>4.8458149779735685E-2</v>
      </c>
      <c r="AB10" s="38">
        <f>IFERROR(Revenue[[#This Row],[Nov]]/Revenue[[#Totals],[Nov]],"-")</f>
        <v>0.21921515561569688</v>
      </c>
      <c r="AC10" s="38">
        <f>IFERROR(Revenue[[#This Row],[Dec]]/Revenue[[#Totals],[Dec]],"-")</f>
        <v>0.15244487056567593</v>
      </c>
      <c r="AD10" s="47">
        <f>IFERROR(Revenue[[#This Row],[Yearly]]/Revenue[[#Totals],[Yearly]],"-")</f>
        <v>0.14076212471131641</v>
      </c>
    </row>
    <row r="11" spans="1:30" ht="30" customHeight="1">
      <c r="B11" s="18" t="s">
        <v>42</v>
      </c>
      <c r="C11" s="36"/>
      <c r="D11" s="19">
        <v>105</v>
      </c>
      <c r="E11" s="19">
        <v>55</v>
      </c>
      <c r="F11" s="19">
        <v>163</v>
      </c>
      <c r="G11" s="19">
        <v>12</v>
      </c>
      <c r="H11" s="19">
        <v>117</v>
      </c>
      <c r="I11" s="19">
        <v>83</v>
      </c>
      <c r="J11" s="19">
        <v>163</v>
      </c>
      <c r="K11" s="19">
        <v>120</v>
      </c>
      <c r="L11" s="19">
        <v>171</v>
      </c>
      <c r="M11" s="19">
        <v>79</v>
      </c>
      <c r="N11" s="19">
        <v>105</v>
      </c>
      <c r="O11" s="19">
        <v>69</v>
      </c>
      <c r="P11" s="37">
        <f>SUM(Revenue[[#This Row],[Jan]:[Dec]])</f>
        <v>1242</v>
      </c>
      <c r="Q11" s="22">
        <v>0.1</v>
      </c>
      <c r="R11" s="38">
        <f>IFERROR(Revenue[[#This Row],[Jan]]/Revenue[[#Totals],[Jan]],"-")</f>
        <v>0.16826923076923078</v>
      </c>
      <c r="S11" s="38">
        <f>IFERROR(Revenue[[#This Row],[Feb]]/Revenue[[#Totals],[Feb]],"-")</f>
        <v>7.4728260869565216E-2</v>
      </c>
      <c r="T11" s="38">
        <f>IFERROR(Revenue[[#This Row],[Mar]]/Revenue[[#Totals],[Mar]],"-")</f>
        <v>0.19878048780487806</v>
      </c>
      <c r="U11" s="38">
        <f>IFERROR(Revenue[[#This Row],[Apr]]/Revenue[[#Totals],[Apr]],"-")</f>
        <v>1.9639934533551555E-2</v>
      </c>
      <c r="V11" s="38">
        <f>IFERROR(Revenue[[#This Row],[May]]/Revenue[[#Totals],[May]],"-")</f>
        <v>0.14408866995073891</v>
      </c>
      <c r="W11" s="38">
        <f>IFERROR(Revenue[[#This Row],[Jun]]/Revenue[[#Totals],[Jun]],"-")</f>
        <v>0.14359861591695502</v>
      </c>
      <c r="X11" s="38">
        <f>IFERROR(Revenue[[#This Row],[Jul]]/Revenue[[#Totals],[Jul]],"-")</f>
        <v>0.27303182579564489</v>
      </c>
      <c r="Y11" s="38">
        <f>IFERROR(Revenue[[#This Row],[Aug]]/Revenue[[#Totals],[Aug]],"-")</f>
        <v>0.17777777777777778</v>
      </c>
      <c r="Z11" s="38">
        <f>IFERROR(Revenue[[#This Row],[Sep]]/Revenue[[#Totals],[Sep]],"-")</f>
        <v>0.22983870967741934</v>
      </c>
      <c r="AA11" s="38">
        <f>IFERROR(Revenue[[#This Row],[Oct]]/Revenue[[#Totals],[Oct]],"-")</f>
        <v>0.11600587371512482</v>
      </c>
      <c r="AB11" s="38">
        <f>IFERROR(Revenue[[#This Row],[Nov]]/Revenue[[#Totals],[Nov]],"-")</f>
        <v>0.14208389715832206</v>
      </c>
      <c r="AC11" s="38">
        <f>IFERROR(Revenue[[#This Row],[Dec]]/Revenue[[#Totals],[Dec]],"-")</f>
        <v>6.6155321188878236E-2</v>
      </c>
      <c r="AD11" s="47">
        <f>IFERROR(Revenue[[#This Row],[Yearly]]/Revenue[[#Totals],[Yearly]],"-")</f>
        <v>0.14341801385681294</v>
      </c>
    </row>
    <row r="12" spans="1:30" s="14" customFormat="1" ht="30" customHeight="1">
      <c r="B12" s="10" t="s">
        <v>26</v>
      </c>
      <c r="C12" s="32"/>
      <c r="D12" s="12">
        <f>SUBTOTAL(109,[Jan])</f>
        <v>624</v>
      </c>
      <c r="E12" s="12">
        <f>SUBTOTAL(109,[Feb])</f>
        <v>736</v>
      </c>
      <c r="F12" s="12">
        <f>SUBTOTAL(109,[Mar])</f>
        <v>820</v>
      </c>
      <c r="G12" s="12">
        <f>SUBTOTAL(109,[Apr])</f>
        <v>611</v>
      </c>
      <c r="H12" s="12">
        <f>SUBTOTAL(109,[May])</f>
        <v>812</v>
      </c>
      <c r="I12" s="12">
        <f>SUBTOTAL(109,[Jun])</f>
        <v>578</v>
      </c>
      <c r="J12" s="12">
        <f>SUBTOTAL(109,[Jul])</f>
        <v>597</v>
      </c>
      <c r="K12" s="12">
        <f>SUBTOTAL(109,[Aug])</f>
        <v>675</v>
      </c>
      <c r="L12" s="12">
        <f>SUBTOTAL(109,[Sep])</f>
        <v>744</v>
      </c>
      <c r="M12" s="12">
        <f>SUBTOTAL(109,[Oct])</f>
        <v>681</v>
      </c>
      <c r="N12" s="12">
        <f>SUBTOTAL(109,[Nov])</f>
        <v>739</v>
      </c>
      <c r="O12" s="12">
        <f>SUBTOTAL(109,[Dec])</f>
        <v>1043</v>
      </c>
      <c r="P12" s="33">
        <f>SUBTOTAL(109,[Yearly])</f>
        <v>8660</v>
      </c>
      <c r="Q12" s="34">
        <f>SUBTOTAL(109,[Index %])</f>
        <v>1</v>
      </c>
      <c r="R12" s="34">
        <f>SUBTOTAL(109,[Jan %])</f>
        <v>1</v>
      </c>
      <c r="S12" s="34">
        <f>SUBTOTAL(109,[Feb %])</f>
        <v>1</v>
      </c>
      <c r="T12" s="34">
        <f>SUBTOTAL(109,[Mar %])</f>
        <v>1</v>
      </c>
      <c r="U12" s="34">
        <f>SUBTOTAL(109,[Apr %])</f>
        <v>0.99999999999999989</v>
      </c>
      <c r="V12" s="34">
        <f>SUBTOTAL(109,[May %])</f>
        <v>0.99999999999999989</v>
      </c>
      <c r="W12" s="34">
        <f>SUBTOTAL(109,[Jun %])</f>
        <v>1</v>
      </c>
      <c r="X12" s="34">
        <f>SUBTOTAL(109,[Jul %])</f>
        <v>1</v>
      </c>
      <c r="Y12" s="34">
        <f>SUBTOTAL(109,[Aug %])</f>
        <v>1</v>
      </c>
      <c r="Z12" s="34">
        <f>SUBTOTAL(109,[Sep %])</f>
        <v>1</v>
      </c>
      <c r="AA12" s="34">
        <f>SUBTOTAL(109,[Oct %])</f>
        <v>1</v>
      </c>
      <c r="AB12" s="34">
        <f>SUBTOTAL(109,[Nov %])</f>
        <v>1</v>
      </c>
      <c r="AC12" s="34">
        <f>SUBTOTAL(109,[Dec %])</f>
        <v>0.99999999999999989</v>
      </c>
      <c r="AD12" s="48">
        <f>SUBTOTAL(109,[Year %])</f>
        <v>1</v>
      </c>
    </row>
  </sheetData>
  <phoneticPr fontId="15" type="noConversion"/>
  <dataValidations count="18">
    <dataValidation type="list" errorStyle="warning" allowBlank="1" showInputMessage="1" showErrorMessage="1" error="Select month from the drop down list. Select CANCEL, then press ALT+DOWN ARROW. Press ENTER to select a month" prompt="Select month in this cell. Press ALT+DOWN ARROW to open the drop down list, then ENTER to select a month" sqref="AC2">
      <formula1>"JAN,FEB,MAR,APR,MAY,JUN,JUL,AUG,SEP,OCT,NOV,DEC"</formula1>
    </dataValidation>
    <dataValidation errorStyle="information" allowBlank="1" showInputMessage="1" errorTitle="Unknown Year" error="Please select a year from the drop down list. To add or remove a year from the list, on the Data tab, in the Data Tools group, click Data Validation." prompt="Enter year in this cell" sqref="AD2"/>
    <dataValidation allowBlank="1" showInputMessage="1" showErrorMessage="1" prompt="Select fiscal year starting month in cell AC2 and enter a year in cell AD2 at right of this label" sqref="AB2"/>
    <dataValidation allowBlank="1" showInputMessage="1" showErrorMessage="1" prompt="Annual revenue is automatically calculated in this column" sqref="P3"/>
    <dataValidation allowBlank="1" showInputMessage="1" showErrorMessage="1" prompt="Enter a title for the projection period for which total sales are calculated" sqref="B1"/>
    <dataValidation allowBlank="1" showInputMessage="1" showErrorMessage="1" prompt="Projection title is in this cell. Enter values in the Revenue table, below, to calculate total sales" sqref="B2"/>
    <dataValidation allowBlank="1" showInputMessage="1" showErrorMessage="1" prompt="Enter company name in this cell" sqref="AD1"/>
    <dataValidation allowBlank="1" showInputMessage="1" showErrorMessage="1" prompt="The dates in this row are automatically updated based on the starting month of fiscal year. To change starting month, modify cell AC2" sqref="D3"/>
    <dataValidation allowBlank="1" showInputMessage="1" showErrorMessage="1" prompt="Enter index percent in this column" sqref="Q4"/>
    <dataValidation allowBlank="1" showInputMessage="1" showErrorMessage="1" prompt="This worksheet calculates total sales for each month &amp; year, and total annual sales from different sources. Select fiscal year starting month in cell AC2 &amp; year in cell AD2" sqref="A2 A4:A12"/>
    <dataValidation allowBlank="1" showInputMessage="1" showErrorMessage="1" prompt="This worksheet calculates total sales for each month &amp; year, &amp; total annual sales from different sources. Enter fiscal year starting month in cell AC2 &amp; year in cell AD2" sqref="A1"/>
    <dataValidation allowBlank="1" showInputMessage="1" showErrorMessage="1" prompt="Automatically updated month" sqref="E3:O3"/>
    <dataValidation allowBlank="1" showInputMessage="1" showErrorMessage="1" prompt="Automatically calculates proportion of sales from different sources to total sales in this column for the month in this cell" sqref="R3:AC3"/>
    <dataValidation allowBlank="1" showInputMessage="1" showErrorMessage="1" prompt="Automatically calculates proportion of sales from different sources to total sales for the year in this column" sqref="AD3"/>
    <dataValidation allowBlank="1" showInputMessage="1" showErrorMessage="1" prompt="Enter revenue generated by sales in this column" sqref="B4"/>
    <dataValidation allowBlank="1" showInputMessage="1" showErrorMessage="1" prompt="A trend chart for revenue over time is in this column" sqref="C4"/>
    <dataValidation allowBlank="1" showInputMessage="1" showErrorMessage="1" prompt="Enter revenue for sources listed in column B in this column" sqref="D4:O4"/>
    <dataValidation allowBlank="1" showInputMessage="1" showErrorMessage="1" prompt="Index percent is in this column" sqref="Q3"/>
  </dataValidations>
  <printOptions horizontalCentered="1"/>
  <pageMargins left="0.25" right="0.25" top="0.75" bottom="0.75" header="0.3" footer="0.3"/>
  <pageSetup scale="44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(Sales)'!$D$5:$O$5</xm:f>
              <xm:sqref>C5</xm:sqref>
            </x14:sparkline>
            <x14:sparkline>
              <xm:f>'Revenues (Sales)'!$D$6:$O$6</xm:f>
              <xm:sqref>C6</xm:sqref>
            </x14:sparkline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(Sales)'!D12:O12</xm:f>
              <xm:sqref>C12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39997558519241921"/>
    <pageSetUpPr fitToPage="1"/>
  </sheetPr>
  <dimension ref="A1:AD14"/>
  <sheetViews>
    <sheetView showGridLines="0" workbookViewId="0">
      <pane ySplit="3" topLeftCell="A4" activePane="bottomLeft" state="frozen"/>
      <selection pane="bottomLeft"/>
    </sheetView>
  </sheetViews>
  <sheetFormatPr defaultRowHeight="30" customHeight="1"/>
  <cols>
    <col min="1" max="1" width="2.625" customWidth="1"/>
    <col min="2" max="2" width="20.625" customWidth="1"/>
    <col min="3" max="3" width="12.625" customWidth="1"/>
    <col min="4" max="15" width="9" customWidth="1"/>
    <col min="16" max="16" width="9.875" customWidth="1"/>
    <col min="17" max="29" width="7.75" customWidth="1"/>
    <col min="30" max="30" width="9.875" customWidth="1"/>
    <col min="31" max="31" width="2.625" customWidth="1"/>
  </cols>
  <sheetData>
    <row r="1" spans="1:30" ht="35.1" customHeight="1">
      <c r="A1" s="7"/>
      <c r="B1" s="26" t="str">
        <f>Projection_Period_Title</f>
        <v>Twelve Month</v>
      </c>
      <c r="C1" s="13"/>
      <c r="J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tr">
        <f>Company_Name</f>
        <v>Company Name</v>
      </c>
    </row>
    <row r="2" spans="1:30" ht="60" customHeight="1">
      <c r="B2" s="39" t="str">
        <f>Wksht_Title</f>
        <v>PROFIT &amp; LOSS PROJECTION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50</v>
      </c>
      <c r="AC2" s="24" t="str">
        <f>FYMonthStart</f>
        <v>JAN</v>
      </c>
      <c r="AD2" s="24">
        <f ca="1">FYStartYear</f>
        <v>2021</v>
      </c>
    </row>
    <row r="3" spans="1:30" ht="20.100000000000001" customHeight="1">
      <c r="D3" s="25" t="str">
        <f ca="1">UPPER(TEXT(DATE(FYStartYear,FYMonthNo,1),"mmm-yy"))</f>
        <v>JAN-21</v>
      </c>
      <c r="E3" s="25" t="str">
        <f ca="1">UPPER(TEXT(DATE(FYStartYear,FYMonthNo+1,1),"mmm-yy"))</f>
        <v>FEB-21</v>
      </c>
      <c r="F3" s="25" t="str">
        <f ca="1">UPPER(TEXT(DATE(FYStartYear,FYMonthNo+2,1),"mmm-yy"))</f>
        <v>MAR-21</v>
      </c>
      <c r="G3" s="25" t="str">
        <f ca="1">UPPER(TEXT(DATE(FYStartYear,FYMonthNo+3,1),"mmm-yy"))</f>
        <v>APR-21</v>
      </c>
      <c r="H3" s="25" t="str">
        <f ca="1">UPPER(TEXT(DATE(FYStartYear,FYMonthNo+4,1),"mmm-yy"))</f>
        <v>MAY-21</v>
      </c>
      <c r="I3" s="25" t="str">
        <f ca="1">UPPER(TEXT(DATE(FYStartYear,FYMonthNo+5,1),"mmm-yy"))</f>
        <v>JUN-21</v>
      </c>
      <c r="J3" s="25" t="str">
        <f ca="1">UPPER(TEXT(DATE(FYStartYear,FYMonthNo+6,1),"mmm-yy"))</f>
        <v>JUL-21</v>
      </c>
      <c r="K3" s="25" t="str">
        <f ca="1">UPPER(TEXT(DATE(FYStartYear,FYMonthNo+7,1),"mmm-yy"))</f>
        <v>AUG-21</v>
      </c>
      <c r="L3" s="25" t="str">
        <f ca="1">UPPER(TEXT(DATE(FYStartYear,FYMonthNo+8,1),"mmm-yy"))</f>
        <v>SEP-21</v>
      </c>
      <c r="M3" s="25" t="str">
        <f ca="1">UPPER(TEXT(DATE(FYStartYear,FYMonthNo+9,1),"mmm-yy"))</f>
        <v>OCT-21</v>
      </c>
      <c r="N3" s="25" t="str">
        <f ca="1">UPPER(TEXT(DATE(FYStartYear,FYMonthNo+10,1),"mmm-yy"))</f>
        <v>NOV-21</v>
      </c>
      <c r="O3" s="25" t="str">
        <f ca="1">UPPER(TEXT(DATE(FYStartYear,FYMonthNo+11,1),"mmm-yy"))</f>
        <v>DEC-21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>
      <c r="B4" s="35" t="s">
        <v>27</v>
      </c>
      <c r="C4" s="35" t="s">
        <v>25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>
      <c r="B5" s="29" t="s">
        <v>43</v>
      </c>
      <c r="C5" s="40"/>
      <c r="D5" s="30">
        <v>61</v>
      </c>
      <c r="E5" s="30">
        <v>78</v>
      </c>
      <c r="F5" s="30">
        <v>65</v>
      </c>
      <c r="G5" s="30">
        <v>29</v>
      </c>
      <c r="H5" s="30">
        <v>125</v>
      </c>
      <c r="I5" s="30">
        <v>49</v>
      </c>
      <c r="J5" s="30">
        <v>14</v>
      </c>
      <c r="K5" s="30">
        <v>26</v>
      </c>
      <c r="L5" s="30">
        <v>14</v>
      </c>
      <c r="M5" s="30">
        <v>129</v>
      </c>
      <c r="N5" s="30">
        <v>60</v>
      </c>
      <c r="O5" s="30">
        <v>65</v>
      </c>
      <c r="P5" s="41">
        <f>SUM(CostofSales[[#This Row],[Jan]:[Dec]])</f>
        <v>715</v>
      </c>
      <c r="Q5" s="31">
        <v>0.12</v>
      </c>
      <c r="R5" s="42">
        <f>IFERROR(CostofSales[[#This Row],[Jan]]/CostofSales[[#Totals],[Jan]],"-")</f>
        <v>0.23018867924528302</v>
      </c>
      <c r="S5" s="42">
        <f>IFERROR(CostofSales[[#This Row],[Feb]]/CostofSales[[#Totals],[Feb]],"-")</f>
        <v>0.21910112359550563</v>
      </c>
      <c r="T5" s="42">
        <f>IFERROR(CostofSales[[#This Row],[Mar]]/CostofSales[[#Totals],[Mar]],"-")</f>
        <v>0.20634920634920634</v>
      </c>
      <c r="U5" s="42">
        <f>IFERROR(CostofSales[[#This Row],[Apr]]/CostofSales[[#Totals],[Apr]],"-")</f>
        <v>0.12033195020746888</v>
      </c>
      <c r="V5" s="42">
        <f>IFERROR(CostofSales[[#This Row],[May]]/CostofSales[[#Totals],[May]],"-")</f>
        <v>0.31328320802005011</v>
      </c>
      <c r="W5" s="42">
        <f>IFERROR(CostofSales[[#This Row],[Jun]]/CostofSales[[#Totals],[Jun]],"-")</f>
        <v>0.15705128205128205</v>
      </c>
      <c r="X5" s="42">
        <f>IFERROR(CostofSales[[#This Row],[Jul]]/CostofSales[[#Totals],[Jul]],"-")</f>
        <v>4.6822742474916385E-2</v>
      </c>
      <c r="Y5" s="42">
        <f>IFERROR(CostofSales[[#This Row],[Aug]]/CostofSales[[#Totals],[Aug]],"-")</f>
        <v>0.11504424778761062</v>
      </c>
      <c r="Z5" s="42">
        <f>IFERROR(CostofSales[[#This Row],[Sep]]/CostofSales[[#Totals],[Sep]],"-")</f>
        <v>3.3816425120772944E-2</v>
      </c>
      <c r="AA5" s="42">
        <f>IFERROR(CostofSales[[#This Row],[Oct]]/CostofSales[[#Totals],[Oct]],"-")</f>
        <v>0.47080291970802918</v>
      </c>
      <c r="AB5" s="42">
        <f>IFERROR(CostofSales[[#This Row],[Nov]]/CostofSales[[#Totals],[Nov]],"-")</f>
        <v>0.22727272727272727</v>
      </c>
      <c r="AC5" s="42">
        <f>IFERROR(CostofSales[[#This Row],[Dec]]/CostofSales[[#Totals],[Dec]],"-")</f>
        <v>0.14348785871964681</v>
      </c>
      <c r="AD5" s="42">
        <f>IFERROR(CostofSales[[#This Row],[Yearly]]/CostofSales[[#Totals],[Yearly]],"-")</f>
        <v>0.18727082242011525</v>
      </c>
    </row>
    <row r="6" spans="1:30" ht="30" customHeight="1">
      <c r="B6" s="29" t="s">
        <v>44</v>
      </c>
      <c r="C6" s="40"/>
      <c r="D6" s="30">
        <v>7</v>
      </c>
      <c r="E6" s="30">
        <v>5</v>
      </c>
      <c r="F6" s="30">
        <v>69</v>
      </c>
      <c r="G6" s="30">
        <v>32</v>
      </c>
      <c r="H6" s="30">
        <v>11</v>
      </c>
      <c r="I6" s="30">
        <v>30</v>
      </c>
      <c r="J6" s="30">
        <v>27</v>
      </c>
      <c r="K6" s="30">
        <v>32</v>
      </c>
      <c r="L6" s="30">
        <v>10</v>
      </c>
      <c r="M6" s="30">
        <v>41</v>
      </c>
      <c r="N6" s="30">
        <v>13</v>
      </c>
      <c r="O6" s="30">
        <v>105</v>
      </c>
      <c r="P6" s="41">
        <f>SUM(CostofSales[[#This Row],[Jan]:[Dec]])</f>
        <v>382</v>
      </c>
      <c r="Q6" s="31">
        <v>0.18</v>
      </c>
      <c r="R6" s="42">
        <f>IFERROR(CostofSales[[#This Row],[Jan]]/CostofSales[[#Totals],[Jan]],"-")</f>
        <v>2.6415094339622643E-2</v>
      </c>
      <c r="S6" s="42">
        <f>IFERROR(CostofSales[[#This Row],[Feb]]/CostofSales[[#Totals],[Feb]],"-")</f>
        <v>1.4044943820224719E-2</v>
      </c>
      <c r="T6" s="42">
        <f>IFERROR(CostofSales[[#This Row],[Mar]]/CostofSales[[#Totals],[Mar]],"-")</f>
        <v>0.21904761904761905</v>
      </c>
      <c r="U6" s="42">
        <f>IFERROR(CostofSales[[#This Row],[Apr]]/CostofSales[[#Totals],[Apr]],"-")</f>
        <v>0.13278008298755187</v>
      </c>
      <c r="V6" s="42">
        <f>IFERROR(CostofSales[[#This Row],[May]]/CostofSales[[#Totals],[May]],"-")</f>
        <v>2.7568922305764409E-2</v>
      </c>
      <c r="W6" s="42">
        <f>IFERROR(CostofSales[[#This Row],[Jun]]/CostofSales[[#Totals],[Jun]],"-")</f>
        <v>9.6153846153846159E-2</v>
      </c>
      <c r="X6" s="42">
        <f>IFERROR(CostofSales[[#This Row],[Jul]]/CostofSales[[#Totals],[Jul]],"-")</f>
        <v>9.0301003344481601E-2</v>
      </c>
      <c r="Y6" s="42">
        <f>IFERROR(CostofSales[[#This Row],[Aug]]/CostofSales[[#Totals],[Aug]],"-")</f>
        <v>0.1415929203539823</v>
      </c>
      <c r="Z6" s="42">
        <f>IFERROR(CostofSales[[#This Row],[Sep]]/CostofSales[[#Totals],[Sep]],"-")</f>
        <v>2.4154589371980676E-2</v>
      </c>
      <c r="AA6" s="42">
        <f>IFERROR(CostofSales[[#This Row],[Oct]]/CostofSales[[#Totals],[Oct]],"-")</f>
        <v>0.14963503649635038</v>
      </c>
      <c r="AB6" s="42">
        <f>IFERROR(CostofSales[[#This Row],[Nov]]/CostofSales[[#Totals],[Nov]],"-")</f>
        <v>4.924242424242424E-2</v>
      </c>
      <c r="AC6" s="42">
        <f>IFERROR(CostofSales[[#This Row],[Dec]]/CostofSales[[#Totals],[Dec]],"-")</f>
        <v>0.23178807947019867</v>
      </c>
      <c r="AD6" s="42">
        <f>IFERROR(CostofSales[[#This Row],[Yearly]]/CostofSales[[#Totals],[Yearly]],"-")</f>
        <v>0.1000523834468308</v>
      </c>
    </row>
    <row r="7" spans="1:30" ht="30" customHeight="1">
      <c r="B7" s="29" t="s">
        <v>45</v>
      </c>
      <c r="C7" s="40"/>
      <c r="D7" s="30">
        <v>99</v>
      </c>
      <c r="E7" s="30">
        <v>95</v>
      </c>
      <c r="F7" s="30">
        <v>51</v>
      </c>
      <c r="G7" s="30">
        <v>90</v>
      </c>
      <c r="H7" s="30">
        <v>21</v>
      </c>
      <c r="I7" s="30">
        <v>34</v>
      </c>
      <c r="J7" s="30">
        <v>30</v>
      </c>
      <c r="K7" s="30">
        <v>24</v>
      </c>
      <c r="L7" s="30">
        <v>109</v>
      </c>
      <c r="M7" s="30">
        <v>16</v>
      </c>
      <c r="N7" s="30">
        <v>21</v>
      </c>
      <c r="O7" s="30">
        <v>52</v>
      </c>
      <c r="P7" s="41">
        <f>SUM(CostofSales[[#This Row],[Jan]:[Dec]])</f>
        <v>642</v>
      </c>
      <c r="Q7" s="31">
        <v>0.19</v>
      </c>
      <c r="R7" s="42">
        <f>IFERROR(CostofSales[[#This Row],[Jan]]/CostofSales[[#Totals],[Jan]],"-")</f>
        <v>0.37358490566037733</v>
      </c>
      <c r="S7" s="42">
        <f>IFERROR(CostofSales[[#This Row],[Feb]]/CostofSales[[#Totals],[Feb]],"-")</f>
        <v>0.26685393258426965</v>
      </c>
      <c r="T7" s="42">
        <f>IFERROR(CostofSales[[#This Row],[Mar]]/CostofSales[[#Totals],[Mar]],"-")</f>
        <v>0.16190476190476191</v>
      </c>
      <c r="U7" s="42">
        <f>IFERROR(CostofSales[[#This Row],[Apr]]/CostofSales[[#Totals],[Apr]],"-")</f>
        <v>0.37344398340248963</v>
      </c>
      <c r="V7" s="42">
        <f>IFERROR(CostofSales[[#This Row],[May]]/CostofSales[[#Totals],[May]],"-")</f>
        <v>5.2631578947368418E-2</v>
      </c>
      <c r="W7" s="42">
        <f>IFERROR(CostofSales[[#This Row],[Jun]]/CostofSales[[#Totals],[Jun]],"-")</f>
        <v>0.10897435897435898</v>
      </c>
      <c r="X7" s="42">
        <f>IFERROR(CostofSales[[#This Row],[Jul]]/CostofSales[[#Totals],[Jul]],"-")</f>
        <v>0.10033444816053512</v>
      </c>
      <c r="Y7" s="42">
        <f>IFERROR(CostofSales[[#This Row],[Aug]]/CostofSales[[#Totals],[Aug]],"-")</f>
        <v>0.10619469026548672</v>
      </c>
      <c r="Z7" s="42">
        <f>IFERROR(CostofSales[[#This Row],[Sep]]/CostofSales[[#Totals],[Sep]],"-")</f>
        <v>0.26328502415458938</v>
      </c>
      <c r="AA7" s="42">
        <f>IFERROR(CostofSales[[#This Row],[Oct]]/CostofSales[[#Totals],[Oct]],"-")</f>
        <v>5.8394160583941604E-2</v>
      </c>
      <c r="AB7" s="42">
        <f>IFERROR(CostofSales[[#This Row],[Nov]]/CostofSales[[#Totals],[Nov]],"-")</f>
        <v>7.9545454545454544E-2</v>
      </c>
      <c r="AC7" s="42">
        <f>IFERROR(CostofSales[[#This Row],[Dec]]/CostofSales[[#Totals],[Dec]],"-")</f>
        <v>0.11479028697571744</v>
      </c>
      <c r="AD7" s="42">
        <f>IFERROR(CostofSales[[#This Row],[Yearly]]/CostofSales[[#Totals],[Yearly]],"-")</f>
        <v>0.16815086432687271</v>
      </c>
    </row>
    <row r="8" spans="1:30" ht="30" customHeight="1">
      <c r="B8" s="29" t="s">
        <v>46</v>
      </c>
      <c r="C8" s="40"/>
      <c r="D8" s="30">
        <v>13</v>
      </c>
      <c r="E8" s="30">
        <v>28</v>
      </c>
      <c r="F8" s="30">
        <v>15</v>
      </c>
      <c r="G8" s="30">
        <v>8</v>
      </c>
      <c r="H8" s="30">
        <v>84</v>
      </c>
      <c r="I8" s="30">
        <v>12</v>
      </c>
      <c r="J8" s="30">
        <v>54</v>
      </c>
      <c r="K8" s="30">
        <v>72</v>
      </c>
      <c r="L8" s="30">
        <v>49</v>
      </c>
      <c r="M8" s="30">
        <v>24</v>
      </c>
      <c r="N8" s="30">
        <v>60</v>
      </c>
      <c r="O8" s="30">
        <v>39</v>
      </c>
      <c r="P8" s="41">
        <f>SUM(CostofSales[[#This Row],[Jan]:[Dec]])</f>
        <v>458</v>
      </c>
      <c r="Q8" s="31">
        <v>0.11</v>
      </c>
      <c r="R8" s="42">
        <f>IFERROR(CostofSales[[#This Row],[Jan]]/CostofSales[[#Totals],[Jan]],"-")</f>
        <v>4.9056603773584909E-2</v>
      </c>
      <c r="S8" s="42">
        <f>IFERROR(CostofSales[[#This Row],[Feb]]/CostofSales[[#Totals],[Feb]],"-")</f>
        <v>7.8651685393258425E-2</v>
      </c>
      <c r="T8" s="42">
        <f>IFERROR(CostofSales[[#This Row],[Mar]]/CostofSales[[#Totals],[Mar]],"-")</f>
        <v>4.7619047619047616E-2</v>
      </c>
      <c r="U8" s="42">
        <f>IFERROR(CostofSales[[#This Row],[Apr]]/CostofSales[[#Totals],[Apr]],"-")</f>
        <v>3.3195020746887967E-2</v>
      </c>
      <c r="V8" s="42">
        <f>IFERROR(CostofSales[[#This Row],[May]]/CostofSales[[#Totals],[May]],"-")</f>
        <v>0.21052631578947367</v>
      </c>
      <c r="W8" s="42">
        <f>IFERROR(CostofSales[[#This Row],[Jun]]/CostofSales[[#Totals],[Jun]],"-")</f>
        <v>3.8461538461538464E-2</v>
      </c>
      <c r="X8" s="42">
        <f>IFERROR(CostofSales[[#This Row],[Jul]]/CostofSales[[#Totals],[Jul]],"-")</f>
        <v>0.1806020066889632</v>
      </c>
      <c r="Y8" s="42">
        <f>IFERROR(CostofSales[[#This Row],[Aug]]/CostofSales[[#Totals],[Aug]],"-")</f>
        <v>0.31858407079646017</v>
      </c>
      <c r="Z8" s="42">
        <f>IFERROR(CostofSales[[#This Row],[Sep]]/CostofSales[[#Totals],[Sep]],"-")</f>
        <v>0.11835748792270531</v>
      </c>
      <c r="AA8" s="42">
        <f>IFERROR(CostofSales[[#This Row],[Oct]]/CostofSales[[#Totals],[Oct]],"-")</f>
        <v>8.7591240875912413E-2</v>
      </c>
      <c r="AB8" s="42">
        <f>IFERROR(CostofSales[[#This Row],[Nov]]/CostofSales[[#Totals],[Nov]],"-")</f>
        <v>0.22727272727272727</v>
      </c>
      <c r="AC8" s="42">
        <f>IFERROR(CostofSales[[#This Row],[Dec]]/CostofSales[[#Totals],[Dec]],"-")</f>
        <v>8.6092715231788075E-2</v>
      </c>
      <c r="AD8" s="42">
        <f>IFERROR(CostofSales[[#This Row],[Yearly]]/CostofSales[[#Totals],[Yearly]],"-")</f>
        <v>0.11995809324253535</v>
      </c>
    </row>
    <row r="9" spans="1:30" ht="30" customHeight="1">
      <c r="B9" s="29" t="s">
        <v>47</v>
      </c>
      <c r="C9" s="40"/>
      <c r="D9" s="30">
        <v>34</v>
      </c>
      <c r="E9" s="30">
        <v>78</v>
      </c>
      <c r="F9" s="30">
        <v>43</v>
      </c>
      <c r="G9" s="30">
        <v>30</v>
      </c>
      <c r="H9" s="30">
        <v>77</v>
      </c>
      <c r="I9" s="30">
        <v>54</v>
      </c>
      <c r="J9" s="30">
        <v>26</v>
      </c>
      <c r="K9" s="30">
        <v>13</v>
      </c>
      <c r="L9" s="30">
        <v>56</v>
      </c>
      <c r="M9" s="30">
        <v>30</v>
      </c>
      <c r="N9" s="30">
        <v>40</v>
      </c>
      <c r="O9" s="30">
        <v>63</v>
      </c>
      <c r="P9" s="41">
        <f>SUM(CostofSales[[#This Row],[Jan]:[Dec]])</f>
        <v>544</v>
      </c>
      <c r="Q9" s="31">
        <v>0.2</v>
      </c>
      <c r="R9" s="42">
        <f>IFERROR(CostofSales[[#This Row],[Jan]]/CostofSales[[#Totals],[Jan]],"-")</f>
        <v>0.12830188679245283</v>
      </c>
      <c r="S9" s="42">
        <f>IFERROR(CostofSales[[#This Row],[Feb]]/CostofSales[[#Totals],[Feb]],"-")</f>
        <v>0.21910112359550563</v>
      </c>
      <c r="T9" s="42">
        <f>IFERROR(CostofSales[[#This Row],[Mar]]/CostofSales[[#Totals],[Mar]],"-")</f>
        <v>0.13650793650793649</v>
      </c>
      <c r="U9" s="42">
        <f>IFERROR(CostofSales[[#This Row],[Apr]]/CostofSales[[#Totals],[Apr]],"-")</f>
        <v>0.12448132780082988</v>
      </c>
      <c r="V9" s="42">
        <f>IFERROR(CostofSales[[#This Row],[May]]/CostofSales[[#Totals],[May]],"-")</f>
        <v>0.19298245614035087</v>
      </c>
      <c r="W9" s="42">
        <f>IFERROR(CostofSales[[#This Row],[Jun]]/CostofSales[[#Totals],[Jun]],"-")</f>
        <v>0.17307692307692307</v>
      </c>
      <c r="X9" s="42">
        <f>IFERROR(CostofSales[[#This Row],[Jul]]/CostofSales[[#Totals],[Jul]],"-")</f>
        <v>8.6956521739130432E-2</v>
      </c>
      <c r="Y9" s="42">
        <f>IFERROR(CostofSales[[#This Row],[Aug]]/CostofSales[[#Totals],[Aug]],"-")</f>
        <v>5.7522123893805309E-2</v>
      </c>
      <c r="Z9" s="42">
        <f>IFERROR(CostofSales[[#This Row],[Sep]]/CostofSales[[#Totals],[Sep]],"-")</f>
        <v>0.13526570048309178</v>
      </c>
      <c r="AA9" s="42">
        <f>IFERROR(CostofSales[[#This Row],[Oct]]/CostofSales[[#Totals],[Oct]],"-")</f>
        <v>0.10948905109489052</v>
      </c>
      <c r="AB9" s="42">
        <f>IFERROR(CostofSales[[#This Row],[Nov]]/CostofSales[[#Totals],[Nov]],"-")</f>
        <v>0.15151515151515152</v>
      </c>
      <c r="AC9" s="42">
        <f>IFERROR(CostofSales[[#This Row],[Dec]]/CostofSales[[#Totals],[Dec]],"-")</f>
        <v>0.13907284768211919</v>
      </c>
      <c r="AD9" s="42">
        <f>IFERROR(CostofSales[[#This Row],[Yearly]]/CostofSales[[#Totals],[Yearly]],"-")</f>
        <v>0.14248297537978</v>
      </c>
    </row>
    <row r="10" spans="1:30" ht="30" customHeight="1">
      <c r="B10" s="29" t="s">
        <v>48</v>
      </c>
      <c r="C10" s="40"/>
      <c r="D10" s="30">
        <v>33</v>
      </c>
      <c r="E10" s="30">
        <v>61</v>
      </c>
      <c r="F10" s="30">
        <v>42</v>
      </c>
      <c r="G10" s="30">
        <v>43</v>
      </c>
      <c r="H10" s="30">
        <v>19</v>
      </c>
      <c r="I10" s="30">
        <v>94</v>
      </c>
      <c r="J10" s="30">
        <v>46</v>
      </c>
      <c r="K10" s="30">
        <v>15</v>
      </c>
      <c r="L10" s="30">
        <v>55</v>
      </c>
      <c r="M10" s="30">
        <v>15</v>
      </c>
      <c r="N10" s="30">
        <v>37</v>
      </c>
      <c r="O10" s="30">
        <v>89</v>
      </c>
      <c r="P10" s="41">
        <f>SUM(CostofSales[[#This Row],[Jan]:[Dec]])</f>
        <v>549</v>
      </c>
      <c r="Q10" s="31">
        <v>0.1</v>
      </c>
      <c r="R10" s="42">
        <f>IFERROR(CostofSales[[#This Row],[Jan]]/CostofSales[[#Totals],[Jan]],"-")</f>
        <v>0.12452830188679245</v>
      </c>
      <c r="S10" s="42">
        <f>IFERROR(CostofSales[[#This Row],[Feb]]/CostofSales[[#Totals],[Feb]],"-")</f>
        <v>0.17134831460674158</v>
      </c>
      <c r="T10" s="42">
        <f>IFERROR(CostofSales[[#This Row],[Mar]]/CostofSales[[#Totals],[Mar]],"-")</f>
        <v>0.13333333333333333</v>
      </c>
      <c r="U10" s="42">
        <f>IFERROR(CostofSales[[#This Row],[Apr]]/CostofSales[[#Totals],[Apr]],"-")</f>
        <v>0.17842323651452283</v>
      </c>
      <c r="V10" s="42">
        <f>IFERROR(CostofSales[[#This Row],[May]]/CostofSales[[#Totals],[May]],"-")</f>
        <v>4.7619047619047616E-2</v>
      </c>
      <c r="W10" s="42">
        <f>IFERROR(CostofSales[[#This Row],[Jun]]/CostofSales[[#Totals],[Jun]],"-")</f>
        <v>0.30128205128205127</v>
      </c>
      <c r="X10" s="42">
        <f>IFERROR(CostofSales[[#This Row],[Jul]]/CostofSales[[#Totals],[Jul]],"-")</f>
        <v>0.15384615384615385</v>
      </c>
      <c r="Y10" s="42">
        <f>IFERROR(CostofSales[[#This Row],[Aug]]/CostofSales[[#Totals],[Aug]],"-")</f>
        <v>6.637168141592921E-2</v>
      </c>
      <c r="Z10" s="42">
        <f>IFERROR(CostofSales[[#This Row],[Sep]]/CostofSales[[#Totals],[Sep]],"-")</f>
        <v>0.13285024154589373</v>
      </c>
      <c r="AA10" s="42">
        <f>IFERROR(CostofSales[[#This Row],[Oct]]/CostofSales[[#Totals],[Oct]],"-")</f>
        <v>5.4744525547445258E-2</v>
      </c>
      <c r="AB10" s="42">
        <f>IFERROR(CostofSales[[#This Row],[Nov]]/CostofSales[[#Totals],[Nov]],"-")</f>
        <v>0.14015151515151514</v>
      </c>
      <c r="AC10" s="42">
        <f>IFERROR(CostofSales[[#This Row],[Dec]]/CostofSales[[#Totals],[Dec]],"-")</f>
        <v>0.19646799116997793</v>
      </c>
      <c r="AD10" s="42">
        <f>IFERROR(CostofSales[[#This Row],[Yearly]]/CostofSales[[#Totals],[Yearly]],"-")</f>
        <v>0.14379256155055004</v>
      </c>
    </row>
    <row r="11" spans="1:30" ht="30" customHeight="1">
      <c r="A11" s="3"/>
      <c r="B11" s="29" t="s">
        <v>49</v>
      </c>
      <c r="C11" s="40"/>
      <c r="D11" s="30">
        <v>18</v>
      </c>
      <c r="E11" s="30">
        <v>11</v>
      </c>
      <c r="F11" s="30">
        <v>30</v>
      </c>
      <c r="G11" s="30">
        <v>9</v>
      </c>
      <c r="H11" s="30">
        <v>62</v>
      </c>
      <c r="I11" s="30">
        <v>39</v>
      </c>
      <c r="J11" s="30">
        <v>102</v>
      </c>
      <c r="K11" s="30">
        <v>44</v>
      </c>
      <c r="L11" s="30">
        <v>121</v>
      </c>
      <c r="M11" s="30">
        <v>19</v>
      </c>
      <c r="N11" s="30">
        <v>33</v>
      </c>
      <c r="O11" s="30">
        <v>40</v>
      </c>
      <c r="P11" s="41">
        <f>SUM(CostofSales[[#This Row],[Jan]:[Dec]])</f>
        <v>528</v>
      </c>
      <c r="Q11" s="31">
        <v>0.1</v>
      </c>
      <c r="R11" s="42">
        <f>IFERROR(CostofSales[[#This Row],[Jan]]/CostofSales[[#Totals],[Jan]],"-")</f>
        <v>6.7924528301886791E-2</v>
      </c>
      <c r="S11" s="42">
        <f>IFERROR(CostofSales[[#This Row],[Feb]]/CostofSales[[#Totals],[Feb]],"-")</f>
        <v>3.0898876404494381E-2</v>
      </c>
      <c r="T11" s="42">
        <f>IFERROR(CostofSales[[#This Row],[Mar]]/CostofSales[[#Totals],[Mar]],"-")</f>
        <v>9.5238095238095233E-2</v>
      </c>
      <c r="U11" s="42">
        <f>IFERROR(CostofSales[[#This Row],[Apr]]/CostofSales[[#Totals],[Apr]],"-")</f>
        <v>3.7344398340248962E-2</v>
      </c>
      <c r="V11" s="42">
        <f>IFERROR(CostofSales[[#This Row],[May]]/CostofSales[[#Totals],[May]],"-")</f>
        <v>0.15538847117794485</v>
      </c>
      <c r="W11" s="42">
        <f>IFERROR(CostofSales[[#This Row],[Jun]]/CostofSales[[#Totals],[Jun]],"-")</f>
        <v>0.125</v>
      </c>
      <c r="X11" s="42">
        <f>IFERROR(CostofSales[[#This Row],[Jul]]/CostofSales[[#Totals],[Jul]],"-")</f>
        <v>0.34113712374581939</v>
      </c>
      <c r="Y11" s="42">
        <f>IFERROR(CostofSales[[#This Row],[Aug]]/CostofSales[[#Totals],[Aug]],"-")</f>
        <v>0.19469026548672566</v>
      </c>
      <c r="Z11" s="42">
        <f>IFERROR(CostofSales[[#This Row],[Sep]]/CostofSales[[#Totals],[Sep]],"-")</f>
        <v>0.2922705314009662</v>
      </c>
      <c r="AA11" s="42">
        <f>IFERROR(CostofSales[[#This Row],[Oct]]/CostofSales[[#Totals],[Oct]],"-")</f>
        <v>6.9343065693430656E-2</v>
      </c>
      <c r="AB11" s="42">
        <f>IFERROR(CostofSales[[#This Row],[Nov]]/CostofSales[[#Totals],[Nov]],"-")</f>
        <v>0.125</v>
      </c>
      <c r="AC11" s="42">
        <f>IFERROR(CostofSales[[#This Row],[Dec]]/CostofSales[[#Totals],[Dec]],"-")</f>
        <v>8.8300220750551883E-2</v>
      </c>
      <c r="AD11" s="42">
        <f>IFERROR(CostofSales[[#This Row],[Yearly]]/CostofSales[[#Totals],[Yearly]],"-")</f>
        <v>0.13829229963331588</v>
      </c>
    </row>
    <row r="12" spans="1:30" ht="30" customHeight="1">
      <c r="A12" s="14"/>
      <c r="B12" s="10" t="s">
        <v>28</v>
      </c>
      <c r="C12" s="32"/>
      <c r="D12" s="12">
        <f>SUBTOTAL(109,[Jan])</f>
        <v>265</v>
      </c>
      <c r="E12" s="12">
        <f>SUBTOTAL(109,[Feb])</f>
        <v>356</v>
      </c>
      <c r="F12" s="12">
        <f>SUBTOTAL(109,[Mar])</f>
        <v>315</v>
      </c>
      <c r="G12" s="12">
        <f>SUBTOTAL(109,[Apr])</f>
        <v>241</v>
      </c>
      <c r="H12" s="12">
        <f>SUBTOTAL(109,[May])</f>
        <v>399</v>
      </c>
      <c r="I12" s="12">
        <f>SUBTOTAL(109,[Jun])</f>
        <v>312</v>
      </c>
      <c r="J12" s="12">
        <f>SUBTOTAL(109,[Jul])</f>
        <v>299</v>
      </c>
      <c r="K12" s="12">
        <f>SUBTOTAL(109,[Aug])</f>
        <v>226</v>
      </c>
      <c r="L12" s="12">
        <f>SUBTOTAL(109,[Sep])</f>
        <v>414</v>
      </c>
      <c r="M12" s="12">
        <f>SUBTOTAL(109,[Oct])</f>
        <v>274</v>
      </c>
      <c r="N12" s="12">
        <f>SUBTOTAL(109,[Nov])</f>
        <v>264</v>
      </c>
      <c r="O12" s="12">
        <f>SUBTOTAL(109,[Dec])</f>
        <v>453</v>
      </c>
      <c r="P12" s="33">
        <f>SUBTOTAL(109,[Yearly])</f>
        <v>3818</v>
      </c>
      <c r="Q12" s="20">
        <f>SUBTOTAL(109,[Index %])</f>
        <v>1</v>
      </c>
      <c r="R12" s="34">
        <f>SUBTOTAL(109,[Jan %])</f>
        <v>0.99999999999999989</v>
      </c>
      <c r="S12" s="34">
        <f>SUBTOTAL(109,[Feb %])</f>
        <v>1</v>
      </c>
      <c r="T12" s="34">
        <f>SUBTOTAL(109,[Mar %])</f>
        <v>0.99999999999999989</v>
      </c>
      <c r="U12" s="34">
        <f>SUBTOTAL(109,[Apr %])</f>
        <v>1</v>
      </c>
      <c r="V12" s="34">
        <f>SUBTOTAL(109,[May %])</f>
        <v>0.99999999999999989</v>
      </c>
      <c r="W12" s="34">
        <f>SUBTOTAL(109,[Jun %])</f>
        <v>1</v>
      </c>
      <c r="X12" s="34">
        <f>SUBTOTAL(109,[Jul %])</f>
        <v>1</v>
      </c>
      <c r="Y12" s="34">
        <f>SUBTOTAL(109,[Aug %])</f>
        <v>0.99999999999999989</v>
      </c>
      <c r="Z12" s="34">
        <f>SUBTOTAL(109,[Sep %])</f>
        <v>1</v>
      </c>
      <c r="AA12" s="34">
        <f>SUBTOTAL(109,[Oct %])</f>
        <v>1</v>
      </c>
      <c r="AB12" s="34">
        <f>SUBTOTAL(109,[Nov %])</f>
        <v>0.99999999999999989</v>
      </c>
      <c r="AC12" s="34">
        <f>SUBTOTAL(109,[Dec %])</f>
        <v>1</v>
      </c>
      <c r="AD12" s="34">
        <f>SUBTOTAL(109,[Year %])</f>
        <v>0.99999999999999989</v>
      </c>
    </row>
    <row r="13" spans="1:30" ht="30" customHeight="1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30" customHeight="1">
      <c r="B14" s="15" t="s">
        <v>1</v>
      </c>
      <c r="C14" s="15"/>
      <c r="D14" s="16">
        <f>Revenue[[#Totals],[Jan]]-CostofSales[[#Totals],[Jan]]</f>
        <v>359</v>
      </c>
      <c r="E14" s="16">
        <f>Revenue[[#Totals],[Feb]]-CostofSales[[#Totals],[Feb]]</f>
        <v>380</v>
      </c>
      <c r="F14" s="16">
        <f>Revenue[[#Totals],[Mar]]-CostofSales[[#Totals],[Mar]]</f>
        <v>505</v>
      </c>
      <c r="G14" s="16">
        <f>Revenue[[#Totals],[Apr]]-CostofSales[[#Totals],[Apr]]</f>
        <v>370</v>
      </c>
      <c r="H14" s="16">
        <f>Revenue[[#Totals],[May]]-CostofSales[[#Totals],[May]]</f>
        <v>413</v>
      </c>
      <c r="I14" s="16">
        <f>Revenue[[#Totals],[Jun]]-CostofSales[[#Totals],[Jun]]</f>
        <v>266</v>
      </c>
      <c r="J14" s="16">
        <f>Revenue[[#Totals],[Jul]]-CostofSales[[#Totals],[Jul]]</f>
        <v>298</v>
      </c>
      <c r="K14" s="16">
        <f>Revenue[[#Totals],[Aug]]-CostofSales[[#Totals],[Aug]]</f>
        <v>449</v>
      </c>
      <c r="L14" s="16">
        <f>Revenue[[#Totals],[Sep]]-CostofSales[[#Totals],[Sep]]</f>
        <v>330</v>
      </c>
      <c r="M14" s="16">
        <f>Revenue[[#Totals],[Oct]]-CostofSales[[#Totals],[Oct]]</f>
        <v>407</v>
      </c>
      <c r="N14" s="16">
        <f>Revenue[[#Totals],[Nov]]-CostofSales[[#Totals],[Nov]]</f>
        <v>475</v>
      </c>
      <c r="O14" s="16">
        <f>Revenue[[#Totals],[Dec]]-CostofSales[[#Totals],[Dec]]</f>
        <v>590</v>
      </c>
      <c r="P14" s="16">
        <f>Revenue[[#Totals],[Yearly]]-CostofSales[[#Totals],[Yearly]]</f>
        <v>4842</v>
      </c>
      <c r="Q14" s="15"/>
      <c r="R14" s="17">
        <f t="shared" ref="R14:AD14" si="1">D14/$P$14</f>
        <v>7.4142916150351096E-2</v>
      </c>
      <c r="S14" s="17">
        <f t="shared" si="1"/>
        <v>7.8479966955803393E-2</v>
      </c>
      <c r="T14" s="17">
        <f t="shared" si="1"/>
        <v>0.10429574555968608</v>
      </c>
      <c r="U14" s="17">
        <f t="shared" si="1"/>
        <v>7.6414704667492769E-2</v>
      </c>
      <c r="V14" s="17">
        <f t="shared" si="1"/>
        <v>8.5295332507228414E-2</v>
      </c>
      <c r="W14" s="17">
        <f t="shared" si="1"/>
        <v>5.4935976869062368E-2</v>
      </c>
      <c r="X14" s="17">
        <f t="shared" si="1"/>
        <v>6.1544816191656339E-2</v>
      </c>
      <c r="Y14" s="17">
        <f t="shared" si="1"/>
        <v>9.2730276745146639E-2</v>
      </c>
      <c r="Z14" s="17">
        <f t="shared" si="1"/>
        <v>6.8153655514250316E-2</v>
      </c>
      <c r="AA14" s="17">
        <f t="shared" si="1"/>
        <v>8.4056175134242045E-2</v>
      </c>
      <c r="AB14" s="17">
        <f t="shared" si="1"/>
        <v>9.8099958694754227E-2</v>
      </c>
      <c r="AC14" s="17">
        <f t="shared" si="1"/>
        <v>0.12185047501032631</v>
      </c>
      <c r="AD14" s="17">
        <f t="shared" si="1"/>
        <v>1</v>
      </c>
    </row>
  </sheetData>
  <phoneticPr fontId="15" type="noConversion"/>
  <dataValidations count="20">
    <dataValidation allowBlank="1" showInputMessage="1" showErrorMessage="1" prompt="Gross profit for each month and year is automatically calculated in this row based on total sales &amp; total costs of sales" sqref="B14"/>
    <dataValidation allowBlank="1" showInputMessage="1" showErrorMessage="1" prompt="This worksheet calculates total cost of sales for each month &amp; year, &amp; annual costs of sales for items. Based on entries, gross profit is automatically calculated" sqref="A1"/>
    <dataValidation allowBlank="1" showInputMessage="1" showErrorMessage="1" prompt="This cell is automatically updated from the projection period title in Revenue (Sales) worksheet" sqref="B1"/>
    <dataValidation allowBlank="1" showInputMessage="1" showErrorMessage="1" prompt="Company name is automatically updated using the entry from Revenue (Sales) worksheet" sqref="AD1"/>
    <dataValidation allowBlank="1" showInputMessage="1" showErrorMessage="1" prompt="Automatically updated title from Revenue (Sales) worksheet. Enter values in the Cost of Sales table below to calculate total costs of sales" sqref="B2"/>
    <dataValidation allowBlank="1" showInputMessage="1" showErrorMessage="1" prompt="Month &amp; year are automatically updated in cells at right. To change month or year, modify cells AC2 and AD2 in Revenue (Sales) worksheet" sqref="AB2"/>
    <dataValidation allowBlank="1" showInputMessage="1" showErrorMessage="1" prompt="Enter index percent in this column" sqref="Q4"/>
    <dataValidation allowBlank="1" showInputMessage="1" showErrorMessage="1" prompt="Enter cost of the sources listed in column B, in this column" sqref="O4 N4 M4 L4 K4 J4 I4 H4 G4 F4 E4"/>
    <dataValidation allowBlank="1" showInputMessage="1" showErrorMessage="1" prompt="A trend chart for costs over time is in this column" sqref="C4"/>
    <dataValidation allowBlank="1" showInputMessage="1" showErrorMessage="1" prompt="Enter cost of sales in this column" sqref="B4"/>
    <dataValidation allowBlank="1" showInputMessage="1" showErrorMessage="1" prompt="Automatically calculates proportion of cost of sales from different sources to total sales for the year in this column" sqref="AD3"/>
    <dataValidation allowBlank="1" showInputMessage="1" showErrorMessage="1" prompt="Automatically calculates proportion of cost of sales from different sources to total sales in this column, for the month in this cell" sqref="AC3"/>
    <dataValidation allowBlank="1" showInputMessage="1" showErrorMessage="1" prompt="Automatically updated month" sqref="E3:O3"/>
    <dataValidation allowBlank="1" showInputMessage="1" showErrorMessage="1" prompt="The dates in this row are automatically updated based on the starting month of fiscal year. To change starting month, modify cell AC2 in Revenues (Sales) sheet" sqref="D3"/>
    <dataValidation allowBlank="1" showInputMessage="1" showErrorMessage="1" prompt="Annual Cost is automatically calculated in this column" sqref="P3"/>
    <dataValidation allowBlank="1" showInputMessage="1" showErrorMessage="1" prompt="Index percent is in this column" sqref="Q3"/>
    <dataValidation allowBlank="1" showInputMessage="1" showErrorMessage="1" prompt="Automatically updated month. To change, modify cell AC2 in Revenues (Sales) sheet" sqref="AC2"/>
    <dataValidation allowBlank="1" showInputMessage="1" showErrorMessage="1" prompt="Automatically updated year. To change, modify cell AD2 in Revenues (Sales) sheet" sqref="AD2"/>
    <dataValidation allowBlank="1" showInputMessage="1" showErrorMessage="1" prompt="Enter cost of the sources listed in column B, in this column" sqref="D4"/>
    <dataValidation allowBlank="1" showInputMessage="1" showErrorMessage="1" prompt="Automatically calculates proportion of cost of sales from different sources to total sales in this column, for the month in this cell" sqref="R3 S3 T3 U3 V3 W3 X3 Y3 Z3 AA3 AB3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Sales'!D5:O5</xm:f>
              <xm:sqref>C5</xm:sqref>
            </x14:sparkline>
            <x14:sparkline>
              <xm:f>'Cost of Sales'!D6:O6</xm:f>
              <xm:sqref>C6</xm:sqref>
            </x14:sparkline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Sales'!D12:O12</xm:f>
              <xm:sqref>C12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  <pageSetUpPr fitToPage="1"/>
  </sheetPr>
  <dimension ref="A1:AD26"/>
  <sheetViews>
    <sheetView showGridLines="0" workbookViewId="0">
      <pane ySplit="3" topLeftCell="A4" activePane="bottomLeft" state="frozen"/>
      <selection pane="bottomLeft"/>
    </sheetView>
  </sheetViews>
  <sheetFormatPr defaultRowHeight="30" customHeight="1"/>
  <cols>
    <col min="1" max="1" width="2.625" customWidth="1"/>
    <col min="2" max="2" width="20.625" customWidth="1"/>
    <col min="3" max="3" width="12.625" customWidth="1"/>
    <col min="4" max="15" width="9" customWidth="1"/>
    <col min="16" max="16" width="9.875" customWidth="1"/>
    <col min="17" max="29" width="7.75" customWidth="1"/>
    <col min="30" max="30" width="9.875" customWidth="1"/>
    <col min="31" max="31" width="2.625" customWidth="1"/>
  </cols>
  <sheetData>
    <row r="1" spans="1:30" ht="35.1" customHeight="1">
      <c r="A1" s="7"/>
      <c r="B1" s="26" t="str">
        <f>Projection_Period_Title</f>
        <v>Twelve Month</v>
      </c>
      <c r="C1" s="13"/>
      <c r="J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23" t="str">
        <f>Company_Name</f>
        <v>Company Name</v>
      </c>
    </row>
    <row r="2" spans="1:30" ht="60" customHeight="1">
      <c r="B2" s="5" t="str">
        <f>'Revenues (Sales)'!$B$2</f>
        <v>PROFIT &amp; LOSS PROJECTION</v>
      </c>
      <c r="E2" s="4"/>
      <c r="G2" s="4"/>
      <c r="K2" s="4"/>
      <c r="L2" s="4"/>
      <c r="M2" s="4"/>
      <c r="N2" s="4"/>
      <c r="O2" s="4"/>
      <c r="X2" s="6"/>
      <c r="Y2" s="6"/>
      <c r="Z2" s="6"/>
      <c r="AA2" s="6"/>
      <c r="AB2" s="24" t="s">
        <v>50</v>
      </c>
      <c r="AC2" s="24" t="str">
        <f>FYMonthStart</f>
        <v>JAN</v>
      </c>
      <c r="AD2" s="24">
        <f ca="1">FYStartYear</f>
        <v>2021</v>
      </c>
    </row>
    <row r="3" spans="1:30" ht="20.100000000000001" customHeight="1">
      <c r="D3" s="25" t="str">
        <f ca="1">UPPER(TEXT(DATE(FYStartYear,FYMonthNo,1),"mmm-yy"))</f>
        <v>JAN-21</v>
      </c>
      <c r="E3" s="25" t="str">
        <f ca="1">UPPER(TEXT(DATE(FYStartYear,FYMonthNo+1,1),"mmm-yy"))</f>
        <v>FEB-21</v>
      </c>
      <c r="F3" s="25" t="str">
        <f ca="1">UPPER(TEXT(DATE(FYStartYear,FYMonthNo+2,1),"mmm-yy"))</f>
        <v>MAR-21</v>
      </c>
      <c r="G3" s="25" t="str">
        <f ca="1">UPPER(TEXT(DATE(FYStartYear,FYMonthNo+3,1),"mmm-yy"))</f>
        <v>APR-21</v>
      </c>
      <c r="H3" s="25" t="str">
        <f ca="1">UPPER(TEXT(DATE(FYStartYear,FYMonthNo+4,1),"mmm-yy"))</f>
        <v>MAY-21</v>
      </c>
      <c r="I3" s="25" t="str">
        <f ca="1">UPPER(TEXT(DATE(FYStartYear,FYMonthNo+5,1),"mmm-yy"))</f>
        <v>JUN-21</v>
      </c>
      <c r="J3" s="25" t="str">
        <f ca="1">UPPER(TEXT(DATE(FYStartYear,FYMonthNo+6,1),"mmm-yy"))</f>
        <v>JUL-21</v>
      </c>
      <c r="K3" s="25" t="str">
        <f ca="1">UPPER(TEXT(DATE(FYStartYear,FYMonthNo+7,1),"mmm-yy"))</f>
        <v>AUG-21</v>
      </c>
      <c r="L3" s="25" t="str">
        <f ca="1">UPPER(TEXT(DATE(FYStartYear,FYMonthNo+8,1),"mmm-yy"))</f>
        <v>SEP-21</v>
      </c>
      <c r="M3" s="25" t="str">
        <f ca="1">UPPER(TEXT(DATE(FYStartYear,FYMonthNo+9,1),"mmm-yy"))</f>
        <v>OCT-21</v>
      </c>
      <c r="N3" s="25" t="str">
        <f ca="1">UPPER(TEXT(DATE(FYStartYear,FYMonthNo+10,1),"mmm-yy"))</f>
        <v>NOV-21</v>
      </c>
      <c r="O3" s="25" t="str">
        <f ca="1">UPPER(TEXT(DATE(FYStartYear,FYMonthNo+11,1),"mmm-yy"))</f>
        <v>DEC-21</v>
      </c>
      <c r="P3" s="25" t="s">
        <v>34</v>
      </c>
      <c r="Q3" s="25" t="s">
        <v>33</v>
      </c>
      <c r="R3" s="25" t="str">
        <f ca="1">LEFT(D3,3)&amp;" %"</f>
        <v>JAN %</v>
      </c>
      <c r="S3" s="25" t="str">
        <f t="shared" ref="S3:AC3" ca="1" si="0">LEFT(E3,3)&amp;" %"</f>
        <v>FEB %</v>
      </c>
      <c r="T3" s="25" t="str">
        <f t="shared" ca="1" si="0"/>
        <v>MAR %</v>
      </c>
      <c r="U3" s="25" t="str">
        <f t="shared" ca="1" si="0"/>
        <v>APR %</v>
      </c>
      <c r="V3" s="25" t="str">
        <f t="shared" ca="1" si="0"/>
        <v>MAY %</v>
      </c>
      <c r="W3" s="25" t="str">
        <f t="shared" ca="1" si="0"/>
        <v>JUN %</v>
      </c>
      <c r="X3" s="25" t="str">
        <f t="shared" ca="1" si="0"/>
        <v>JUL %</v>
      </c>
      <c r="Y3" s="25" t="str">
        <f t="shared" ca="1" si="0"/>
        <v>AUG %</v>
      </c>
      <c r="Z3" s="25" t="str">
        <f t="shared" ca="1" si="0"/>
        <v>SEP %</v>
      </c>
      <c r="AA3" s="25" t="str">
        <f t="shared" ca="1" si="0"/>
        <v>OCT %</v>
      </c>
      <c r="AB3" s="25" t="str">
        <f t="shared" ca="1" si="0"/>
        <v>NOV %</v>
      </c>
      <c r="AC3" s="25" t="str">
        <f t="shared" ca="1" si="0"/>
        <v>DEC %</v>
      </c>
      <c r="AD3" s="25" t="s">
        <v>35</v>
      </c>
    </row>
    <row r="4" spans="1:30" ht="30" customHeight="1">
      <c r="B4" s="35" t="s">
        <v>29</v>
      </c>
      <c r="C4" s="35" t="s">
        <v>25</v>
      </c>
      <c r="D4" s="27" t="s">
        <v>77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0</v>
      </c>
      <c r="Q4" s="28" t="s">
        <v>63</v>
      </c>
      <c r="R4" s="28" t="s">
        <v>64</v>
      </c>
      <c r="S4" s="28" t="s">
        <v>65</v>
      </c>
      <c r="T4" s="28" t="s">
        <v>66</v>
      </c>
      <c r="U4" s="28" t="s">
        <v>67</v>
      </c>
      <c r="V4" s="28" t="s">
        <v>68</v>
      </c>
      <c r="W4" s="28" t="s">
        <v>69</v>
      </c>
      <c r="X4" s="28" t="s">
        <v>70</v>
      </c>
      <c r="Y4" s="28" t="s">
        <v>71</v>
      </c>
      <c r="Z4" s="28" t="s">
        <v>72</v>
      </c>
      <c r="AA4" s="28" t="s">
        <v>73</v>
      </c>
      <c r="AB4" s="28" t="s">
        <v>74</v>
      </c>
      <c r="AC4" s="28" t="s">
        <v>75</v>
      </c>
      <c r="AD4" s="27" t="s">
        <v>76</v>
      </c>
    </row>
    <row r="5" spans="1:30" ht="30" customHeight="1">
      <c r="B5" s="18" t="s">
        <v>2</v>
      </c>
      <c r="C5" s="43" t="s">
        <v>20</v>
      </c>
      <c r="D5" s="30">
        <v>10</v>
      </c>
      <c r="E5" s="30">
        <v>18</v>
      </c>
      <c r="F5" s="30">
        <v>13</v>
      </c>
      <c r="G5" s="30">
        <v>8</v>
      </c>
      <c r="H5" s="30">
        <v>22</v>
      </c>
      <c r="I5" s="30">
        <v>18</v>
      </c>
      <c r="J5" s="30">
        <v>8</v>
      </c>
      <c r="K5" s="30">
        <v>17</v>
      </c>
      <c r="L5" s="30">
        <v>20</v>
      </c>
      <c r="M5" s="30">
        <v>8</v>
      </c>
      <c r="N5" s="30">
        <v>4</v>
      </c>
      <c r="O5" s="30">
        <v>12</v>
      </c>
      <c r="P5" s="44">
        <f>SUM(tblExpenses[[#This Row],[Column1]:[Dec]])</f>
        <v>158</v>
      </c>
      <c r="Q5" s="31">
        <v>0.12</v>
      </c>
      <c r="R5" s="45">
        <f>tblExpenses[[#This Row],[Column1]]/tblExpenses[[#Totals],[Column1]]</f>
        <v>4.2372881355932202E-2</v>
      </c>
      <c r="S5" s="45">
        <f>tblExpenses[[#This Row],[Feb]]/tblExpenses[[#Totals],[Feb]]</f>
        <v>8.7804878048780483E-2</v>
      </c>
      <c r="T5" s="45">
        <f>tblExpenses[[#This Row],[Mar]]/tblExpenses[[#Totals],[Mar]]</f>
        <v>5.2208835341365459E-2</v>
      </c>
      <c r="U5" s="45">
        <f>tblExpenses[[#This Row],[Apr]]/tblExpenses[[#Totals],[Apr]]</f>
        <v>3.0651340996168581E-2</v>
      </c>
      <c r="V5" s="45">
        <f>tblExpenses[[#This Row],[May]]/tblExpenses[[#Totals],[May]]</f>
        <v>8.5603112840466927E-2</v>
      </c>
      <c r="W5" s="45">
        <f>tblExpenses[[#This Row],[Jun]]/tblExpenses[[#Totals],[Jun]]</f>
        <v>6.569343065693431E-2</v>
      </c>
      <c r="X5" s="45">
        <f>tblExpenses[[#This Row],[Jul]]/tblExpenses[[#Totals],[Jul]]</f>
        <v>3.007518796992481E-2</v>
      </c>
      <c r="Y5" s="45">
        <f>tblExpenses[[#This Row],[Aug]]/tblExpenses[[#Totals],[Aug]]</f>
        <v>7.2340425531914887E-2</v>
      </c>
      <c r="Z5" s="45">
        <f>tblExpenses[[#This Row],[Sep]]/tblExpenses[[#Totals],[Sep]]</f>
        <v>8.6956521739130432E-2</v>
      </c>
      <c r="AA5" s="45">
        <f>tblExpenses[[#This Row],[Oct]]/tblExpenses[[#Totals],[Oct]]</f>
        <v>3.0888030888030889E-2</v>
      </c>
      <c r="AB5" s="45">
        <f>tblExpenses[[#This Row],[Nov]]/tblExpenses[[#Totals],[Nov]]</f>
        <v>1.3513513513513514E-2</v>
      </c>
      <c r="AC5" s="45">
        <f>tblExpenses[[#This Row],[Dec]]/tblExpenses[[#Totals],[Dec]]</f>
        <v>5.1948051948051951E-2</v>
      </c>
      <c r="AD5" s="45">
        <f>tblExpenses[[#This Row],[Yearly]]/tblExpenses[[#Totals],[Yearly]]</f>
        <v>5.2684228076025338E-2</v>
      </c>
    </row>
    <row r="6" spans="1:30" ht="30" customHeight="1">
      <c r="B6" s="18" t="s">
        <v>3</v>
      </c>
      <c r="C6" s="43" t="s">
        <v>20</v>
      </c>
      <c r="D6" s="30">
        <v>23</v>
      </c>
      <c r="E6" s="30">
        <v>11</v>
      </c>
      <c r="F6" s="30">
        <v>7</v>
      </c>
      <c r="G6" s="30">
        <v>14</v>
      </c>
      <c r="H6" s="30">
        <v>12</v>
      </c>
      <c r="I6" s="30">
        <v>19</v>
      </c>
      <c r="J6" s="30">
        <v>19</v>
      </c>
      <c r="K6" s="30">
        <v>4</v>
      </c>
      <c r="L6" s="30">
        <v>7</v>
      </c>
      <c r="M6" s="30">
        <v>13</v>
      </c>
      <c r="N6" s="30">
        <v>25</v>
      </c>
      <c r="O6" s="30">
        <v>5</v>
      </c>
      <c r="P6" s="44">
        <f>SUM(tblExpenses[[#This Row],[Column1]:[Dec]])</f>
        <v>159</v>
      </c>
      <c r="Q6" s="31">
        <v>0.09</v>
      </c>
      <c r="R6" s="45">
        <f>tblExpenses[[#This Row],[Column1]]/tblExpenses[[#Totals],[Column1]]</f>
        <v>9.7457627118644072E-2</v>
      </c>
      <c r="S6" s="45">
        <f>tblExpenses[[#This Row],[Feb]]/tblExpenses[[#Totals],[Feb]]</f>
        <v>5.3658536585365853E-2</v>
      </c>
      <c r="T6" s="45">
        <f>tblExpenses[[#This Row],[Mar]]/tblExpenses[[#Totals],[Mar]]</f>
        <v>2.8112449799196786E-2</v>
      </c>
      <c r="U6" s="45">
        <f>tblExpenses[[#This Row],[Apr]]/tblExpenses[[#Totals],[Apr]]</f>
        <v>5.3639846743295021E-2</v>
      </c>
      <c r="V6" s="45">
        <f>tblExpenses[[#This Row],[May]]/tblExpenses[[#Totals],[May]]</f>
        <v>4.6692607003891051E-2</v>
      </c>
      <c r="W6" s="45">
        <f>tblExpenses[[#This Row],[Jun]]/tblExpenses[[#Totals],[Jun]]</f>
        <v>6.9343065693430656E-2</v>
      </c>
      <c r="X6" s="45">
        <f>tblExpenses[[#This Row],[Jul]]/tblExpenses[[#Totals],[Jul]]</f>
        <v>7.1428571428571425E-2</v>
      </c>
      <c r="Y6" s="45">
        <f>tblExpenses[[#This Row],[Aug]]/tblExpenses[[#Totals],[Aug]]</f>
        <v>1.7021276595744681E-2</v>
      </c>
      <c r="Z6" s="45">
        <f>tblExpenses[[#This Row],[Sep]]/tblExpenses[[#Totals],[Sep]]</f>
        <v>3.0434782608695653E-2</v>
      </c>
      <c r="AA6" s="45">
        <f>tblExpenses[[#This Row],[Oct]]/tblExpenses[[#Totals],[Oct]]</f>
        <v>5.019305019305019E-2</v>
      </c>
      <c r="AB6" s="45">
        <f>tblExpenses[[#This Row],[Nov]]/tblExpenses[[#Totals],[Nov]]</f>
        <v>8.4459459459459457E-2</v>
      </c>
      <c r="AC6" s="45">
        <f>tblExpenses[[#This Row],[Dec]]/tblExpenses[[#Totals],[Dec]]</f>
        <v>2.1645021645021644E-2</v>
      </c>
      <c r="AD6" s="45">
        <f>tblExpenses[[#This Row],[Yearly]]/tblExpenses[[#Totals],[Yearly]]</f>
        <v>5.3017672557519172E-2</v>
      </c>
    </row>
    <row r="7" spans="1:30" ht="30" customHeight="1">
      <c r="B7" s="18" t="s">
        <v>4</v>
      </c>
      <c r="C7" s="43" t="s">
        <v>20</v>
      </c>
      <c r="D7" s="30">
        <v>23</v>
      </c>
      <c r="E7" s="30">
        <v>20</v>
      </c>
      <c r="F7" s="30">
        <v>3</v>
      </c>
      <c r="G7" s="30">
        <v>16</v>
      </c>
      <c r="H7" s="30">
        <v>10</v>
      </c>
      <c r="I7" s="30">
        <v>5</v>
      </c>
      <c r="J7" s="30">
        <v>20</v>
      </c>
      <c r="K7" s="30">
        <v>7</v>
      </c>
      <c r="L7" s="30">
        <v>4</v>
      </c>
      <c r="M7" s="30">
        <v>22</v>
      </c>
      <c r="N7" s="30">
        <v>13</v>
      </c>
      <c r="O7" s="30">
        <v>14</v>
      </c>
      <c r="P7" s="44">
        <f>SUM(tblExpenses[[#This Row],[Column1]:[Dec]])</f>
        <v>157</v>
      </c>
      <c r="Q7" s="31">
        <v>0.02</v>
      </c>
      <c r="R7" s="45">
        <f>tblExpenses[[#This Row],[Column1]]/tblExpenses[[#Totals],[Column1]]</f>
        <v>9.7457627118644072E-2</v>
      </c>
      <c r="S7" s="45">
        <f>tblExpenses[[#This Row],[Feb]]/tblExpenses[[#Totals],[Feb]]</f>
        <v>9.7560975609756101E-2</v>
      </c>
      <c r="T7" s="45">
        <f>tblExpenses[[#This Row],[Mar]]/tblExpenses[[#Totals],[Mar]]</f>
        <v>1.2048192771084338E-2</v>
      </c>
      <c r="U7" s="45">
        <f>tblExpenses[[#This Row],[Apr]]/tblExpenses[[#Totals],[Apr]]</f>
        <v>6.1302681992337162E-2</v>
      </c>
      <c r="V7" s="45">
        <f>tblExpenses[[#This Row],[May]]/tblExpenses[[#Totals],[May]]</f>
        <v>3.8910505836575876E-2</v>
      </c>
      <c r="W7" s="45">
        <f>tblExpenses[[#This Row],[Jun]]/tblExpenses[[#Totals],[Jun]]</f>
        <v>1.824817518248175E-2</v>
      </c>
      <c r="X7" s="45">
        <f>tblExpenses[[#This Row],[Jul]]/tblExpenses[[#Totals],[Jul]]</f>
        <v>7.5187969924812026E-2</v>
      </c>
      <c r="Y7" s="45">
        <f>tblExpenses[[#This Row],[Aug]]/tblExpenses[[#Totals],[Aug]]</f>
        <v>2.9787234042553193E-2</v>
      </c>
      <c r="Z7" s="45">
        <f>tblExpenses[[#This Row],[Sep]]/tblExpenses[[#Totals],[Sep]]</f>
        <v>1.7391304347826087E-2</v>
      </c>
      <c r="AA7" s="45">
        <f>tblExpenses[[#This Row],[Oct]]/tblExpenses[[#Totals],[Oct]]</f>
        <v>8.4942084942084939E-2</v>
      </c>
      <c r="AB7" s="45">
        <f>tblExpenses[[#This Row],[Nov]]/tblExpenses[[#Totals],[Nov]]</f>
        <v>4.3918918918918921E-2</v>
      </c>
      <c r="AC7" s="45">
        <f>tblExpenses[[#This Row],[Dec]]/tblExpenses[[#Totals],[Dec]]</f>
        <v>6.0606060606060608E-2</v>
      </c>
      <c r="AD7" s="45">
        <f>tblExpenses[[#This Row],[Yearly]]/tblExpenses[[#Totals],[Yearly]]</f>
        <v>5.2350783594531512E-2</v>
      </c>
    </row>
    <row r="8" spans="1:30" ht="30" customHeight="1">
      <c r="B8" s="18" t="s">
        <v>5</v>
      </c>
      <c r="C8" s="43" t="s">
        <v>20</v>
      </c>
      <c r="D8" s="30">
        <v>19</v>
      </c>
      <c r="E8" s="30">
        <v>4</v>
      </c>
      <c r="F8" s="30">
        <v>7</v>
      </c>
      <c r="G8" s="30">
        <v>14</v>
      </c>
      <c r="H8" s="30">
        <v>22</v>
      </c>
      <c r="I8" s="30">
        <v>10</v>
      </c>
      <c r="J8" s="30">
        <v>22</v>
      </c>
      <c r="K8" s="30">
        <v>5</v>
      </c>
      <c r="L8" s="30">
        <v>4</v>
      </c>
      <c r="M8" s="30">
        <v>12</v>
      </c>
      <c r="N8" s="30">
        <v>18</v>
      </c>
      <c r="O8" s="30">
        <v>24</v>
      </c>
      <c r="P8" s="44">
        <f>SUM(tblExpenses[[#This Row],[Column1]:[Dec]])</f>
        <v>161</v>
      </c>
      <c r="Q8" s="31">
        <v>0.08</v>
      </c>
      <c r="R8" s="45">
        <f>tblExpenses[[#This Row],[Column1]]/tblExpenses[[#Totals],[Column1]]</f>
        <v>8.050847457627118E-2</v>
      </c>
      <c r="S8" s="45">
        <f>tblExpenses[[#This Row],[Feb]]/tblExpenses[[#Totals],[Feb]]</f>
        <v>1.9512195121951219E-2</v>
      </c>
      <c r="T8" s="45">
        <f>tblExpenses[[#This Row],[Mar]]/tblExpenses[[#Totals],[Mar]]</f>
        <v>2.8112449799196786E-2</v>
      </c>
      <c r="U8" s="45">
        <f>tblExpenses[[#This Row],[Apr]]/tblExpenses[[#Totals],[Apr]]</f>
        <v>5.3639846743295021E-2</v>
      </c>
      <c r="V8" s="45">
        <f>tblExpenses[[#This Row],[May]]/tblExpenses[[#Totals],[May]]</f>
        <v>8.5603112840466927E-2</v>
      </c>
      <c r="W8" s="45">
        <f>tblExpenses[[#This Row],[Jun]]/tblExpenses[[#Totals],[Jun]]</f>
        <v>3.6496350364963501E-2</v>
      </c>
      <c r="X8" s="45">
        <f>tblExpenses[[#This Row],[Jul]]/tblExpenses[[#Totals],[Jul]]</f>
        <v>8.2706766917293228E-2</v>
      </c>
      <c r="Y8" s="45">
        <f>tblExpenses[[#This Row],[Aug]]/tblExpenses[[#Totals],[Aug]]</f>
        <v>2.1276595744680851E-2</v>
      </c>
      <c r="Z8" s="45">
        <f>tblExpenses[[#This Row],[Sep]]/tblExpenses[[#Totals],[Sep]]</f>
        <v>1.7391304347826087E-2</v>
      </c>
      <c r="AA8" s="45">
        <f>tblExpenses[[#This Row],[Oct]]/tblExpenses[[#Totals],[Oct]]</f>
        <v>4.633204633204633E-2</v>
      </c>
      <c r="AB8" s="45">
        <f>tblExpenses[[#This Row],[Nov]]/tblExpenses[[#Totals],[Nov]]</f>
        <v>6.0810810810810814E-2</v>
      </c>
      <c r="AC8" s="45">
        <f>tblExpenses[[#This Row],[Dec]]/tblExpenses[[#Totals],[Dec]]</f>
        <v>0.1038961038961039</v>
      </c>
      <c r="AD8" s="45">
        <f>tblExpenses[[#This Row],[Yearly]]/tblExpenses[[#Totals],[Yearly]]</f>
        <v>5.3684561520506838E-2</v>
      </c>
    </row>
    <row r="9" spans="1:30" ht="30" customHeight="1">
      <c r="B9" s="18" t="s">
        <v>6</v>
      </c>
      <c r="C9" s="43" t="s">
        <v>20</v>
      </c>
      <c r="D9" s="30">
        <v>11</v>
      </c>
      <c r="E9" s="30">
        <v>11</v>
      </c>
      <c r="F9" s="30">
        <v>17</v>
      </c>
      <c r="G9" s="30">
        <v>12</v>
      </c>
      <c r="H9" s="30">
        <v>2</v>
      </c>
      <c r="I9" s="30">
        <v>14</v>
      </c>
      <c r="J9" s="30">
        <v>12</v>
      </c>
      <c r="K9" s="30">
        <v>10</v>
      </c>
      <c r="L9" s="30">
        <v>18</v>
      </c>
      <c r="M9" s="30">
        <v>11</v>
      </c>
      <c r="N9" s="30">
        <v>23</v>
      </c>
      <c r="O9" s="30">
        <v>11</v>
      </c>
      <c r="P9" s="44">
        <f>SUM(tblExpenses[[#This Row],[Column1]:[Dec]])</f>
        <v>152</v>
      </c>
      <c r="Q9" s="31">
        <v>0.03</v>
      </c>
      <c r="R9" s="45">
        <f>tblExpenses[[#This Row],[Column1]]/tblExpenses[[#Totals],[Column1]]</f>
        <v>4.6610169491525424E-2</v>
      </c>
      <c r="S9" s="45">
        <f>tblExpenses[[#This Row],[Feb]]/tblExpenses[[#Totals],[Feb]]</f>
        <v>5.3658536585365853E-2</v>
      </c>
      <c r="T9" s="45">
        <f>tblExpenses[[#This Row],[Mar]]/tblExpenses[[#Totals],[Mar]]</f>
        <v>6.8273092369477914E-2</v>
      </c>
      <c r="U9" s="45">
        <f>tblExpenses[[#This Row],[Apr]]/tblExpenses[[#Totals],[Apr]]</f>
        <v>4.5977011494252873E-2</v>
      </c>
      <c r="V9" s="45">
        <f>tblExpenses[[#This Row],[May]]/tblExpenses[[#Totals],[May]]</f>
        <v>7.7821011673151752E-3</v>
      </c>
      <c r="W9" s="45">
        <f>tblExpenses[[#This Row],[Jun]]/tblExpenses[[#Totals],[Jun]]</f>
        <v>5.1094890510948905E-2</v>
      </c>
      <c r="X9" s="45">
        <f>tblExpenses[[#This Row],[Jul]]/tblExpenses[[#Totals],[Jul]]</f>
        <v>4.5112781954887216E-2</v>
      </c>
      <c r="Y9" s="45">
        <f>tblExpenses[[#This Row],[Aug]]/tblExpenses[[#Totals],[Aug]]</f>
        <v>4.2553191489361701E-2</v>
      </c>
      <c r="Z9" s="45">
        <f>tblExpenses[[#This Row],[Sep]]/tblExpenses[[#Totals],[Sep]]</f>
        <v>7.8260869565217397E-2</v>
      </c>
      <c r="AA9" s="45">
        <f>tblExpenses[[#This Row],[Oct]]/tblExpenses[[#Totals],[Oct]]</f>
        <v>4.2471042471042469E-2</v>
      </c>
      <c r="AB9" s="45">
        <f>tblExpenses[[#This Row],[Nov]]/tblExpenses[[#Totals],[Nov]]</f>
        <v>7.77027027027027E-2</v>
      </c>
      <c r="AC9" s="45">
        <f>tblExpenses[[#This Row],[Dec]]/tblExpenses[[#Totals],[Dec]]</f>
        <v>4.7619047619047616E-2</v>
      </c>
      <c r="AD9" s="45">
        <f>tblExpenses[[#This Row],[Yearly]]/tblExpenses[[#Totals],[Yearly]]</f>
        <v>5.0683561187062354E-2</v>
      </c>
    </row>
    <row r="10" spans="1:30" ht="30" customHeight="1">
      <c r="B10" s="18" t="s">
        <v>7</v>
      </c>
      <c r="C10" s="43" t="s">
        <v>20</v>
      </c>
      <c r="D10" s="30">
        <v>2</v>
      </c>
      <c r="E10" s="30">
        <v>16</v>
      </c>
      <c r="F10" s="30">
        <v>6</v>
      </c>
      <c r="G10" s="30">
        <v>13</v>
      </c>
      <c r="H10" s="30">
        <v>11</v>
      </c>
      <c r="I10" s="30">
        <v>22</v>
      </c>
      <c r="J10" s="30">
        <v>21</v>
      </c>
      <c r="K10" s="30">
        <v>3</v>
      </c>
      <c r="L10" s="30">
        <v>12</v>
      </c>
      <c r="M10" s="30">
        <v>7</v>
      </c>
      <c r="N10" s="30">
        <v>17</v>
      </c>
      <c r="O10" s="30">
        <v>20</v>
      </c>
      <c r="P10" s="44">
        <f>SUM(tblExpenses[[#This Row],[Column1]:[Dec]])</f>
        <v>150</v>
      </c>
      <c r="Q10" s="31">
        <v>0.15</v>
      </c>
      <c r="R10" s="45">
        <f>tblExpenses[[#This Row],[Column1]]/tblExpenses[[#Totals],[Column1]]</f>
        <v>8.4745762711864406E-3</v>
      </c>
      <c r="S10" s="45">
        <f>tblExpenses[[#This Row],[Feb]]/tblExpenses[[#Totals],[Feb]]</f>
        <v>7.8048780487804878E-2</v>
      </c>
      <c r="T10" s="45">
        <f>tblExpenses[[#This Row],[Mar]]/tblExpenses[[#Totals],[Mar]]</f>
        <v>2.4096385542168676E-2</v>
      </c>
      <c r="U10" s="45">
        <f>tblExpenses[[#This Row],[Apr]]/tblExpenses[[#Totals],[Apr]]</f>
        <v>4.9808429118773943E-2</v>
      </c>
      <c r="V10" s="45">
        <f>tblExpenses[[#This Row],[May]]/tblExpenses[[#Totals],[May]]</f>
        <v>4.2801556420233464E-2</v>
      </c>
      <c r="W10" s="45">
        <f>tblExpenses[[#This Row],[Jun]]/tblExpenses[[#Totals],[Jun]]</f>
        <v>8.0291970802919707E-2</v>
      </c>
      <c r="X10" s="45">
        <f>tblExpenses[[#This Row],[Jul]]/tblExpenses[[#Totals],[Jul]]</f>
        <v>7.8947368421052627E-2</v>
      </c>
      <c r="Y10" s="45">
        <f>tblExpenses[[#This Row],[Aug]]/tblExpenses[[#Totals],[Aug]]</f>
        <v>1.276595744680851E-2</v>
      </c>
      <c r="Z10" s="45">
        <f>tblExpenses[[#This Row],[Sep]]/tblExpenses[[#Totals],[Sep]]</f>
        <v>5.2173913043478258E-2</v>
      </c>
      <c r="AA10" s="45">
        <f>tblExpenses[[#This Row],[Oct]]/tblExpenses[[#Totals],[Oct]]</f>
        <v>2.7027027027027029E-2</v>
      </c>
      <c r="AB10" s="45">
        <f>tblExpenses[[#This Row],[Nov]]/tblExpenses[[#Totals],[Nov]]</f>
        <v>5.7432432432432436E-2</v>
      </c>
      <c r="AC10" s="45">
        <f>tblExpenses[[#This Row],[Dec]]/tblExpenses[[#Totals],[Dec]]</f>
        <v>8.6580086580086577E-2</v>
      </c>
      <c r="AD10" s="45">
        <f>tblExpenses[[#This Row],[Yearly]]/tblExpenses[[#Totals],[Yearly]]</f>
        <v>5.0016672224074694E-2</v>
      </c>
    </row>
    <row r="11" spans="1:30" ht="30" customHeight="1">
      <c r="B11" s="18" t="s">
        <v>8</v>
      </c>
      <c r="C11" s="43" t="s">
        <v>20</v>
      </c>
      <c r="D11" s="30">
        <v>8</v>
      </c>
      <c r="E11" s="30">
        <v>17</v>
      </c>
      <c r="F11" s="30">
        <v>11</v>
      </c>
      <c r="G11" s="30">
        <v>11</v>
      </c>
      <c r="H11" s="30">
        <v>21</v>
      </c>
      <c r="I11" s="30">
        <v>9</v>
      </c>
      <c r="J11" s="30">
        <v>20</v>
      </c>
      <c r="K11" s="30">
        <v>3</v>
      </c>
      <c r="L11" s="30">
        <v>14</v>
      </c>
      <c r="M11" s="30">
        <v>22</v>
      </c>
      <c r="N11" s="30">
        <v>16</v>
      </c>
      <c r="O11" s="30">
        <v>12</v>
      </c>
      <c r="P11" s="44">
        <f>SUM(tblExpenses[[#This Row],[Column1]:[Dec]])</f>
        <v>164</v>
      </c>
      <c r="Q11" s="31">
        <v>0.12</v>
      </c>
      <c r="R11" s="45">
        <f>tblExpenses[[#This Row],[Column1]]/tblExpenses[[#Totals],[Column1]]</f>
        <v>3.3898305084745763E-2</v>
      </c>
      <c r="S11" s="45">
        <f>tblExpenses[[#This Row],[Feb]]/tblExpenses[[#Totals],[Feb]]</f>
        <v>8.2926829268292687E-2</v>
      </c>
      <c r="T11" s="45">
        <f>tblExpenses[[#This Row],[Mar]]/tblExpenses[[#Totals],[Mar]]</f>
        <v>4.4176706827309238E-2</v>
      </c>
      <c r="U11" s="45">
        <f>tblExpenses[[#This Row],[Apr]]/tblExpenses[[#Totals],[Apr]]</f>
        <v>4.2145593869731802E-2</v>
      </c>
      <c r="V11" s="45">
        <f>tblExpenses[[#This Row],[May]]/tblExpenses[[#Totals],[May]]</f>
        <v>8.171206225680934E-2</v>
      </c>
      <c r="W11" s="45">
        <f>tblExpenses[[#This Row],[Jun]]/tblExpenses[[#Totals],[Jun]]</f>
        <v>3.2846715328467155E-2</v>
      </c>
      <c r="X11" s="45">
        <f>tblExpenses[[#This Row],[Jul]]/tblExpenses[[#Totals],[Jul]]</f>
        <v>7.5187969924812026E-2</v>
      </c>
      <c r="Y11" s="45">
        <f>tblExpenses[[#This Row],[Aug]]/tblExpenses[[#Totals],[Aug]]</f>
        <v>1.276595744680851E-2</v>
      </c>
      <c r="Z11" s="45">
        <f>tblExpenses[[#This Row],[Sep]]/tblExpenses[[#Totals],[Sep]]</f>
        <v>6.0869565217391307E-2</v>
      </c>
      <c r="AA11" s="45">
        <f>tblExpenses[[#This Row],[Oct]]/tblExpenses[[#Totals],[Oct]]</f>
        <v>8.4942084942084939E-2</v>
      </c>
      <c r="AB11" s="45">
        <f>tblExpenses[[#This Row],[Nov]]/tblExpenses[[#Totals],[Nov]]</f>
        <v>5.4054054054054057E-2</v>
      </c>
      <c r="AC11" s="45">
        <f>tblExpenses[[#This Row],[Dec]]/tblExpenses[[#Totals],[Dec]]</f>
        <v>5.1948051948051951E-2</v>
      </c>
      <c r="AD11" s="45">
        <f>tblExpenses[[#This Row],[Yearly]]/tblExpenses[[#Totals],[Yearly]]</f>
        <v>5.468489496498833E-2</v>
      </c>
    </row>
    <row r="12" spans="1:30" ht="30" customHeight="1">
      <c r="B12" s="18" t="s">
        <v>9</v>
      </c>
      <c r="C12" s="43" t="s">
        <v>20</v>
      </c>
      <c r="D12" s="30">
        <v>5</v>
      </c>
      <c r="E12" s="30">
        <v>13</v>
      </c>
      <c r="F12" s="30">
        <v>6</v>
      </c>
      <c r="G12" s="30">
        <v>15</v>
      </c>
      <c r="H12" s="30">
        <v>19</v>
      </c>
      <c r="I12" s="30">
        <v>10</v>
      </c>
      <c r="J12" s="30">
        <v>12</v>
      </c>
      <c r="K12" s="30">
        <v>9</v>
      </c>
      <c r="L12" s="30">
        <v>15</v>
      </c>
      <c r="M12" s="30">
        <v>16</v>
      </c>
      <c r="N12" s="30">
        <v>4</v>
      </c>
      <c r="O12" s="30">
        <v>9</v>
      </c>
      <c r="P12" s="44">
        <f>SUM(tblExpenses[[#This Row],[Column1]:[Dec]])</f>
        <v>133</v>
      </c>
      <c r="Q12" s="31">
        <v>0.09</v>
      </c>
      <c r="R12" s="45">
        <f>tblExpenses[[#This Row],[Column1]]/tblExpenses[[#Totals],[Column1]]</f>
        <v>2.1186440677966101E-2</v>
      </c>
      <c r="S12" s="45">
        <f>tblExpenses[[#This Row],[Feb]]/tblExpenses[[#Totals],[Feb]]</f>
        <v>6.3414634146341464E-2</v>
      </c>
      <c r="T12" s="45">
        <f>tblExpenses[[#This Row],[Mar]]/tblExpenses[[#Totals],[Mar]]</f>
        <v>2.4096385542168676E-2</v>
      </c>
      <c r="U12" s="45">
        <f>tblExpenses[[#This Row],[Apr]]/tblExpenses[[#Totals],[Apr]]</f>
        <v>5.7471264367816091E-2</v>
      </c>
      <c r="V12" s="45">
        <f>tblExpenses[[#This Row],[May]]/tblExpenses[[#Totals],[May]]</f>
        <v>7.3929961089494164E-2</v>
      </c>
      <c r="W12" s="45">
        <f>tblExpenses[[#This Row],[Jun]]/tblExpenses[[#Totals],[Jun]]</f>
        <v>3.6496350364963501E-2</v>
      </c>
      <c r="X12" s="45">
        <f>tblExpenses[[#This Row],[Jul]]/tblExpenses[[#Totals],[Jul]]</f>
        <v>4.5112781954887216E-2</v>
      </c>
      <c r="Y12" s="45">
        <f>tblExpenses[[#This Row],[Aug]]/tblExpenses[[#Totals],[Aug]]</f>
        <v>3.8297872340425532E-2</v>
      </c>
      <c r="Z12" s="45">
        <f>tblExpenses[[#This Row],[Sep]]/tblExpenses[[#Totals],[Sep]]</f>
        <v>6.5217391304347824E-2</v>
      </c>
      <c r="AA12" s="45">
        <f>tblExpenses[[#This Row],[Oct]]/tblExpenses[[#Totals],[Oct]]</f>
        <v>6.1776061776061778E-2</v>
      </c>
      <c r="AB12" s="45">
        <f>tblExpenses[[#This Row],[Nov]]/tblExpenses[[#Totals],[Nov]]</f>
        <v>1.3513513513513514E-2</v>
      </c>
      <c r="AC12" s="45">
        <f>tblExpenses[[#This Row],[Dec]]/tblExpenses[[#Totals],[Dec]]</f>
        <v>3.896103896103896E-2</v>
      </c>
      <c r="AD12" s="45">
        <f>tblExpenses[[#This Row],[Yearly]]/tblExpenses[[#Totals],[Yearly]]</f>
        <v>4.4348116038679559E-2</v>
      </c>
    </row>
    <row r="13" spans="1:30" ht="30" customHeight="1">
      <c r="B13" s="18" t="s">
        <v>10</v>
      </c>
      <c r="C13" s="43" t="s">
        <v>20</v>
      </c>
      <c r="D13" s="30">
        <v>8</v>
      </c>
      <c r="E13" s="30">
        <v>4</v>
      </c>
      <c r="F13" s="30">
        <v>23</v>
      </c>
      <c r="G13" s="30">
        <v>25</v>
      </c>
      <c r="H13" s="30">
        <v>10</v>
      </c>
      <c r="I13" s="30">
        <v>24</v>
      </c>
      <c r="J13" s="30">
        <v>22</v>
      </c>
      <c r="K13" s="30">
        <v>5</v>
      </c>
      <c r="L13" s="30">
        <v>12</v>
      </c>
      <c r="M13" s="30">
        <v>24</v>
      </c>
      <c r="N13" s="30">
        <v>24</v>
      </c>
      <c r="O13" s="30">
        <v>12</v>
      </c>
      <c r="P13" s="44">
        <f>SUM(tblExpenses[[#This Row],[Column1]:[Dec]])</f>
        <v>193</v>
      </c>
      <c r="Q13" s="31">
        <v>0.01</v>
      </c>
      <c r="R13" s="45">
        <f>tblExpenses[[#This Row],[Column1]]/tblExpenses[[#Totals],[Column1]]</f>
        <v>3.3898305084745763E-2</v>
      </c>
      <c r="S13" s="45">
        <f>tblExpenses[[#This Row],[Feb]]/tblExpenses[[#Totals],[Feb]]</f>
        <v>1.9512195121951219E-2</v>
      </c>
      <c r="T13" s="45">
        <f>tblExpenses[[#This Row],[Mar]]/tblExpenses[[#Totals],[Mar]]</f>
        <v>9.2369477911646583E-2</v>
      </c>
      <c r="U13" s="45">
        <f>tblExpenses[[#This Row],[Apr]]/tblExpenses[[#Totals],[Apr]]</f>
        <v>9.5785440613026823E-2</v>
      </c>
      <c r="V13" s="45">
        <f>tblExpenses[[#This Row],[May]]/tblExpenses[[#Totals],[May]]</f>
        <v>3.8910505836575876E-2</v>
      </c>
      <c r="W13" s="45">
        <f>tblExpenses[[#This Row],[Jun]]/tblExpenses[[#Totals],[Jun]]</f>
        <v>8.7591240875912413E-2</v>
      </c>
      <c r="X13" s="45">
        <f>tblExpenses[[#This Row],[Jul]]/tblExpenses[[#Totals],[Jul]]</f>
        <v>8.2706766917293228E-2</v>
      </c>
      <c r="Y13" s="45">
        <f>tblExpenses[[#This Row],[Aug]]/tblExpenses[[#Totals],[Aug]]</f>
        <v>2.1276595744680851E-2</v>
      </c>
      <c r="Z13" s="45">
        <f>tblExpenses[[#This Row],[Sep]]/tblExpenses[[#Totals],[Sep]]</f>
        <v>5.2173913043478258E-2</v>
      </c>
      <c r="AA13" s="45">
        <f>tblExpenses[[#This Row],[Oct]]/tblExpenses[[#Totals],[Oct]]</f>
        <v>9.2664092664092659E-2</v>
      </c>
      <c r="AB13" s="45">
        <f>tblExpenses[[#This Row],[Nov]]/tblExpenses[[#Totals],[Nov]]</f>
        <v>8.1081081081081086E-2</v>
      </c>
      <c r="AC13" s="45">
        <f>tblExpenses[[#This Row],[Dec]]/tblExpenses[[#Totals],[Dec]]</f>
        <v>5.1948051948051951E-2</v>
      </c>
      <c r="AD13" s="45">
        <f>tblExpenses[[#This Row],[Yearly]]/tblExpenses[[#Totals],[Yearly]]</f>
        <v>6.4354784928309441E-2</v>
      </c>
    </row>
    <row r="14" spans="1:30" ht="30" customHeight="1">
      <c r="B14" s="18" t="s">
        <v>11</v>
      </c>
      <c r="C14" s="43" t="s">
        <v>20</v>
      </c>
      <c r="D14" s="30">
        <v>25</v>
      </c>
      <c r="E14" s="30">
        <v>2</v>
      </c>
      <c r="F14" s="30">
        <v>12</v>
      </c>
      <c r="G14" s="30">
        <v>25</v>
      </c>
      <c r="H14" s="30">
        <v>10</v>
      </c>
      <c r="I14" s="30">
        <v>24</v>
      </c>
      <c r="J14" s="30">
        <v>3</v>
      </c>
      <c r="K14" s="30">
        <v>20</v>
      </c>
      <c r="L14" s="30">
        <v>3</v>
      </c>
      <c r="M14" s="30">
        <v>9</v>
      </c>
      <c r="N14" s="30">
        <v>20</v>
      </c>
      <c r="O14" s="30">
        <v>18</v>
      </c>
      <c r="P14" s="44">
        <f>SUM(tblExpenses[[#This Row],[Column1]:[Dec]])</f>
        <v>171</v>
      </c>
      <c r="Q14" s="31">
        <v>0.01</v>
      </c>
      <c r="R14" s="45">
        <f>tblExpenses[[#This Row],[Column1]]/tblExpenses[[#Totals],[Column1]]</f>
        <v>0.1059322033898305</v>
      </c>
      <c r="S14" s="45">
        <f>tblExpenses[[#This Row],[Feb]]/tblExpenses[[#Totals],[Feb]]</f>
        <v>9.7560975609756097E-3</v>
      </c>
      <c r="T14" s="45">
        <f>tblExpenses[[#This Row],[Mar]]/tblExpenses[[#Totals],[Mar]]</f>
        <v>4.8192771084337352E-2</v>
      </c>
      <c r="U14" s="45">
        <f>tblExpenses[[#This Row],[Apr]]/tblExpenses[[#Totals],[Apr]]</f>
        <v>9.5785440613026823E-2</v>
      </c>
      <c r="V14" s="45">
        <f>tblExpenses[[#This Row],[May]]/tblExpenses[[#Totals],[May]]</f>
        <v>3.8910505836575876E-2</v>
      </c>
      <c r="W14" s="45">
        <f>tblExpenses[[#This Row],[Jun]]/tblExpenses[[#Totals],[Jun]]</f>
        <v>8.7591240875912413E-2</v>
      </c>
      <c r="X14" s="45">
        <f>tblExpenses[[#This Row],[Jul]]/tblExpenses[[#Totals],[Jul]]</f>
        <v>1.1278195488721804E-2</v>
      </c>
      <c r="Y14" s="45">
        <f>tblExpenses[[#This Row],[Aug]]/tblExpenses[[#Totals],[Aug]]</f>
        <v>8.5106382978723402E-2</v>
      </c>
      <c r="Z14" s="45">
        <f>tblExpenses[[#This Row],[Sep]]/tblExpenses[[#Totals],[Sep]]</f>
        <v>1.3043478260869565E-2</v>
      </c>
      <c r="AA14" s="45">
        <f>tblExpenses[[#This Row],[Oct]]/tblExpenses[[#Totals],[Oct]]</f>
        <v>3.4749034749034749E-2</v>
      </c>
      <c r="AB14" s="45">
        <f>tblExpenses[[#This Row],[Nov]]/tblExpenses[[#Totals],[Nov]]</f>
        <v>6.7567567567567571E-2</v>
      </c>
      <c r="AC14" s="45">
        <f>tblExpenses[[#This Row],[Dec]]/tblExpenses[[#Totals],[Dec]]</f>
        <v>7.792207792207792E-2</v>
      </c>
      <c r="AD14" s="45">
        <f>tblExpenses[[#This Row],[Yearly]]/tblExpenses[[#Totals],[Yearly]]</f>
        <v>5.7019006335445148E-2</v>
      </c>
    </row>
    <row r="15" spans="1:30" ht="30" customHeight="1">
      <c r="B15" s="18" t="s">
        <v>12</v>
      </c>
      <c r="C15" s="43" t="s">
        <v>20</v>
      </c>
      <c r="D15" s="30">
        <v>16</v>
      </c>
      <c r="E15" s="30">
        <v>19</v>
      </c>
      <c r="F15" s="30">
        <v>9</v>
      </c>
      <c r="G15" s="30">
        <v>16</v>
      </c>
      <c r="H15" s="30">
        <v>13</v>
      </c>
      <c r="I15" s="30">
        <v>2</v>
      </c>
      <c r="J15" s="30">
        <v>4</v>
      </c>
      <c r="K15" s="30">
        <v>24</v>
      </c>
      <c r="L15" s="30">
        <v>16</v>
      </c>
      <c r="M15" s="30">
        <v>22</v>
      </c>
      <c r="N15" s="30">
        <v>7</v>
      </c>
      <c r="O15" s="30">
        <v>18</v>
      </c>
      <c r="P15" s="44">
        <f>SUM(tblExpenses[[#This Row],[Column1]:[Dec]])</f>
        <v>166</v>
      </c>
      <c r="Q15" s="31">
        <v>0.01</v>
      </c>
      <c r="R15" s="45">
        <f>tblExpenses[[#This Row],[Column1]]/tblExpenses[[#Totals],[Column1]]</f>
        <v>6.7796610169491525E-2</v>
      </c>
      <c r="S15" s="45">
        <f>tblExpenses[[#This Row],[Feb]]/tblExpenses[[#Totals],[Feb]]</f>
        <v>9.2682926829268292E-2</v>
      </c>
      <c r="T15" s="45">
        <f>tblExpenses[[#This Row],[Mar]]/tblExpenses[[#Totals],[Mar]]</f>
        <v>3.614457831325301E-2</v>
      </c>
      <c r="U15" s="45">
        <f>tblExpenses[[#This Row],[Apr]]/tblExpenses[[#Totals],[Apr]]</f>
        <v>6.1302681992337162E-2</v>
      </c>
      <c r="V15" s="45">
        <f>tblExpenses[[#This Row],[May]]/tblExpenses[[#Totals],[May]]</f>
        <v>5.0583657587548639E-2</v>
      </c>
      <c r="W15" s="45">
        <f>tblExpenses[[#This Row],[Jun]]/tblExpenses[[#Totals],[Jun]]</f>
        <v>7.2992700729927005E-3</v>
      </c>
      <c r="X15" s="45">
        <f>tblExpenses[[#This Row],[Jul]]/tblExpenses[[#Totals],[Jul]]</f>
        <v>1.5037593984962405E-2</v>
      </c>
      <c r="Y15" s="45">
        <f>tblExpenses[[#This Row],[Aug]]/tblExpenses[[#Totals],[Aug]]</f>
        <v>0.10212765957446808</v>
      </c>
      <c r="Z15" s="45">
        <f>tblExpenses[[#This Row],[Sep]]/tblExpenses[[#Totals],[Sep]]</f>
        <v>6.9565217391304349E-2</v>
      </c>
      <c r="AA15" s="45">
        <f>tblExpenses[[#This Row],[Oct]]/tblExpenses[[#Totals],[Oct]]</f>
        <v>8.4942084942084939E-2</v>
      </c>
      <c r="AB15" s="45">
        <f>tblExpenses[[#This Row],[Nov]]/tblExpenses[[#Totals],[Nov]]</f>
        <v>2.364864864864865E-2</v>
      </c>
      <c r="AC15" s="45">
        <f>tblExpenses[[#This Row],[Dec]]/tblExpenses[[#Totals],[Dec]]</f>
        <v>7.792207792207792E-2</v>
      </c>
      <c r="AD15" s="45">
        <f>tblExpenses[[#This Row],[Yearly]]/tblExpenses[[#Totals],[Yearly]]</f>
        <v>5.5351783927975989E-2</v>
      </c>
    </row>
    <row r="16" spans="1:30" ht="30" customHeight="1">
      <c r="B16" s="18" t="s">
        <v>13</v>
      </c>
      <c r="C16" s="43" t="s">
        <v>20</v>
      </c>
      <c r="D16" s="30">
        <v>12</v>
      </c>
      <c r="E16" s="30">
        <v>9</v>
      </c>
      <c r="F16" s="30">
        <v>16</v>
      </c>
      <c r="G16" s="30">
        <v>19</v>
      </c>
      <c r="H16" s="30">
        <v>25</v>
      </c>
      <c r="I16" s="30">
        <v>17</v>
      </c>
      <c r="J16" s="30">
        <v>20</v>
      </c>
      <c r="K16" s="30">
        <v>14</v>
      </c>
      <c r="L16" s="30">
        <v>5</v>
      </c>
      <c r="M16" s="30">
        <v>14</v>
      </c>
      <c r="N16" s="30">
        <v>5</v>
      </c>
      <c r="O16" s="30">
        <v>2</v>
      </c>
      <c r="P16" s="44">
        <f>SUM(tblExpenses[[#This Row],[Column1]:[Dec]])</f>
        <v>158</v>
      </c>
      <c r="Q16" s="31">
        <v>0.01</v>
      </c>
      <c r="R16" s="45">
        <f>tblExpenses[[#This Row],[Column1]]/tblExpenses[[#Totals],[Column1]]</f>
        <v>5.0847457627118647E-2</v>
      </c>
      <c r="S16" s="45">
        <f>tblExpenses[[#This Row],[Feb]]/tblExpenses[[#Totals],[Feb]]</f>
        <v>4.3902439024390241E-2</v>
      </c>
      <c r="T16" s="45">
        <f>tblExpenses[[#This Row],[Mar]]/tblExpenses[[#Totals],[Mar]]</f>
        <v>6.4257028112449793E-2</v>
      </c>
      <c r="U16" s="45">
        <f>tblExpenses[[#This Row],[Apr]]/tblExpenses[[#Totals],[Apr]]</f>
        <v>7.2796934865900387E-2</v>
      </c>
      <c r="V16" s="45">
        <f>tblExpenses[[#This Row],[May]]/tblExpenses[[#Totals],[May]]</f>
        <v>9.727626459143969E-2</v>
      </c>
      <c r="W16" s="45">
        <f>tblExpenses[[#This Row],[Jun]]/tblExpenses[[#Totals],[Jun]]</f>
        <v>6.2043795620437957E-2</v>
      </c>
      <c r="X16" s="45">
        <f>tblExpenses[[#This Row],[Jul]]/tblExpenses[[#Totals],[Jul]]</f>
        <v>7.5187969924812026E-2</v>
      </c>
      <c r="Y16" s="45">
        <f>tblExpenses[[#This Row],[Aug]]/tblExpenses[[#Totals],[Aug]]</f>
        <v>5.9574468085106386E-2</v>
      </c>
      <c r="Z16" s="45">
        <f>tblExpenses[[#This Row],[Sep]]/tblExpenses[[#Totals],[Sep]]</f>
        <v>2.1739130434782608E-2</v>
      </c>
      <c r="AA16" s="45">
        <f>tblExpenses[[#This Row],[Oct]]/tblExpenses[[#Totals],[Oct]]</f>
        <v>5.4054054054054057E-2</v>
      </c>
      <c r="AB16" s="45">
        <f>tblExpenses[[#This Row],[Nov]]/tblExpenses[[#Totals],[Nov]]</f>
        <v>1.6891891891891893E-2</v>
      </c>
      <c r="AC16" s="45">
        <f>tblExpenses[[#This Row],[Dec]]/tblExpenses[[#Totals],[Dec]]</f>
        <v>8.658008658008658E-3</v>
      </c>
      <c r="AD16" s="45">
        <f>tblExpenses[[#This Row],[Yearly]]/tblExpenses[[#Totals],[Yearly]]</f>
        <v>5.2684228076025338E-2</v>
      </c>
    </row>
    <row r="17" spans="1:30" ht="30" customHeight="1">
      <c r="B17" s="18" t="s">
        <v>14</v>
      </c>
      <c r="C17" s="43" t="s">
        <v>20</v>
      </c>
      <c r="D17" s="30">
        <v>16</v>
      </c>
      <c r="E17" s="30">
        <v>13</v>
      </c>
      <c r="F17" s="30">
        <v>10</v>
      </c>
      <c r="G17" s="30">
        <v>7</v>
      </c>
      <c r="H17" s="30">
        <v>13</v>
      </c>
      <c r="I17" s="30">
        <v>3</v>
      </c>
      <c r="J17" s="30">
        <v>13</v>
      </c>
      <c r="K17" s="30">
        <v>17</v>
      </c>
      <c r="L17" s="30">
        <v>9</v>
      </c>
      <c r="M17" s="30">
        <v>4</v>
      </c>
      <c r="N17" s="30">
        <v>22</v>
      </c>
      <c r="O17" s="30">
        <v>18</v>
      </c>
      <c r="P17" s="44">
        <f>SUM(tblExpenses[[#This Row],[Column1]:[Dec]])</f>
        <v>145</v>
      </c>
      <c r="Q17" s="31">
        <v>0.14000000000000001</v>
      </c>
      <c r="R17" s="45">
        <f>tblExpenses[[#This Row],[Column1]]/tblExpenses[[#Totals],[Column1]]</f>
        <v>6.7796610169491525E-2</v>
      </c>
      <c r="S17" s="45">
        <f>tblExpenses[[#This Row],[Feb]]/tblExpenses[[#Totals],[Feb]]</f>
        <v>6.3414634146341464E-2</v>
      </c>
      <c r="T17" s="45">
        <f>tblExpenses[[#This Row],[Mar]]/tblExpenses[[#Totals],[Mar]]</f>
        <v>4.0160642570281124E-2</v>
      </c>
      <c r="U17" s="45">
        <f>tblExpenses[[#This Row],[Apr]]/tblExpenses[[#Totals],[Apr]]</f>
        <v>2.681992337164751E-2</v>
      </c>
      <c r="V17" s="45">
        <f>tblExpenses[[#This Row],[May]]/tblExpenses[[#Totals],[May]]</f>
        <v>5.0583657587548639E-2</v>
      </c>
      <c r="W17" s="45">
        <f>tblExpenses[[#This Row],[Jun]]/tblExpenses[[#Totals],[Jun]]</f>
        <v>1.0948905109489052E-2</v>
      </c>
      <c r="X17" s="45">
        <f>tblExpenses[[#This Row],[Jul]]/tblExpenses[[#Totals],[Jul]]</f>
        <v>4.8872180451127817E-2</v>
      </c>
      <c r="Y17" s="45">
        <f>tblExpenses[[#This Row],[Aug]]/tblExpenses[[#Totals],[Aug]]</f>
        <v>7.2340425531914887E-2</v>
      </c>
      <c r="Z17" s="45">
        <f>tblExpenses[[#This Row],[Sep]]/tblExpenses[[#Totals],[Sep]]</f>
        <v>3.9130434782608699E-2</v>
      </c>
      <c r="AA17" s="45">
        <f>tblExpenses[[#This Row],[Oct]]/tblExpenses[[#Totals],[Oct]]</f>
        <v>1.5444015444015444E-2</v>
      </c>
      <c r="AB17" s="45">
        <f>tblExpenses[[#This Row],[Nov]]/tblExpenses[[#Totals],[Nov]]</f>
        <v>7.4324324324324328E-2</v>
      </c>
      <c r="AC17" s="45">
        <f>tblExpenses[[#This Row],[Dec]]/tblExpenses[[#Totals],[Dec]]</f>
        <v>7.792207792207792E-2</v>
      </c>
      <c r="AD17" s="45">
        <f>tblExpenses[[#This Row],[Yearly]]/tblExpenses[[#Totals],[Yearly]]</f>
        <v>4.8349449816605536E-2</v>
      </c>
    </row>
    <row r="18" spans="1:30" ht="30" customHeight="1">
      <c r="B18" s="18" t="s">
        <v>15</v>
      </c>
      <c r="C18" s="43" t="s">
        <v>20</v>
      </c>
      <c r="D18" s="30">
        <v>3</v>
      </c>
      <c r="E18" s="30">
        <v>2</v>
      </c>
      <c r="F18" s="30">
        <v>19</v>
      </c>
      <c r="G18" s="30">
        <v>21</v>
      </c>
      <c r="H18" s="30">
        <v>13</v>
      </c>
      <c r="I18" s="30">
        <v>9</v>
      </c>
      <c r="J18" s="30">
        <v>7</v>
      </c>
      <c r="K18" s="30">
        <v>13</v>
      </c>
      <c r="L18" s="30">
        <v>3</v>
      </c>
      <c r="M18" s="30">
        <v>6</v>
      </c>
      <c r="N18" s="30">
        <v>10</v>
      </c>
      <c r="O18" s="30">
        <v>13</v>
      </c>
      <c r="P18" s="44">
        <f>SUM(tblExpenses[[#This Row],[Column1]:[Dec]])</f>
        <v>119</v>
      </c>
      <c r="Q18" s="31">
        <v>0.06</v>
      </c>
      <c r="R18" s="45">
        <f>tblExpenses[[#This Row],[Column1]]/tblExpenses[[#Totals],[Column1]]</f>
        <v>1.2711864406779662E-2</v>
      </c>
      <c r="S18" s="45">
        <f>tblExpenses[[#This Row],[Feb]]/tblExpenses[[#Totals],[Feb]]</f>
        <v>9.7560975609756097E-3</v>
      </c>
      <c r="T18" s="45">
        <f>tblExpenses[[#This Row],[Mar]]/tblExpenses[[#Totals],[Mar]]</f>
        <v>7.6305220883534142E-2</v>
      </c>
      <c r="U18" s="45">
        <f>tblExpenses[[#This Row],[Apr]]/tblExpenses[[#Totals],[Apr]]</f>
        <v>8.0459770114942528E-2</v>
      </c>
      <c r="V18" s="45">
        <f>tblExpenses[[#This Row],[May]]/tblExpenses[[#Totals],[May]]</f>
        <v>5.0583657587548639E-2</v>
      </c>
      <c r="W18" s="45">
        <f>tblExpenses[[#This Row],[Jun]]/tblExpenses[[#Totals],[Jun]]</f>
        <v>3.2846715328467155E-2</v>
      </c>
      <c r="X18" s="45">
        <f>tblExpenses[[#This Row],[Jul]]/tblExpenses[[#Totals],[Jul]]</f>
        <v>2.6315789473684209E-2</v>
      </c>
      <c r="Y18" s="45">
        <f>tblExpenses[[#This Row],[Aug]]/tblExpenses[[#Totals],[Aug]]</f>
        <v>5.5319148936170209E-2</v>
      </c>
      <c r="Z18" s="45">
        <f>tblExpenses[[#This Row],[Sep]]/tblExpenses[[#Totals],[Sep]]</f>
        <v>1.3043478260869565E-2</v>
      </c>
      <c r="AA18" s="45">
        <f>tblExpenses[[#This Row],[Oct]]/tblExpenses[[#Totals],[Oct]]</f>
        <v>2.3166023166023165E-2</v>
      </c>
      <c r="AB18" s="45">
        <f>tblExpenses[[#This Row],[Nov]]/tblExpenses[[#Totals],[Nov]]</f>
        <v>3.3783783783783786E-2</v>
      </c>
      <c r="AC18" s="45">
        <f>tblExpenses[[#This Row],[Dec]]/tblExpenses[[#Totals],[Dec]]</f>
        <v>5.627705627705628E-2</v>
      </c>
      <c r="AD18" s="45">
        <f>tblExpenses[[#This Row],[Yearly]]/tblExpenses[[#Totals],[Yearly]]</f>
        <v>3.9679893297765924E-2</v>
      </c>
    </row>
    <row r="19" spans="1:30" ht="30" customHeight="1">
      <c r="B19" s="18" t="s">
        <v>16</v>
      </c>
      <c r="C19" s="43" t="s">
        <v>20</v>
      </c>
      <c r="D19" s="30">
        <v>8</v>
      </c>
      <c r="E19" s="30">
        <v>7</v>
      </c>
      <c r="F19" s="30">
        <v>6</v>
      </c>
      <c r="G19" s="30">
        <v>7</v>
      </c>
      <c r="H19" s="30">
        <v>7</v>
      </c>
      <c r="I19" s="30">
        <v>6</v>
      </c>
      <c r="J19" s="30">
        <v>15</v>
      </c>
      <c r="K19" s="30">
        <v>23</v>
      </c>
      <c r="L19" s="30">
        <v>21</v>
      </c>
      <c r="M19" s="30">
        <v>16</v>
      </c>
      <c r="N19" s="30">
        <v>19</v>
      </c>
      <c r="O19" s="30">
        <v>7</v>
      </c>
      <c r="P19" s="44">
        <f>SUM(tblExpenses[[#This Row],[Column1]:[Dec]])</f>
        <v>142</v>
      </c>
      <c r="Q19" s="31">
        <v>0.01</v>
      </c>
      <c r="R19" s="45">
        <f>tblExpenses[[#This Row],[Column1]]/tblExpenses[[#Totals],[Column1]]</f>
        <v>3.3898305084745763E-2</v>
      </c>
      <c r="S19" s="45">
        <f>tblExpenses[[#This Row],[Feb]]/tblExpenses[[#Totals],[Feb]]</f>
        <v>3.4146341463414637E-2</v>
      </c>
      <c r="T19" s="45">
        <f>tblExpenses[[#This Row],[Mar]]/tblExpenses[[#Totals],[Mar]]</f>
        <v>2.4096385542168676E-2</v>
      </c>
      <c r="U19" s="45">
        <f>tblExpenses[[#This Row],[Apr]]/tblExpenses[[#Totals],[Apr]]</f>
        <v>2.681992337164751E-2</v>
      </c>
      <c r="V19" s="45">
        <f>tblExpenses[[#This Row],[May]]/tblExpenses[[#Totals],[May]]</f>
        <v>2.7237354085603113E-2</v>
      </c>
      <c r="W19" s="45">
        <f>tblExpenses[[#This Row],[Jun]]/tblExpenses[[#Totals],[Jun]]</f>
        <v>2.1897810218978103E-2</v>
      </c>
      <c r="X19" s="45">
        <f>tblExpenses[[#This Row],[Jul]]/tblExpenses[[#Totals],[Jul]]</f>
        <v>5.6390977443609019E-2</v>
      </c>
      <c r="Y19" s="45">
        <f>tblExpenses[[#This Row],[Aug]]/tblExpenses[[#Totals],[Aug]]</f>
        <v>9.7872340425531917E-2</v>
      </c>
      <c r="Z19" s="45">
        <f>tblExpenses[[#This Row],[Sep]]/tblExpenses[[#Totals],[Sep]]</f>
        <v>9.1304347826086957E-2</v>
      </c>
      <c r="AA19" s="45">
        <f>tblExpenses[[#This Row],[Oct]]/tblExpenses[[#Totals],[Oct]]</f>
        <v>6.1776061776061778E-2</v>
      </c>
      <c r="AB19" s="45">
        <f>tblExpenses[[#This Row],[Nov]]/tblExpenses[[#Totals],[Nov]]</f>
        <v>6.4189189189189186E-2</v>
      </c>
      <c r="AC19" s="45">
        <f>tblExpenses[[#This Row],[Dec]]/tblExpenses[[#Totals],[Dec]]</f>
        <v>3.0303030303030304E-2</v>
      </c>
      <c r="AD19" s="45">
        <f>tblExpenses[[#This Row],[Yearly]]/tblExpenses[[#Totals],[Yearly]]</f>
        <v>4.7349116372124044E-2</v>
      </c>
    </row>
    <row r="20" spans="1:30" ht="30" customHeight="1">
      <c r="B20" s="18" t="s">
        <v>17</v>
      </c>
      <c r="C20" s="43" t="s">
        <v>20</v>
      </c>
      <c r="D20" s="30">
        <v>14</v>
      </c>
      <c r="E20" s="30">
        <v>4</v>
      </c>
      <c r="F20" s="30">
        <v>24</v>
      </c>
      <c r="G20" s="30">
        <v>6</v>
      </c>
      <c r="H20" s="30">
        <v>20</v>
      </c>
      <c r="I20" s="30">
        <v>14</v>
      </c>
      <c r="J20" s="30">
        <v>21</v>
      </c>
      <c r="K20" s="30">
        <v>20</v>
      </c>
      <c r="L20" s="30">
        <v>22</v>
      </c>
      <c r="M20" s="30">
        <v>3</v>
      </c>
      <c r="N20" s="30">
        <v>14</v>
      </c>
      <c r="O20" s="30">
        <v>6</v>
      </c>
      <c r="P20" s="44">
        <f>SUM(tblExpenses[[#This Row],[Column1]:[Dec]])</f>
        <v>168</v>
      </c>
      <c r="Q20" s="31">
        <v>0.01</v>
      </c>
      <c r="R20" s="45">
        <f>tblExpenses[[#This Row],[Column1]]/tblExpenses[[#Totals],[Column1]]</f>
        <v>5.9322033898305086E-2</v>
      </c>
      <c r="S20" s="45">
        <f>tblExpenses[[#This Row],[Feb]]/tblExpenses[[#Totals],[Feb]]</f>
        <v>1.9512195121951219E-2</v>
      </c>
      <c r="T20" s="45">
        <f>tblExpenses[[#This Row],[Mar]]/tblExpenses[[#Totals],[Mar]]</f>
        <v>9.6385542168674704E-2</v>
      </c>
      <c r="U20" s="45">
        <f>tblExpenses[[#This Row],[Apr]]/tblExpenses[[#Totals],[Apr]]</f>
        <v>2.2988505747126436E-2</v>
      </c>
      <c r="V20" s="45">
        <f>tblExpenses[[#This Row],[May]]/tblExpenses[[#Totals],[May]]</f>
        <v>7.7821011673151752E-2</v>
      </c>
      <c r="W20" s="45">
        <f>tblExpenses[[#This Row],[Jun]]/tblExpenses[[#Totals],[Jun]]</f>
        <v>5.1094890510948905E-2</v>
      </c>
      <c r="X20" s="45">
        <f>tblExpenses[[#This Row],[Jul]]/tblExpenses[[#Totals],[Jul]]</f>
        <v>7.8947368421052627E-2</v>
      </c>
      <c r="Y20" s="45">
        <f>tblExpenses[[#This Row],[Aug]]/tblExpenses[[#Totals],[Aug]]</f>
        <v>8.5106382978723402E-2</v>
      </c>
      <c r="Z20" s="45">
        <f>tblExpenses[[#This Row],[Sep]]/tblExpenses[[#Totals],[Sep]]</f>
        <v>9.5652173913043481E-2</v>
      </c>
      <c r="AA20" s="45">
        <f>tblExpenses[[#This Row],[Oct]]/tblExpenses[[#Totals],[Oct]]</f>
        <v>1.1583011583011582E-2</v>
      </c>
      <c r="AB20" s="45">
        <f>tblExpenses[[#This Row],[Nov]]/tblExpenses[[#Totals],[Nov]]</f>
        <v>4.72972972972973E-2</v>
      </c>
      <c r="AC20" s="45">
        <f>tblExpenses[[#This Row],[Dec]]/tblExpenses[[#Totals],[Dec]]</f>
        <v>2.5974025974025976E-2</v>
      </c>
      <c r="AD20" s="45">
        <f>tblExpenses[[#This Row],[Yearly]]/tblExpenses[[#Totals],[Yearly]]</f>
        <v>5.6018672890963656E-2</v>
      </c>
    </row>
    <row r="21" spans="1:30" ht="30" customHeight="1">
      <c r="B21" s="18" t="s">
        <v>17</v>
      </c>
      <c r="C21" s="43" t="s">
        <v>20</v>
      </c>
      <c r="D21" s="30">
        <v>14</v>
      </c>
      <c r="E21" s="30">
        <v>7</v>
      </c>
      <c r="F21" s="30">
        <v>24</v>
      </c>
      <c r="G21" s="30">
        <v>10</v>
      </c>
      <c r="H21" s="30">
        <v>7</v>
      </c>
      <c r="I21" s="30">
        <v>24</v>
      </c>
      <c r="J21" s="30">
        <v>2</v>
      </c>
      <c r="K21" s="30">
        <v>11</v>
      </c>
      <c r="L21" s="30">
        <v>21</v>
      </c>
      <c r="M21" s="30">
        <v>19</v>
      </c>
      <c r="N21" s="30">
        <v>19</v>
      </c>
      <c r="O21" s="30">
        <v>20</v>
      </c>
      <c r="P21" s="44">
        <f>SUM(tblExpenses[[#This Row],[Column1]:[Dec]])</f>
        <v>178</v>
      </c>
      <c r="Q21" s="31">
        <v>0.01</v>
      </c>
      <c r="R21" s="45">
        <f>tblExpenses[[#This Row],[Column1]]/tblExpenses[[#Totals],[Column1]]</f>
        <v>5.9322033898305086E-2</v>
      </c>
      <c r="S21" s="45">
        <f>tblExpenses[[#This Row],[Feb]]/tblExpenses[[#Totals],[Feb]]</f>
        <v>3.4146341463414637E-2</v>
      </c>
      <c r="T21" s="45">
        <f>tblExpenses[[#This Row],[Mar]]/tblExpenses[[#Totals],[Mar]]</f>
        <v>9.6385542168674704E-2</v>
      </c>
      <c r="U21" s="45">
        <f>tblExpenses[[#This Row],[Apr]]/tblExpenses[[#Totals],[Apr]]</f>
        <v>3.8314176245210725E-2</v>
      </c>
      <c r="V21" s="45">
        <f>tblExpenses[[#This Row],[May]]/tblExpenses[[#Totals],[May]]</f>
        <v>2.7237354085603113E-2</v>
      </c>
      <c r="W21" s="45">
        <f>tblExpenses[[#This Row],[Jun]]/tblExpenses[[#Totals],[Jun]]</f>
        <v>8.7591240875912413E-2</v>
      </c>
      <c r="X21" s="45">
        <f>tblExpenses[[#This Row],[Jul]]/tblExpenses[[#Totals],[Jul]]</f>
        <v>7.5187969924812026E-3</v>
      </c>
      <c r="Y21" s="45">
        <f>tblExpenses[[#This Row],[Aug]]/tblExpenses[[#Totals],[Aug]]</f>
        <v>4.6808510638297871E-2</v>
      </c>
      <c r="Z21" s="45">
        <f>tblExpenses[[#This Row],[Sep]]/tblExpenses[[#Totals],[Sep]]</f>
        <v>9.1304347826086957E-2</v>
      </c>
      <c r="AA21" s="45">
        <f>tblExpenses[[#This Row],[Oct]]/tblExpenses[[#Totals],[Oct]]</f>
        <v>7.3359073359073365E-2</v>
      </c>
      <c r="AB21" s="45">
        <f>tblExpenses[[#This Row],[Nov]]/tblExpenses[[#Totals],[Nov]]</f>
        <v>6.4189189189189186E-2</v>
      </c>
      <c r="AC21" s="45">
        <f>tblExpenses[[#This Row],[Dec]]/tblExpenses[[#Totals],[Dec]]</f>
        <v>8.6580086580086577E-2</v>
      </c>
      <c r="AD21" s="45">
        <f>tblExpenses[[#This Row],[Yearly]]/tblExpenses[[#Totals],[Yearly]]</f>
        <v>5.9353117705901966E-2</v>
      </c>
    </row>
    <row r="22" spans="1:30" ht="30" customHeight="1">
      <c r="A22" s="1"/>
      <c r="B22" s="18" t="s">
        <v>17</v>
      </c>
      <c r="C22" s="43" t="s">
        <v>20</v>
      </c>
      <c r="D22" s="30">
        <v>11</v>
      </c>
      <c r="E22" s="30">
        <v>8</v>
      </c>
      <c r="F22" s="30">
        <v>25</v>
      </c>
      <c r="G22" s="30">
        <v>11</v>
      </c>
      <c r="H22" s="30">
        <v>9</v>
      </c>
      <c r="I22" s="30">
        <v>24</v>
      </c>
      <c r="J22" s="30">
        <v>13</v>
      </c>
      <c r="K22" s="30">
        <v>14</v>
      </c>
      <c r="L22" s="30">
        <v>19</v>
      </c>
      <c r="M22" s="30">
        <v>24</v>
      </c>
      <c r="N22" s="30">
        <v>15</v>
      </c>
      <c r="O22" s="30">
        <v>7</v>
      </c>
      <c r="P22" s="44">
        <f>SUM(tblExpenses[[#This Row],[Column1]:[Dec]])</f>
        <v>180</v>
      </c>
      <c r="Q22" s="31">
        <v>0.01</v>
      </c>
      <c r="R22" s="45">
        <f>tblExpenses[[#This Row],[Column1]]/tblExpenses[[#Totals],[Column1]]</f>
        <v>4.6610169491525424E-2</v>
      </c>
      <c r="S22" s="45">
        <f>tblExpenses[[#This Row],[Feb]]/tblExpenses[[#Totals],[Feb]]</f>
        <v>3.9024390243902439E-2</v>
      </c>
      <c r="T22" s="45">
        <f>tblExpenses[[#This Row],[Mar]]/tblExpenses[[#Totals],[Mar]]</f>
        <v>0.10040160642570281</v>
      </c>
      <c r="U22" s="45">
        <f>tblExpenses[[#This Row],[Apr]]/tblExpenses[[#Totals],[Apr]]</f>
        <v>4.2145593869731802E-2</v>
      </c>
      <c r="V22" s="45">
        <f>tblExpenses[[#This Row],[May]]/tblExpenses[[#Totals],[May]]</f>
        <v>3.5019455252918288E-2</v>
      </c>
      <c r="W22" s="45">
        <f>tblExpenses[[#This Row],[Jun]]/tblExpenses[[#Totals],[Jun]]</f>
        <v>8.7591240875912413E-2</v>
      </c>
      <c r="X22" s="45">
        <f>tblExpenses[[#This Row],[Jul]]/tblExpenses[[#Totals],[Jul]]</f>
        <v>4.8872180451127817E-2</v>
      </c>
      <c r="Y22" s="45">
        <f>tblExpenses[[#This Row],[Aug]]/tblExpenses[[#Totals],[Aug]]</f>
        <v>5.9574468085106386E-2</v>
      </c>
      <c r="Z22" s="45">
        <f>tblExpenses[[#This Row],[Sep]]/tblExpenses[[#Totals],[Sep]]</f>
        <v>8.2608695652173908E-2</v>
      </c>
      <c r="AA22" s="45">
        <f>tblExpenses[[#This Row],[Oct]]/tblExpenses[[#Totals],[Oct]]</f>
        <v>9.2664092664092659E-2</v>
      </c>
      <c r="AB22" s="45">
        <f>tblExpenses[[#This Row],[Nov]]/tblExpenses[[#Totals],[Nov]]</f>
        <v>5.0675675675675678E-2</v>
      </c>
      <c r="AC22" s="45">
        <f>tblExpenses[[#This Row],[Dec]]/tblExpenses[[#Totals],[Dec]]</f>
        <v>3.0303030303030304E-2</v>
      </c>
      <c r="AD22" s="45">
        <f>tblExpenses[[#This Row],[Yearly]]/tblExpenses[[#Totals],[Yearly]]</f>
        <v>6.0020006668889632E-2</v>
      </c>
    </row>
    <row r="23" spans="1:30" ht="30" customHeight="1">
      <c r="A23" s="3"/>
      <c r="B23" s="18" t="s">
        <v>18</v>
      </c>
      <c r="C23" s="43" t="s">
        <v>20</v>
      </c>
      <c r="D23" s="30">
        <v>8</v>
      </c>
      <c r="E23" s="30">
        <v>20</v>
      </c>
      <c r="F23" s="30">
        <v>11</v>
      </c>
      <c r="G23" s="30">
        <v>11</v>
      </c>
      <c r="H23" s="30">
        <v>11</v>
      </c>
      <c r="I23" s="30">
        <v>20</v>
      </c>
      <c r="J23" s="30">
        <v>12</v>
      </c>
      <c r="K23" s="30">
        <v>16</v>
      </c>
      <c r="L23" s="30">
        <v>5</v>
      </c>
      <c r="M23" s="30">
        <v>7</v>
      </c>
      <c r="N23" s="30">
        <v>21</v>
      </c>
      <c r="O23" s="30">
        <v>3</v>
      </c>
      <c r="P23" s="44">
        <f>SUM(tblExpenses[[#This Row],[Column1]:[Dec]])</f>
        <v>145</v>
      </c>
      <c r="Q23" s="31">
        <v>0.02</v>
      </c>
      <c r="R23" s="45">
        <f>tblExpenses[[#This Row],[Column1]]/tblExpenses[[#Totals],[Column1]]</f>
        <v>3.3898305084745763E-2</v>
      </c>
      <c r="S23" s="45">
        <f>tblExpenses[[#This Row],[Feb]]/tblExpenses[[#Totals],[Feb]]</f>
        <v>9.7560975609756101E-2</v>
      </c>
      <c r="T23" s="45">
        <f>tblExpenses[[#This Row],[Mar]]/tblExpenses[[#Totals],[Mar]]</f>
        <v>4.4176706827309238E-2</v>
      </c>
      <c r="U23" s="45">
        <f>tblExpenses[[#This Row],[Apr]]/tblExpenses[[#Totals],[Apr]]</f>
        <v>4.2145593869731802E-2</v>
      </c>
      <c r="V23" s="45">
        <f>tblExpenses[[#This Row],[May]]/tblExpenses[[#Totals],[May]]</f>
        <v>4.2801556420233464E-2</v>
      </c>
      <c r="W23" s="45">
        <f>tblExpenses[[#This Row],[Jun]]/tblExpenses[[#Totals],[Jun]]</f>
        <v>7.2992700729927001E-2</v>
      </c>
      <c r="X23" s="45">
        <f>tblExpenses[[#This Row],[Jul]]/tblExpenses[[#Totals],[Jul]]</f>
        <v>4.5112781954887216E-2</v>
      </c>
      <c r="Y23" s="45">
        <f>tblExpenses[[#This Row],[Aug]]/tblExpenses[[#Totals],[Aug]]</f>
        <v>6.8085106382978725E-2</v>
      </c>
      <c r="Z23" s="45">
        <f>tblExpenses[[#This Row],[Sep]]/tblExpenses[[#Totals],[Sep]]</f>
        <v>2.1739130434782608E-2</v>
      </c>
      <c r="AA23" s="45">
        <f>tblExpenses[[#This Row],[Oct]]/tblExpenses[[#Totals],[Oct]]</f>
        <v>2.7027027027027029E-2</v>
      </c>
      <c r="AB23" s="45">
        <f>tblExpenses[[#This Row],[Nov]]/tblExpenses[[#Totals],[Nov]]</f>
        <v>7.0945945945945943E-2</v>
      </c>
      <c r="AC23" s="45">
        <f>tblExpenses[[#This Row],[Dec]]/tblExpenses[[#Totals],[Dec]]</f>
        <v>1.2987012987012988E-2</v>
      </c>
      <c r="AD23" s="45">
        <f>tblExpenses[[#This Row],[Yearly]]/tblExpenses[[#Totals],[Yearly]]</f>
        <v>4.8349449816605536E-2</v>
      </c>
    </row>
    <row r="24" spans="1:30" s="14" customFormat="1" ht="30" customHeight="1">
      <c r="B24" s="10" t="s">
        <v>30</v>
      </c>
      <c r="C24" s="11" t="s">
        <v>20</v>
      </c>
      <c r="D24" s="12">
        <f>SUBTOTAL(109,[Column1])</f>
        <v>236</v>
      </c>
      <c r="E24" s="12">
        <f>SUBTOTAL(109,[Feb])</f>
        <v>205</v>
      </c>
      <c r="F24" s="12">
        <f>SUBTOTAL(109,[Mar])</f>
        <v>249</v>
      </c>
      <c r="G24" s="12">
        <f>SUBTOTAL(109,[Apr])</f>
        <v>261</v>
      </c>
      <c r="H24" s="12">
        <f>SUBTOTAL(109,[May])</f>
        <v>257</v>
      </c>
      <c r="I24" s="12">
        <f>SUBTOTAL(109,[Jun])</f>
        <v>274</v>
      </c>
      <c r="J24" s="12">
        <f>SUBTOTAL(109,[Jul])</f>
        <v>266</v>
      </c>
      <c r="K24" s="12">
        <f>SUBTOTAL(109,[Aug])</f>
        <v>235</v>
      </c>
      <c r="L24" s="12">
        <f>SUBTOTAL(109,[Sep])</f>
        <v>230</v>
      </c>
      <c r="M24" s="12">
        <f>SUBTOTAL(109,[Oct])</f>
        <v>259</v>
      </c>
      <c r="N24" s="12">
        <f>SUBTOTAL(109,[Nov])</f>
        <v>296</v>
      </c>
      <c r="O24" s="12">
        <f>SUBTOTAL(109,[Dec])</f>
        <v>231</v>
      </c>
      <c r="P24" s="12">
        <f>SUBTOTAL(109,[Yearly])</f>
        <v>2999</v>
      </c>
      <c r="Q24" s="34">
        <f>SUBTOTAL(109,[Index %])</f>
        <v>1</v>
      </c>
      <c r="R24" s="34">
        <f>SUBTOTAL(109,[Jan %])</f>
        <v>1</v>
      </c>
      <c r="S24" s="34">
        <f>SUBTOTAL(109,[Feb %])</f>
        <v>1.0000000000000002</v>
      </c>
      <c r="T24" s="34">
        <f>SUBTOTAL(109,[Mar %])</f>
        <v>1.0000000000000002</v>
      </c>
      <c r="U24" s="34">
        <f>SUBTOTAL(109,[Apr %])</f>
        <v>1</v>
      </c>
      <c r="V24" s="34">
        <f>SUBTOTAL(109,[May %])</f>
        <v>1.0000000000000002</v>
      </c>
      <c r="W24" s="34">
        <f>SUBTOTAL(109,[Jun %])</f>
        <v>1</v>
      </c>
      <c r="X24" s="34">
        <f>SUBTOTAL(109,[Jul %])</f>
        <v>1</v>
      </c>
      <c r="Y24" s="34">
        <f>SUBTOTAL(109,[Aug %])</f>
        <v>0.99999999999999989</v>
      </c>
      <c r="Z24" s="34">
        <f>SUBTOTAL(109,[Sep %])</f>
        <v>1</v>
      </c>
      <c r="AA24" s="34">
        <f>SUBTOTAL(109,[Oct %])</f>
        <v>1</v>
      </c>
      <c r="AB24" s="34">
        <f>SUBTOTAL(109,[Nov %])</f>
        <v>0.99999999999999989</v>
      </c>
      <c r="AC24" s="34">
        <f>SUBTOTAL(109,[Dec %])</f>
        <v>1</v>
      </c>
      <c r="AD24" s="34">
        <f>SUBTOTAL(109,[Year %])</f>
        <v>0.99999999999999989</v>
      </c>
    </row>
    <row r="25" spans="1:30" ht="30" customHeight="1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30" customHeight="1">
      <c r="B26" s="15" t="s">
        <v>19</v>
      </c>
      <c r="C26" s="15"/>
      <c r="D26" s="16">
        <f>'Cost of Sales'!$D$14-tblExpenses[[#Totals],[Column1]]</f>
        <v>123</v>
      </c>
      <c r="E26" s="16">
        <f>'Cost of Sales'!E14-tblExpenses[[#Totals],[Feb]]</f>
        <v>175</v>
      </c>
      <c r="F26" s="16">
        <f>'Cost of Sales'!F14-tblExpenses[[#Totals],[Mar]]</f>
        <v>256</v>
      </c>
      <c r="G26" s="16">
        <f>'Cost of Sales'!G14-tblExpenses[[#Totals],[Apr]]</f>
        <v>109</v>
      </c>
      <c r="H26" s="16">
        <f>'Cost of Sales'!H14-tblExpenses[[#Totals],[May]]</f>
        <v>156</v>
      </c>
      <c r="I26" s="16">
        <f>'Cost of Sales'!I14-tblExpenses[[#Totals],[Jun]]</f>
        <v>-8</v>
      </c>
      <c r="J26" s="16">
        <f>'Cost of Sales'!J14-tblExpenses[[#Totals],[Jul]]</f>
        <v>32</v>
      </c>
      <c r="K26" s="16">
        <f>'Cost of Sales'!K14-tblExpenses[[#Totals],[Aug]]</f>
        <v>214</v>
      </c>
      <c r="L26" s="16">
        <f>'Cost of Sales'!L14-tblExpenses[[#Totals],[Sep]]</f>
        <v>100</v>
      </c>
      <c r="M26" s="16">
        <f>'Cost of Sales'!M14-tblExpenses[[#Totals],[Oct]]</f>
        <v>148</v>
      </c>
      <c r="N26" s="16">
        <f>'Cost of Sales'!N14-tblExpenses[[#Totals],[Nov]]</f>
        <v>179</v>
      </c>
      <c r="O26" s="16">
        <f>'Cost of Sales'!O14-tblExpenses[[#Totals],[Dec]]</f>
        <v>359</v>
      </c>
      <c r="P26" s="16">
        <f>SUM(D26:O26)</f>
        <v>1843</v>
      </c>
      <c r="Q26" s="15"/>
      <c r="R26" s="17">
        <f>D26/$P$26</f>
        <v>6.6739012479652735E-2</v>
      </c>
      <c r="S26" s="17">
        <f t="shared" ref="S26:AD26" si="1">E26/$P$26</f>
        <v>9.4953879544221381E-2</v>
      </c>
      <c r="T26" s="17">
        <f t="shared" si="1"/>
        <v>0.13890396093326099</v>
      </c>
      <c r="U26" s="17">
        <f t="shared" si="1"/>
        <v>5.9142702116115033E-2</v>
      </c>
      <c r="V26" s="17">
        <f t="shared" si="1"/>
        <v>8.4644601193705912E-2</v>
      </c>
      <c r="W26" s="17">
        <f t="shared" si="1"/>
        <v>-4.3407487791644059E-3</v>
      </c>
      <c r="X26" s="17">
        <f t="shared" si="1"/>
        <v>1.7362995116657624E-2</v>
      </c>
      <c r="Y26" s="17">
        <f t="shared" si="1"/>
        <v>0.11611502984264786</v>
      </c>
      <c r="Z26" s="17">
        <f t="shared" si="1"/>
        <v>5.425935973955507E-2</v>
      </c>
      <c r="AA26" s="17">
        <f t="shared" si="1"/>
        <v>8.0303852414541507E-2</v>
      </c>
      <c r="AB26" s="17">
        <f t="shared" si="1"/>
        <v>9.7124253933803584E-2</v>
      </c>
      <c r="AC26" s="17">
        <f t="shared" si="1"/>
        <v>0.19479110146500273</v>
      </c>
      <c r="AD26" s="17">
        <f t="shared" si="1"/>
        <v>1</v>
      </c>
    </row>
  </sheetData>
  <phoneticPr fontId="15" type="noConversion"/>
  <dataValidations count="20"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:A1048576"/>
    <dataValidation allowBlank="1" showInputMessage="1" showErrorMessage="1" prompt="Company name is automatically updated using the entry from Revenue (Sales) sheet" sqref="AD1"/>
    <dataValidation allowBlank="1" showInputMessage="1" showErrorMessage="1" prompt="Automatically updated title from Revenue (Sales) worksheet. Enter values in the Expenses table below to calculate total expenses" sqref="B2"/>
    <dataValidation allowBlank="1" showInputMessage="1" showErrorMessage="1" prompt="Enter index percent in this column" sqref="Q4"/>
    <dataValidation allowBlank="1" showInputMessage="1" showErrorMessage="1" prompt="Net profit is automatically calculated for each month &amp; year based on gross profit &amp; total expenses" sqref="B26"/>
    <dataValidation allowBlank="1" showInputMessage="1" showErrorMessage="1" prompt="Enter expenses of sources listed in column B, in this column" sqref="O4 N4 M4 L4 K4 J4 I4 H4 G4 F4 E4"/>
    <dataValidation allowBlank="1" showInputMessage="1" showErrorMessage="1" prompt="A trend chart for expenses over time is in this column" sqref="C4"/>
    <dataValidation allowBlank="1" showInputMessage="1" showErrorMessage="1" prompt="Enter expenses in this column" sqref="B4"/>
    <dataValidation allowBlank="1" showInputMessage="1" showErrorMessage="1" prompt="Automatically calculates proportion of expenses from different sources to total expenses for the year in this column" sqref="AD3"/>
    <dataValidation allowBlank="1" showInputMessage="1" showErrorMessage="1" prompt="Automatically calculates proportion of expenses from different sources to total expenses in this column, for the month in this cell" sqref="AC3"/>
    <dataValidation allowBlank="1" showInputMessage="1" showErrorMessage="1" prompt="Automatically updated month" sqref="E3:O3"/>
    <dataValidation allowBlank="1" showInputMessage="1" showErrorMessage="1" prompt="The dates in this row are automatically updated based on the starting month of fiscal year. To change starting month, modify cell AC2" sqref="D3"/>
    <dataValidation allowBlank="1" showInputMessage="1" showErrorMessage="1" prompt="Annual Expense is automatically calculated in this column" sqref="P3"/>
    <dataValidation allowBlank="1" showInputMessage="1" showErrorMessage="1" prompt="Index percent is in this column" sqref="Q3"/>
    <dataValidation allowBlank="1" showInputMessage="1" showErrorMessage="1" prompt="This cell is automatically updated from the projection period title in Revenue (Sales) worksheet" sqref="B1"/>
    <dataValidation allowBlank="1" showInputMessage="1" showErrorMessage="1" prompt="Month &amp; year are automatically updated in cells at right. To change month or year, modify cells AC2 and AD2 in Revenue (Sales) worksheet" sqref="AB2"/>
    <dataValidation allowBlank="1" showInputMessage="1" showErrorMessage="1" prompt="Automatically updated month. To change, modify cell AC2 in Revenues (Sales) sheet" sqref="AC2"/>
    <dataValidation allowBlank="1" showInputMessage="1" showErrorMessage="1" prompt="Automatically updated month. To change, modify cell AD2 in Revenues (Sales) sheet" sqref="AD2"/>
    <dataValidation allowBlank="1" showInputMessage="1" showErrorMessage="1" prompt="Enter expenses of sources listed in column B, in this column" sqref="D4"/>
    <dataValidation allowBlank="1" showInputMessage="1" showErrorMessage="1" prompt="Automatically calculates proportion of expenses from different sources to total expenses in this column, for the month in this cell" sqref="R3 S3 T3 U3 V3 W3 X3 Y3 Z3 AA3 AB3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Expenses!D5:O5</xm:f>
              <xm:sqref>C5</xm:sqref>
            </x14:sparkline>
            <x14:sparkline>
              <xm:f>Expenses!D6:O6</xm:f>
              <xm:sqref>C6</xm:sqref>
            </x14:sparkline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Expenses!D24:O24</xm:f>
              <xm:sqref>C24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11</vt:i4>
      </vt:variant>
    </vt:vector>
  </HeadingPairs>
  <TitlesOfParts>
    <vt:vector size="14" baseType="lpstr">
      <vt:lpstr>Revenues (Sales)</vt:lpstr>
      <vt:lpstr>Cost of Sales</vt:lpstr>
      <vt:lpstr>Expenses</vt:lpstr>
      <vt:lpstr>Company_Name</vt:lpstr>
      <vt:lpstr>FYMonthStart</vt:lpstr>
      <vt:lpstr>FYStartYear</vt:lpstr>
      <vt:lpstr>'Cost of Sales'!Print_Titles</vt:lpstr>
      <vt:lpstr>Expenses!Print_Titles</vt:lpstr>
      <vt:lpstr>'Revenues (Sales)'!Print_Titles</vt:lpstr>
      <vt:lpstr>Projection_Period_Title</vt:lpstr>
      <vt:lpstr>Title1</vt:lpstr>
      <vt:lpstr>Title2</vt:lpstr>
      <vt:lpstr>Title3</vt:lpstr>
      <vt:lpstr>Wksht_Title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SYS</cp:lastModifiedBy>
  <dcterms:created xsi:type="dcterms:W3CDTF">2016-12-06T05:59:57Z</dcterms:created>
  <dcterms:modified xsi:type="dcterms:W3CDTF">2021-11-05T08:29:30Z</dcterms:modified>
</cp:coreProperties>
</file>