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me\учеба\теорвер\"/>
    </mc:Choice>
  </mc:AlternateContent>
  <xr:revisionPtr revIDLastSave="0" documentId="13_ncr:1_{82476321-2648-4851-A828-C4F96D37C97B}" xr6:coauthVersionLast="47" xr6:coauthVersionMax="47" xr10:uidLastSave="{00000000-0000-0000-0000-000000000000}"/>
  <bookViews>
    <workbookView xWindow="820" yWindow="-110" windowWidth="18490" windowHeight="11020" xr2:uid="{901C833E-4840-4AA1-8624-BD8DA14C4D5D}"/>
  </bookViews>
  <sheets>
    <sheet name="1" sheetId="1" r:id="rId1"/>
    <sheet name="2" sheetId="2" r:id="rId2"/>
    <sheet name="3" sheetId="3" r:id="rId3"/>
    <sheet name="3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3" l="1"/>
  <c r="S13" i="3"/>
  <c r="S14" i="3"/>
  <c r="S15" i="3"/>
  <c r="S16" i="3"/>
  <c r="S11" i="3"/>
  <c r="O11" i="5"/>
  <c r="O12" i="5"/>
  <c r="O13" i="5"/>
  <c r="N12" i="5"/>
  <c r="N13" i="5"/>
  <c r="N14" i="5"/>
  <c r="P13" i="3"/>
  <c r="P12" i="3"/>
  <c r="P11" i="3"/>
  <c r="Q22" i="3"/>
  <c r="L13" i="3"/>
  <c r="G4" i="5"/>
  <c r="D4" i="5"/>
  <c r="G3" i="5"/>
  <c r="D3" i="5"/>
  <c r="D11" i="5" s="1"/>
  <c r="L11" i="5" s="1"/>
  <c r="J2" i="5"/>
  <c r="J4" i="5" s="1"/>
  <c r="G2" i="5"/>
  <c r="D2" i="5"/>
  <c r="D6" i="5" l="1"/>
  <c r="D12" i="5" s="1"/>
  <c r="L12" i="5" s="1"/>
  <c r="D13" i="5" l="1"/>
  <c r="L13" i="5" s="1"/>
  <c r="E11" i="5"/>
  <c r="M11" i="5" s="1"/>
  <c r="P11" i="5" s="1"/>
  <c r="E12" i="5" l="1"/>
  <c r="M12" i="5" s="1"/>
  <c r="P12" i="5" s="1"/>
  <c r="F11" i="5"/>
  <c r="D14" i="5"/>
  <c r="L14" i="5" s="1"/>
  <c r="P14" i="5" s="1"/>
  <c r="E13" i="5" l="1"/>
  <c r="M13" i="5" s="1"/>
  <c r="P13" i="5" s="1"/>
  <c r="F12" i="5"/>
  <c r="E14" i="5" l="1"/>
  <c r="M14" i="5" s="1"/>
  <c r="F13" i="5"/>
  <c r="G11" i="5" l="1" a="1"/>
  <c r="F14" i="5"/>
  <c r="Q12" i="5" l="1"/>
  <c r="Q14" i="5"/>
  <c r="Q13" i="5"/>
  <c r="G11" i="5"/>
  <c r="Q11" i="5" s="1"/>
  <c r="Q16" i="5" l="1"/>
  <c r="Q20" i="5" s="1"/>
  <c r="G15" i="5"/>
  <c r="H11" i="5" s="1"/>
  <c r="J2" i="3"/>
  <c r="J4" i="3" s="1"/>
  <c r="I11" i="5" l="1"/>
  <c r="J11" i="5"/>
  <c r="H14" i="5"/>
  <c r="I14" i="5" s="1"/>
  <c r="H12" i="5"/>
  <c r="I12" i="5" s="1"/>
  <c r="H13" i="5"/>
  <c r="I13" i="5" s="1"/>
  <c r="G4" i="3"/>
  <c r="G3" i="3"/>
  <c r="G2" i="3"/>
  <c r="U15" i="1"/>
  <c r="U16" i="1"/>
  <c r="U17" i="1"/>
  <c r="U18" i="1"/>
  <c r="U19" i="1"/>
  <c r="U14" i="1"/>
  <c r="T15" i="1"/>
  <c r="T16" i="1"/>
  <c r="T17" i="1"/>
  <c r="T18" i="1"/>
  <c r="T19" i="1"/>
  <c r="T14" i="1"/>
  <c r="D4" i="3"/>
  <c r="D3" i="3"/>
  <c r="D11" i="3" s="1"/>
  <c r="D2" i="3"/>
  <c r="B24" i="2"/>
  <c r="E32" i="2"/>
  <c r="E15" i="2"/>
  <c r="B9" i="2" s="1"/>
  <c r="E24" i="2"/>
  <c r="E33" i="2"/>
  <c r="E29" i="2"/>
  <c r="I13" i="2"/>
  <c r="E30" i="2" s="1"/>
  <c r="L11" i="3" l="1"/>
  <c r="J12" i="5"/>
  <c r="J13" i="5" s="1"/>
  <c r="J14" i="5" s="1"/>
  <c r="H15" i="5"/>
  <c r="D6" i="3"/>
  <c r="D12" i="3" s="1"/>
  <c r="L12" i="3" s="1"/>
  <c r="N12" i="3" s="1"/>
  <c r="B8" i="2"/>
  <c r="B48" i="2"/>
  <c r="B40" i="2"/>
  <c r="B16" i="2"/>
  <c r="B46" i="2"/>
  <c r="B32" i="2"/>
  <c r="B47" i="2"/>
  <c r="B39" i="2"/>
  <c r="B31" i="2"/>
  <c r="B23" i="2"/>
  <c r="B15" i="2"/>
  <c r="B7" i="2"/>
  <c r="B38" i="2"/>
  <c r="B30" i="2"/>
  <c r="B22" i="2"/>
  <c r="B14" i="2"/>
  <c r="B6" i="2"/>
  <c r="B45" i="2"/>
  <c r="B37" i="2"/>
  <c r="B29" i="2"/>
  <c r="B21" i="2"/>
  <c r="B13" i="2"/>
  <c r="B5" i="2"/>
  <c r="B44" i="2"/>
  <c r="B36" i="2"/>
  <c r="B28" i="2"/>
  <c r="B20" i="2"/>
  <c r="B12" i="2"/>
  <c r="B4" i="2"/>
  <c r="B1" i="2"/>
  <c r="B43" i="2"/>
  <c r="B35" i="2"/>
  <c r="B27" i="2"/>
  <c r="B19" i="2"/>
  <c r="B11" i="2"/>
  <c r="B3" i="2"/>
  <c r="B50" i="2"/>
  <c r="B42" i="2"/>
  <c r="B34" i="2"/>
  <c r="B26" i="2"/>
  <c r="B18" i="2"/>
  <c r="B10" i="2"/>
  <c r="B2" i="2"/>
  <c r="B49" i="2"/>
  <c r="B41" i="2"/>
  <c r="B33" i="2"/>
  <c r="B25" i="2"/>
  <c r="B17" i="2"/>
  <c r="F34" i="2"/>
  <c r="I14" i="2"/>
  <c r="D13" i="3" l="1"/>
  <c r="E11" i="3"/>
  <c r="E12" i="2"/>
  <c r="E22" i="2"/>
  <c r="E25" i="2" s="1"/>
  <c r="E13" i="2"/>
  <c r="F30" i="2"/>
  <c r="E34" i="2" s="1"/>
  <c r="E12" i="3" l="1"/>
  <c r="M11" i="3"/>
  <c r="O11" i="3" s="1"/>
  <c r="D14" i="3"/>
  <c r="N13" i="3"/>
  <c r="F11" i="3"/>
  <c r="F25" i="2"/>
  <c r="E13" i="3" l="1"/>
  <c r="M12" i="3"/>
  <c r="O12" i="3" s="1"/>
  <c r="D15" i="3"/>
  <c r="L14" i="3"/>
  <c r="N14" i="3" s="1"/>
  <c r="F12" i="3"/>
  <c r="D8" i="1"/>
  <c r="V14" i="1"/>
  <c r="V15" i="1" s="1"/>
  <c r="V16" i="1" s="1"/>
  <c r="V17" i="1" s="1"/>
  <c r="V18" i="1" s="1"/>
  <c r="V19" i="1" s="1"/>
  <c r="V6" i="1"/>
  <c r="V7" i="1" s="1"/>
  <c r="V8" i="1" s="1"/>
  <c r="V9" i="1" s="1"/>
  <c r="V5" i="1"/>
  <c r="V4" i="1"/>
  <c r="M10" i="1"/>
  <c r="E12" i="1"/>
  <c r="D12" i="1"/>
  <c r="E8" i="1"/>
  <c r="E4" i="1"/>
  <c r="M3" i="1"/>
  <c r="M4" i="1"/>
  <c r="P14" i="1" s="1"/>
  <c r="M5" i="1"/>
  <c r="L5" i="1"/>
  <c r="L4" i="1"/>
  <c r="P4" i="1" s="1"/>
  <c r="L3" i="1"/>
  <c r="D4" i="1"/>
  <c r="E14" i="3" l="1"/>
  <c r="M13" i="3"/>
  <c r="O13" i="3" s="1"/>
  <c r="D16" i="3"/>
  <c r="L16" i="3" s="1"/>
  <c r="N16" i="3" s="1"/>
  <c r="P16" i="3" s="1"/>
  <c r="L15" i="3"/>
  <c r="N15" i="3" s="1"/>
  <c r="F13" i="3"/>
  <c r="L7" i="1"/>
  <c r="P5" i="1" s="1"/>
  <c r="Q4" i="1" s="1"/>
  <c r="Q5" i="1" s="1"/>
  <c r="Q6" i="1" s="1"/>
  <c r="Q7" i="1" s="1"/>
  <c r="Q8" i="1" s="1"/>
  <c r="Q9" i="1" s="1"/>
  <c r="M7" i="1"/>
  <c r="P15" i="1" s="1"/>
  <c r="P16" i="1" s="1"/>
  <c r="P17" i="1" s="1"/>
  <c r="P18" i="1" s="1"/>
  <c r="P19" i="1" s="1"/>
  <c r="E15" i="3" l="1"/>
  <c r="M14" i="3"/>
  <c r="O14" i="3" s="1"/>
  <c r="P14" i="3" s="1"/>
  <c r="G11" i="3" a="1"/>
  <c r="F14" i="3"/>
  <c r="S14" i="1" a="1"/>
  <c r="Q14" i="1"/>
  <c r="Q15" i="1" s="1"/>
  <c r="Q16" i="1" s="1"/>
  <c r="Q17" i="1" s="1"/>
  <c r="Q18" i="1" s="1"/>
  <c r="Q19" i="1" s="1"/>
  <c r="P6" i="1"/>
  <c r="P7" i="1" s="1"/>
  <c r="R5" i="1"/>
  <c r="R4" i="1"/>
  <c r="G11" i="3" l="1"/>
  <c r="Q14" i="3"/>
  <c r="Q13" i="3"/>
  <c r="Q12" i="3"/>
  <c r="Q16" i="3"/>
  <c r="E16" i="3"/>
  <c r="M16" i="3" s="1"/>
  <c r="M15" i="3"/>
  <c r="O15" i="3" s="1"/>
  <c r="P15" i="3" s="1"/>
  <c r="Q15" i="3" s="1"/>
  <c r="F16" i="3"/>
  <c r="F15" i="3"/>
  <c r="S14" i="1"/>
  <c r="R14" i="1"/>
  <c r="R16" i="1"/>
  <c r="R15" i="1"/>
  <c r="R6" i="1"/>
  <c r="R17" i="1"/>
  <c r="P8" i="1"/>
  <c r="R7" i="1"/>
  <c r="G17" i="3" l="1"/>
  <c r="Q11" i="3"/>
  <c r="Q18" i="3" s="1"/>
  <c r="S20" i="1"/>
  <c r="R18" i="1"/>
  <c r="P9" i="1"/>
  <c r="R8" i="1"/>
  <c r="H15" i="3" l="1"/>
  <c r="I15" i="3" s="1"/>
  <c r="H14" i="3"/>
  <c r="I14" i="3" s="1"/>
  <c r="H16" i="3"/>
  <c r="I16" i="3" s="1"/>
  <c r="H12" i="3"/>
  <c r="I12" i="3" s="1"/>
  <c r="H13" i="3"/>
  <c r="I13" i="3" s="1"/>
  <c r="H11" i="3"/>
  <c r="R19" i="1"/>
  <c r="R9" i="1"/>
  <c r="I11" i="3" l="1"/>
  <c r="H17" i="3"/>
  <c r="J11" i="3"/>
  <c r="J12" i="3" s="1"/>
  <c r="J13" i="3" s="1"/>
  <c r="J14" i="3" s="1"/>
  <c r="J15" i="3" s="1"/>
  <c r="J16" i="3" s="1"/>
  <c r="S4" i="1" a="1"/>
  <c r="S4" i="1" l="1"/>
  <c r="S10" i="1" l="1"/>
  <c r="T4" i="1" s="1"/>
  <c r="U4" i="1" s="1"/>
  <c r="T6" i="1" l="1"/>
  <c r="U6" i="1" s="1"/>
  <c r="T5" i="1"/>
  <c r="U5" i="1" s="1"/>
  <c r="T7" i="1"/>
  <c r="U7" i="1" s="1"/>
  <c r="T8" i="1"/>
  <c r="U8" i="1" s="1"/>
  <c r="T9" i="1"/>
  <c r="U9" i="1" s="1"/>
  <c r="T10" i="1" l="1"/>
  <c r="T20" i="1"/>
  <c r="F16" i="2"/>
  <c r="E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<sst xmlns="http://schemas.openxmlformats.org/spreadsheetml/2006/main" count="130" uniqueCount="67">
  <si>
    <t>X</t>
  </si>
  <si>
    <t>Y</t>
  </si>
  <si>
    <t>выборочное среднее:</t>
  </si>
  <si>
    <t>выборочная дисперсия:</t>
  </si>
  <si>
    <t>среднеквадратическое отклонение:</t>
  </si>
  <si>
    <t>число элементов</t>
  </si>
  <si>
    <t>минимальный</t>
  </si>
  <si>
    <t>максимальный</t>
  </si>
  <si>
    <t>число промежутков</t>
  </si>
  <si>
    <t>шаг</t>
  </si>
  <si>
    <t>номер
промежутка</t>
  </si>
  <si>
    <t>X:</t>
  </si>
  <si>
    <t>Y:</t>
  </si>
  <si>
    <t>сумма</t>
  </si>
  <si>
    <t>начало промежутка</t>
  </si>
  <si>
    <t>конец промежутка</t>
  </si>
  <si>
    <t>середина промежутка</t>
  </si>
  <si>
    <t>абсолютная частота</t>
  </si>
  <si>
    <t>относительная частота</t>
  </si>
  <si>
    <t>накопленная частота</t>
  </si>
  <si>
    <t>сколько интервалов?</t>
  </si>
  <si>
    <t>1 + log_2(50)</t>
  </si>
  <si>
    <t>плотность относ. част.</t>
  </si>
  <si>
    <t>полигон частот</t>
  </si>
  <si>
    <t>гистограмма</t>
  </si>
  <si>
    <t>Доверительный интервал для МО</t>
  </si>
  <si>
    <t>Выборочная дисперсия</t>
  </si>
  <si>
    <t>a</t>
  </si>
  <si>
    <t>1-a/2</t>
  </si>
  <si>
    <t>n</t>
  </si>
  <si>
    <t>Выборочное среднее</t>
  </si>
  <si>
    <t>1) Доверительные интервалы для МО при неизвестной дисперсии</t>
  </si>
  <si>
    <t>Квантиль стьюдента</t>
  </si>
  <si>
    <t>3) Доверительный интервал для дисперсии при неизвестном МО</t>
  </si>
  <si>
    <t>Доверительный интервал для дисперсии</t>
  </si>
  <si>
    <t>Исправленная выборочная дисперсия</t>
  </si>
  <si>
    <t>доверительный интервал для МО при известной дисперсии. u - квантиль нормального распрелеления.</t>
  </si>
  <si>
    <t>квантиль уровня p — значение, которое заданная случайная величина не превышает с вероятностью p.</t>
  </si>
  <si>
    <t>доверительный интервал для МО при неизвестной дисперсии.</t>
  </si>
  <si>
    <t>это квантиль распределения функции Стьюдента с n-1 степенью свободы.</t>
  </si>
  <si>
    <t>формулы:</t>
  </si>
  <si>
    <t>доверительный интервал для дисперсии.</t>
  </si>
  <si>
    <t>2) Доверительные интервалы при известной дисперсии для математического ожидания</t>
  </si>
  <si>
    <t>(s^2)</t>
  </si>
  <si>
    <t>если вероятность (уровень доверия) b, то а = 1-b, а квантили ищутся для 1-а/2.</t>
  </si>
  <si>
    <t>Уровень доверия (b)</t>
  </si>
  <si>
    <t>s</t>
  </si>
  <si>
    <t>Квантиль нормального распределения (вернет значение, при котором 95% данных лежат слева от этой точки в стандартном нормальном распределении).</t>
  </si>
  <si>
    <t>(это значение нам дано)</t>
  </si>
  <si>
    <t>(1-a/2, количество степеней свободы = 49)</t>
  </si>
  <si>
    <t>xи-квадрат квантиль</t>
  </si>
  <si>
    <t>(по формуле)</t>
  </si>
  <si>
    <t>значения            и            находятся по таблицам хи-квадрат распределения с n-1 степенью свободы, в таблице нужно искать       и            .</t>
  </si>
  <si>
    <t>выборочное среднее</t>
  </si>
  <si>
    <t>выборочная дисперсия</t>
  </si>
  <si>
    <t>ср. кв. отклонение</t>
  </si>
  <si>
    <t>степени свободы</t>
  </si>
  <si>
    <t>уровень значимости</t>
  </si>
  <si>
    <t>критическое значение</t>
  </si>
  <si>
    <t>объем выборки</t>
  </si>
  <si>
    <t>нормированные координаты интервалов</t>
  </si>
  <si>
    <t>значение функции Лапласа на границах</t>
  </si>
  <si>
    <t>абсолютная частота (n_k)</t>
  </si>
  <si>
    <t>число элементов (n)</t>
  </si>
  <si>
    <t>вероятность попадания в интервал (p_k)</t>
  </si>
  <si>
    <t>хи-квадрат меньше критического значения?</t>
  </si>
  <si>
    <t>гипотеза: генеральная совокупность для выборки распределена нормально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</si>
</sst>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66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3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right" vertical="center"/>
    </xf>
    <xf numFmtId="164" fontId="1" fillId="0" borderId="0" xfId="0" applyNumberFormat="1" applyFont="1"/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vertical="center"/>
    </xf>
    <xf numFmtId="164" fontId="5" fillId="0" borderId="8" xfId="0" applyNumberFormat="1" applyFont="1" applyFill="1" applyBorder="1" applyAlignment="1">
      <alignment vertical="center"/>
    </xf>
    <xf numFmtId="0" fontId="6" fillId="0" borderId="8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7" xfId="0" applyFont="1" applyFill="1" applyBorder="1" applyAlignment="1">
      <alignment vertical="center"/>
    </xf>
    <xf numFmtId="0" fontId="5" fillId="0" borderId="18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164" fontId="5" fillId="0" borderId="0" xfId="0" applyNumberFormat="1" applyFont="1" applyFill="1" applyAlignment="1">
      <alignment vertical="center"/>
    </xf>
    <xf numFmtId="165" fontId="5" fillId="0" borderId="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wrapText="1"/>
    </xf>
    <xf numFmtId="0" fontId="5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1" fillId="0" borderId="21" xfId="0" applyFont="1" applyBorder="1"/>
    <xf numFmtId="0" fontId="1" fillId="0" borderId="17" xfId="0" applyFont="1" applyBorder="1"/>
    <xf numFmtId="0" fontId="1" fillId="0" borderId="9" xfId="0" applyFont="1" applyBorder="1"/>
    <xf numFmtId="164" fontId="1" fillId="0" borderId="9" xfId="0" applyNumberFormat="1" applyFont="1" applyBorder="1"/>
    <xf numFmtId="0" fontId="2" fillId="0" borderId="2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17" xfId="0" applyFont="1" applyFill="1" applyBorder="1"/>
    <xf numFmtId="0" fontId="1" fillId="0" borderId="9" xfId="0" applyFont="1" applyFill="1" applyBorder="1"/>
    <xf numFmtId="0" fontId="3" fillId="0" borderId="8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/>
    <xf numFmtId="0" fontId="1" fillId="0" borderId="8" xfId="0" applyFont="1" applyBorder="1" applyAlignment="1"/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3" fillId="0" borderId="2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9" xfId="0" applyFont="1" applyBorder="1"/>
    <xf numFmtId="0" fontId="1" fillId="0" borderId="18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/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spPr>
            <a:solidFill>
              <a:schemeClr val="accent2">
                <a:alpha val="70000"/>
              </a:schemeClr>
            </a:solidFill>
            <a:ln w="25400">
              <a:solidFill>
                <a:schemeClr val="accent2"/>
              </a:solidFill>
            </a:ln>
            <a:effectLst/>
          </c:spPr>
          <c:cat>
            <c:numRef>
              <c:f>'1'!$R$4:$R$9</c:f>
              <c:numCache>
                <c:formatCode>General</c:formatCode>
                <c:ptCount val="6"/>
                <c:pt idx="0">
                  <c:v>1.1687591666666668</c:v>
                </c:pt>
                <c:pt idx="1">
                  <c:v>1.4998775000000002</c:v>
                </c:pt>
                <c:pt idx="2">
                  <c:v>1.8309958333333336</c:v>
                </c:pt>
                <c:pt idx="3">
                  <c:v>2.162114166666667</c:v>
                </c:pt>
                <c:pt idx="4">
                  <c:v>2.4932325000000004</c:v>
                </c:pt>
                <c:pt idx="5">
                  <c:v>2.8243508333333338</c:v>
                </c:pt>
              </c:numCache>
            </c:numRef>
          </c:cat>
          <c:val>
            <c:numRef>
              <c:f>'1'!$S$4:$S$9</c:f>
              <c:numCache>
                <c:formatCode>General</c:formatCode>
                <c:ptCount val="6"/>
                <c:pt idx="0">
                  <c:v>17</c:v>
                </c:pt>
                <c:pt idx="1">
                  <c:v>18</c:v>
                </c:pt>
                <c:pt idx="2">
                  <c:v>11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0D-4D58-9799-74CACE7E3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39792"/>
        <c:axId val="828638960"/>
      </c:areaChart>
      <c:catAx>
        <c:axId val="82863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8960"/>
        <c:crosses val="autoZero"/>
        <c:auto val="1"/>
        <c:lblAlgn val="ctr"/>
        <c:lblOffset val="100"/>
        <c:noMultiLvlLbl val="0"/>
      </c:catAx>
      <c:valAx>
        <c:axId val="828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spPr>
            <a:solidFill>
              <a:schemeClr val="accent1">
                <a:alpha val="70000"/>
              </a:schemeClr>
            </a:solidFill>
            <a:ln w="25400">
              <a:solidFill>
                <a:schemeClr val="accent1"/>
              </a:solidFill>
            </a:ln>
            <a:effectLst/>
          </c:spPr>
          <c:cat>
            <c:numRef>
              <c:f>'1'!$R$14:$R$19</c:f>
              <c:numCache>
                <c:formatCode>General</c:formatCode>
                <c:ptCount val="6"/>
                <c:pt idx="0">
                  <c:v>-0.97967166666666683</c:v>
                </c:pt>
                <c:pt idx="1">
                  <c:v>0.37472499999999964</c:v>
                </c:pt>
                <c:pt idx="2">
                  <c:v>1.729121666666666</c:v>
                </c:pt>
                <c:pt idx="3">
                  <c:v>3.0835183333333323</c:v>
                </c:pt>
                <c:pt idx="4">
                  <c:v>4.4379149999999985</c:v>
                </c:pt>
                <c:pt idx="5">
                  <c:v>5.7923116666666647</c:v>
                </c:pt>
              </c:numCache>
            </c:numRef>
          </c:cat>
          <c:val>
            <c:numRef>
              <c:f>'1'!$S$14:$S$19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12</c:v>
                </c:pt>
                <c:pt idx="3">
                  <c:v>13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A-4052-A2DB-212376405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39792"/>
        <c:axId val="828638960"/>
      </c:areaChart>
      <c:catAx>
        <c:axId val="82863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8960"/>
        <c:crosses val="autoZero"/>
        <c:auto val="1"/>
        <c:lblAlgn val="ctr"/>
        <c:lblOffset val="100"/>
        <c:noMultiLvlLbl val="0"/>
      </c:catAx>
      <c:valAx>
        <c:axId val="828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en-US" baseline="0"/>
              <a:t>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285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'1'!$P$4:$Q$9</c:f>
              <c:multiLvlStrCache>
                <c:ptCount val="6"/>
                <c:lvl>
                  <c:pt idx="0">
                    <c:v>1,33432</c:v>
                  </c:pt>
                  <c:pt idx="1">
                    <c:v>1,66544</c:v>
                  </c:pt>
                  <c:pt idx="2">
                    <c:v>1,99656</c:v>
                  </c:pt>
                  <c:pt idx="3">
                    <c:v>2,32767</c:v>
                  </c:pt>
                  <c:pt idx="4">
                    <c:v>2,65879</c:v>
                  </c:pt>
                  <c:pt idx="5">
                    <c:v>2,98991</c:v>
                  </c:pt>
                </c:lvl>
                <c:lvl>
                  <c:pt idx="0">
                    <c:v>1,00320</c:v>
                  </c:pt>
                  <c:pt idx="1">
                    <c:v>1,33432</c:v>
                  </c:pt>
                  <c:pt idx="2">
                    <c:v>1,66544</c:v>
                  </c:pt>
                  <c:pt idx="3">
                    <c:v>1,99656</c:v>
                  </c:pt>
                  <c:pt idx="4">
                    <c:v>2,32767</c:v>
                  </c:pt>
                  <c:pt idx="5">
                    <c:v>2,65879</c:v>
                  </c:pt>
                </c:lvl>
              </c:multiLvlStrCache>
            </c:multiLvlStrRef>
          </c:cat>
          <c:val>
            <c:numRef>
              <c:f>'1'!$U$4:$U$9</c:f>
              <c:numCache>
                <c:formatCode>General</c:formatCode>
                <c:ptCount val="6"/>
                <c:pt idx="0">
                  <c:v>1.0268232404326751</c:v>
                </c:pt>
                <c:pt idx="1">
                  <c:v>1.08722460751695</c:v>
                </c:pt>
                <c:pt idx="2">
                  <c:v>0.66441503792702505</c:v>
                </c:pt>
                <c:pt idx="3">
                  <c:v>0.12080273416855002</c:v>
                </c:pt>
                <c:pt idx="4">
                  <c:v>0</c:v>
                </c:pt>
                <c:pt idx="5">
                  <c:v>0.12080273416855002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5-4C26-9F0A-2BAB42DD5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en-US" baseline="0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28575">
              <a:solidFill>
                <a:schemeClr val="accent1"/>
              </a:solidFill>
            </a:ln>
            <a:effectLst/>
          </c:spPr>
          <c:invertIfNegative val="0"/>
          <c:cat>
            <c:multiLvlStrRef>
              <c:f>'1'!$P$14:$Q$19</c:f>
              <c:multiLvlStrCache>
                <c:ptCount val="6"/>
                <c:lvl>
                  <c:pt idx="0">
                    <c:v>-0,30247</c:v>
                  </c:pt>
                  <c:pt idx="1">
                    <c:v>1,05192</c:v>
                  </c:pt>
                  <c:pt idx="2">
                    <c:v>2,40632</c:v>
                  </c:pt>
                  <c:pt idx="3">
                    <c:v>3,76072</c:v>
                  </c:pt>
                  <c:pt idx="4">
                    <c:v>5,11511</c:v>
                  </c:pt>
                  <c:pt idx="5">
                    <c:v>6,46951</c:v>
                  </c:pt>
                </c:lvl>
                <c:lvl>
                  <c:pt idx="0">
                    <c:v>-1,65687</c:v>
                  </c:pt>
                  <c:pt idx="1">
                    <c:v>-0,30247</c:v>
                  </c:pt>
                  <c:pt idx="2">
                    <c:v>1,05192</c:v>
                  </c:pt>
                  <c:pt idx="3">
                    <c:v>2,40632</c:v>
                  </c:pt>
                  <c:pt idx="4">
                    <c:v>3,76072</c:v>
                  </c:pt>
                  <c:pt idx="5">
                    <c:v>5,11511</c:v>
                  </c:pt>
                </c:lvl>
              </c:multiLvlStrCache>
            </c:multiLvlStrRef>
          </c:cat>
          <c:val>
            <c:numRef>
              <c:f>'1'!$U$14:$U$19</c:f>
              <c:numCache>
                <c:formatCode>General</c:formatCode>
                <c:ptCount val="6"/>
                <c:pt idx="0">
                  <c:v>7.3833613490877872E-2</c:v>
                </c:pt>
                <c:pt idx="1">
                  <c:v>7.3833613490877872E-2</c:v>
                </c:pt>
                <c:pt idx="2">
                  <c:v>0.17720067237810688</c:v>
                </c:pt>
                <c:pt idx="3">
                  <c:v>0.19196739507628247</c:v>
                </c:pt>
                <c:pt idx="4">
                  <c:v>0.14766722698175574</c:v>
                </c:pt>
                <c:pt idx="5">
                  <c:v>7.3833613490877872E-2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9-4673-A587-6B7D7EE7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'3'!$D$11:$E$16</c:f>
              <c:multiLvlStrCache>
                <c:ptCount val="6"/>
                <c:lvl>
                  <c:pt idx="0">
                    <c:v>-0,30247</c:v>
                  </c:pt>
                  <c:pt idx="1">
                    <c:v>1,05192</c:v>
                  </c:pt>
                  <c:pt idx="2">
                    <c:v>2,40632</c:v>
                  </c:pt>
                  <c:pt idx="3">
                    <c:v>3,76072</c:v>
                  </c:pt>
                  <c:pt idx="4">
                    <c:v>5,11511</c:v>
                  </c:pt>
                  <c:pt idx="5">
                    <c:v>6,46951</c:v>
                  </c:pt>
                </c:lvl>
                <c:lvl>
                  <c:pt idx="0">
                    <c:v>-1,65687</c:v>
                  </c:pt>
                  <c:pt idx="1">
                    <c:v>-0,30247</c:v>
                  </c:pt>
                  <c:pt idx="2">
                    <c:v>1,05192</c:v>
                  </c:pt>
                  <c:pt idx="3">
                    <c:v>2,40632</c:v>
                  </c:pt>
                  <c:pt idx="4">
                    <c:v>3,76072</c:v>
                  </c:pt>
                  <c:pt idx="5">
                    <c:v>5,11511</c:v>
                  </c:pt>
                </c:lvl>
              </c:multiLvlStrCache>
            </c:multiLvlStrRef>
          </c:cat>
          <c:val>
            <c:numRef>
              <c:f>'3'!$I$11:$I$16</c:f>
              <c:numCache>
                <c:formatCode>General</c:formatCode>
                <c:ptCount val="6"/>
                <c:pt idx="0">
                  <c:v>7.3833613490877872E-2</c:v>
                </c:pt>
                <c:pt idx="1">
                  <c:v>7.3833613490877872E-2</c:v>
                </c:pt>
                <c:pt idx="2">
                  <c:v>0.17720067237810688</c:v>
                </c:pt>
                <c:pt idx="3">
                  <c:v>0.19196739507628247</c:v>
                </c:pt>
                <c:pt idx="4">
                  <c:v>0.14766722698175574</c:v>
                </c:pt>
                <c:pt idx="5">
                  <c:v>7.3833613490877872E-2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2-4B45-B6EF-4D20FF30B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Нормированное нормальное распределение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'3'!$L$11:$M$16</c:f>
              <c:multiLvlStrCache>
                <c:ptCount val="6"/>
                <c:lvl>
                  <c:pt idx="0">
                    <c:v>-1,449449035</c:v>
                  </c:pt>
                  <c:pt idx="1">
                    <c:v>-0,754439029</c:v>
                  </c:pt>
                  <c:pt idx="2">
                    <c:v>-0,059429023</c:v>
                  </c:pt>
                  <c:pt idx="3">
                    <c:v>0,635580983</c:v>
                  </c:pt>
                  <c:pt idx="4">
                    <c:v>1,330590988</c:v>
                  </c:pt>
                  <c:pt idx="5">
                    <c:v>2,025600994</c:v>
                  </c:pt>
                </c:lvl>
                <c:lvl>
                  <c:pt idx="0">
                    <c:v>-2,144459041</c:v>
                  </c:pt>
                  <c:pt idx="1">
                    <c:v>-1,449449035</c:v>
                  </c:pt>
                  <c:pt idx="2">
                    <c:v>-0,754439029</c:v>
                  </c:pt>
                  <c:pt idx="3">
                    <c:v>-0,059429023</c:v>
                  </c:pt>
                  <c:pt idx="4">
                    <c:v>0,635580983</c:v>
                  </c:pt>
                  <c:pt idx="5">
                    <c:v>1,330590988</c:v>
                  </c:pt>
                </c:lvl>
              </c:multiLvlStrCache>
            </c:multiLvlStrRef>
          </c:cat>
          <c:val>
            <c:numRef>
              <c:f>'3'!$P$11:$P$16</c:f>
              <c:numCache>
                <c:formatCode>General</c:formatCode>
                <c:ptCount val="6"/>
                <c:pt idx="0">
                  <c:v>7.3606111689107662E-2</c:v>
                </c:pt>
                <c:pt idx="1">
                  <c:v>0.15168671001202255</c:v>
                </c:pt>
                <c:pt idx="2">
                  <c:v>0.25101237664776532</c:v>
                </c:pt>
                <c:pt idx="3">
                  <c:v>0.26117001763272563</c:v>
                </c:pt>
                <c:pt idx="4">
                  <c:v>0.17086296935610923</c:v>
                </c:pt>
                <c:pt idx="5">
                  <c:v>9.1661814662269636E-2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8-49B1-905C-E1751ACF1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609437</xdr:colOff>
      <xdr:row>22</xdr:row>
      <xdr:rowOff>6432</xdr:rowOff>
    </xdr:from>
    <xdr:to>
      <xdr:col>15</xdr:col>
      <xdr:colOff>260598</xdr:colOff>
      <xdr:row>37</xdr:row>
      <xdr:rowOff>19957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59E890-3ADE-4110-9DB7-1765AB388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11545</xdr:rowOff>
    </xdr:from>
    <xdr:to>
      <xdr:col>22</xdr:col>
      <xdr:colOff>32161</xdr:colOff>
      <xdr:row>37</xdr:row>
      <xdr:rowOff>25070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20FA587-03A4-4260-86CD-D8E4F7527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848592</xdr:colOff>
      <xdr:row>2</xdr:row>
      <xdr:rowOff>13855</xdr:rowOff>
    </xdr:from>
    <xdr:to>
      <xdr:col>28</xdr:col>
      <xdr:colOff>136072</xdr:colOff>
      <xdr:row>15</xdr:row>
      <xdr:rowOff>174914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7F77B4B-49CA-403A-A43F-B925AB7BD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852712</xdr:colOff>
      <xdr:row>17</xdr:row>
      <xdr:rowOff>0</xdr:rowOff>
    </xdr:from>
    <xdr:to>
      <xdr:col>28</xdr:col>
      <xdr:colOff>145142</xdr:colOff>
      <xdr:row>32</xdr:row>
      <xdr:rowOff>127814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F10BAB2-C21E-4BEB-9E40-97494CE38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51685</xdr:colOff>
      <xdr:row>4</xdr:row>
      <xdr:rowOff>163688</xdr:rowOff>
    </xdr:from>
    <xdr:ext cx="4614825" cy="584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142933-4830-4904-9D9F-A1A76A04676F}"/>
                </a:ext>
              </a:extLst>
            </xdr:cNvPr>
            <xdr:cNvSpPr txBox="1"/>
          </xdr:nvSpPr>
          <xdr:spPr>
            <a:xfrm>
              <a:off x="1572732" y="1625665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142933-4830-4904-9D9F-A1A76A04676F}"/>
                </a:ext>
              </a:extLst>
            </xdr:cNvPr>
            <xdr:cNvSpPr txBox="1"/>
          </xdr:nvSpPr>
          <xdr:spPr>
            <a:xfrm>
              <a:off x="1572732" y="1625665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</a:t>
              </a:r>
              <a:r>
                <a:rPr lang="en-US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𝑛≤𝑎≤𝑥 ̅+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</a:t>
              </a:r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121354</xdr:colOff>
      <xdr:row>2</xdr:row>
      <xdr:rowOff>121354</xdr:rowOff>
    </xdr:from>
    <xdr:ext cx="4471320" cy="546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EF40B5-3C96-44FD-8525-172B621A8F38}"/>
                </a:ext>
              </a:extLst>
            </xdr:cNvPr>
            <xdr:cNvSpPr txBox="1"/>
          </xdr:nvSpPr>
          <xdr:spPr>
            <a:xfrm>
              <a:off x="1642401" y="520075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EF40B5-3C96-44FD-8525-172B621A8F38}"/>
                </a:ext>
              </a:extLst>
            </xdr:cNvPr>
            <xdr:cNvSpPr txBox="1"/>
          </xdr:nvSpPr>
          <xdr:spPr>
            <a:xfrm>
              <a:off x="1642401" y="520075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(𝑛−1)≤𝑎≤𝑥 ̅+𝑠/√𝑛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206021</xdr:colOff>
      <xdr:row>2</xdr:row>
      <xdr:rowOff>22577</xdr:rowOff>
    </xdr:from>
    <xdr:ext cx="2672645" cy="756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D3BC097-0CAB-4C34-80BD-F7AB47E7122B}"/>
                </a:ext>
              </a:extLst>
            </xdr:cNvPr>
            <xdr:cNvSpPr txBox="1"/>
          </xdr:nvSpPr>
          <xdr:spPr>
            <a:xfrm>
              <a:off x="9637888" y="412044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limLoc m:val="undOvr"/>
                        <m:grow m:val="on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8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sz="180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D3BC097-0CAB-4C34-80BD-F7AB47E7122B}"/>
                </a:ext>
              </a:extLst>
            </xdr:cNvPr>
            <xdr:cNvSpPr txBox="1"/>
          </xdr:nvSpPr>
          <xdr:spPr>
            <a:xfrm>
              <a:off x="9637888" y="412044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𝑠^2=1/(𝑛−1) ∑129_(𝑖=1)^𝑛▒(𝑥_𝑖−𝑥 ̅ )^2 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1124729</xdr:colOff>
      <xdr:row>2</xdr:row>
      <xdr:rowOff>105561</xdr:rowOff>
    </xdr:from>
    <xdr:ext cx="882742" cy="3565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EE95438-957E-4CC6-BE51-25E9AC127992}"/>
                </a:ext>
              </a:extLst>
            </xdr:cNvPr>
            <xdr:cNvSpPr txBox="1"/>
          </xdr:nvSpPr>
          <xdr:spPr>
            <a:xfrm>
              <a:off x="13894182" y="1564077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6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6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EE95438-957E-4CC6-BE51-25E9AC127992}"/>
                </a:ext>
              </a:extLst>
            </xdr:cNvPr>
            <xdr:cNvSpPr txBox="1"/>
          </xdr:nvSpPr>
          <xdr:spPr>
            <a:xfrm>
              <a:off x="13894182" y="1564077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6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𝑡_(𝑎/2) (𝑛−1)</a:t>
              </a:r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695103</xdr:colOff>
      <xdr:row>6</xdr:row>
      <xdr:rowOff>156201</xdr:rowOff>
    </xdr:from>
    <xdr:ext cx="405687" cy="1913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F7D26FB-3457-4644-BA82-F14FDD7CC0AD}"/>
                </a:ext>
              </a:extLst>
            </xdr:cNvPr>
            <xdr:cNvSpPr txBox="1"/>
          </xdr:nvSpPr>
          <xdr:spPr>
            <a:xfrm>
              <a:off x="10877000" y="2688902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F7D26FB-3457-4644-BA82-F14FDD7CC0AD}"/>
                </a:ext>
              </a:extLst>
            </xdr:cNvPr>
            <xdr:cNvSpPr txBox="1"/>
          </xdr:nvSpPr>
          <xdr:spPr>
            <a:xfrm>
              <a:off x="10877000" y="2688902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1229783</xdr:colOff>
      <xdr:row>6</xdr:row>
      <xdr:rowOff>151883</xdr:rowOff>
    </xdr:from>
    <xdr:ext cx="405687" cy="1961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E5CB888-ECE8-4098-A62B-52A1CBEDE7D2}"/>
                </a:ext>
              </a:extLst>
            </xdr:cNvPr>
            <xdr:cNvSpPr txBox="1"/>
          </xdr:nvSpPr>
          <xdr:spPr>
            <a:xfrm>
              <a:off x="11411680" y="2684584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E5CB888-ECE8-4098-A62B-52A1CBEDE7D2}"/>
                </a:ext>
              </a:extLst>
            </xdr:cNvPr>
            <xdr:cNvSpPr txBox="1"/>
          </xdr:nvSpPr>
          <xdr:spPr>
            <a:xfrm>
              <a:off x="11411680" y="2684584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2433595</xdr:colOff>
      <xdr:row>6</xdr:row>
      <xdr:rowOff>527751</xdr:rowOff>
    </xdr:from>
    <xdr:ext cx="113941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FD676B-E247-4E42-848A-D628C129601D}"/>
                </a:ext>
              </a:extLst>
            </xdr:cNvPr>
            <xdr:cNvSpPr txBox="1"/>
          </xdr:nvSpPr>
          <xdr:spPr>
            <a:xfrm>
              <a:off x="11862607" y="3075135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FD676B-E247-4E42-848A-D628C129601D}"/>
                </a:ext>
              </a:extLst>
            </xdr:cNvPr>
            <xdr:cNvSpPr txBox="1"/>
          </xdr:nvSpPr>
          <xdr:spPr>
            <a:xfrm>
              <a:off x="11862607" y="3075135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2712353</xdr:colOff>
      <xdr:row>6</xdr:row>
      <xdr:rowOff>548422</xdr:rowOff>
    </xdr:from>
    <xdr:ext cx="369268" cy="266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A008E13-475C-4F08-8CFD-FB957F1126B0}"/>
                </a:ext>
              </a:extLst>
            </xdr:cNvPr>
            <xdr:cNvSpPr txBox="1"/>
          </xdr:nvSpPr>
          <xdr:spPr>
            <a:xfrm>
              <a:off x="12894250" y="3081123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14:m>
                <m:oMath xmlns:m="http://schemas.openxmlformats.org/officeDocument/2006/math">
                  <m:r>
                    <a:rPr lang="ru-RU" sz="130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ru-RU" sz="13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3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𝑎</m:t>
                      </m:r>
                    </m:num>
                    <m:den>
                      <m:r>
                        <a:rPr lang="ru-RU" sz="1300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A008E13-475C-4F08-8CFD-FB957F1126B0}"/>
                </a:ext>
              </a:extLst>
            </xdr:cNvPr>
            <xdr:cNvSpPr txBox="1"/>
          </xdr:nvSpPr>
          <xdr:spPr>
            <a:xfrm>
              <a:off x="12894250" y="3081123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:r>
                <a:rPr lang="ru-RU" sz="13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r>
                <a:rPr lang="ru-RU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ru-RU" sz="13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 editAs="oneCell">
    <xdr:from>
      <xdr:col>12</xdr:col>
      <xdr:colOff>0</xdr:colOff>
      <xdr:row>2</xdr:row>
      <xdr:rowOff>0</xdr:rowOff>
    </xdr:from>
    <xdr:to>
      <xdr:col>22</xdr:col>
      <xdr:colOff>488951</xdr:colOff>
      <xdr:row>18</xdr:row>
      <xdr:rowOff>31750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D959A49-3604-484B-A733-44B83E5C1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393700"/>
          <a:ext cx="8108950" cy="539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23</xdr:col>
      <xdr:colOff>476250</xdr:colOff>
      <xdr:row>49</xdr:row>
      <xdr:rowOff>148167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CCD4450F-E2C5-4A6D-853B-7DDE98F2D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6700" y="5949950"/>
          <a:ext cx="885825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51686</xdr:colOff>
      <xdr:row>6</xdr:row>
      <xdr:rowOff>129805</xdr:rowOff>
    </xdr:from>
    <xdr:ext cx="4607441" cy="6267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D0B1E8-B9B6-4234-8DF6-EF814BABD956}"/>
                </a:ext>
              </a:extLst>
            </xdr:cNvPr>
            <xdr:cNvSpPr txBox="1"/>
          </xdr:nvSpPr>
          <xdr:spPr>
            <a:xfrm>
              <a:off x="1572733" y="2677189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D0B1E8-B9B6-4234-8DF6-EF814BABD956}"/>
                </a:ext>
              </a:extLst>
            </xdr:cNvPr>
            <xdr:cNvSpPr txBox="1"/>
          </xdr:nvSpPr>
          <xdr:spPr>
            <a:xfrm>
              <a:off x="1572733" y="2677189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((𝑛−1) 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 )&lt;𝑎&lt;((𝑛−1) 𝑠^2)/(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 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244443</xdr:colOff>
      <xdr:row>7</xdr:row>
      <xdr:rowOff>163988</xdr:rowOff>
    </xdr:from>
    <xdr:ext cx="792268" cy="372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3EB88E-45C6-4910-B1C4-05C342409C8C}"/>
                </a:ext>
              </a:extLst>
            </xdr:cNvPr>
            <xdr:cNvSpPr txBox="1"/>
          </xdr:nvSpPr>
          <xdr:spPr>
            <a:xfrm>
              <a:off x="1586544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3EB88E-45C6-4910-B1C4-05C342409C8C}"/>
                </a:ext>
              </a:extLst>
            </xdr:cNvPr>
            <xdr:cNvSpPr txBox="1"/>
          </xdr:nvSpPr>
          <xdr:spPr>
            <a:xfrm>
              <a:off x="1586544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((𝒏_𝒌−𝒏𝒑_𝒌 )^𝟐)/(𝒏𝒑_𝒌 )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15</xdr:col>
      <xdr:colOff>69850</xdr:colOff>
      <xdr:row>17</xdr:row>
      <xdr:rowOff>15875</xdr:rowOff>
    </xdr:from>
    <xdr:ext cx="1329659" cy="459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7E9EDC-23D7-46E6-BE01-DFAA4D8FF320}"/>
                </a:ext>
              </a:extLst>
            </xdr:cNvPr>
            <xdr:cNvSpPr txBox="1"/>
          </xdr:nvSpPr>
          <xdr:spPr>
            <a:xfrm>
              <a:off x="1423035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𝜒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p>
                      <m:e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‍</m:t>
                        </m:r>
                      </m:e>
                    </m:nary>
                    <m:f>
                      <m:f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7E9EDC-23D7-46E6-BE01-DFAA4D8FF320}"/>
                </a:ext>
              </a:extLst>
            </xdr:cNvPr>
            <xdr:cNvSpPr txBox="1"/>
          </xdr:nvSpPr>
          <xdr:spPr>
            <a:xfrm>
              <a:off x="1423035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𝜒_𝐵^2=∑1_(𝑘=1)^𝑟▒‍  ((𝑛_𝑘−𝑛𝑝_𝑘 )^2)/(𝑛𝑝_𝑘 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0</xdr:colOff>
      <xdr:row>24</xdr:row>
      <xdr:rowOff>0</xdr:rowOff>
    </xdr:from>
    <xdr:to>
      <xdr:col>5</xdr:col>
      <xdr:colOff>1212084</xdr:colOff>
      <xdr:row>39</xdr:row>
      <xdr:rowOff>109497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C9DAB7E-0134-45E8-861B-C5CC5B274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24</xdr:row>
      <xdr:rowOff>0</xdr:rowOff>
    </xdr:from>
    <xdr:to>
      <xdr:col>11</xdr:col>
      <xdr:colOff>97693</xdr:colOff>
      <xdr:row>39</xdr:row>
      <xdr:rowOff>109497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8BA6A19-159F-45FD-8DA5-7AC7D4428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244443</xdr:colOff>
      <xdr:row>7</xdr:row>
      <xdr:rowOff>163988</xdr:rowOff>
    </xdr:from>
    <xdr:ext cx="792268" cy="372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EE54432-31F4-4D6F-B21D-6E55E5E69306}"/>
                </a:ext>
              </a:extLst>
            </xdr:cNvPr>
            <xdr:cNvSpPr txBox="1"/>
          </xdr:nvSpPr>
          <xdr:spPr>
            <a:xfrm>
              <a:off x="1599879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EE54432-31F4-4D6F-B21D-6E55E5E69306}"/>
                </a:ext>
              </a:extLst>
            </xdr:cNvPr>
            <xdr:cNvSpPr txBox="1"/>
          </xdr:nvSpPr>
          <xdr:spPr>
            <a:xfrm>
              <a:off x="1599879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((𝒏_𝒌−𝒏𝒑_𝒌 )^𝟐)/(𝒏𝒑_𝒌 )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15</xdr:col>
      <xdr:colOff>69850</xdr:colOff>
      <xdr:row>15</xdr:row>
      <xdr:rowOff>15875</xdr:rowOff>
    </xdr:from>
    <xdr:ext cx="1329659" cy="459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C402525-4C51-463E-B1AE-C5F1238C537D}"/>
                </a:ext>
              </a:extLst>
            </xdr:cNvPr>
            <xdr:cNvSpPr txBox="1"/>
          </xdr:nvSpPr>
          <xdr:spPr>
            <a:xfrm>
              <a:off x="1430020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𝜒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p>
                      <m:e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‍</m:t>
                        </m:r>
                      </m:e>
                    </m:nary>
                    <m:f>
                      <m:f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C402525-4C51-463E-B1AE-C5F1238C537D}"/>
                </a:ext>
              </a:extLst>
            </xdr:cNvPr>
            <xdr:cNvSpPr txBox="1"/>
          </xdr:nvSpPr>
          <xdr:spPr>
            <a:xfrm>
              <a:off x="1430020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𝜒_𝐵^2=∑1_(𝑘=1)^𝑟▒‍  ((𝑛_𝑘−𝑛𝑝_𝑘 )^2)/(𝑛𝑝_𝑘 )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5F45-D839-4453-9BDF-240EA0705C49}">
  <dimension ref="A2:X52"/>
  <sheetViews>
    <sheetView tabSelected="1" zoomScale="40" zoomScaleNormal="40" workbookViewId="0">
      <selection activeCell="L44" sqref="L44"/>
    </sheetView>
  </sheetViews>
  <sheetFormatPr defaultRowHeight="14" x14ac:dyDescent="0.3"/>
  <cols>
    <col min="1" max="1" width="7.36328125" style="1" bestFit="1" customWidth="1"/>
    <col min="2" max="2" width="9" style="1" bestFit="1" customWidth="1"/>
    <col min="3" max="7" width="8.7265625" style="1"/>
    <col min="8" max="8" width="7.36328125" style="1" bestFit="1" customWidth="1"/>
    <col min="9" max="9" width="9" style="1" bestFit="1" customWidth="1"/>
    <col min="10" max="10" width="8.7265625" style="1"/>
    <col min="11" max="11" width="20.08984375" style="1" bestFit="1" customWidth="1"/>
    <col min="12" max="12" width="11.7265625" style="1" bestFit="1" customWidth="1"/>
    <col min="13" max="13" width="10.08984375" style="1" bestFit="1" customWidth="1"/>
    <col min="14" max="14" width="8.7265625" style="1" customWidth="1"/>
    <col min="15" max="15" width="13.26953125" style="1" bestFit="1" customWidth="1"/>
    <col min="16" max="16" width="12.453125" style="1" customWidth="1"/>
    <col min="17" max="18" width="12.26953125" style="1" customWidth="1"/>
    <col min="19" max="19" width="12.1796875" style="1" bestFit="1" customWidth="1"/>
    <col min="20" max="21" width="14.90625" style="1" customWidth="1"/>
    <col min="22" max="22" width="13.36328125" style="1" customWidth="1"/>
    <col min="23" max="24" width="12.1796875" style="1" bestFit="1" customWidth="1"/>
    <col min="25" max="25" width="15" style="1" bestFit="1" customWidth="1"/>
    <col min="26" max="26" width="13.26953125" style="1" bestFit="1" customWidth="1"/>
    <col min="27" max="16384" width="8.7265625" style="1"/>
  </cols>
  <sheetData>
    <row r="2" spans="1:24" ht="14.5" thickBot="1" x14ac:dyDescent="0.35">
      <c r="A2" s="1" t="s">
        <v>0</v>
      </c>
      <c r="B2" s="1" t="s">
        <v>1</v>
      </c>
      <c r="D2" s="1" t="s">
        <v>2</v>
      </c>
      <c r="H2" s="1" t="s">
        <v>0</v>
      </c>
      <c r="I2" s="1" t="s">
        <v>1</v>
      </c>
      <c r="L2" s="1" t="s">
        <v>0</v>
      </c>
      <c r="M2" s="1" t="s">
        <v>1</v>
      </c>
      <c r="O2" s="1" t="s">
        <v>11</v>
      </c>
      <c r="X2" s="1" t="s">
        <v>24</v>
      </c>
    </row>
    <row r="3" spans="1:24" ht="28" x14ac:dyDescent="0.3">
      <c r="A3" s="2">
        <v>1.1511100000000001</v>
      </c>
      <c r="B3" s="3">
        <v>3.0167700000000002</v>
      </c>
      <c r="D3" s="1" t="s">
        <v>0</v>
      </c>
      <c r="E3" s="1" t="s">
        <v>1</v>
      </c>
      <c r="H3" s="2">
        <v>1.0032000000000001</v>
      </c>
      <c r="I3" s="3">
        <v>-1.6568700000000001</v>
      </c>
      <c r="K3" s="1" t="s">
        <v>5</v>
      </c>
      <c r="L3" s="1">
        <f>COUNTA(H3:H52)</f>
        <v>50</v>
      </c>
      <c r="M3" s="1">
        <f>COUNTA(I3:I52)</f>
        <v>50</v>
      </c>
      <c r="O3" s="13" t="s">
        <v>10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22</v>
      </c>
      <c r="V3" s="14" t="s">
        <v>19</v>
      </c>
    </row>
    <row r="4" spans="1:24" x14ac:dyDescent="0.3">
      <c r="A4" s="4">
        <v>1.79654</v>
      </c>
      <c r="B4" s="5">
        <v>-0.17352000000000001</v>
      </c>
      <c r="D4" s="1">
        <f>AVERAGE(A3:A52)</f>
        <v>1.5424106000000009</v>
      </c>
      <c r="E4" s="1">
        <f>AVERAGE(B3:B52)</f>
        <v>2.5221319599999994</v>
      </c>
      <c r="H4" s="4">
        <v>1.00892</v>
      </c>
      <c r="I4" s="5">
        <v>-0.74036199999999996</v>
      </c>
      <c r="K4" s="1" t="s">
        <v>6</v>
      </c>
      <c r="L4" s="1">
        <f>H3</f>
        <v>1.0032000000000001</v>
      </c>
      <c r="M4" s="1">
        <f>I3</f>
        <v>-1.6568700000000001</v>
      </c>
      <c r="O4" s="10">
        <v>1</v>
      </c>
      <c r="P4" s="15">
        <f>L4</f>
        <v>1.0032000000000001</v>
      </c>
      <c r="Q4" s="16">
        <f>P5</f>
        <v>1.3343183333333335</v>
      </c>
      <c r="R4" s="12">
        <f t="shared" ref="R4:R9" si="0">(P4+Q4)/2</f>
        <v>1.1687591666666668</v>
      </c>
      <c r="S4" s="12" cm="1">
        <f t="array" ref="S4:S9">FREQUENCY(H3:H52,P5:P9)</f>
        <v>17</v>
      </c>
      <c r="T4" s="12">
        <f t="shared" ref="T4:T9" si="1">S4/$S$10</f>
        <v>0.34</v>
      </c>
      <c r="U4" s="12">
        <f>T4/$L$7</f>
        <v>1.0268232404326751</v>
      </c>
      <c r="V4" s="11">
        <f>T4</f>
        <v>0.34</v>
      </c>
    </row>
    <row r="5" spans="1:24" x14ac:dyDescent="0.3">
      <c r="A5" s="6">
        <v>2.8480599999999998</v>
      </c>
      <c r="B5" s="5">
        <v>3.1695199999999999</v>
      </c>
      <c r="H5" s="4">
        <v>1.0301</v>
      </c>
      <c r="I5" s="5">
        <v>-0.73702800000000002</v>
      </c>
      <c r="K5" s="1" t="s">
        <v>7</v>
      </c>
      <c r="L5" s="1">
        <f>H52</f>
        <v>2.9899100000000001</v>
      </c>
      <c r="M5" s="1">
        <f>I52</f>
        <v>6.4695099999999996</v>
      </c>
      <c r="O5" s="10">
        <v>2</v>
      </c>
      <c r="P5" s="15">
        <f t="shared" ref="P5:Q9" si="2">P4+$L$7</f>
        <v>1.3343183333333335</v>
      </c>
      <c r="Q5" s="16">
        <f t="shared" si="2"/>
        <v>1.6654366666666669</v>
      </c>
      <c r="R5" s="12">
        <f t="shared" si="0"/>
        <v>1.4998775000000002</v>
      </c>
      <c r="S5" s="12">
        <v>18</v>
      </c>
      <c r="T5" s="12">
        <f t="shared" si="1"/>
        <v>0.36</v>
      </c>
      <c r="U5" s="12">
        <f t="shared" ref="U5:U9" si="3">T5/$L$7</f>
        <v>1.08722460751695</v>
      </c>
      <c r="V5" s="11">
        <f>V4+T5</f>
        <v>0.7</v>
      </c>
    </row>
    <row r="6" spans="1:24" x14ac:dyDescent="0.3">
      <c r="A6" s="4">
        <v>1.6140699999999999</v>
      </c>
      <c r="B6" s="5">
        <v>2.3263500000000001</v>
      </c>
      <c r="D6" s="1" t="s">
        <v>3</v>
      </c>
      <c r="H6" s="4">
        <v>1.0472900000000001</v>
      </c>
      <c r="I6" s="5">
        <v>-0.60269700000000004</v>
      </c>
      <c r="K6" s="1" t="s">
        <v>8</v>
      </c>
      <c r="L6" s="1">
        <v>6</v>
      </c>
      <c r="M6" s="1">
        <v>6</v>
      </c>
      <c r="O6" s="10">
        <v>3</v>
      </c>
      <c r="P6" s="15">
        <f t="shared" si="2"/>
        <v>1.6654366666666669</v>
      </c>
      <c r="Q6" s="16">
        <f t="shared" si="2"/>
        <v>1.9965550000000003</v>
      </c>
      <c r="R6" s="12">
        <f t="shared" si="0"/>
        <v>1.8309958333333336</v>
      </c>
      <c r="S6" s="12">
        <v>11</v>
      </c>
      <c r="T6" s="12">
        <f t="shared" si="1"/>
        <v>0.22</v>
      </c>
      <c r="U6" s="12">
        <f t="shared" si="3"/>
        <v>0.66441503792702505</v>
      </c>
      <c r="V6" s="11">
        <f t="shared" ref="V6:V9" si="4">V5+T6</f>
        <v>0.91999999999999993</v>
      </c>
    </row>
    <row r="7" spans="1:24" x14ac:dyDescent="0.3">
      <c r="A7" s="4">
        <v>1.31524</v>
      </c>
      <c r="B7" s="5">
        <v>1.91276</v>
      </c>
      <c r="D7" s="1" t="s">
        <v>0</v>
      </c>
      <c r="E7" s="1" t="s">
        <v>1</v>
      </c>
      <c r="H7" s="4">
        <v>1.0710900000000001</v>
      </c>
      <c r="I7" s="5">
        <v>-0.43187900000000001</v>
      </c>
      <c r="K7" s="1" t="s">
        <v>9</v>
      </c>
      <c r="L7" s="17">
        <f>(L5-L4)/(L6)</f>
        <v>0.33111833333333335</v>
      </c>
      <c r="M7" s="17">
        <f>(M5-M4)/(M6)</f>
        <v>1.3543966666666665</v>
      </c>
      <c r="O7" s="10">
        <v>4</v>
      </c>
      <c r="P7" s="15">
        <f t="shared" si="2"/>
        <v>1.9965550000000003</v>
      </c>
      <c r="Q7" s="16">
        <f t="shared" si="2"/>
        <v>2.3276733333333337</v>
      </c>
      <c r="R7" s="12">
        <f t="shared" si="0"/>
        <v>2.162114166666667</v>
      </c>
      <c r="S7" s="12">
        <v>2</v>
      </c>
      <c r="T7" s="12">
        <f t="shared" si="1"/>
        <v>0.04</v>
      </c>
      <c r="U7" s="12">
        <f t="shared" si="3"/>
        <v>0.12080273416855002</v>
      </c>
      <c r="V7" s="11">
        <f t="shared" si="4"/>
        <v>0.96</v>
      </c>
    </row>
    <row r="8" spans="1:24" x14ac:dyDescent="0.3">
      <c r="A8" s="4">
        <v>1.0032000000000001</v>
      </c>
      <c r="B8" s="5">
        <v>-0.43187900000000001</v>
      </c>
      <c r="D8" s="1">
        <f>_xlfn.VAR.S(A3:A52)</f>
        <v>0.16842184981391609</v>
      </c>
      <c r="E8" s="1">
        <f>_xlfn.VAR.S(B3:B52)</f>
        <v>3.7976036708135497</v>
      </c>
      <c r="H8" s="4">
        <v>1.09911</v>
      </c>
      <c r="I8" s="5">
        <v>-0.17352000000000001</v>
      </c>
      <c r="O8" s="10">
        <v>5</v>
      </c>
      <c r="P8" s="15">
        <f t="shared" si="2"/>
        <v>2.3276733333333337</v>
      </c>
      <c r="Q8" s="16">
        <f t="shared" si="2"/>
        <v>2.6587916666666671</v>
      </c>
      <c r="R8" s="12">
        <f t="shared" si="0"/>
        <v>2.4932325000000004</v>
      </c>
      <c r="S8" s="12">
        <v>0</v>
      </c>
      <c r="T8" s="12">
        <f t="shared" si="1"/>
        <v>0</v>
      </c>
      <c r="U8" s="12">
        <f t="shared" si="3"/>
        <v>0</v>
      </c>
      <c r="V8" s="11">
        <f t="shared" si="4"/>
        <v>0.96</v>
      </c>
    </row>
    <row r="9" spans="1:24" x14ac:dyDescent="0.3">
      <c r="A9" s="4">
        <v>1.0710900000000001</v>
      </c>
      <c r="B9" s="5">
        <v>3.9186800000000002</v>
      </c>
      <c r="H9" s="4">
        <v>1.1195900000000001</v>
      </c>
      <c r="I9" s="5">
        <v>-0.13830100000000001</v>
      </c>
      <c r="O9" s="10">
        <v>6</v>
      </c>
      <c r="P9" s="15">
        <f t="shared" si="2"/>
        <v>2.6587916666666671</v>
      </c>
      <c r="Q9" s="16">
        <f t="shared" si="2"/>
        <v>2.9899100000000005</v>
      </c>
      <c r="R9" s="12">
        <f t="shared" si="0"/>
        <v>2.8243508333333338</v>
      </c>
      <c r="S9" s="12">
        <v>2</v>
      </c>
      <c r="T9" s="12">
        <f t="shared" si="1"/>
        <v>0.04</v>
      </c>
      <c r="U9" s="12">
        <f t="shared" si="3"/>
        <v>0.12080273416855002</v>
      </c>
      <c r="V9" s="11">
        <f t="shared" si="4"/>
        <v>1</v>
      </c>
    </row>
    <row r="10" spans="1:24" x14ac:dyDescent="0.3">
      <c r="A10" s="4">
        <v>1.0472900000000001</v>
      </c>
      <c r="B10" s="5">
        <v>2.7407699999999999</v>
      </c>
      <c r="D10" s="1" t="s">
        <v>4</v>
      </c>
      <c r="H10" s="4">
        <v>1.1511100000000001</v>
      </c>
      <c r="I10" s="5">
        <v>-3.0000000000000001E-3</v>
      </c>
      <c r="K10" s="1" t="s">
        <v>20</v>
      </c>
      <c r="L10" s="1" t="s">
        <v>21</v>
      </c>
      <c r="M10" s="1">
        <f>ROUNDDOWN((1 + LOG(50,2)),0)</f>
        <v>6</v>
      </c>
      <c r="O10" s="10" t="s">
        <v>13</v>
      </c>
      <c r="P10" s="15"/>
      <c r="Q10" s="16"/>
      <c r="R10" s="12"/>
      <c r="S10" s="12">
        <f>SUM(_xlfn.ANCHORARRAY(S4))</f>
        <v>50</v>
      </c>
      <c r="T10" s="12">
        <f>SUM(T4:T9)</f>
        <v>1</v>
      </c>
      <c r="U10" s="12"/>
      <c r="V10" s="11"/>
    </row>
    <row r="11" spans="1:24" x14ac:dyDescent="0.3">
      <c r="A11" s="4">
        <v>1.4408700000000001</v>
      </c>
      <c r="B11" s="5">
        <v>5.4681600000000001</v>
      </c>
      <c r="D11" s="1" t="s">
        <v>0</v>
      </c>
      <c r="E11" s="1" t="s">
        <v>1</v>
      </c>
      <c r="H11" s="4">
        <v>1.1653800000000001</v>
      </c>
      <c r="I11" s="5">
        <v>0.27818100000000001</v>
      </c>
    </row>
    <row r="12" spans="1:24" x14ac:dyDescent="0.3">
      <c r="A12" s="6">
        <v>2.1596799999999998</v>
      </c>
      <c r="B12" s="5">
        <v>5.1539200000000003</v>
      </c>
      <c r="D12" s="1">
        <f>_xlfn.STDEV.S(A3:A52)</f>
        <v>0.41039231207944926</v>
      </c>
      <c r="E12" s="1">
        <f>_xlfn.STDEV.S(B3:B52)</f>
        <v>1.9487441265629384</v>
      </c>
      <c r="H12" s="4">
        <v>1.16568</v>
      </c>
      <c r="I12" s="5">
        <v>0.42441400000000001</v>
      </c>
      <c r="O12" s="1" t="s">
        <v>12</v>
      </c>
    </row>
    <row r="13" spans="1:24" ht="28" x14ac:dyDescent="0.3">
      <c r="A13" s="4">
        <v>1.98302</v>
      </c>
      <c r="B13" s="5">
        <v>1.16337</v>
      </c>
      <c r="H13" s="4">
        <v>1.19563</v>
      </c>
      <c r="I13" s="5">
        <v>1.0916300000000001</v>
      </c>
      <c r="O13" s="13" t="s">
        <v>10</v>
      </c>
      <c r="P13" s="13" t="s">
        <v>14</v>
      </c>
      <c r="Q13" s="13" t="s">
        <v>15</v>
      </c>
      <c r="R13" s="13" t="s">
        <v>16</v>
      </c>
      <c r="S13" s="13" t="s">
        <v>17</v>
      </c>
      <c r="T13" s="13" t="s">
        <v>18</v>
      </c>
      <c r="U13" s="13" t="s">
        <v>22</v>
      </c>
      <c r="V13" s="14" t="s">
        <v>19</v>
      </c>
    </row>
    <row r="14" spans="1:24" x14ac:dyDescent="0.3">
      <c r="A14" s="4">
        <v>1.8041400000000001</v>
      </c>
      <c r="B14" s="5">
        <v>2.7423299999999999</v>
      </c>
      <c r="H14" s="4">
        <v>1.2020200000000001</v>
      </c>
      <c r="I14" s="5">
        <v>1.16337</v>
      </c>
      <c r="O14" s="10">
        <v>1</v>
      </c>
      <c r="P14" s="15">
        <f>M4</f>
        <v>-1.6568700000000001</v>
      </c>
      <c r="Q14" s="16">
        <f>P15</f>
        <v>-0.30247333333333359</v>
      </c>
      <c r="R14" s="12">
        <f t="shared" ref="R14:R19" si="5">(P14+Q14)/2</f>
        <v>-0.97967166666666683</v>
      </c>
      <c r="S14" s="12" cm="1">
        <f t="array" ref="S14:S19">FREQUENCY(I3:I52,P15:P19)</f>
        <v>5</v>
      </c>
      <c r="T14" s="12">
        <f>S14/$S$20</f>
        <v>0.1</v>
      </c>
      <c r="U14" s="12">
        <f>T14/$M$7</f>
        <v>7.3833613490877872E-2</v>
      </c>
      <c r="V14" s="11">
        <f>T14</f>
        <v>0.1</v>
      </c>
    </row>
    <row r="15" spans="1:24" x14ac:dyDescent="0.3">
      <c r="A15" s="4">
        <v>1.60971</v>
      </c>
      <c r="B15" s="5">
        <v>-3.0000000000000001E-3</v>
      </c>
      <c r="H15" s="4">
        <v>1.2312099999999999</v>
      </c>
      <c r="I15" s="5">
        <v>1.25841</v>
      </c>
      <c r="O15" s="10">
        <v>2</v>
      </c>
      <c r="P15" s="15">
        <f t="shared" ref="P15:Q19" si="6">P14+$M$7</f>
        <v>-0.30247333333333359</v>
      </c>
      <c r="Q15" s="16">
        <f t="shared" si="6"/>
        <v>1.0519233333333329</v>
      </c>
      <c r="R15" s="12">
        <f t="shared" si="5"/>
        <v>0.37472499999999964</v>
      </c>
      <c r="S15" s="12">
        <v>5</v>
      </c>
      <c r="T15" s="12">
        <f t="shared" ref="T15:T19" si="7">S15/$S$20</f>
        <v>0.1</v>
      </c>
      <c r="U15" s="12">
        <f t="shared" ref="U15:U19" si="8">T15/$M$7</f>
        <v>7.3833613490877872E-2</v>
      </c>
      <c r="V15" s="11">
        <f>V14+T15</f>
        <v>0.2</v>
      </c>
    </row>
    <row r="16" spans="1:24" x14ac:dyDescent="0.3">
      <c r="A16" s="4">
        <v>1.35405</v>
      </c>
      <c r="B16" s="5">
        <v>1.63781</v>
      </c>
      <c r="H16" s="4">
        <v>1.2785299999999999</v>
      </c>
      <c r="I16" s="5">
        <v>1.49274</v>
      </c>
      <c r="O16" s="10">
        <v>3</v>
      </c>
      <c r="P16" s="15">
        <f t="shared" si="6"/>
        <v>1.0519233333333329</v>
      </c>
      <c r="Q16" s="16">
        <f t="shared" si="6"/>
        <v>2.4063199999999991</v>
      </c>
      <c r="R16" s="12">
        <f t="shared" si="5"/>
        <v>1.729121666666666</v>
      </c>
      <c r="S16" s="12">
        <v>12</v>
      </c>
      <c r="T16" s="12">
        <f t="shared" si="7"/>
        <v>0.24</v>
      </c>
      <c r="U16" s="12">
        <f t="shared" si="8"/>
        <v>0.17720067237810688</v>
      </c>
      <c r="V16" s="11">
        <f t="shared" ref="V16:V19" si="9">V15+T16</f>
        <v>0.44</v>
      </c>
    </row>
    <row r="17" spans="1:22" x14ac:dyDescent="0.3">
      <c r="A17" s="4">
        <v>1.43868</v>
      </c>
      <c r="B17" s="5">
        <v>3.81745</v>
      </c>
      <c r="H17" s="4">
        <v>1.28857</v>
      </c>
      <c r="I17" s="5">
        <v>1.5833200000000001</v>
      </c>
      <c r="O17" s="10">
        <v>4</v>
      </c>
      <c r="P17" s="15">
        <f t="shared" si="6"/>
        <v>2.4063199999999991</v>
      </c>
      <c r="Q17" s="16">
        <f t="shared" si="6"/>
        <v>3.7607166666666654</v>
      </c>
      <c r="R17" s="12">
        <f t="shared" si="5"/>
        <v>3.0835183333333323</v>
      </c>
      <c r="S17" s="12">
        <v>13</v>
      </c>
      <c r="T17" s="12">
        <f t="shared" si="7"/>
        <v>0.26</v>
      </c>
      <c r="U17" s="12">
        <f t="shared" si="8"/>
        <v>0.19196739507628247</v>
      </c>
      <c r="V17" s="11">
        <f t="shared" si="9"/>
        <v>0.7</v>
      </c>
    </row>
    <row r="18" spans="1:22" x14ac:dyDescent="0.3">
      <c r="A18" s="4">
        <v>1.79559</v>
      </c>
      <c r="B18" s="5">
        <v>4.2461700000000002</v>
      </c>
      <c r="H18" s="4">
        <v>1.31524</v>
      </c>
      <c r="I18" s="5">
        <v>1.5901099999999999</v>
      </c>
      <c r="O18" s="10">
        <v>5</v>
      </c>
      <c r="P18" s="15">
        <f t="shared" si="6"/>
        <v>3.7607166666666654</v>
      </c>
      <c r="Q18" s="16">
        <f t="shared" si="6"/>
        <v>5.1151133333333316</v>
      </c>
      <c r="R18" s="12">
        <f t="shared" si="5"/>
        <v>4.4379149999999985</v>
      </c>
      <c r="S18" s="12">
        <v>10</v>
      </c>
      <c r="T18" s="12">
        <f t="shared" si="7"/>
        <v>0.2</v>
      </c>
      <c r="U18" s="12">
        <f t="shared" si="8"/>
        <v>0.14766722698175574</v>
      </c>
      <c r="V18" s="11">
        <f t="shared" si="9"/>
        <v>0.89999999999999991</v>
      </c>
    </row>
    <row r="19" spans="1:22" x14ac:dyDescent="0.3">
      <c r="A19" s="4">
        <v>1.09911</v>
      </c>
      <c r="B19" s="5">
        <v>4.3758400000000002</v>
      </c>
      <c r="H19" s="4">
        <v>1.33144</v>
      </c>
      <c r="I19" s="5">
        <v>1.63781</v>
      </c>
      <c r="O19" s="10">
        <v>6</v>
      </c>
      <c r="P19" s="15">
        <f t="shared" si="6"/>
        <v>5.1151133333333316</v>
      </c>
      <c r="Q19" s="16">
        <f t="shared" si="6"/>
        <v>6.4695099999999979</v>
      </c>
      <c r="R19" s="12">
        <f t="shared" si="5"/>
        <v>5.7923116666666647</v>
      </c>
      <c r="S19" s="12">
        <v>5</v>
      </c>
      <c r="T19" s="12">
        <f t="shared" si="7"/>
        <v>0.1</v>
      </c>
      <c r="U19" s="12">
        <f t="shared" si="8"/>
        <v>7.3833613490877872E-2</v>
      </c>
      <c r="V19" s="11">
        <f t="shared" si="9"/>
        <v>0.99999999999999989</v>
      </c>
    </row>
    <row r="20" spans="1:22" x14ac:dyDescent="0.3">
      <c r="A20" s="4">
        <v>1.4523900000000001</v>
      </c>
      <c r="B20" s="5">
        <v>5.0537799999999997</v>
      </c>
      <c r="H20" s="4">
        <v>1.35405</v>
      </c>
      <c r="I20" s="5">
        <v>1.72692</v>
      </c>
      <c r="O20" s="10" t="s">
        <v>13</v>
      </c>
      <c r="P20" s="15"/>
      <c r="Q20" s="16"/>
      <c r="R20" s="12"/>
      <c r="S20" s="12">
        <f>SUM(_xlfn.ANCHORARRAY(S14))</f>
        <v>50</v>
      </c>
      <c r="T20" s="12">
        <f>SUM(T14:T19)</f>
        <v>0.99999999999999989</v>
      </c>
      <c r="U20" s="12"/>
      <c r="V20" s="11"/>
    </row>
    <row r="21" spans="1:22" x14ac:dyDescent="0.3">
      <c r="A21" s="4">
        <v>1.43075</v>
      </c>
      <c r="B21" s="5">
        <v>5.10623</v>
      </c>
      <c r="H21" s="4">
        <v>1.38235</v>
      </c>
      <c r="I21" s="5">
        <v>1.7513700000000001</v>
      </c>
    </row>
    <row r="22" spans="1:22" x14ac:dyDescent="0.3">
      <c r="A22" s="4">
        <v>1.2312099999999999</v>
      </c>
      <c r="B22" s="5">
        <v>-1.6568700000000001</v>
      </c>
      <c r="H22" s="4">
        <v>1.39706</v>
      </c>
      <c r="I22" s="5">
        <v>1.9047400000000001</v>
      </c>
      <c r="K22" s="1" t="s">
        <v>23</v>
      </c>
    </row>
    <row r="23" spans="1:22" x14ac:dyDescent="0.3">
      <c r="A23" s="4">
        <v>1.0301</v>
      </c>
      <c r="B23" s="5">
        <v>2.9357099999999998</v>
      </c>
      <c r="H23" s="4">
        <v>1.43075</v>
      </c>
      <c r="I23" s="5">
        <v>1.91276</v>
      </c>
    </row>
    <row r="24" spans="1:22" x14ac:dyDescent="0.3">
      <c r="A24" s="4">
        <v>1.6012599999999999</v>
      </c>
      <c r="B24" s="5">
        <v>1.49274</v>
      </c>
      <c r="H24" s="4">
        <v>1.43868</v>
      </c>
      <c r="I24" s="5">
        <v>2.3263500000000001</v>
      </c>
    </row>
    <row r="25" spans="1:22" x14ac:dyDescent="0.3">
      <c r="A25" s="6">
        <v>2.9899100000000001</v>
      </c>
      <c r="B25" s="5">
        <v>3.99708</v>
      </c>
      <c r="H25" s="4">
        <v>1.4408700000000001</v>
      </c>
      <c r="I25" s="5">
        <v>2.4750100000000002</v>
      </c>
    </row>
    <row r="26" spans="1:22" x14ac:dyDescent="0.3">
      <c r="A26" s="4">
        <v>1.8061400000000001</v>
      </c>
      <c r="B26" s="5">
        <v>4.6470500000000001</v>
      </c>
      <c r="H26" s="4">
        <v>1.4523900000000001</v>
      </c>
      <c r="I26" s="5">
        <v>2.7407699999999999</v>
      </c>
    </row>
    <row r="27" spans="1:22" x14ac:dyDescent="0.3">
      <c r="A27" s="4">
        <v>1.1653800000000001</v>
      </c>
      <c r="B27" s="5">
        <v>5.2593199999999998</v>
      </c>
      <c r="H27" s="4">
        <v>1.46665</v>
      </c>
      <c r="I27" s="5">
        <v>2.7423299999999999</v>
      </c>
    </row>
    <row r="28" spans="1:22" x14ac:dyDescent="0.3">
      <c r="A28" s="4">
        <v>1.83894</v>
      </c>
      <c r="B28" s="5">
        <v>2.8339300000000001</v>
      </c>
      <c r="H28" s="4">
        <v>1.4887300000000001</v>
      </c>
      <c r="I28" s="5">
        <v>2.7600500000000001</v>
      </c>
    </row>
    <row r="29" spans="1:22" x14ac:dyDescent="0.3">
      <c r="A29" s="4">
        <v>1.38235</v>
      </c>
      <c r="B29" s="5">
        <v>1.0916300000000001</v>
      </c>
      <c r="H29" s="4">
        <v>1.5667199999999999</v>
      </c>
      <c r="I29" s="5">
        <v>2.7949199999999998</v>
      </c>
    </row>
    <row r="30" spans="1:22" x14ac:dyDescent="0.3">
      <c r="A30" s="4">
        <v>1.16568</v>
      </c>
      <c r="B30" s="5">
        <v>-0.74036199999999996</v>
      </c>
      <c r="H30" s="4">
        <v>1.59293</v>
      </c>
      <c r="I30" s="5">
        <v>2.8339300000000001</v>
      </c>
    </row>
    <row r="31" spans="1:22" x14ac:dyDescent="0.3">
      <c r="A31" s="4">
        <v>1.19563</v>
      </c>
      <c r="B31" s="5">
        <v>2.7600500000000001</v>
      </c>
      <c r="H31" s="4">
        <v>1.6012599999999999</v>
      </c>
      <c r="I31" s="5">
        <v>2.9357099999999998</v>
      </c>
    </row>
    <row r="32" spans="1:22" x14ac:dyDescent="0.3">
      <c r="A32" s="4">
        <v>1.46665</v>
      </c>
      <c r="B32" s="5">
        <v>1.9047400000000001</v>
      </c>
      <c r="H32" s="4">
        <v>1.60833</v>
      </c>
      <c r="I32" s="5">
        <v>3.0167700000000002</v>
      </c>
    </row>
    <row r="33" spans="1:9" x14ac:dyDescent="0.3">
      <c r="A33" s="4">
        <v>1.59293</v>
      </c>
      <c r="B33" s="5">
        <v>3.0217100000000001</v>
      </c>
      <c r="H33" s="4">
        <v>1.60971</v>
      </c>
      <c r="I33" s="5">
        <v>3.0217100000000001</v>
      </c>
    </row>
    <row r="34" spans="1:9" x14ac:dyDescent="0.3">
      <c r="A34" s="4">
        <v>1.7760800000000001</v>
      </c>
      <c r="B34" s="5">
        <v>3.7261500000000001</v>
      </c>
      <c r="H34" s="4">
        <v>1.6140699999999999</v>
      </c>
      <c r="I34" s="5">
        <v>3.1695199999999999</v>
      </c>
    </row>
    <row r="35" spans="1:9" x14ac:dyDescent="0.3">
      <c r="A35" s="4">
        <v>1.2785299999999999</v>
      </c>
      <c r="B35" s="5">
        <v>1.72692</v>
      </c>
      <c r="H35" s="4">
        <v>1.6327499999999999</v>
      </c>
      <c r="I35" s="5">
        <v>3.1700400000000002</v>
      </c>
    </row>
    <row r="36" spans="1:9" x14ac:dyDescent="0.3">
      <c r="A36" s="4">
        <v>1.64323</v>
      </c>
      <c r="B36" s="5">
        <v>3.8111799999999998</v>
      </c>
      <c r="H36" s="4">
        <v>1.63835</v>
      </c>
      <c r="I36" s="5">
        <v>3.7054800000000001</v>
      </c>
    </row>
    <row r="37" spans="1:9" x14ac:dyDescent="0.3">
      <c r="A37" s="4">
        <v>1.33144</v>
      </c>
      <c r="B37" s="5">
        <v>0.27818100000000001</v>
      </c>
      <c r="H37" s="4">
        <v>1.64323</v>
      </c>
      <c r="I37" s="5">
        <v>3.7261500000000001</v>
      </c>
    </row>
    <row r="38" spans="1:9" x14ac:dyDescent="0.3">
      <c r="A38" s="4">
        <v>1.39706</v>
      </c>
      <c r="B38" s="5">
        <v>5.4249200000000002</v>
      </c>
      <c r="H38" s="4">
        <v>1.6846699999999999</v>
      </c>
      <c r="I38" s="5">
        <v>3.8111799999999998</v>
      </c>
    </row>
    <row r="39" spans="1:9" x14ac:dyDescent="0.3">
      <c r="A39" s="4">
        <v>1.1195900000000001</v>
      </c>
      <c r="B39" s="5">
        <v>6.4695099999999996</v>
      </c>
      <c r="H39" s="4">
        <v>1.7030099999999999</v>
      </c>
      <c r="I39" s="5">
        <v>3.81745</v>
      </c>
    </row>
    <row r="40" spans="1:9" x14ac:dyDescent="0.3">
      <c r="A40" s="4">
        <v>1.2020200000000001</v>
      </c>
      <c r="B40" s="5">
        <v>3.1700400000000002</v>
      </c>
      <c r="H40" s="4">
        <v>1.7760800000000001</v>
      </c>
      <c r="I40" s="5">
        <v>3.9186800000000002</v>
      </c>
    </row>
    <row r="41" spans="1:9" x14ac:dyDescent="0.3">
      <c r="A41" s="4">
        <v>1.96417</v>
      </c>
      <c r="B41" s="5">
        <v>1.5833200000000001</v>
      </c>
      <c r="H41" s="4">
        <v>1.79559</v>
      </c>
      <c r="I41" s="5">
        <v>3.99708</v>
      </c>
    </row>
    <row r="42" spans="1:9" x14ac:dyDescent="0.3">
      <c r="A42" s="4">
        <v>1.6327499999999999</v>
      </c>
      <c r="B42" s="5">
        <v>2.7949199999999998</v>
      </c>
      <c r="H42" s="4">
        <v>1.79654</v>
      </c>
      <c r="I42" s="5">
        <v>4.2461700000000002</v>
      </c>
    </row>
    <row r="43" spans="1:9" x14ac:dyDescent="0.3">
      <c r="A43" s="4">
        <v>1.00892</v>
      </c>
      <c r="B43" s="5">
        <v>1.7513700000000001</v>
      </c>
      <c r="H43" s="4">
        <v>1.8041400000000001</v>
      </c>
      <c r="I43" s="5">
        <v>4.3758400000000002</v>
      </c>
    </row>
    <row r="44" spans="1:9" x14ac:dyDescent="0.3">
      <c r="A44" s="4">
        <v>1.80463</v>
      </c>
      <c r="B44" s="5">
        <v>1.25841</v>
      </c>
      <c r="H44" s="4">
        <v>1.80463</v>
      </c>
      <c r="I44" s="5">
        <v>4.6064499999999997</v>
      </c>
    </row>
    <row r="45" spans="1:9" x14ac:dyDescent="0.3">
      <c r="A45" s="4">
        <v>1.7030099999999999</v>
      </c>
      <c r="B45" s="5">
        <v>1.5901099999999999</v>
      </c>
      <c r="H45" s="4">
        <v>1.8061400000000001</v>
      </c>
      <c r="I45" s="5">
        <v>4.6470500000000001</v>
      </c>
    </row>
    <row r="46" spans="1:9" x14ac:dyDescent="0.3">
      <c r="A46" s="6">
        <v>2.1029599999999999</v>
      </c>
      <c r="B46" s="5">
        <v>-0.13830100000000001</v>
      </c>
      <c r="H46" s="4">
        <v>1.83894</v>
      </c>
      <c r="I46" s="5">
        <v>5.0537799999999997</v>
      </c>
    </row>
    <row r="47" spans="1:9" x14ac:dyDescent="0.3">
      <c r="A47" s="4">
        <v>1.5667199999999999</v>
      </c>
      <c r="B47" s="5">
        <v>3.7054800000000001</v>
      </c>
      <c r="H47" s="4">
        <v>1.96417</v>
      </c>
      <c r="I47" s="5">
        <v>5.10623</v>
      </c>
    </row>
    <row r="48" spans="1:9" x14ac:dyDescent="0.3">
      <c r="A48" s="4">
        <v>1.63835</v>
      </c>
      <c r="B48" s="5">
        <v>-0.60269700000000004</v>
      </c>
      <c r="H48" s="4">
        <v>1.98302</v>
      </c>
      <c r="I48" s="5">
        <v>5.1539200000000003</v>
      </c>
    </row>
    <row r="49" spans="1:9" x14ac:dyDescent="0.3">
      <c r="A49" s="4">
        <v>1.60833</v>
      </c>
      <c r="B49" s="5">
        <v>4.6064499999999997</v>
      </c>
      <c r="H49" s="6">
        <v>2.1029599999999999</v>
      </c>
      <c r="I49" s="5">
        <v>5.2593199999999998</v>
      </c>
    </row>
    <row r="50" spans="1:9" x14ac:dyDescent="0.3">
      <c r="A50" s="4">
        <v>1.28857</v>
      </c>
      <c r="B50" s="5">
        <v>-0.73702800000000002</v>
      </c>
      <c r="H50" s="6">
        <v>2.1596799999999998</v>
      </c>
      <c r="I50" s="5">
        <v>5.4249200000000002</v>
      </c>
    </row>
    <row r="51" spans="1:9" x14ac:dyDescent="0.3">
      <c r="A51" s="4">
        <v>1.6846699999999999</v>
      </c>
      <c r="B51" s="5">
        <v>0.42441400000000001</v>
      </c>
      <c r="H51" s="6">
        <v>2.8480599999999998</v>
      </c>
      <c r="I51" s="5">
        <v>5.4681600000000001</v>
      </c>
    </row>
    <row r="52" spans="1:9" ht="14.5" thickBot="1" x14ac:dyDescent="0.35">
      <c r="A52" s="7">
        <v>1.4887300000000001</v>
      </c>
      <c r="B52" s="8">
        <v>2.4750100000000002</v>
      </c>
      <c r="H52" s="9">
        <v>2.9899100000000001</v>
      </c>
      <c r="I52" s="8">
        <v>6.4695099999999996</v>
      </c>
    </row>
  </sheetData>
  <sortState xmlns:xlrd2="http://schemas.microsoft.com/office/spreadsheetml/2017/richdata2" ref="M1:M53">
    <sortCondition ref="M1:M53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10E-1330-4351-BA66-3E21EDBF54C5}">
  <dimension ref="A1:M50"/>
  <sheetViews>
    <sheetView topLeftCell="F8" zoomScale="87" zoomScaleNormal="70" workbookViewId="0">
      <selection activeCell="D35" sqref="D35"/>
    </sheetView>
  </sheetViews>
  <sheetFormatPr defaultColWidth="10.90625" defaultRowHeight="15.5" x14ac:dyDescent="0.35"/>
  <cols>
    <col min="1" max="3" width="10.90625" style="18"/>
    <col min="4" max="4" width="67.1796875" style="18" customWidth="1"/>
    <col min="5" max="5" width="46" style="18" customWidth="1"/>
    <col min="6" max="6" width="47.453125" style="18" customWidth="1"/>
    <col min="7" max="7" width="43.54296875" style="18" customWidth="1"/>
    <col min="8" max="8" width="20.54296875" style="18" customWidth="1"/>
    <col min="9" max="16384" width="10.90625" style="18"/>
  </cols>
  <sheetData>
    <row r="1" spans="1:13" x14ac:dyDescent="0.35">
      <c r="A1" s="53">
        <v>1.0032000000000001</v>
      </c>
      <c r="B1" s="43">
        <f>POWER(A1-$E$15, 2)</f>
        <v>0.29074807115235962</v>
      </c>
      <c r="C1" s="43"/>
      <c r="D1" s="18" t="s">
        <v>40</v>
      </c>
      <c r="H1" s="19"/>
    </row>
    <row r="2" spans="1:13" x14ac:dyDescent="0.35">
      <c r="A2" s="54">
        <v>1.00892</v>
      </c>
      <c r="B2" s="43">
        <f t="shared" ref="B2:B50" si="0">POWER(A2-$E$15, 2)</f>
        <v>0.2846122202883597</v>
      </c>
      <c r="C2" s="43"/>
      <c r="H2" s="19"/>
    </row>
    <row r="3" spans="1:13" ht="68" customHeight="1" x14ac:dyDescent="0.35">
      <c r="A3" s="54">
        <v>1.0301</v>
      </c>
      <c r="B3" s="43">
        <f t="shared" si="0"/>
        <v>0.26246215087235975</v>
      </c>
      <c r="C3" s="43"/>
      <c r="D3" s="45"/>
      <c r="E3" s="46" t="s">
        <v>38</v>
      </c>
      <c r="F3" s="47"/>
      <c r="G3" s="48" t="s">
        <v>39</v>
      </c>
      <c r="H3" s="20"/>
      <c r="M3"/>
    </row>
    <row r="4" spans="1:13" x14ac:dyDescent="0.35">
      <c r="A4" s="54">
        <v>1.0472900000000001</v>
      </c>
      <c r="B4" s="43">
        <f t="shared" si="0"/>
        <v>0.2451444085443597</v>
      </c>
      <c r="C4" s="43"/>
      <c r="D4" s="19"/>
      <c r="E4" s="19"/>
      <c r="F4" s="19"/>
      <c r="G4" s="19"/>
    </row>
    <row r="5" spans="1:13" ht="69.5" customHeight="1" x14ac:dyDescent="0.35">
      <c r="A5" s="54">
        <v>1.0710900000000001</v>
      </c>
      <c r="B5" s="43">
        <f t="shared" si="0"/>
        <v>0.22214310798435966</v>
      </c>
      <c r="C5" s="43"/>
      <c r="D5" s="49"/>
      <c r="E5" s="46" t="s">
        <v>36</v>
      </c>
      <c r="F5" s="50" t="s">
        <v>37</v>
      </c>
    </row>
    <row r="6" spans="1:13" x14ac:dyDescent="0.35">
      <c r="A6" s="54">
        <v>1.09911</v>
      </c>
      <c r="B6" s="43">
        <f t="shared" si="0"/>
        <v>0.19651542196035973</v>
      </c>
      <c r="C6" s="43"/>
    </row>
    <row r="7" spans="1:13" ht="69" customHeight="1" x14ac:dyDescent="0.35">
      <c r="A7" s="54">
        <v>1.1195900000000001</v>
      </c>
      <c r="B7" s="43">
        <f t="shared" si="0"/>
        <v>0.17877725978435971</v>
      </c>
      <c r="C7" s="43"/>
      <c r="D7" s="51"/>
      <c r="E7" s="47" t="s">
        <v>41</v>
      </c>
      <c r="F7" s="52" t="s">
        <v>52</v>
      </c>
    </row>
    <row r="8" spans="1:13" x14ac:dyDescent="0.35">
      <c r="A8" s="54">
        <v>1.1511100000000001</v>
      </c>
      <c r="B8" s="43">
        <f t="shared" si="0"/>
        <v>0.15311615956035973</v>
      </c>
      <c r="C8" s="43"/>
    </row>
    <row r="9" spans="1:13" ht="19" customHeight="1" x14ac:dyDescent="0.35">
      <c r="A9" s="54">
        <v>1.1653800000000001</v>
      </c>
      <c r="B9" s="43">
        <f t="shared" si="0"/>
        <v>0.14215207333635974</v>
      </c>
      <c r="C9" s="43"/>
    </row>
    <row r="10" spans="1:13" x14ac:dyDescent="0.35">
      <c r="A10" s="54">
        <v>1.16568</v>
      </c>
      <c r="B10" s="43">
        <f t="shared" si="0"/>
        <v>0.14192594497635977</v>
      </c>
      <c r="C10" s="43"/>
      <c r="D10" s="81" t="s">
        <v>31</v>
      </c>
      <c r="E10" s="21"/>
      <c r="F10" s="35"/>
      <c r="G10" s="22"/>
      <c r="H10" s="22"/>
    </row>
    <row r="11" spans="1:13" x14ac:dyDescent="0.35">
      <c r="A11" s="54">
        <v>1.19563</v>
      </c>
      <c r="B11" s="43">
        <f t="shared" si="0"/>
        <v>0.12025678453635984</v>
      </c>
      <c r="C11" s="43"/>
      <c r="D11" s="82"/>
      <c r="E11" s="23"/>
      <c r="F11" s="36"/>
    </row>
    <row r="12" spans="1:13" x14ac:dyDescent="0.35">
      <c r="A12" s="54">
        <v>1.2020200000000001</v>
      </c>
      <c r="B12" s="43">
        <f t="shared" si="0"/>
        <v>0.11586576056835976</v>
      </c>
      <c r="C12" s="43"/>
      <c r="D12" s="24" t="s">
        <v>46</v>
      </c>
      <c r="E12" s="44">
        <f>SQRT(1/49 * SUM(B1:B50))</f>
        <v>0.41039231207945204</v>
      </c>
      <c r="F12" s="42" t="s">
        <v>51</v>
      </c>
      <c r="H12" s="26" t="s">
        <v>45</v>
      </c>
      <c r="I12" s="26">
        <v>0.95</v>
      </c>
    </row>
    <row r="13" spans="1:13" x14ac:dyDescent="0.35">
      <c r="A13" s="54">
        <v>1.2312099999999999</v>
      </c>
      <c r="B13" s="43">
        <f t="shared" si="0"/>
        <v>9.684581344035989E-2</v>
      </c>
      <c r="C13" s="43"/>
      <c r="D13" s="26" t="s">
        <v>32</v>
      </c>
      <c r="E13" s="26">
        <f>_xlfn.T.INV(I14, 49)</f>
        <v>2.0095752371292388</v>
      </c>
      <c r="F13" s="42" t="s">
        <v>49</v>
      </c>
      <c r="H13" s="26" t="s">
        <v>27</v>
      </c>
      <c r="I13" s="26">
        <f>1-I12</f>
        <v>5.0000000000000044E-2</v>
      </c>
    </row>
    <row r="14" spans="1:13" x14ac:dyDescent="0.35">
      <c r="A14" s="54">
        <v>1.2785299999999999</v>
      </c>
      <c r="B14" s="43">
        <f t="shared" si="0"/>
        <v>6.9632971056359891E-2</v>
      </c>
      <c r="C14" s="43"/>
      <c r="D14" s="26" t="s">
        <v>29</v>
      </c>
      <c r="E14" s="26">
        <v>50</v>
      </c>
      <c r="F14" s="25"/>
      <c r="H14" s="26" t="s">
        <v>28</v>
      </c>
      <c r="I14" s="26">
        <f>1-I13/2</f>
        <v>0.97499999999999998</v>
      </c>
    </row>
    <row r="15" spans="1:13" x14ac:dyDescent="0.35">
      <c r="A15" s="54">
        <v>1.28857</v>
      </c>
      <c r="B15" s="43">
        <f t="shared" si="0"/>
        <v>6.4435050208359879E-2</v>
      </c>
      <c r="C15" s="43"/>
      <c r="D15" s="26" t="s">
        <v>30</v>
      </c>
      <c r="E15" s="27">
        <f>SUM(A1:A50)/E14</f>
        <v>1.5424105999999997</v>
      </c>
      <c r="F15" s="37"/>
    </row>
    <row r="16" spans="1:13" ht="15.5" customHeight="1" x14ac:dyDescent="0.35">
      <c r="A16" s="54">
        <v>1.31524</v>
      </c>
      <c r="B16" s="43">
        <f t="shared" si="0"/>
        <v>5.1606481504359897E-2</v>
      </c>
      <c r="C16" s="43"/>
      <c r="D16" s="28" t="s">
        <v>25</v>
      </c>
      <c r="E16" s="29">
        <f>E15-(E12/SQRT(E14))*E13</f>
        <v>1.4257783953873973</v>
      </c>
      <c r="F16" s="38">
        <f>E15+(E12/SQRT(E14))*E13</f>
        <v>1.6590428046126022</v>
      </c>
      <c r="H16" s="85" t="s">
        <v>44</v>
      </c>
      <c r="I16" s="85"/>
    </row>
    <row r="17" spans="1:13" ht="26" customHeight="1" x14ac:dyDescent="0.35">
      <c r="A17" s="54">
        <v>1.33144</v>
      </c>
      <c r="B17" s="43">
        <f t="shared" si="0"/>
        <v>4.4508594064359912E-2</v>
      </c>
      <c r="C17" s="43"/>
      <c r="F17" s="39"/>
      <c r="H17" s="85"/>
      <c r="I17" s="85"/>
    </row>
    <row r="18" spans="1:13" x14ac:dyDescent="0.35">
      <c r="A18" s="54">
        <v>1.35405</v>
      </c>
      <c r="B18" s="43">
        <f t="shared" si="0"/>
        <v>3.5479715632359909E-2</v>
      </c>
      <c r="C18" s="43"/>
      <c r="F18" s="39"/>
      <c r="H18" s="85"/>
      <c r="I18" s="85"/>
    </row>
    <row r="19" spans="1:13" x14ac:dyDescent="0.35">
      <c r="A19" s="54">
        <v>1.38235</v>
      </c>
      <c r="B19" s="43">
        <f t="shared" si="0"/>
        <v>2.5619395672359928E-2</v>
      </c>
      <c r="C19" s="43"/>
      <c r="D19" s="83" t="s">
        <v>42</v>
      </c>
      <c r="E19" s="21"/>
      <c r="F19" s="35"/>
      <c r="G19" s="22"/>
    </row>
    <row r="20" spans="1:13" x14ac:dyDescent="0.35">
      <c r="A20" s="54">
        <v>1.39706</v>
      </c>
      <c r="B20" s="43">
        <f t="shared" si="0"/>
        <v>2.1126796920359934E-2</v>
      </c>
      <c r="C20" s="43"/>
      <c r="D20" s="84"/>
      <c r="E20" s="23"/>
      <c r="F20" s="36"/>
      <c r="M20"/>
    </row>
    <row r="21" spans="1:13" x14ac:dyDescent="0.35">
      <c r="A21" s="54">
        <v>1.43075</v>
      </c>
      <c r="B21" s="43">
        <f t="shared" si="0"/>
        <v>1.2468089592359951E-2</v>
      </c>
      <c r="C21" s="43"/>
      <c r="D21" s="26" t="s">
        <v>26</v>
      </c>
      <c r="E21" s="30">
        <v>4</v>
      </c>
      <c r="F21" s="41" t="s">
        <v>48</v>
      </c>
      <c r="M21"/>
    </row>
    <row r="22" spans="1:13" ht="46.5" x14ac:dyDescent="0.35">
      <c r="A22" s="54">
        <v>1.43868</v>
      </c>
      <c r="B22" s="43">
        <f t="shared" si="0"/>
        <v>1.0760037376359955E-2</v>
      </c>
      <c r="C22" s="43"/>
      <c r="D22" s="31" t="s">
        <v>47</v>
      </c>
      <c r="E22" s="26">
        <f>_xlfn.NORM.S.INV(I14)</f>
        <v>1.9599639845400536</v>
      </c>
      <c r="F22" s="25"/>
    </row>
    <row r="23" spans="1:13" x14ac:dyDescent="0.35">
      <c r="A23" s="54">
        <v>1.4408700000000001</v>
      </c>
      <c r="B23" s="43">
        <f t="shared" si="0"/>
        <v>1.0310493448359928E-2</v>
      </c>
      <c r="C23" s="43"/>
      <c r="D23" s="26" t="s">
        <v>29</v>
      </c>
      <c r="E23" s="26">
        <v>50</v>
      </c>
      <c r="F23" s="25"/>
    </row>
    <row r="24" spans="1:13" x14ac:dyDescent="0.35">
      <c r="A24" s="54">
        <v>1.4523900000000001</v>
      </c>
      <c r="B24" s="43">
        <f t="shared" si="0"/>
        <v>8.1037084243599407E-3</v>
      </c>
      <c r="C24" s="43"/>
      <c r="D24" s="26" t="s">
        <v>30</v>
      </c>
      <c r="E24" s="27">
        <f>AVERAGE(A1:A50)</f>
        <v>1.5424105999999997</v>
      </c>
      <c r="F24" s="37"/>
    </row>
    <row r="25" spans="1:13" x14ac:dyDescent="0.35">
      <c r="A25" s="54">
        <v>1.46665</v>
      </c>
      <c r="B25" s="43">
        <f t="shared" si="0"/>
        <v>5.7396685123599599E-3</v>
      </c>
      <c r="C25" s="43"/>
      <c r="D25" s="28" t="s">
        <v>25</v>
      </c>
      <c r="E25" s="29">
        <f>E24-E22*(SQRT(E21)/SQRT(E23))</f>
        <v>0.98804907026012878</v>
      </c>
      <c r="F25" s="38">
        <f>E24+E22*(SQRT(E21)/SQRT(E23))</f>
        <v>2.0967721297398709</v>
      </c>
    </row>
    <row r="26" spans="1:13" x14ac:dyDescent="0.35">
      <c r="A26" s="54">
        <v>1.4887300000000001</v>
      </c>
      <c r="B26" s="43">
        <f t="shared" si="0"/>
        <v>2.8816068163599606E-3</v>
      </c>
      <c r="C26" s="43"/>
      <c r="F26" s="39"/>
    </row>
    <row r="27" spans="1:13" x14ac:dyDescent="0.35">
      <c r="A27" s="54">
        <v>1.5667199999999999</v>
      </c>
      <c r="B27" s="43">
        <f t="shared" si="0"/>
        <v>5.9094692836000721E-4</v>
      </c>
      <c r="C27" s="43"/>
      <c r="D27" s="81" t="s">
        <v>33</v>
      </c>
      <c r="E27" s="21"/>
      <c r="F27" s="35"/>
      <c r="G27" s="22"/>
      <c r="H27" s="22"/>
    </row>
    <row r="28" spans="1:13" x14ac:dyDescent="0.35">
      <c r="A28" s="54">
        <v>1.59293</v>
      </c>
      <c r="B28" s="43">
        <f t="shared" si="0"/>
        <v>2.5522097763600216E-3</v>
      </c>
      <c r="C28" s="43"/>
      <c r="D28" s="82"/>
      <c r="E28" s="23"/>
      <c r="F28" s="36"/>
    </row>
    <row r="29" spans="1:13" x14ac:dyDescent="0.35">
      <c r="A29" s="54">
        <v>1.6012599999999999</v>
      </c>
      <c r="B29" s="43">
        <f t="shared" si="0"/>
        <v>3.4632518803600193E-3</v>
      </c>
      <c r="C29" s="43"/>
      <c r="D29" s="24" t="s">
        <v>26</v>
      </c>
      <c r="E29" s="33">
        <f>_xlfn.VAR.P(A1:A50)</f>
        <v>0.16505341281764013</v>
      </c>
      <c r="F29" s="25"/>
    </row>
    <row r="30" spans="1:13" x14ac:dyDescent="0.35">
      <c r="A30" s="54">
        <v>1.60833</v>
      </c>
      <c r="B30" s="43">
        <f t="shared" si="0"/>
        <v>4.3453672963600391E-3</v>
      </c>
      <c r="C30" s="43"/>
      <c r="D30" s="26" t="s">
        <v>50</v>
      </c>
      <c r="E30" s="26">
        <f>_xlfn.CHISQ.INV(I13/2, 49)</f>
        <v>31.55491646266713</v>
      </c>
      <c r="F30" s="34">
        <f>_xlfn.CHISQ.INV(I14, 49)</f>
        <v>70.22241356643454</v>
      </c>
    </row>
    <row r="31" spans="1:13" x14ac:dyDescent="0.35">
      <c r="A31" s="54">
        <v>1.60971</v>
      </c>
      <c r="B31" s="43">
        <f t="shared" si="0"/>
        <v>4.5292092403600315E-3</v>
      </c>
      <c r="C31" s="43"/>
      <c r="D31" s="26" t="s">
        <v>29</v>
      </c>
      <c r="E31" s="24">
        <v>50</v>
      </c>
      <c r="F31" s="25"/>
    </row>
    <row r="32" spans="1:13" x14ac:dyDescent="0.35">
      <c r="A32" s="54">
        <v>1.6140699999999999</v>
      </c>
      <c r="B32" s="43">
        <f t="shared" si="0"/>
        <v>5.135069608360022E-3</v>
      </c>
      <c r="C32" s="43"/>
      <c r="D32" s="26" t="s">
        <v>30</v>
      </c>
      <c r="E32" s="27">
        <f>AVERAGE(A1:A50)</f>
        <v>1.5424105999999997</v>
      </c>
      <c r="F32" s="25"/>
    </row>
    <row r="33" spans="1:6" x14ac:dyDescent="0.35">
      <c r="A33" s="54">
        <v>1.6327499999999999</v>
      </c>
      <c r="B33" s="43">
        <f t="shared" si="0"/>
        <v>8.1612071923600326E-3</v>
      </c>
      <c r="C33" s="43"/>
      <c r="D33" s="26" t="s">
        <v>35</v>
      </c>
      <c r="E33" s="26">
        <f>_xlfn.VAR.S(A1:A50)</f>
        <v>0.16842184981391842</v>
      </c>
      <c r="F33" s="40" t="s">
        <v>43</v>
      </c>
    </row>
    <row r="34" spans="1:6" x14ac:dyDescent="0.35">
      <c r="A34" s="54">
        <v>1.63835</v>
      </c>
      <c r="B34" s="43">
        <f t="shared" si="0"/>
        <v>9.2043684723600444E-3</v>
      </c>
      <c r="C34" s="43"/>
      <c r="D34" s="28" t="s">
        <v>34</v>
      </c>
      <c r="E34" s="29">
        <f>((E31-1)*E33)/F30</f>
        <v>0.117521888265411</v>
      </c>
      <c r="F34" s="38">
        <f>((E31-1)*E33)/E30</f>
        <v>0.26153359178262447</v>
      </c>
    </row>
    <row r="35" spans="1:6" x14ac:dyDescent="0.35">
      <c r="A35" s="54">
        <v>1.64323</v>
      </c>
      <c r="B35" s="43">
        <f t="shared" si="0"/>
        <v>1.0164551416360046E-2</v>
      </c>
      <c r="C35" s="43"/>
    </row>
    <row r="36" spans="1:6" x14ac:dyDescent="0.35">
      <c r="A36" s="54">
        <v>1.6846699999999999</v>
      </c>
      <c r="B36" s="43">
        <f t="shared" si="0"/>
        <v>2.0237736888360041E-2</v>
      </c>
      <c r="C36" s="43"/>
      <c r="D36" s="32"/>
    </row>
    <row r="37" spans="1:6" x14ac:dyDescent="0.35">
      <c r="A37" s="54">
        <v>1.7030099999999999</v>
      </c>
      <c r="B37" s="43">
        <f t="shared" si="0"/>
        <v>2.5792167280360056E-2</v>
      </c>
      <c r="C37" s="43"/>
    </row>
    <row r="38" spans="1:6" x14ac:dyDescent="0.35">
      <c r="A38" s="54">
        <v>1.7760800000000001</v>
      </c>
      <c r="B38" s="43">
        <f t="shared" si="0"/>
        <v>5.4601388496360169E-2</v>
      </c>
      <c r="C38" s="43"/>
    </row>
    <row r="39" spans="1:6" x14ac:dyDescent="0.35">
      <c r="A39" s="54">
        <v>1.79559</v>
      </c>
      <c r="B39" s="43">
        <f t="shared" si="0"/>
        <v>6.4099808584360138E-2</v>
      </c>
      <c r="C39" s="43"/>
    </row>
    <row r="40" spans="1:6" x14ac:dyDescent="0.35">
      <c r="A40" s="54">
        <v>1.79654</v>
      </c>
      <c r="B40" s="43">
        <f t="shared" si="0"/>
        <v>6.4581751944360138E-2</v>
      </c>
      <c r="C40" s="43"/>
    </row>
    <row r="41" spans="1:6" x14ac:dyDescent="0.35">
      <c r="A41" s="54">
        <v>1.8041400000000001</v>
      </c>
      <c r="B41" s="43">
        <f t="shared" si="0"/>
        <v>6.8502278824360177E-2</v>
      </c>
      <c r="C41" s="43"/>
    </row>
    <row r="42" spans="1:6" x14ac:dyDescent="0.35">
      <c r="A42" s="54">
        <v>1.80463</v>
      </c>
      <c r="B42" s="43">
        <f t="shared" si="0"/>
        <v>6.8759013736360106E-2</v>
      </c>
      <c r="C42" s="43"/>
    </row>
    <row r="43" spans="1:6" x14ac:dyDescent="0.35">
      <c r="A43" s="54">
        <v>1.8061400000000001</v>
      </c>
      <c r="B43" s="43">
        <f t="shared" si="0"/>
        <v>6.9553196424360184E-2</v>
      </c>
      <c r="C43" s="43"/>
    </row>
    <row r="44" spans="1:6" x14ac:dyDescent="0.35">
      <c r="A44" s="54">
        <v>1.83894</v>
      </c>
      <c r="B44" s="43">
        <f t="shared" si="0"/>
        <v>8.7929685064360164E-2</v>
      </c>
      <c r="C44" s="43"/>
    </row>
    <row r="45" spans="1:6" x14ac:dyDescent="0.35">
      <c r="A45" s="54">
        <v>1.96417</v>
      </c>
      <c r="B45" s="43">
        <f t="shared" si="0"/>
        <v>0.1778809914883602</v>
      </c>
      <c r="C45" s="43"/>
    </row>
    <row r="46" spans="1:6" x14ac:dyDescent="0.35">
      <c r="A46" s="54">
        <v>1.98302</v>
      </c>
      <c r="B46" s="43">
        <f t="shared" si="0"/>
        <v>0.19413664336836023</v>
      </c>
      <c r="C46" s="43"/>
    </row>
    <row r="47" spans="1:6" x14ac:dyDescent="0.35">
      <c r="A47" s="55">
        <v>2.1029599999999999</v>
      </c>
      <c r="B47" s="43">
        <f t="shared" si="0"/>
        <v>0.31421562984036022</v>
      </c>
      <c r="C47" s="43"/>
    </row>
    <row r="48" spans="1:6" x14ac:dyDescent="0.35">
      <c r="A48" s="55">
        <v>2.1596799999999998</v>
      </c>
      <c r="B48" s="43">
        <f t="shared" si="0"/>
        <v>0.3810215121763601</v>
      </c>
      <c r="C48" s="43"/>
    </row>
    <row r="49" spans="1:3" x14ac:dyDescent="0.35">
      <c r="A49" s="55">
        <v>2.8480599999999998</v>
      </c>
      <c r="B49" s="43">
        <f t="shared" si="0"/>
        <v>1.7047203557203603</v>
      </c>
      <c r="C49" s="43"/>
    </row>
    <row r="50" spans="1:3" ht="16" thickBot="1" x14ac:dyDescent="0.4">
      <c r="A50" s="56">
        <v>2.9899100000000001</v>
      </c>
      <c r="B50" s="43">
        <f t="shared" si="0"/>
        <v>2.095254513000361</v>
      </c>
      <c r="C50" s="43"/>
    </row>
  </sheetData>
  <mergeCells count="4">
    <mergeCell ref="D10:D11"/>
    <mergeCell ref="D19:D20"/>
    <mergeCell ref="D27:D28"/>
    <mergeCell ref="H16:I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D21E-869F-40FE-A2B9-AF5E1BE2CAF4}">
  <dimension ref="A2:S51"/>
  <sheetViews>
    <sheetView topLeftCell="A13" zoomScale="70" zoomScaleNormal="70" workbookViewId="0">
      <selection activeCell="T14" sqref="T14"/>
    </sheetView>
  </sheetViews>
  <sheetFormatPr defaultRowHeight="14" x14ac:dyDescent="0.3"/>
  <cols>
    <col min="1" max="2" width="8.7265625" style="1"/>
    <col min="3" max="3" width="18" style="1" bestFit="1" customWidth="1"/>
    <col min="4" max="4" width="12.453125" style="1" customWidth="1"/>
    <col min="5" max="5" width="12.08984375" style="1" customWidth="1"/>
    <col min="6" max="6" width="19.81640625" style="1" customWidth="1"/>
    <col min="7" max="7" width="13.36328125" style="1" customWidth="1"/>
    <col min="8" max="8" width="14.90625" style="1" customWidth="1"/>
    <col min="9" max="9" width="20.1796875" style="1" customWidth="1"/>
    <col min="10" max="10" width="12.81640625" style="1" customWidth="1"/>
    <col min="11" max="11" width="14.26953125" style="1" bestFit="1" customWidth="1"/>
    <col min="12" max="12" width="16.1796875" style="1" bestFit="1" customWidth="1"/>
    <col min="13" max="13" width="12.90625" style="1" bestFit="1" customWidth="1"/>
    <col min="14" max="14" width="10" style="1" customWidth="1"/>
    <col min="15" max="15" width="10.1796875" style="1" customWidth="1"/>
    <col min="16" max="16" width="22.453125" style="1" customWidth="1"/>
    <col min="17" max="16384" width="8.7265625" style="1"/>
  </cols>
  <sheetData>
    <row r="2" spans="1:19" x14ac:dyDescent="0.3">
      <c r="A2" s="61">
        <v>-1.6568700000000001</v>
      </c>
      <c r="C2" s="57" t="s">
        <v>63</v>
      </c>
      <c r="D2" s="57">
        <f>COUNTA(A2:A51)</f>
        <v>50</v>
      </c>
      <c r="F2" s="57" t="s">
        <v>53</v>
      </c>
      <c r="G2" s="57">
        <f>AVERAGE(A2:A51)</f>
        <v>2.5221319600000003</v>
      </c>
      <c r="I2" s="57" t="s">
        <v>56</v>
      </c>
      <c r="J2" s="57">
        <f>D5-2-1</f>
        <v>3</v>
      </c>
    </row>
    <row r="3" spans="1:19" x14ac:dyDescent="0.3">
      <c r="A3" s="62">
        <v>-0.74036199999999996</v>
      </c>
      <c r="C3" s="58" t="s">
        <v>6</v>
      </c>
      <c r="D3" s="58">
        <f>MIN(A2:A51)</f>
        <v>-1.6568700000000001</v>
      </c>
      <c r="F3" s="64" t="s">
        <v>54</v>
      </c>
      <c r="G3" s="58">
        <f>_xlfn.VAR.S(A2:A51)</f>
        <v>3.7976036708135497</v>
      </c>
      <c r="I3" s="58" t="s">
        <v>57</v>
      </c>
      <c r="J3" s="58">
        <v>0.1</v>
      </c>
    </row>
    <row r="4" spans="1:19" x14ac:dyDescent="0.3">
      <c r="A4" s="62">
        <v>-0.73702800000000002</v>
      </c>
      <c r="C4" s="58" t="s">
        <v>7</v>
      </c>
      <c r="D4" s="58">
        <f>MAX(A2:A51)</f>
        <v>6.4695099999999996</v>
      </c>
      <c r="F4" s="65" t="s">
        <v>55</v>
      </c>
      <c r="G4" s="59">
        <f>_xlfn.STDEV.S(A2:A51)</f>
        <v>1.9487441265629384</v>
      </c>
      <c r="I4" s="58" t="s">
        <v>58</v>
      </c>
      <c r="J4" s="58">
        <f>_xlfn.CHISQ.INV.RT(J3,J2)</f>
        <v>6.2513886311703235</v>
      </c>
    </row>
    <row r="5" spans="1:19" x14ac:dyDescent="0.3">
      <c r="A5" s="62">
        <v>-0.60269700000000004</v>
      </c>
      <c r="C5" s="58" t="s">
        <v>8</v>
      </c>
      <c r="D5" s="58">
        <v>6</v>
      </c>
      <c r="I5" s="59" t="s">
        <v>59</v>
      </c>
      <c r="J5" s="59">
        <v>50</v>
      </c>
    </row>
    <row r="6" spans="1:19" x14ac:dyDescent="0.3">
      <c r="A6" s="62">
        <v>-0.43187900000000001</v>
      </c>
      <c r="C6" s="59" t="s">
        <v>9</v>
      </c>
      <c r="D6" s="60">
        <f>(D4-D3)/(D5)</f>
        <v>1.3543966666666665</v>
      </c>
    </row>
    <row r="7" spans="1:19" x14ac:dyDescent="0.3">
      <c r="A7" s="62">
        <v>-0.17352000000000001</v>
      </c>
    </row>
    <row r="8" spans="1:19" x14ac:dyDescent="0.3">
      <c r="A8" s="62">
        <v>-0.13830100000000001</v>
      </c>
    </row>
    <row r="9" spans="1:19" ht="14" customHeight="1" x14ac:dyDescent="0.3">
      <c r="A9" s="62">
        <v>-3.0000000000000001E-3</v>
      </c>
      <c r="C9" s="87" t="s">
        <v>10</v>
      </c>
      <c r="D9" s="87" t="s">
        <v>14</v>
      </c>
      <c r="E9" s="87" t="s">
        <v>15</v>
      </c>
      <c r="F9" s="87" t="s">
        <v>16</v>
      </c>
      <c r="G9" s="87" t="s">
        <v>62</v>
      </c>
      <c r="H9" s="87" t="s">
        <v>18</v>
      </c>
      <c r="I9" s="87" t="s">
        <v>22</v>
      </c>
      <c r="J9" s="88" t="s">
        <v>19</v>
      </c>
      <c r="L9" s="86" t="s">
        <v>60</v>
      </c>
      <c r="M9" s="86"/>
      <c r="N9" s="86" t="s">
        <v>61</v>
      </c>
      <c r="O9" s="86"/>
      <c r="P9" s="90" t="s">
        <v>64</v>
      </c>
      <c r="Q9" s="86"/>
      <c r="R9" s="86"/>
    </row>
    <row r="10" spans="1:19" x14ac:dyDescent="0.3">
      <c r="A10" s="62">
        <v>0.27818100000000001</v>
      </c>
      <c r="C10" s="87"/>
      <c r="D10" s="87"/>
      <c r="E10" s="87"/>
      <c r="F10" s="87"/>
      <c r="G10" s="87"/>
      <c r="H10" s="87"/>
      <c r="I10" s="87"/>
      <c r="J10" s="88"/>
      <c r="L10" s="86"/>
      <c r="M10" s="86"/>
      <c r="N10" s="86"/>
      <c r="O10" s="86"/>
      <c r="P10" s="91"/>
      <c r="Q10" s="86"/>
      <c r="R10" s="86"/>
    </row>
    <row r="11" spans="1:19" x14ac:dyDescent="0.3">
      <c r="A11" s="62">
        <v>0.42441400000000001</v>
      </c>
      <c r="C11" s="66">
        <v>1</v>
      </c>
      <c r="D11" s="67">
        <f>D3</f>
        <v>-1.6568700000000001</v>
      </c>
      <c r="E11" s="68">
        <f>D12</f>
        <v>-0.30247333333333359</v>
      </c>
      <c r="F11" s="69">
        <f t="shared" ref="F11:F16" si="0">(D11+E11)/2</f>
        <v>-0.97967166666666683</v>
      </c>
      <c r="G11" s="69" cm="1">
        <f t="array" ref="G11:G16">FREQUENCY(A2:A51,D12:D16)</f>
        <v>5</v>
      </c>
      <c r="H11" s="69">
        <f t="shared" ref="H11:H16" si="1">G11/$G$17</f>
        <v>0.1</v>
      </c>
      <c r="I11" s="69">
        <f t="shared" ref="I11:I16" si="2">H11/$D$6</f>
        <v>7.3833613490877872E-2</v>
      </c>
      <c r="J11" s="73">
        <f>H11</f>
        <v>0.1</v>
      </c>
      <c r="L11" s="72">
        <f>(D11-$G$2)/$G$4</f>
        <v>-2.1444590405876625</v>
      </c>
      <c r="M11" s="72">
        <f>(E11-$G$2)/$G$4</f>
        <v>-1.4494490348074476</v>
      </c>
      <c r="N11" s="72">
        <v>0</v>
      </c>
      <c r="O11" s="72">
        <f>_xlfn.NORM.S.DIST(M11, TRUE)</f>
        <v>7.3606111689107662E-2</v>
      </c>
      <c r="P11" s="75">
        <f>O11-N11</f>
        <v>7.3606111689107662E-2</v>
      </c>
      <c r="Q11" s="89">
        <f t="shared" ref="Q11:Q16" si="3">POWER(G11-$D$2*P11,2)/($D$2*P11)</f>
        <v>0.47321976679753674</v>
      </c>
      <c r="R11" s="89"/>
      <c r="S11" s="1">
        <f>P11*50</f>
        <v>3.6803055844553829</v>
      </c>
    </row>
    <row r="12" spans="1:19" x14ac:dyDescent="0.3">
      <c r="A12" s="62">
        <v>1.0916300000000001</v>
      </c>
      <c r="C12" s="66">
        <v>2</v>
      </c>
      <c r="D12" s="67">
        <f t="shared" ref="D12:E16" si="4">D11+$D$6</f>
        <v>-0.30247333333333359</v>
      </c>
      <c r="E12" s="68">
        <f t="shared" si="4"/>
        <v>1.0519233333333329</v>
      </c>
      <c r="F12" s="69">
        <f t="shared" si="0"/>
        <v>0.37472499999999964</v>
      </c>
      <c r="G12" s="69">
        <v>5</v>
      </c>
      <c r="H12" s="69">
        <f t="shared" si="1"/>
        <v>0.1</v>
      </c>
      <c r="I12" s="69">
        <f t="shared" si="2"/>
        <v>7.3833613490877872E-2</v>
      </c>
      <c r="J12" s="73">
        <f>J11+H12</f>
        <v>0.2</v>
      </c>
      <c r="L12" s="72">
        <f t="shared" ref="L12:M15" si="5">(D12-$G$2)/$G$4</f>
        <v>-1.4494490348074476</v>
      </c>
      <c r="M12" s="72">
        <f t="shared" si="5"/>
        <v>-0.75443902902723348</v>
      </c>
      <c r="N12" s="72">
        <f t="shared" ref="N12:O16" si="6">_xlfn.NORM.S.DIST(L12, TRUE)</f>
        <v>7.3606111689107662E-2</v>
      </c>
      <c r="O12" s="72">
        <f t="shared" si="6"/>
        <v>0.22529282170113021</v>
      </c>
      <c r="P12" s="75">
        <f>O12-N12</f>
        <v>0.15168671001202255</v>
      </c>
      <c r="Q12" s="89">
        <f t="shared" si="3"/>
        <v>0.88060318259100312</v>
      </c>
      <c r="R12" s="89"/>
      <c r="S12" s="1">
        <f t="shared" ref="S12:S16" si="7">P12*50</f>
        <v>7.5843355006011279</v>
      </c>
    </row>
    <row r="13" spans="1:19" x14ac:dyDescent="0.3">
      <c r="A13" s="62">
        <v>1.16337</v>
      </c>
      <c r="C13" s="66">
        <v>3</v>
      </c>
      <c r="D13" s="67">
        <f t="shared" si="4"/>
        <v>1.0519233333333329</v>
      </c>
      <c r="E13" s="68">
        <f t="shared" si="4"/>
        <v>2.4063199999999991</v>
      </c>
      <c r="F13" s="69">
        <f t="shared" si="0"/>
        <v>1.729121666666666</v>
      </c>
      <c r="G13" s="69">
        <v>12</v>
      </c>
      <c r="H13" s="69">
        <f t="shared" si="1"/>
        <v>0.24</v>
      </c>
      <c r="I13" s="69">
        <f t="shared" si="2"/>
        <v>0.17720067237810688</v>
      </c>
      <c r="J13" s="73">
        <f t="shared" ref="J13:J16" si="8">J12+H13</f>
        <v>0.44</v>
      </c>
      <c r="L13" s="72">
        <f>(D13-$G$2)/$G$4</f>
        <v>-0.75443902902723348</v>
      </c>
      <c r="M13" s="72">
        <f t="shared" si="5"/>
        <v>-5.9429023247019284E-2</v>
      </c>
      <c r="N13" s="72">
        <f t="shared" si="6"/>
        <v>0.22529282170113021</v>
      </c>
      <c r="O13" s="72">
        <f t="shared" si="6"/>
        <v>0.47630519834889551</v>
      </c>
      <c r="P13" s="75">
        <f>O13-N13</f>
        <v>0.25101237664776532</v>
      </c>
      <c r="Q13" s="89">
        <f t="shared" si="3"/>
        <v>2.4156665311054284E-2</v>
      </c>
      <c r="R13" s="89"/>
      <c r="S13" s="1">
        <f t="shared" si="7"/>
        <v>12.550618832388267</v>
      </c>
    </row>
    <row r="14" spans="1:19" x14ac:dyDescent="0.3">
      <c r="A14" s="62">
        <v>1.25841</v>
      </c>
      <c r="C14" s="66">
        <v>4</v>
      </c>
      <c r="D14" s="67">
        <f t="shared" si="4"/>
        <v>2.4063199999999991</v>
      </c>
      <c r="E14" s="68">
        <f t="shared" si="4"/>
        <v>3.7607166666666654</v>
      </c>
      <c r="F14" s="69">
        <f t="shared" si="0"/>
        <v>3.0835183333333323</v>
      </c>
      <c r="G14" s="69">
        <v>13</v>
      </c>
      <c r="H14" s="69">
        <f t="shared" si="1"/>
        <v>0.26</v>
      </c>
      <c r="I14" s="69">
        <f t="shared" si="2"/>
        <v>0.19196739507628247</v>
      </c>
      <c r="J14" s="73">
        <f t="shared" si="8"/>
        <v>0.7</v>
      </c>
      <c r="L14" s="72">
        <f t="shared" si="5"/>
        <v>-5.9429023247019284E-2</v>
      </c>
      <c r="M14" s="72">
        <f t="shared" si="5"/>
        <v>0.63558098253319495</v>
      </c>
      <c r="N14" s="72">
        <f t="shared" si="6"/>
        <v>0.47630519834889551</v>
      </c>
      <c r="O14" s="72">
        <f t="shared" si="6"/>
        <v>0.73747521598162113</v>
      </c>
      <c r="P14" s="75">
        <f t="shared" ref="P12:P15" si="9">O14-N14</f>
        <v>0.26117001763272563</v>
      </c>
      <c r="Q14" s="89">
        <f t="shared" si="3"/>
        <v>2.6207856347698231E-4</v>
      </c>
      <c r="R14" s="89"/>
      <c r="S14" s="1">
        <f t="shared" si="7"/>
        <v>13.058500881636281</v>
      </c>
    </row>
    <row r="15" spans="1:19" x14ac:dyDescent="0.3">
      <c r="A15" s="62">
        <v>1.49274</v>
      </c>
      <c r="C15" s="66">
        <v>5</v>
      </c>
      <c r="D15" s="67">
        <f t="shared" si="4"/>
        <v>3.7607166666666654</v>
      </c>
      <c r="E15" s="68">
        <f t="shared" si="4"/>
        <v>5.1151133333333316</v>
      </c>
      <c r="F15" s="69">
        <f t="shared" si="0"/>
        <v>4.4379149999999985</v>
      </c>
      <c r="G15" s="69">
        <v>10</v>
      </c>
      <c r="H15" s="69">
        <f t="shared" si="1"/>
        <v>0.2</v>
      </c>
      <c r="I15" s="69">
        <f t="shared" si="2"/>
        <v>0.14766722698175574</v>
      </c>
      <c r="J15" s="73">
        <f t="shared" si="8"/>
        <v>0.89999999999999991</v>
      </c>
      <c r="L15" s="72">
        <f t="shared" si="5"/>
        <v>0.63558098253319495</v>
      </c>
      <c r="M15" s="72">
        <f t="shared" si="5"/>
        <v>1.3305909883134091</v>
      </c>
      <c r="N15" s="72">
        <f t="shared" si="6"/>
        <v>0.73747521598162113</v>
      </c>
      <c r="O15" s="72">
        <f t="shared" si="6"/>
        <v>0.90833818533773036</v>
      </c>
      <c r="P15" s="75">
        <f t="shared" si="9"/>
        <v>0.17086296935610923</v>
      </c>
      <c r="Q15" s="89">
        <f t="shared" si="3"/>
        <v>0.2484349177420736</v>
      </c>
      <c r="R15" s="89"/>
      <c r="S15" s="1">
        <f t="shared" si="7"/>
        <v>8.5431484678054623</v>
      </c>
    </row>
    <row r="16" spans="1:19" x14ac:dyDescent="0.3">
      <c r="A16" s="62">
        <v>1.5833200000000001</v>
      </c>
      <c r="C16" s="66">
        <v>6</v>
      </c>
      <c r="D16" s="67">
        <f t="shared" si="4"/>
        <v>5.1151133333333316</v>
      </c>
      <c r="E16" s="68">
        <f t="shared" si="4"/>
        <v>6.4695099999999979</v>
      </c>
      <c r="F16" s="69">
        <f t="shared" si="0"/>
        <v>5.7923116666666647</v>
      </c>
      <c r="G16" s="69">
        <v>5</v>
      </c>
      <c r="H16" s="69">
        <f t="shared" si="1"/>
        <v>0.1</v>
      </c>
      <c r="I16" s="69">
        <f t="shared" si="2"/>
        <v>7.3833613490877872E-2</v>
      </c>
      <c r="J16" s="73">
        <f t="shared" si="8"/>
        <v>0.99999999999999989</v>
      </c>
      <c r="L16" s="72">
        <f>(D16-$G$2)/$G$4</f>
        <v>1.3305909883134091</v>
      </c>
      <c r="M16" s="72">
        <f>(E16-$G$2)/$G$4</f>
        <v>2.0256009940936233</v>
      </c>
      <c r="N16" s="72">
        <f t="shared" si="6"/>
        <v>0.90833818533773036</v>
      </c>
      <c r="O16" s="72">
        <v>1</v>
      </c>
      <c r="P16" s="75">
        <f>O16-N16</f>
        <v>9.1661814662269636E-2</v>
      </c>
      <c r="Q16" s="89">
        <f t="shared" si="3"/>
        <v>3.7924917252898441E-2</v>
      </c>
      <c r="R16" s="89"/>
      <c r="S16" s="1">
        <f t="shared" si="7"/>
        <v>4.5830907331134814</v>
      </c>
    </row>
    <row r="17" spans="1:18" x14ac:dyDescent="0.3">
      <c r="A17" s="62">
        <v>1.5901099999999999</v>
      </c>
      <c r="C17" s="76" t="s">
        <v>13</v>
      </c>
      <c r="D17" s="77"/>
      <c r="E17" s="78"/>
      <c r="F17" s="79"/>
      <c r="G17" s="79">
        <f>SUM(_xlfn.ANCHORARRAY(G11))</f>
        <v>50</v>
      </c>
      <c r="H17" s="79">
        <f>SUM(H11:H16)</f>
        <v>0.99999999999999989</v>
      </c>
      <c r="I17" s="79"/>
      <c r="J17" s="80"/>
    </row>
    <row r="18" spans="1:18" x14ac:dyDescent="0.3">
      <c r="A18" s="62">
        <v>1.63781</v>
      </c>
      <c r="P18" s="94"/>
      <c r="Q18" s="93">
        <f>SUM(Q11:Q16)</f>
        <v>1.6646015282580433</v>
      </c>
      <c r="R18" s="93"/>
    </row>
    <row r="19" spans="1:18" x14ac:dyDescent="0.3">
      <c r="A19" s="62">
        <v>1.72692</v>
      </c>
      <c r="P19" s="95"/>
      <c r="Q19" s="93"/>
      <c r="R19" s="93"/>
    </row>
    <row r="20" spans="1:18" x14ac:dyDescent="0.3">
      <c r="A20" s="62">
        <v>1.7513700000000001</v>
      </c>
      <c r="C20" s="92" t="s">
        <v>66</v>
      </c>
      <c r="D20" s="92"/>
      <c r="E20" s="92"/>
      <c r="P20" s="96"/>
      <c r="Q20" s="93"/>
      <c r="R20" s="93"/>
    </row>
    <row r="21" spans="1:18" x14ac:dyDescent="0.3">
      <c r="A21" s="62">
        <v>1.9047400000000001</v>
      </c>
      <c r="C21" s="92"/>
      <c r="D21" s="92"/>
      <c r="E21" s="92"/>
    </row>
    <row r="22" spans="1:18" ht="14" customHeight="1" x14ac:dyDescent="0.3">
      <c r="A22" s="62">
        <v>1.91276</v>
      </c>
      <c r="C22" s="92"/>
      <c r="D22" s="92"/>
      <c r="E22" s="92"/>
      <c r="P22" s="97" t="s">
        <v>65</v>
      </c>
      <c r="Q22" s="92" t="str">
        <f>IF(Q18&lt;$J$4, "да, гипотеза не противоречит результату", "нет, гипотеза отвергнута")</f>
        <v>да, гипотеза не противоречит результату</v>
      </c>
      <c r="R22" s="92"/>
    </row>
    <row r="23" spans="1:18" x14ac:dyDescent="0.3">
      <c r="A23" s="62">
        <v>2.3263500000000001</v>
      </c>
      <c r="P23" s="98"/>
      <c r="Q23" s="92"/>
      <c r="R23" s="92"/>
    </row>
    <row r="24" spans="1:18" x14ac:dyDescent="0.3">
      <c r="A24" s="62">
        <v>2.4750100000000002</v>
      </c>
      <c r="P24" s="99"/>
      <c r="Q24" s="92"/>
      <c r="R24" s="92"/>
    </row>
    <row r="25" spans="1:18" x14ac:dyDescent="0.3">
      <c r="A25" s="62">
        <v>2.7407699999999999</v>
      </c>
    </row>
    <row r="26" spans="1:18" x14ac:dyDescent="0.3">
      <c r="A26" s="62">
        <v>2.7423299999999999</v>
      </c>
    </row>
    <row r="27" spans="1:18" x14ac:dyDescent="0.3">
      <c r="A27" s="62">
        <v>2.7600500000000001</v>
      </c>
    </row>
    <row r="28" spans="1:18" x14ac:dyDescent="0.3">
      <c r="A28" s="62">
        <v>2.7949199999999998</v>
      </c>
    </row>
    <row r="29" spans="1:18" x14ac:dyDescent="0.3">
      <c r="A29" s="62">
        <v>2.8339300000000001</v>
      </c>
    </row>
    <row r="30" spans="1:18" x14ac:dyDescent="0.3">
      <c r="A30" s="62">
        <v>2.9357099999999998</v>
      </c>
    </row>
    <row r="31" spans="1:18" x14ac:dyDescent="0.3">
      <c r="A31" s="62">
        <v>3.0167700000000002</v>
      </c>
    </row>
    <row r="32" spans="1:18" x14ac:dyDescent="0.3">
      <c r="A32" s="62">
        <v>3.0217100000000001</v>
      </c>
    </row>
    <row r="33" spans="1:1" x14ac:dyDescent="0.3">
      <c r="A33" s="62">
        <v>3.1695199999999999</v>
      </c>
    </row>
    <row r="34" spans="1:1" x14ac:dyDescent="0.3">
      <c r="A34" s="62">
        <v>3.1700400000000002</v>
      </c>
    </row>
    <row r="35" spans="1:1" x14ac:dyDescent="0.3">
      <c r="A35" s="62">
        <v>3.7054800000000001</v>
      </c>
    </row>
    <row r="36" spans="1:1" x14ac:dyDescent="0.3">
      <c r="A36" s="62">
        <v>3.7261500000000001</v>
      </c>
    </row>
    <row r="37" spans="1:1" x14ac:dyDescent="0.3">
      <c r="A37" s="62">
        <v>3.8111799999999998</v>
      </c>
    </row>
    <row r="38" spans="1:1" x14ac:dyDescent="0.3">
      <c r="A38" s="62">
        <v>3.81745</v>
      </c>
    </row>
    <row r="39" spans="1:1" x14ac:dyDescent="0.3">
      <c r="A39" s="62">
        <v>3.9186800000000002</v>
      </c>
    </row>
    <row r="40" spans="1:1" x14ac:dyDescent="0.3">
      <c r="A40" s="62">
        <v>3.99708</v>
      </c>
    </row>
    <row r="41" spans="1:1" x14ac:dyDescent="0.3">
      <c r="A41" s="62">
        <v>4.2461700000000002</v>
      </c>
    </row>
    <row r="42" spans="1:1" x14ac:dyDescent="0.3">
      <c r="A42" s="62">
        <v>4.3758400000000002</v>
      </c>
    </row>
    <row r="43" spans="1:1" x14ac:dyDescent="0.3">
      <c r="A43" s="62">
        <v>4.6064499999999997</v>
      </c>
    </row>
    <row r="44" spans="1:1" x14ac:dyDescent="0.3">
      <c r="A44" s="62">
        <v>4.6470500000000001</v>
      </c>
    </row>
    <row r="45" spans="1:1" x14ac:dyDescent="0.3">
      <c r="A45" s="62">
        <v>5.0537799999999997</v>
      </c>
    </row>
    <row r="46" spans="1:1" x14ac:dyDescent="0.3">
      <c r="A46" s="62">
        <v>5.10623</v>
      </c>
    </row>
    <row r="47" spans="1:1" x14ac:dyDescent="0.3">
      <c r="A47" s="62">
        <v>5.1539200000000003</v>
      </c>
    </row>
    <row r="48" spans="1:1" x14ac:dyDescent="0.3">
      <c r="A48" s="62">
        <v>5.2593199999999998</v>
      </c>
    </row>
    <row r="49" spans="1:1" x14ac:dyDescent="0.3">
      <c r="A49" s="62">
        <v>5.4249200000000002</v>
      </c>
    </row>
    <row r="50" spans="1:1" x14ac:dyDescent="0.3">
      <c r="A50" s="62">
        <v>5.4681600000000001</v>
      </c>
    </row>
    <row r="51" spans="1:1" x14ac:dyDescent="0.3">
      <c r="A51" s="63">
        <v>6.4695099999999996</v>
      </c>
    </row>
  </sheetData>
  <mergeCells count="23">
    <mergeCell ref="Q15:R15"/>
    <mergeCell ref="Q16:R16"/>
    <mergeCell ref="P9:P10"/>
    <mergeCell ref="C20:E22"/>
    <mergeCell ref="Q18:R20"/>
    <mergeCell ref="Q22:R24"/>
    <mergeCell ref="P18:P20"/>
    <mergeCell ref="P22:P24"/>
    <mergeCell ref="Q9:R10"/>
    <mergeCell ref="Q11:R11"/>
    <mergeCell ref="Q12:R12"/>
    <mergeCell ref="Q13:R13"/>
    <mergeCell ref="Q14:R14"/>
    <mergeCell ref="N9:O10"/>
    <mergeCell ref="L9:M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0672-C844-468D-9DC5-E930CA90CE65}">
  <dimension ref="A1:R51"/>
  <sheetViews>
    <sheetView topLeftCell="D1" zoomScale="73" zoomScaleNormal="100" workbookViewId="0">
      <selection activeCell="J4" sqref="J4"/>
    </sheetView>
  </sheetViews>
  <sheetFormatPr defaultRowHeight="14" x14ac:dyDescent="0.3"/>
  <cols>
    <col min="1" max="2" width="8.7265625" style="1"/>
    <col min="3" max="3" width="18" style="1" bestFit="1" customWidth="1"/>
    <col min="4" max="4" width="12.453125" style="1" customWidth="1"/>
    <col min="5" max="5" width="12.08984375" style="1" customWidth="1"/>
    <col min="6" max="6" width="19.81640625" style="1" customWidth="1"/>
    <col min="7" max="7" width="13.36328125" style="1" customWidth="1"/>
    <col min="8" max="8" width="14.90625" style="1" customWidth="1"/>
    <col min="9" max="9" width="20.1796875" style="1" customWidth="1"/>
    <col min="10" max="10" width="12.81640625" style="1" customWidth="1"/>
    <col min="11" max="11" width="14.26953125" style="1" bestFit="1" customWidth="1"/>
    <col min="12" max="12" width="16.1796875" style="1" bestFit="1" customWidth="1"/>
    <col min="13" max="13" width="12.90625" style="1" bestFit="1" customWidth="1"/>
    <col min="14" max="14" width="10.7265625" style="1" customWidth="1"/>
    <col min="15" max="15" width="11" style="1" customWidth="1"/>
    <col min="16" max="16" width="22.36328125" style="1" customWidth="1"/>
    <col min="17" max="16384" width="8.7265625" style="1"/>
  </cols>
  <sheetData>
    <row r="1" spans="1:18" ht="14.5" thickBot="1" x14ac:dyDescent="0.35"/>
    <row r="2" spans="1:18" x14ac:dyDescent="0.3">
      <c r="A2" s="2">
        <v>1.0032000000000001</v>
      </c>
      <c r="C2" s="57" t="s">
        <v>63</v>
      </c>
      <c r="D2" s="57">
        <f>COUNTA(A2:A51)</f>
        <v>50</v>
      </c>
      <c r="F2" s="57" t="s">
        <v>53</v>
      </c>
      <c r="G2" s="57">
        <f>AVERAGE(A2:A51)</f>
        <v>1.5424105999999997</v>
      </c>
      <c r="I2" s="57" t="s">
        <v>56</v>
      </c>
      <c r="J2" s="57">
        <f>D5-2-1</f>
        <v>1</v>
      </c>
    </row>
    <row r="3" spans="1:18" x14ac:dyDescent="0.3">
      <c r="A3" s="4">
        <v>1.00892</v>
      </c>
      <c r="C3" s="58" t="s">
        <v>6</v>
      </c>
      <c r="D3" s="58">
        <f>MIN(A2:A51)</f>
        <v>1.0032000000000001</v>
      </c>
      <c r="F3" s="64" t="s">
        <v>54</v>
      </c>
      <c r="G3" s="58">
        <f>_xlfn.VAR.S(A2:A51)</f>
        <v>0.16842184981391842</v>
      </c>
      <c r="I3" s="58" t="s">
        <v>57</v>
      </c>
      <c r="J3" s="58">
        <v>0.1</v>
      </c>
    </row>
    <row r="4" spans="1:18" x14ac:dyDescent="0.3">
      <c r="A4" s="4">
        <v>1.0301</v>
      </c>
      <c r="C4" s="58" t="s">
        <v>7</v>
      </c>
      <c r="D4" s="58">
        <f>MAX(A2:A51)</f>
        <v>2.9899100000000001</v>
      </c>
      <c r="F4" s="65" t="s">
        <v>55</v>
      </c>
      <c r="G4" s="59">
        <f>_xlfn.STDEV.S(A2:A51)</f>
        <v>0.41039231207945209</v>
      </c>
      <c r="I4" s="58" t="s">
        <v>58</v>
      </c>
      <c r="J4" s="58">
        <f>_xlfn.CHISQ.INV.RT(J3,J2)</f>
        <v>2.7055434540954142</v>
      </c>
    </row>
    <row r="5" spans="1:18" ht="14.5" customHeight="1" x14ac:dyDescent="0.3">
      <c r="A5" s="4">
        <v>1.0472900000000001</v>
      </c>
      <c r="C5" s="58" t="s">
        <v>8</v>
      </c>
      <c r="D5" s="58">
        <v>4</v>
      </c>
      <c r="G5" s="71"/>
      <c r="H5" s="71"/>
      <c r="I5" s="59" t="s">
        <v>59</v>
      </c>
      <c r="J5" s="59">
        <v>50</v>
      </c>
    </row>
    <row r="6" spans="1:18" ht="14" customHeight="1" x14ac:dyDescent="0.3">
      <c r="A6" s="4">
        <v>1.0710900000000001</v>
      </c>
      <c r="C6" s="59" t="s">
        <v>9</v>
      </c>
      <c r="D6" s="60">
        <f>(D4-D3)/(D5)</f>
        <v>0.49667749999999999</v>
      </c>
      <c r="F6" s="71"/>
      <c r="G6" s="71"/>
      <c r="H6" s="71"/>
    </row>
    <row r="7" spans="1:18" x14ac:dyDescent="0.3">
      <c r="A7" s="4">
        <v>1.09911</v>
      </c>
    </row>
    <row r="8" spans="1:18" x14ac:dyDescent="0.3">
      <c r="A8" s="4">
        <v>1.1195900000000001</v>
      </c>
    </row>
    <row r="9" spans="1:18" ht="14" customHeight="1" x14ac:dyDescent="0.3">
      <c r="A9" s="4">
        <v>1.1511100000000001</v>
      </c>
      <c r="C9" s="87" t="s">
        <v>10</v>
      </c>
      <c r="D9" s="87" t="s">
        <v>14</v>
      </c>
      <c r="E9" s="87" t="s">
        <v>15</v>
      </c>
      <c r="F9" s="87" t="s">
        <v>16</v>
      </c>
      <c r="G9" s="87" t="s">
        <v>62</v>
      </c>
      <c r="H9" s="87" t="s">
        <v>18</v>
      </c>
      <c r="I9" s="87" t="s">
        <v>22</v>
      </c>
      <c r="J9" s="88" t="s">
        <v>19</v>
      </c>
      <c r="L9" s="109" t="s">
        <v>60</v>
      </c>
      <c r="M9" s="110"/>
      <c r="N9" s="109" t="s">
        <v>61</v>
      </c>
      <c r="O9" s="110"/>
      <c r="P9" s="90" t="s">
        <v>64</v>
      </c>
      <c r="Q9" s="109"/>
      <c r="R9" s="110"/>
    </row>
    <row r="10" spans="1:18" x14ac:dyDescent="0.3">
      <c r="A10" s="4">
        <v>1.1653800000000001</v>
      </c>
      <c r="C10" s="87"/>
      <c r="D10" s="87"/>
      <c r="E10" s="87"/>
      <c r="F10" s="87"/>
      <c r="G10" s="87"/>
      <c r="H10" s="87"/>
      <c r="I10" s="87"/>
      <c r="J10" s="88"/>
      <c r="L10" s="111"/>
      <c r="M10" s="112"/>
      <c r="N10" s="111"/>
      <c r="O10" s="112"/>
      <c r="P10" s="91"/>
      <c r="Q10" s="111"/>
      <c r="R10" s="112"/>
    </row>
    <row r="11" spans="1:18" x14ac:dyDescent="0.3">
      <c r="A11" s="4">
        <v>1.16568</v>
      </c>
      <c r="C11" s="66">
        <v>1</v>
      </c>
      <c r="D11" s="67">
        <f>D3</f>
        <v>1.0032000000000001</v>
      </c>
      <c r="E11" s="68">
        <f>D12</f>
        <v>1.4998775000000002</v>
      </c>
      <c r="F11" s="69">
        <f>(D11+E11)/2</f>
        <v>1.2515387500000001</v>
      </c>
      <c r="G11" s="69" cm="1">
        <f t="array" ref="G11:G14">FREQUENCY(A2:A51,D12:D14)</f>
        <v>26</v>
      </c>
      <c r="H11" s="69">
        <f>G11/$G$15</f>
        <v>0.52</v>
      </c>
      <c r="I11" s="69">
        <f>H11/$D$6</f>
        <v>1.0469570294607669</v>
      </c>
      <c r="J11" s="70">
        <f>H11</f>
        <v>0.52</v>
      </c>
      <c r="L11" s="74">
        <f>(D11-$G$2)/$G$4</f>
        <v>-1.3138905971893751</v>
      </c>
      <c r="M11" s="74">
        <f>(E11-$G$2)/$G$4</f>
        <v>-0.10364009935879384</v>
      </c>
      <c r="N11" s="74">
        <v>0</v>
      </c>
      <c r="O11" s="74">
        <f>_xlfn.NORM.S.DIST(M11, TRUE)</f>
        <v>0.45872748215512599</v>
      </c>
      <c r="P11" s="108">
        <f>O11-N11</f>
        <v>0.45872748215512599</v>
      </c>
      <c r="Q11" s="100">
        <f>POWER(G11-$D$2*P11,2)/($D$2*P11)</f>
        <v>0.40921043420075909</v>
      </c>
      <c r="R11" s="101"/>
    </row>
    <row r="12" spans="1:18" x14ac:dyDescent="0.3">
      <c r="A12" s="4">
        <v>1.19563</v>
      </c>
      <c r="C12" s="66">
        <v>2</v>
      </c>
      <c r="D12" s="67">
        <f t="shared" ref="D12:E14" si="0">D11+$D$6</f>
        <v>1.4998775000000002</v>
      </c>
      <c r="E12" s="68">
        <f t="shared" si="0"/>
        <v>1.9965550000000003</v>
      </c>
      <c r="F12" s="69">
        <f>(D12+E12)/2</f>
        <v>1.7482162500000002</v>
      </c>
      <c r="G12" s="69">
        <v>20</v>
      </c>
      <c r="H12" s="69">
        <f>G12/$G$15</f>
        <v>0.4</v>
      </c>
      <c r="I12" s="69">
        <f>H12/$D$6</f>
        <v>0.80535156112366679</v>
      </c>
      <c r="J12" s="70">
        <f>J11+H12</f>
        <v>0.92</v>
      </c>
      <c r="L12" s="74">
        <f t="shared" ref="L12:M14" si="1">(D12-$G$2)/$G$4</f>
        <v>-0.10364009935879384</v>
      </c>
      <c r="M12" s="74">
        <f t="shared" si="1"/>
        <v>1.1066103984717872</v>
      </c>
      <c r="N12" s="74">
        <f>_xlfn.NORM.S.DIST(L12, TRUE)</f>
        <v>0.45872748215512599</v>
      </c>
      <c r="O12" s="74">
        <f>_xlfn.NORM.S.DIST(M12, TRUE)</f>
        <v>0.86576879522659</v>
      </c>
      <c r="P12" s="108">
        <f>O12-N12</f>
        <v>0.40704131307146402</v>
      </c>
      <c r="Q12" s="100">
        <f>POWER(G12-$D$2*P12,2)/($D$2*P12)</f>
        <v>6.0903019150866499E-3</v>
      </c>
      <c r="R12" s="101"/>
    </row>
    <row r="13" spans="1:18" x14ac:dyDescent="0.3">
      <c r="A13" s="4">
        <v>1.2020200000000001</v>
      </c>
      <c r="C13" s="66">
        <v>3</v>
      </c>
      <c r="D13" s="67">
        <f t="shared" si="0"/>
        <v>1.9965550000000003</v>
      </c>
      <c r="E13" s="68">
        <f t="shared" si="0"/>
        <v>2.4932325000000004</v>
      </c>
      <c r="F13" s="69">
        <f>(D13+E13)/2</f>
        <v>2.2448937500000001</v>
      </c>
      <c r="G13" s="69">
        <v>2</v>
      </c>
      <c r="H13" s="69">
        <f>G13/$G$15</f>
        <v>0.04</v>
      </c>
      <c r="I13" s="69">
        <f>H13/$D$6</f>
        <v>8.0535156112366682E-2</v>
      </c>
      <c r="J13" s="70">
        <f>J12+H13</f>
        <v>0.96000000000000008</v>
      </c>
      <c r="L13" s="74">
        <f t="shared" si="1"/>
        <v>1.1066103984717872</v>
      </c>
      <c r="M13" s="74">
        <f t="shared" si="1"/>
        <v>2.3168608963023685</v>
      </c>
      <c r="N13" s="74">
        <f>_xlfn.NORM.S.DIST(L13, TRUE)</f>
        <v>0.86576879522659</v>
      </c>
      <c r="O13" s="74">
        <f>_xlfn.NORM.S.DIST(M13, TRUE)</f>
        <v>0.98974434475406003</v>
      </c>
      <c r="P13" s="108">
        <f>O13-N13</f>
        <v>0.12397554952747003</v>
      </c>
      <c r="Q13" s="100">
        <f>POWER(G13-$D$2*P13,2)/($D$2*P13)</f>
        <v>2.8440660054820079</v>
      </c>
      <c r="R13" s="101"/>
    </row>
    <row r="14" spans="1:18" x14ac:dyDescent="0.3">
      <c r="A14" s="4">
        <v>1.2312099999999999</v>
      </c>
      <c r="C14" s="66">
        <v>4</v>
      </c>
      <c r="D14" s="67">
        <f t="shared" si="0"/>
        <v>2.4932325000000004</v>
      </c>
      <c r="E14" s="68">
        <f t="shared" si="0"/>
        <v>2.9899100000000005</v>
      </c>
      <c r="F14" s="69">
        <f>(D14+E14)/2</f>
        <v>2.7415712500000007</v>
      </c>
      <c r="G14" s="69">
        <v>2</v>
      </c>
      <c r="H14" s="69">
        <f>G14/$G$15</f>
        <v>0.04</v>
      </c>
      <c r="I14" s="69">
        <f>H14/$D$6</f>
        <v>8.0535156112366682E-2</v>
      </c>
      <c r="J14" s="70">
        <f>J13+H14</f>
        <v>1</v>
      </c>
      <c r="L14" s="74">
        <f t="shared" si="1"/>
        <v>2.3168608963023685</v>
      </c>
      <c r="M14" s="74">
        <f t="shared" si="1"/>
        <v>3.5271113941329495</v>
      </c>
      <c r="N14" s="74">
        <f>_xlfn.NORM.S.DIST(L14, TRUE)</f>
        <v>0.98974434475406003</v>
      </c>
      <c r="O14" s="74">
        <v>1</v>
      </c>
      <c r="P14" s="108">
        <f>O14-N14</f>
        <v>1.0255655245939965E-2</v>
      </c>
      <c r="Q14" s="100">
        <f>POWER(G14-$D$2*P14,2)/($D$2*P14)</f>
        <v>4.3133569900305799</v>
      </c>
      <c r="R14" s="101"/>
    </row>
    <row r="15" spans="1:18" x14ac:dyDescent="0.3">
      <c r="A15" s="4">
        <v>1.2785299999999999</v>
      </c>
      <c r="C15" s="66" t="s">
        <v>13</v>
      </c>
      <c r="D15" s="67"/>
      <c r="E15" s="68"/>
      <c r="F15" s="69"/>
      <c r="G15" s="69">
        <f>SUM(_xlfn.ANCHORARRAY(G11))</f>
        <v>50</v>
      </c>
      <c r="H15" s="69">
        <f>SUM(H11:H14)</f>
        <v>1</v>
      </c>
      <c r="I15" s="69"/>
      <c r="J15" s="70"/>
    </row>
    <row r="16" spans="1:18" x14ac:dyDescent="0.3">
      <c r="A16" s="4">
        <v>1.28857</v>
      </c>
      <c r="P16" s="94"/>
      <c r="Q16" s="102">
        <f>SUM(Q11:Q14)</f>
        <v>7.5727237316284342</v>
      </c>
      <c r="R16" s="103"/>
    </row>
    <row r="17" spans="1:18" x14ac:dyDescent="0.3">
      <c r="A17" s="4">
        <v>1.31524</v>
      </c>
      <c r="P17" s="95"/>
      <c r="Q17" s="104"/>
      <c r="R17" s="105"/>
    </row>
    <row r="18" spans="1:18" ht="14" customHeight="1" x14ac:dyDescent="0.3">
      <c r="A18" s="4">
        <v>1.33144</v>
      </c>
      <c r="C18" s="92" t="s">
        <v>66</v>
      </c>
      <c r="D18" s="92"/>
      <c r="E18" s="92"/>
      <c r="P18" s="96"/>
      <c r="Q18" s="106"/>
      <c r="R18" s="107"/>
    </row>
    <row r="19" spans="1:18" x14ac:dyDescent="0.3">
      <c r="A19" s="4">
        <v>1.35405</v>
      </c>
      <c r="C19" s="92"/>
      <c r="D19" s="92"/>
      <c r="E19" s="92"/>
      <c r="P19" s="113"/>
    </row>
    <row r="20" spans="1:18" ht="14" customHeight="1" x14ac:dyDescent="0.3">
      <c r="A20" s="4">
        <v>1.38235</v>
      </c>
      <c r="C20" s="92"/>
      <c r="D20" s="92"/>
      <c r="E20" s="92"/>
      <c r="P20" s="97" t="s">
        <v>65</v>
      </c>
      <c r="Q20" s="92" t="str">
        <f>IF(Q16&lt;$J$4, "да, гипотеза не противоречит результату", "нет, гипотеза отвергнута")</f>
        <v>нет, гипотеза отвергнута</v>
      </c>
      <c r="R20" s="92"/>
    </row>
    <row r="21" spans="1:18" x14ac:dyDescent="0.3">
      <c r="A21" s="4">
        <v>1.39706</v>
      </c>
      <c r="P21" s="98"/>
      <c r="Q21" s="92"/>
      <c r="R21" s="92"/>
    </row>
    <row r="22" spans="1:18" ht="14" customHeight="1" x14ac:dyDescent="0.3">
      <c r="A22" s="4">
        <v>1.43075</v>
      </c>
      <c r="P22" s="99"/>
      <c r="Q22" s="92"/>
      <c r="R22" s="92"/>
    </row>
    <row r="23" spans="1:18" x14ac:dyDescent="0.3">
      <c r="A23" s="4">
        <v>1.43868</v>
      </c>
      <c r="P23" s="113"/>
    </row>
    <row r="24" spans="1:18" x14ac:dyDescent="0.3">
      <c r="A24" s="4">
        <v>1.4408700000000001</v>
      </c>
      <c r="P24" s="113"/>
    </row>
    <row r="25" spans="1:18" x14ac:dyDescent="0.3">
      <c r="A25" s="4">
        <v>1.4523900000000001</v>
      </c>
    </row>
    <row r="26" spans="1:18" x14ac:dyDescent="0.3">
      <c r="A26" s="4">
        <v>1.46665</v>
      </c>
    </row>
    <row r="27" spans="1:18" x14ac:dyDescent="0.3">
      <c r="A27" s="4">
        <v>1.4887300000000001</v>
      </c>
    </row>
    <row r="28" spans="1:18" x14ac:dyDescent="0.3">
      <c r="A28" s="4">
        <v>1.5667199999999999</v>
      </c>
    </row>
    <row r="29" spans="1:18" x14ac:dyDescent="0.3">
      <c r="A29" s="4">
        <v>1.59293</v>
      </c>
    </row>
    <row r="30" spans="1:18" x14ac:dyDescent="0.3">
      <c r="A30" s="4">
        <v>1.6012599999999999</v>
      </c>
    </row>
    <row r="31" spans="1:18" x14ac:dyDescent="0.3">
      <c r="A31" s="4">
        <v>1.60833</v>
      </c>
    </row>
    <row r="32" spans="1:18" x14ac:dyDescent="0.3">
      <c r="A32" s="4">
        <v>1.60971</v>
      </c>
    </row>
    <row r="33" spans="1:1" x14ac:dyDescent="0.3">
      <c r="A33" s="4">
        <v>1.6140699999999999</v>
      </c>
    </row>
    <row r="34" spans="1:1" x14ac:dyDescent="0.3">
      <c r="A34" s="4">
        <v>1.6327499999999999</v>
      </c>
    </row>
    <row r="35" spans="1:1" x14ac:dyDescent="0.3">
      <c r="A35" s="4">
        <v>1.63835</v>
      </c>
    </row>
    <row r="36" spans="1:1" x14ac:dyDescent="0.3">
      <c r="A36" s="4">
        <v>1.64323</v>
      </c>
    </row>
    <row r="37" spans="1:1" x14ac:dyDescent="0.3">
      <c r="A37" s="4">
        <v>1.6846699999999999</v>
      </c>
    </row>
    <row r="38" spans="1:1" x14ac:dyDescent="0.3">
      <c r="A38" s="4">
        <v>1.7030099999999999</v>
      </c>
    </row>
    <row r="39" spans="1:1" x14ac:dyDescent="0.3">
      <c r="A39" s="4">
        <v>1.7760800000000001</v>
      </c>
    </row>
    <row r="40" spans="1:1" x14ac:dyDescent="0.3">
      <c r="A40" s="4">
        <v>1.79559</v>
      </c>
    </row>
    <row r="41" spans="1:1" x14ac:dyDescent="0.3">
      <c r="A41" s="4">
        <v>1.79654</v>
      </c>
    </row>
    <row r="42" spans="1:1" x14ac:dyDescent="0.3">
      <c r="A42" s="4">
        <v>1.8041400000000001</v>
      </c>
    </row>
    <row r="43" spans="1:1" x14ac:dyDescent="0.3">
      <c r="A43" s="4">
        <v>1.80463</v>
      </c>
    </row>
    <row r="44" spans="1:1" x14ac:dyDescent="0.3">
      <c r="A44" s="4">
        <v>1.8061400000000001</v>
      </c>
    </row>
    <row r="45" spans="1:1" x14ac:dyDescent="0.3">
      <c r="A45" s="4">
        <v>1.83894</v>
      </c>
    </row>
    <row r="46" spans="1:1" x14ac:dyDescent="0.3">
      <c r="A46" s="4">
        <v>1.96417</v>
      </c>
    </row>
    <row r="47" spans="1:1" x14ac:dyDescent="0.3">
      <c r="A47" s="4">
        <v>1.98302</v>
      </c>
    </row>
    <row r="48" spans="1:1" x14ac:dyDescent="0.3">
      <c r="A48" s="6">
        <v>2.1029599999999999</v>
      </c>
    </row>
    <row r="49" spans="1:1" x14ac:dyDescent="0.3">
      <c r="A49" s="6">
        <v>2.1596799999999998</v>
      </c>
    </row>
    <row r="50" spans="1:1" x14ac:dyDescent="0.3">
      <c r="A50" s="6">
        <v>2.8480599999999998</v>
      </c>
    </row>
    <row r="51" spans="1:1" ht="14.5" thickBot="1" x14ac:dyDescent="0.35">
      <c r="A51" s="9">
        <v>2.9899100000000001</v>
      </c>
    </row>
  </sheetData>
  <mergeCells count="21">
    <mergeCell ref="Q20:R22"/>
    <mergeCell ref="Q16:R18"/>
    <mergeCell ref="P16:P18"/>
    <mergeCell ref="P20:P22"/>
    <mergeCell ref="C18:E20"/>
    <mergeCell ref="Q14:R14"/>
    <mergeCell ref="Q11:R11"/>
    <mergeCell ref="Q12:R12"/>
    <mergeCell ref="Q13:R13"/>
    <mergeCell ref="Q9:R10"/>
    <mergeCell ref="C9:C10"/>
    <mergeCell ref="D9:D10"/>
    <mergeCell ref="E9:E10"/>
    <mergeCell ref="F9:F10"/>
    <mergeCell ref="G9:G10"/>
    <mergeCell ref="H9:H10"/>
    <mergeCell ref="I9:I10"/>
    <mergeCell ref="J9:J10"/>
    <mergeCell ref="L9:M10"/>
    <mergeCell ref="N9:O10"/>
    <mergeCell ref="P9:P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Зименкова</dc:creator>
  <cp:lastModifiedBy>Софья Зименкова</cp:lastModifiedBy>
  <dcterms:created xsi:type="dcterms:W3CDTF">2023-10-17T10:57:25Z</dcterms:created>
  <dcterms:modified xsi:type="dcterms:W3CDTF">2023-11-28T11:09:05Z</dcterms:modified>
</cp:coreProperties>
</file>