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офья Зименкова\учёба\5 сем\теорвер\"/>
    </mc:Choice>
  </mc:AlternateContent>
  <xr:revisionPtr revIDLastSave="0" documentId="13_ncr:1_{7B68EFCC-DAED-414E-8812-4B75B8BDAED3}" xr6:coauthVersionLast="47" xr6:coauthVersionMax="47" xr10:uidLastSave="{00000000-0000-0000-0000-000000000000}"/>
  <bookViews>
    <workbookView xWindow="-120" yWindow="-120" windowWidth="29040" windowHeight="15840" activeTab="7" xr2:uid="{901C833E-4840-4AA1-8624-BD8DA14C4D5D}"/>
  </bookViews>
  <sheets>
    <sheet name="1" sheetId="1" r:id="rId1"/>
    <sheet name="2" sheetId="2" r:id="rId2"/>
    <sheet name="3" sheetId="3" r:id="rId3"/>
    <sheet name="4-1" sheetId="6" r:id="rId4"/>
    <sheet name="4-2" sheetId="7" r:id="rId5"/>
    <sheet name="4-3" sheetId="8" r:id="rId6"/>
    <sheet name="5" sheetId="9" r:id="rId7"/>
    <sheet name="6" sheetId="10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0" l="1"/>
  <c r="F46" i="10" s="1"/>
  <c r="B1" i="10"/>
  <c r="E43" i="10" s="1"/>
  <c r="K4" i="9"/>
  <c r="W53" i="9"/>
  <c r="V53" i="9"/>
  <c r="F53" i="9"/>
  <c r="E53" i="9"/>
  <c r="W52" i="9"/>
  <c r="V52" i="9"/>
  <c r="F52" i="9"/>
  <c r="E52" i="9"/>
  <c r="W51" i="9"/>
  <c r="V51" i="9"/>
  <c r="F51" i="9"/>
  <c r="E51" i="9"/>
  <c r="W50" i="9"/>
  <c r="V50" i="9"/>
  <c r="F50" i="9"/>
  <c r="E50" i="9"/>
  <c r="W49" i="9"/>
  <c r="V49" i="9"/>
  <c r="F49" i="9"/>
  <c r="E49" i="9"/>
  <c r="W48" i="9"/>
  <c r="V48" i="9"/>
  <c r="F48" i="9"/>
  <c r="E48" i="9"/>
  <c r="W47" i="9"/>
  <c r="V47" i="9"/>
  <c r="F47" i="9"/>
  <c r="E47" i="9"/>
  <c r="W46" i="9"/>
  <c r="V46" i="9"/>
  <c r="F46" i="9"/>
  <c r="E46" i="9"/>
  <c r="W45" i="9"/>
  <c r="V45" i="9"/>
  <c r="F45" i="9"/>
  <c r="E45" i="9"/>
  <c r="W44" i="9"/>
  <c r="V44" i="9"/>
  <c r="F44" i="9"/>
  <c r="E44" i="9"/>
  <c r="W43" i="9"/>
  <c r="V43" i="9"/>
  <c r="F43" i="9"/>
  <c r="E43" i="9"/>
  <c r="W42" i="9"/>
  <c r="V42" i="9"/>
  <c r="F42" i="9"/>
  <c r="E42" i="9"/>
  <c r="W41" i="9"/>
  <c r="V41" i="9"/>
  <c r="F41" i="9"/>
  <c r="E41" i="9"/>
  <c r="W40" i="9"/>
  <c r="V40" i="9"/>
  <c r="F40" i="9"/>
  <c r="E40" i="9"/>
  <c r="W39" i="9"/>
  <c r="V39" i="9"/>
  <c r="F39" i="9"/>
  <c r="E39" i="9"/>
  <c r="W38" i="9"/>
  <c r="V38" i="9"/>
  <c r="F38" i="9"/>
  <c r="E38" i="9"/>
  <c r="W37" i="9"/>
  <c r="V37" i="9"/>
  <c r="F37" i="9"/>
  <c r="E37" i="9"/>
  <c r="W36" i="9"/>
  <c r="V36" i="9"/>
  <c r="F36" i="9"/>
  <c r="E36" i="9"/>
  <c r="W35" i="9"/>
  <c r="V35" i="9"/>
  <c r="F35" i="9"/>
  <c r="E35" i="9"/>
  <c r="W34" i="9"/>
  <c r="V34" i="9"/>
  <c r="F34" i="9"/>
  <c r="E34" i="9"/>
  <c r="W33" i="9"/>
  <c r="V33" i="9"/>
  <c r="F33" i="9"/>
  <c r="E33" i="9"/>
  <c r="W32" i="9"/>
  <c r="V32" i="9"/>
  <c r="F32" i="9"/>
  <c r="E32" i="9"/>
  <c r="W31" i="9"/>
  <c r="V31" i="9"/>
  <c r="F31" i="9"/>
  <c r="E31" i="9"/>
  <c r="W30" i="9"/>
  <c r="V30" i="9"/>
  <c r="F30" i="9"/>
  <c r="E30" i="9"/>
  <c r="W29" i="9"/>
  <c r="V29" i="9"/>
  <c r="F29" i="9"/>
  <c r="E29" i="9"/>
  <c r="W28" i="9"/>
  <c r="V28" i="9"/>
  <c r="F28" i="9"/>
  <c r="E28" i="9"/>
  <c r="W27" i="9"/>
  <c r="V27" i="9"/>
  <c r="F27" i="9"/>
  <c r="E27" i="9"/>
  <c r="W26" i="9"/>
  <c r="V26" i="9"/>
  <c r="K28" i="9"/>
  <c r="F26" i="9"/>
  <c r="E26" i="9"/>
  <c r="W25" i="9"/>
  <c r="V25" i="9"/>
  <c r="F25" i="9"/>
  <c r="E25" i="9"/>
  <c r="W24" i="9"/>
  <c r="V24" i="9"/>
  <c r="F24" i="9"/>
  <c r="E24" i="9"/>
  <c r="W23" i="9"/>
  <c r="V23" i="9"/>
  <c r="F23" i="9"/>
  <c r="E23" i="9"/>
  <c r="W22" i="9"/>
  <c r="V22" i="9"/>
  <c r="F22" i="9"/>
  <c r="E22" i="9"/>
  <c r="W21" i="9"/>
  <c r="V21" i="9"/>
  <c r="F21" i="9"/>
  <c r="E21" i="9"/>
  <c r="W20" i="9"/>
  <c r="V20" i="9"/>
  <c r="F20" i="9"/>
  <c r="E20" i="9"/>
  <c r="AD19" i="9"/>
  <c r="AD22" i="9" s="1"/>
  <c r="W19" i="9"/>
  <c r="V19" i="9"/>
  <c r="F19" i="9"/>
  <c r="E19" i="9"/>
  <c r="W18" i="9"/>
  <c r="V18" i="9"/>
  <c r="F18" i="9"/>
  <c r="E18" i="9"/>
  <c r="W17" i="9"/>
  <c r="V17" i="9"/>
  <c r="F17" i="9"/>
  <c r="E17" i="9"/>
  <c r="W16" i="9"/>
  <c r="V16" i="9"/>
  <c r="F16" i="9"/>
  <c r="E16" i="9"/>
  <c r="W15" i="9"/>
  <c r="V15" i="9"/>
  <c r="F15" i="9"/>
  <c r="E15" i="9"/>
  <c r="W14" i="9"/>
  <c r="V14" i="9"/>
  <c r="F14" i="9"/>
  <c r="E14" i="9"/>
  <c r="W13" i="9"/>
  <c r="V13" i="9"/>
  <c r="F13" i="9"/>
  <c r="E13" i="9"/>
  <c r="W12" i="9"/>
  <c r="V12" i="9"/>
  <c r="F12" i="9"/>
  <c r="E12" i="9"/>
  <c r="W11" i="9"/>
  <c r="V11" i="9"/>
  <c r="F11" i="9"/>
  <c r="E11" i="9"/>
  <c r="W10" i="9"/>
  <c r="V10" i="9"/>
  <c r="F10" i="9"/>
  <c r="E10" i="9"/>
  <c r="W9" i="9"/>
  <c r="V9" i="9"/>
  <c r="F9" i="9"/>
  <c r="E9" i="9"/>
  <c r="W8" i="9"/>
  <c r="V8" i="9"/>
  <c r="F8" i="9"/>
  <c r="E8" i="9"/>
  <c r="W7" i="9"/>
  <c r="V7" i="9"/>
  <c r="F7" i="9"/>
  <c r="E7" i="9"/>
  <c r="W6" i="9"/>
  <c r="V6" i="9"/>
  <c r="F6" i="9"/>
  <c r="E6" i="9"/>
  <c r="W5" i="9"/>
  <c r="V5" i="9"/>
  <c r="F5" i="9"/>
  <c r="E5" i="9"/>
  <c r="W4" i="9"/>
  <c r="V4" i="9"/>
  <c r="F4" i="9"/>
  <c r="E4" i="9"/>
  <c r="L11" i="8"/>
  <c r="F7" i="7"/>
  <c r="Q12" i="6"/>
  <c r="I9" i="8"/>
  <c r="F6" i="8"/>
  <c r="F5" i="8"/>
  <c r="I2" i="8" s="1"/>
  <c r="F2" i="8"/>
  <c r="F1" i="8"/>
  <c r="F3" i="8"/>
  <c r="F12" i="10" l="1"/>
  <c r="F18" i="10"/>
  <c r="F34" i="10"/>
  <c r="D21" i="10"/>
  <c r="F27" i="10"/>
  <c r="E46" i="10"/>
  <c r="F49" i="10"/>
  <c r="D9" i="10"/>
  <c r="E12" i="10"/>
  <c r="D15" i="10"/>
  <c r="E18" i="10"/>
  <c r="F21" i="10"/>
  <c r="D31" i="10"/>
  <c r="E34" i="10"/>
  <c r="E37" i="10"/>
  <c r="E40" i="10"/>
  <c r="F43" i="10"/>
  <c r="D28" i="10"/>
  <c r="F15" i="10"/>
  <c r="E50" i="10"/>
  <c r="E3" i="10"/>
  <c r="F6" i="10"/>
  <c r="D22" i="10"/>
  <c r="E25" i="10"/>
  <c r="F28" i="10"/>
  <c r="D44" i="10"/>
  <c r="E47" i="10"/>
  <c r="F50" i="10"/>
  <c r="F3" i="10"/>
  <c r="D19" i="10"/>
  <c r="E22" i="10"/>
  <c r="F25" i="10"/>
  <c r="D35" i="10"/>
  <c r="D41" i="10"/>
  <c r="E44" i="10"/>
  <c r="F47" i="10"/>
  <c r="E9" i="10"/>
  <c r="D50" i="10"/>
  <c r="E6" i="10"/>
  <c r="E35" i="10"/>
  <c r="D51" i="10"/>
  <c r="D4" i="10"/>
  <c r="E7" i="10"/>
  <c r="F10" i="10"/>
  <c r="F13" i="10"/>
  <c r="F16" i="10"/>
  <c r="D26" i="10"/>
  <c r="E29" i="10"/>
  <c r="F32" i="10"/>
  <c r="F38" i="10"/>
  <c r="D48" i="10"/>
  <c r="E51" i="10"/>
  <c r="F40" i="10"/>
  <c r="D10" i="10"/>
  <c r="E19" i="10"/>
  <c r="E41" i="10"/>
  <c r="E10" i="10"/>
  <c r="E4" i="10"/>
  <c r="F7" i="10"/>
  <c r="D23" i="10"/>
  <c r="E26" i="10"/>
  <c r="F29" i="10"/>
  <c r="D45" i="10"/>
  <c r="E48" i="10"/>
  <c r="F51" i="10"/>
  <c r="F31" i="10"/>
  <c r="D38" i="10"/>
  <c r="D7" i="10"/>
  <c r="F4" i="10"/>
  <c r="D20" i="10"/>
  <c r="E23" i="10"/>
  <c r="F26" i="10"/>
  <c r="D36" i="10"/>
  <c r="D42" i="10"/>
  <c r="E45" i="10"/>
  <c r="F48" i="10"/>
  <c r="E15" i="10"/>
  <c r="F37" i="10"/>
  <c r="D47" i="10"/>
  <c r="F22" i="10"/>
  <c r="F41" i="10"/>
  <c r="D11" i="10"/>
  <c r="D17" i="10"/>
  <c r="E20" i="10"/>
  <c r="F23" i="10"/>
  <c r="D33" i="10"/>
  <c r="E36" i="10"/>
  <c r="D39" i="10"/>
  <c r="E42" i="10"/>
  <c r="F45" i="10"/>
  <c r="E31" i="10"/>
  <c r="D3" i="10"/>
  <c r="E28" i="10"/>
  <c r="D13" i="10"/>
  <c r="D32" i="10"/>
  <c r="E13" i="10"/>
  <c r="E38" i="10"/>
  <c r="D8" i="10"/>
  <c r="E11" i="10"/>
  <c r="D14" i="10"/>
  <c r="E17" i="10"/>
  <c r="F20" i="10"/>
  <c r="D30" i="10"/>
  <c r="E33" i="10"/>
  <c r="F36" i="10"/>
  <c r="E39" i="10"/>
  <c r="F42" i="10"/>
  <c r="D52" i="10"/>
  <c r="D6" i="10"/>
  <c r="F9" i="10"/>
  <c r="D25" i="10"/>
  <c r="D16" i="10"/>
  <c r="F44" i="10"/>
  <c r="E16" i="10"/>
  <c r="F19" i="10"/>
  <c r="D29" i="10"/>
  <c r="E32" i="10"/>
  <c r="F35" i="10"/>
  <c r="D5" i="10"/>
  <c r="E8" i="10"/>
  <c r="F11" i="10"/>
  <c r="E14" i="10"/>
  <c r="F17" i="10"/>
  <c r="D27" i="10"/>
  <c r="E30" i="10"/>
  <c r="F33" i="10"/>
  <c r="F39" i="10"/>
  <c r="D49" i="10"/>
  <c r="E52" i="10"/>
  <c r="E5" i="10"/>
  <c r="F8" i="10"/>
  <c r="F14" i="10"/>
  <c r="D24" i="10"/>
  <c r="E27" i="10"/>
  <c r="F30" i="10"/>
  <c r="D46" i="10"/>
  <c r="E49" i="10"/>
  <c r="F52" i="10"/>
  <c r="F5" i="10"/>
  <c r="E24" i="10"/>
  <c r="D43" i="10"/>
  <c r="D12" i="10"/>
  <c r="D18" i="10"/>
  <c r="E21" i="10"/>
  <c r="F24" i="10"/>
  <c r="D34" i="10"/>
  <c r="D37" i="10"/>
  <c r="D40" i="10"/>
  <c r="G40" i="9"/>
  <c r="H40" i="9" s="1"/>
  <c r="G47" i="9"/>
  <c r="H47" i="9" s="1"/>
  <c r="G51" i="9"/>
  <c r="H51" i="9" s="1"/>
  <c r="G49" i="9"/>
  <c r="H49" i="9" s="1"/>
  <c r="X34" i="9"/>
  <c r="X4" i="9"/>
  <c r="X20" i="9"/>
  <c r="X6" i="9"/>
  <c r="X26" i="9"/>
  <c r="X7" i="9"/>
  <c r="X15" i="9"/>
  <c r="X19" i="9"/>
  <c r="X38" i="9"/>
  <c r="X42" i="9"/>
  <c r="X46" i="9"/>
  <c r="X35" i="9"/>
  <c r="X39" i="9"/>
  <c r="X43" i="9"/>
  <c r="X47" i="9"/>
  <c r="X36" i="9"/>
  <c r="G38" i="9"/>
  <c r="H38" i="9" s="1"/>
  <c r="Z4" i="9"/>
  <c r="G46" i="9"/>
  <c r="H46" i="9" s="1"/>
  <c r="X31" i="9"/>
  <c r="X51" i="9"/>
  <c r="X8" i="9"/>
  <c r="X12" i="9"/>
  <c r="X28" i="9"/>
  <c r="X44" i="9"/>
  <c r="X9" i="9"/>
  <c r="X29" i="9"/>
  <c r="X37" i="9"/>
  <c r="X45" i="9"/>
  <c r="X49" i="9"/>
  <c r="X53" i="9"/>
  <c r="X17" i="9"/>
  <c r="X10" i="9"/>
  <c r="X18" i="9"/>
  <c r="X23" i="9"/>
  <c r="X30" i="9"/>
  <c r="G8" i="9"/>
  <c r="H8" i="9" s="1"/>
  <c r="G16" i="9"/>
  <c r="H16" i="9" s="1"/>
  <c r="G24" i="9"/>
  <c r="H24" i="9" s="1"/>
  <c r="X27" i="9"/>
  <c r="X50" i="9"/>
  <c r="X24" i="9"/>
  <c r="X5" i="9"/>
  <c r="X13" i="9"/>
  <c r="X32" i="9"/>
  <c r="X16" i="9"/>
  <c r="X21" i="9"/>
  <c r="X25" i="9"/>
  <c r="X40" i="9"/>
  <c r="G26" i="9"/>
  <c r="H26" i="9" s="1"/>
  <c r="G41" i="9"/>
  <c r="H41" i="9" s="1"/>
  <c r="X48" i="9"/>
  <c r="X52" i="9"/>
  <c r="X14" i="9"/>
  <c r="G7" i="9"/>
  <c r="H7" i="9" s="1"/>
  <c r="G11" i="9"/>
  <c r="H11" i="9" s="1"/>
  <c r="G19" i="9"/>
  <c r="H19" i="9" s="1"/>
  <c r="X22" i="9"/>
  <c r="X41" i="9"/>
  <c r="X33" i="9"/>
  <c r="X11" i="9"/>
  <c r="G23" i="9"/>
  <c r="H23" i="9" s="1"/>
  <c r="G44" i="9"/>
  <c r="H44" i="9" s="1"/>
  <c r="G33" i="9"/>
  <c r="H33" i="9" s="1"/>
  <c r="G52" i="9"/>
  <c r="H52" i="9" s="1"/>
  <c r="G4" i="9"/>
  <c r="H4" i="9" s="1"/>
  <c r="G53" i="9"/>
  <c r="H53" i="9" s="1"/>
  <c r="G30" i="9"/>
  <c r="H30" i="9" s="1"/>
  <c r="G20" i="9"/>
  <c r="H20" i="9" s="1"/>
  <c r="G27" i="9"/>
  <c r="H27" i="9" s="1"/>
  <c r="G35" i="9"/>
  <c r="H35" i="9" s="1"/>
  <c r="G50" i="9"/>
  <c r="H50" i="9" s="1"/>
  <c r="G32" i="9"/>
  <c r="H32" i="9" s="1"/>
  <c r="G14" i="9"/>
  <c r="H14" i="9" s="1"/>
  <c r="G18" i="9"/>
  <c r="H18" i="9" s="1"/>
  <c r="G25" i="9"/>
  <c r="H25" i="9" s="1"/>
  <c r="G13" i="9"/>
  <c r="H13" i="9" s="1"/>
  <c r="G22" i="9"/>
  <c r="H22" i="9" s="1"/>
  <c r="G48" i="9"/>
  <c r="H48" i="9" s="1"/>
  <c r="G36" i="9"/>
  <c r="H36" i="9" s="1"/>
  <c r="G37" i="9"/>
  <c r="H37" i="9" s="1"/>
  <c r="G15" i="9"/>
  <c r="H15" i="9" s="1"/>
  <c r="G12" i="9"/>
  <c r="H12" i="9" s="1"/>
  <c r="G34" i="9"/>
  <c r="H34" i="9" s="1"/>
  <c r="G45" i="9"/>
  <c r="H45" i="9" s="1"/>
  <c r="G5" i="9"/>
  <c r="H5" i="9" s="1"/>
  <c r="G9" i="9"/>
  <c r="H9" i="9" s="1"/>
  <c r="G17" i="9"/>
  <c r="H17" i="9" s="1"/>
  <c r="G31" i="9"/>
  <c r="H31" i="9" s="1"/>
  <c r="G42" i="9"/>
  <c r="H42" i="9" s="1"/>
  <c r="G6" i="9"/>
  <c r="H6" i="9" s="1"/>
  <c r="G21" i="9"/>
  <c r="H21" i="9" s="1"/>
  <c r="G28" i="9"/>
  <c r="H28" i="9" s="1"/>
  <c r="G39" i="9"/>
  <c r="H39" i="9" s="1"/>
  <c r="G29" i="9"/>
  <c r="H29" i="9" s="1"/>
  <c r="G10" i="9"/>
  <c r="H10" i="9" s="1"/>
  <c r="G43" i="9"/>
  <c r="H43" i="9" s="1"/>
  <c r="AA4" i="9"/>
  <c r="I5" i="8"/>
  <c r="I1" i="8"/>
  <c r="J9" i="8"/>
  <c r="K9" i="8"/>
  <c r="D1" i="7"/>
  <c r="D2" i="7"/>
  <c r="D1" i="10" l="1"/>
  <c r="I12" i="10"/>
  <c r="I13" i="10" s="1"/>
  <c r="F1" i="10"/>
  <c r="E1" i="10"/>
  <c r="AD11" i="9"/>
  <c r="K13" i="9"/>
  <c r="K16" i="9" s="1"/>
  <c r="K17" i="9" s="1"/>
  <c r="K24" i="9" s="1"/>
  <c r="H9" i="8"/>
  <c r="L9" i="8" s="1"/>
  <c r="M9" i="8" s="1"/>
  <c r="N9" i="8" s="1"/>
  <c r="I4" i="8"/>
  <c r="F14" i="7"/>
  <c r="O11" i="7"/>
  <c r="D38" i="7"/>
  <c r="D45" i="7"/>
  <c r="D37" i="7"/>
  <c r="D30" i="7"/>
  <c r="D39" i="7"/>
  <c r="D55" i="7"/>
  <c r="D54" i="7"/>
  <c r="D53" i="7"/>
  <c r="D47" i="7"/>
  <c r="D29" i="7"/>
  <c r="D31" i="7"/>
  <c r="D46" i="7"/>
  <c r="E55" i="7"/>
  <c r="D13" i="7"/>
  <c r="D28" i="7"/>
  <c r="E54" i="7"/>
  <c r="E30" i="7"/>
  <c r="D50" i="7"/>
  <c r="D49" i="7"/>
  <c r="D33" i="7"/>
  <c r="D25" i="7"/>
  <c r="D17" i="7"/>
  <c r="D9" i="7"/>
  <c r="E51" i="7"/>
  <c r="E43" i="7"/>
  <c r="E35" i="7"/>
  <c r="E27" i="7"/>
  <c r="E19" i="7"/>
  <c r="E11" i="7"/>
  <c r="F53" i="7"/>
  <c r="F45" i="7"/>
  <c r="F37" i="7"/>
  <c r="F29" i="7"/>
  <c r="F21" i="7"/>
  <c r="F13" i="7"/>
  <c r="D44" i="7"/>
  <c r="D12" i="7"/>
  <c r="E22" i="7"/>
  <c r="D7" i="7"/>
  <c r="D41" i="7"/>
  <c r="D56" i="7"/>
  <c r="D48" i="7"/>
  <c r="D40" i="7"/>
  <c r="D32" i="7"/>
  <c r="D24" i="7"/>
  <c r="D16" i="7"/>
  <c r="D8" i="7"/>
  <c r="E50" i="7"/>
  <c r="E42" i="7"/>
  <c r="E34" i="7"/>
  <c r="E26" i="7"/>
  <c r="E18" i="7"/>
  <c r="E10" i="7"/>
  <c r="F52" i="7"/>
  <c r="F44" i="7"/>
  <c r="F36" i="7"/>
  <c r="F28" i="7"/>
  <c r="F20" i="7"/>
  <c r="F12" i="7"/>
  <c r="D23" i="7"/>
  <c r="D15" i="7"/>
  <c r="E7" i="7"/>
  <c r="E49" i="7"/>
  <c r="E41" i="7"/>
  <c r="E33" i="7"/>
  <c r="E25" i="7"/>
  <c r="E17" i="7"/>
  <c r="E9" i="7"/>
  <c r="F51" i="7"/>
  <c r="F43" i="7"/>
  <c r="F35" i="7"/>
  <c r="F27" i="7"/>
  <c r="F19" i="7"/>
  <c r="F11" i="7"/>
  <c r="D22" i="7"/>
  <c r="D14" i="7"/>
  <c r="E56" i="7"/>
  <c r="E48" i="7"/>
  <c r="E40" i="7"/>
  <c r="E32" i="7"/>
  <c r="E24" i="7"/>
  <c r="E16" i="7"/>
  <c r="E8" i="7"/>
  <c r="F50" i="7"/>
  <c r="F42" i="7"/>
  <c r="F34" i="7"/>
  <c r="F26" i="7"/>
  <c r="F18" i="7"/>
  <c r="F10" i="7"/>
  <c r="E47" i="7"/>
  <c r="E39" i="7"/>
  <c r="E31" i="7"/>
  <c r="E23" i="7"/>
  <c r="E15" i="7"/>
  <c r="F49" i="7"/>
  <c r="F41" i="7"/>
  <c r="F33" i="7"/>
  <c r="F25" i="7"/>
  <c r="F17" i="7"/>
  <c r="F9" i="7"/>
  <c r="D21" i="7"/>
  <c r="D36" i="7"/>
  <c r="E38" i="7"/>
  <c r="F56" i="7"/>
  <c r="F48" i="7"/>
  <c r="F40" i="7"/>
  <c r="F32" i="7"/>
  <c r="F24" i="7"/>
  <c r="F16" i="7"/>
  <c r="F8" i="7"/>
  <c r="D52" i="7"/>
  <c r="D20" i="7"/>
  <c r="E46" i="7"/>
  <c r="E14" i="7"/>
  <c r="D51" i="7"/>
  <c r="D43" i="7"/>
  <c r="D35" i="7"/>
  <c r="D27" i="7"/>
  <c r="D19" i="7"/>
  <c r="D11" i="7"/>
  <c r="E53" i="7"/>
  <c r="E45" i="7"/>
  <c r="E37" i="7"/>
  <c r="E29" i="7"/>
  <c r="E21" i="7"/>
  <c r="E13" i="7"/>
  <c r="F55" i="7"/>
  <c r="F47" i="7"/>
  <c r="F39" i="7"/>
  <c r="F31" i="7"/>
  <c r="F23" i="7"/>
  <c r="F15" i="7"/>
  <c r="D42" i="7"/>
  <c r="D34" i="7"/>
  <c r="D26" i="7"/>
  <c r="D18" i="7"/>
  <c r="D10" i="7"/>
  <c r="E52" i="7"/>
  <c r="E44" i="7"/>
  <c r="E36" i="7"/>
  <c r="E28" i="7"/>
  <c r="E20" i="7"/>
  <c r="E12" i="7"/>
  <c r="F54" i="7"/>
  <c r="F46" i="7"/>
  <c r="F38" i="7"/>
  <c r="F30" i="7"/>
  <c r="F22" i="7"/>
  <c r="O16" i="7"/>
  <c r="Q10" i="6"/>
  <c r="Q2" i="6"/>
  <c r="B2" i="6"/>
  <c r="F11" i="6" s="1"/>
  <c r="B7" i="6"/>
  <c r="B6" i="6"/>
  <c r="B5" i="6"/>
  <c r="T49" i="10" l="1"/>
  <c r="T27" i="10"/>
  <c r="T5" i="10"/>
  <c r="T52" i="10"/>
  <c r="T30" i="10"/>
  <c r="T39" i="10"/>
  <c r="T36" i="10"/>
  <c r="T33" i="10"/>
  <c r="T17" i="10"/>
  <c r="T11" i="10"/>
  <c r="T42" i="10"/>
  <c r="T20" i="10"/>
  <c r="T22" i="10"/>
  <c r="T40" i="10"/>
  <c r="T45" i="10"/>
  <c r="T23" i="10"/>
  <c r="T48" i="10"/>
  <c r="T26" i="10"/>
  <c r="T4" i="10"/>
  <c r="T47" i="10"/>
  <c r="T18" i="10"/>
  <c r="T51" i="10"/>
  <c r="T29" i="10"/>
  <c r="T13" i="10"/>
  <c r="T7" i="10"/>
  <c r="T3" i="10"/>
  <c r="T38" i="10"/>
  <c r="T32" i="10"/>
  <c r="T16" i="10"/>
  <c r="T10" i="10"/>
  <c r="T44" i="10"/>
  <c r="T25" i="10"/>
  <c r="T21" i="10"/>
  <c r="T41" i="10"/>
  <c r="T35" i="10"/>
  <c r="T19" i="10"/>
  <c r="T34" i="10"/>
  <c r="T50" i="10"/>
  <c r="T28" i="10"/>
  <c r="T6" i="10"/>
  <c r="T37" i="10"/>
  <c r="T31" i="10"/>
  <c r="T15" i="10"/>
  <c r="T12" i="10"/>
  <c r="T9" i="10"/>
  <c r="T43" i="10"/>
  <c r="T46" i="10"/>
  <c r="T24" i="10"/>
  <c r="T14" i="10"/>
  <c r="T8" i="10"/>
  <c r="I36" i="10"/>
  <c r="I37" i="10" s="1"/>
  <c r="I51" i="7"/>
  <c r="I43" i="7"/>
  <c r="I35" i="7"/>
  <c r="I19" i="7"/>
  <c r="I16" i="7"/>
  <c r="I9" i="7"/>
  <c r="I30" i="7"/>
  <c r="H39" i="7"/>
  <c r="H31" i="7"/>
  <c r="H14" i="7"/>
  <c r="H38" i="7"/>
  <c r="I52" i="7"/>
  <c r="I11" i="7"/>
  <c r="I44" i="7"/>
  <c r="I22" i="7"/>
  <c r="H45" i="7"/>
  <c r="H32" i="7"/>
  <c r="H51" i="7"/>
  <c r="I28" i="7"/>
  <c r="H54" i="7"/>
  <c r="H12" i="6"/>
  <c r="H3" i="6"/>
  <c r="H6" i="6"/>
  <c r="H4" i="6"/>
  <c r="H39" i="6"/>
  <c r="H20" i="6"/>
  <c r="H37" i="6"/>
  <c r="H15" i="6"/>
  <c r="H44" i="6"/>
  <c r="H43" i="6"/>
  <c r="H52" i="6"/>
  <c r="H36" i="6"/>
  <c r="H13" i="6"/>
  <c r="H23" i="6"/>
  <c r="H21" i="6"/>
  <c r="H51" i="6"/>
  <c r="H31" i="6"/>
  <c r="H8" i="6"/>
  <c r="H47" i="6"/>
  <c r="H29" i="6"/>
  <c r="H7" i="6"/>
  <c r="H45" i="6"/>
  <c r="H28" i="6"/>
  <c r="H5" i="6"/>
  <c r="H35" i="6"/>
  <c r="H27" i="6"/>
  <c r="H19" i="6"/>
  <c r="H11" i="6"/>
  <c r="K11" i="6" s="1"/>
  <c r="H50" i="6"/>
  <c r="H42" i="6"/>
  <c r="H34" i="6"/>
  <c r="H26" i="6"/>
  <c r="H18" i="6"/>
  <c r="H10" i="6"/>
  <c r="H49" i="6"/>
  <c r="H41" i="6"/>
  <c r="H33" i="6"/>
  <c r="H25" i="6"/>
  <c r="H17" i="6"/>
  <c r="H9" i="6"/>
  <c r="H48" i="6"/>
  <c r="H40" i="6"/>
  <c r="H32" i="6"/>
  <c r="H24" i="6"/>
  <c r="H16" i="6"/>
  <c r="H46" i="6"/>
  <c r="H38" i="6"/>
  <c r="H30" i="6"/>
  <c r="H22" i="6"/>
  <c r="H14" i="6"/>
  <c r="G8" i="6"/>
  <c r="F50" i="6"/>
  <c r="F34" i="6"/>
  <c r="G40" i="6"/>
  <c r="F26" i="6"/>
  <c r="G48" i="6"/>
  <c r="G32" i="6"/>
  <c r="F18" i="6"/>
  <c r="G16" i="6"/>
  <c r="F42" i="6"/>
  <c r="G24" i="6"/>
  <c r="F10" i="6"/>
  <c r="G47" i="6"/>
  <c r="G39" i="6"/>
  <c r="G31" i="6"/>
  <c r="J31" i="6" s="1"/>
  <c r="G23" i="6"/>
  <c r="G15" i="6"/>
  <c r="G7" i="6"/>
  <c r="F49" i="6"/>
  <c r="F41" i="6"/>
  <c r="F33" i="6"/>
  <c r="F25" i="6"/>
  <c r="F17" i="6"/>
  <c r="F9" i="6"/>
  <c r="G46" i="6"/>
  <c r="G38" i="6"/>
  <c r="G30" i="6"/>
  <c r="G22" i="6"/>
  <c r="G14" i="6"/>
  <c r="G6" i="6"/>
  <c r="F48" i="6"/>
  <c r="F40" i="6"/>
  <c r="F32" i="6"/>
  <c r="F24" i="6"/>
  <c r="F16" i="6"/>
  <c r="F8" i="6"/>
  <c r="G3" i="6"/>
  <c r="G45" i="6"/>
  <c r="G37" i="6"/>
  <c r="G29" i="6"/>
  <c r="G21" i="6"/>
  <c r="G13" i="6"/>
  <c r="G5" i="6"/>
  <c r="F47" i="6"/>
  <c r="F39" i="6"/>
  <c r="F31" i="6"/>
  <c r="F23" i="6"/>
  <c r="F15" i="6"/>
  <c r="F7" i="6"/>
  <c r="G52" i="6"/>
  <c r="G44" i="6"/>
  <c r="G36" i="6"/>
  <c r="G28" i="6"/>
  <c r="J28" i="6" s="1"/>
  <c r="G20" i="6"/>
  <c r="G12" i="6"/>
  <c r="J12" i="6" s="1"/>
  <c r="G4" i="6"/>
  <c r="F46" i="6"/>
  <c r="F38" i="6"/>
  <c r="F30" i="6"/>
  <c r="F22" i="6"/>
  <c r="F14" i="6"/>
  <c r="F6" i="6"/>
  <c r="G51" i="6"/>
  <c r="G43" i="6"/>
  <c r="J43" i="6" s="1"/>
  <c r="G35" i="6"/>
  <c r="G27" i="6"/>
  <c r="G19" i="6"/>
  <c r="J19" i="6" s="1"/>
  <c r="G11" i="6"/>
  <c r="F3" i="6"/>
  <c r="F45" i="6"/>
  <c r="F37" i="6"/>
  <c r="F29" i="6"/>
  <c r="F21" i="6"/>
  <c r="F13" i="6"/>
  <c r="F5" i="6"/>
  <c r="G50" i="6"/>
  <c r="G42" i="6"/>
  <c r="G34" i="6"/>
  <c r="G26" i="6"/>
  <c r="G18" i="6"/>
  <c r="J18" i="6" s="1"/>
  <c r="G10" i="6"/>
  <c r="F52" i="6"/>
  <c r="F44" i="6"/>
  <c r="F36" i="6"/>
  <c r="F28" i="6"/>
  <c r="F20" i="6"/>
  <c r="F12" i="6"/>
  <c r="F4" i="6"/>
  <c r="G49" i="6"/>
  <c r="J49" i="6" s="1"/>
  <c r="G41" i="6"/>
  <c r="J41" i="6" s="1"/>
  <c r="G33" i="6"/>
  <c r="J33" i="6" s="1"/>
  <c r="G25" i="6"/>
  <c r="J25" i="6" s="1"/>
  <c r="G17" i="6"/>
  <c r="J17" i="6" s="1"/>
  <c r="G9" i="6"/>
  <c r="J9" i="6" s="1"/>
  <c r="F51" i="6"/>
  <c r="F43" i="6"/>
  <c r="F35" i="6"/>
  <c r="F27" i="6"/>
  <c r="F19" i="6"/>
  <c r="W52" i="10" l="1"/>
  <c r="W30" i="10"/>
  <c r="W14" i="10"/>
  <c r="W8" i="10"/>
  <c r="W17" i="10"/>
  <c r="W11" i="10"/>
  <c r="W42" i="10"/>
  <c r="W20" i="10"/>
  <c r="W45" i="10"/>
  <c r="W23" i="10"/>
  <c r="W25" i="10"/>
  <c r="W28" i="10"/>
  <c r="W46" i="10"/>
  <c r="W24" i="10"/>
  <c r="W48" i="10"/>
  <c r="W26" i="10"/>
  <c r="W4" i="10"/>
  <c r="W50" i="10"/>
  <c r="W43" i="10"/>
  <c r="W51" i="10"/>
  <c r="W29" i="10"/>
  <c r="W13" i="10"/>
  <c r="W7" i="10"/>
  <c r="W3" i="10"/>
  <c r="W38" i="10"/>
  <c r="W32" i="10"/>
  <c r="W16" i="10"/>
  <c r="W10" i="10"/>
  <c r="W47" i="10"/>
  <c r="W41" i="10"/>
  <c r="W35" i="10"/>
  <c r="W19" i="10"/>
  <c r="W44" i="10"/>
  <c r="W22" i="10"/>
  <c r="W6" i="10"/>
  <c r="W21" i="10"/>
  <c r="W37" i="10"/>
  <c r="W31" i="10"/>
  <c r="W15" i="10"/>
  <c r="W12" i="10"/>
  <c r="W9" i="10"/>
  <c r="W40" i="10"/>
  <c r="W34" i="10"/>
  <c r="W18" i="10"/>
  <c r="W49" i="10"/>
  <c r="W27" i="10"/>
  <c r="W5" i="10"/>
  <c r="W39" i="10"/>
  <c r="W36" i="10"/>
  <c r="W33" i="10"/>
  <c r="J6" i="6"/>
  <c r="J47" i="6"/>
  <c r="J4" i="6"/>
  <c r="J50" i="6"/>
  <c r="I17" i="7"/>
  <c r="H52" i="7"/>
  <c r="H16" i="7"/>
  <c r="H40" i="7"/>
  <c r="H44" i="7"/>
  <c r="H22" i="7"/>
  <c r="I21" i="7"/>
  <c r="H9" i="7"/>
  <c r="H34" i="7"/>
  <c r="I38" i="7"/>
  <c r="I41" i="7"/>
  <c r="I23" i="7"/>
  <c r="H20" i="7"/>
  <c r="H33" i="7"/>
  <c r="H55" i="7"/>
  <c r="I49" i="7"/>
  <c r="I42" i="7"/>
  <c r="I13" i="7"/>
  <c r="I55" i="7"/>
  <c r="I27" i="7"/>
  <c r="H19" i="7"/>
  <c r="I7" i="7"/>
  <c r="I12" i="7"/>
  <c r="H23" i="7"/>
  <c r="I46" i="7"/>
  <c r="I29" i="7"/>
  <c r="I15" i="7"/>
  <c r="H10" i="7"/>
  <c r="I8" i="7"/>
  <c r="H48" i="7"/>
  <c r="I34" i="7"/>
  <c r="H28" i="7"/>
  <c r="H21" i="7"/>
  <c r="H53" i="7"/>
  <c r="H46" i="7"/>
  <c r="H41" i="7"/>
  <c r="H25" i="7"/>
  <c r="H42" i="7"/>
  <c r="H36" i="7"/>
  <c r="I37" i="7"/>
  <c r="I33" i="7"/>
  <c r="I50" i="7"/>
  <c r="I20" i="7"/>
  <c r="H24" i="7"/>
  <c r="H56" i="7"/>
  <c r="H18" i="7"/>
  <c r="H50" i="7"/>
  <c r="I25" i="7"/>
  <c r="I31" i="7"/>
  <c r="I32" i="7"/>
  <c r="I45" i="7"/>
  <c r="H27" i="7"/>
  <c r="I26" i="7"/>
  <c r="I14" i="7"/>
  <c r="H35" i="7"/>
  <c r="H29" i="7"/>
  <c r="H15" i="7"/>
  <c r="I24" i="7"/>
  <c r="H17" i="7"/>
  <c r="H11" i="7"/>
  <c r="H43" i="7"/>
  <c r="H8" i="7"/>
  <c r="H37" i="7"/>
  <c r="I10" i="7"/>
  <c r="I39" i="7"/>
  <c r="I40" i="7"/>
  <c r="I53" i="7"/>
  <c r="H49" i="7"/>
  <c r="I36" i="7"/>
  <c r="I54" i="7"/>
  <c r="I18" i="7"/>
  <c r="H12" i="7"/>
  <c r="H26" i="7"/>
  <c r="H30" i="7"/>
  <c r="I47" i="7"/>
  <c r="I48" i="7"/>
  <c r="H47" i="7"/>
  <c r="I56" i="7"/>
  <c r="H7" i="7"/>
  <c r="H13" i="7"/>
  <c r="K3" i="6"/>
  <c r="J11" i="6"/>
  <c r="J22" i="6"/>
  <c r="J40" i="6"/>
  <c r="J48" i="6"/>
  <c r="J44" i="6"/>
  <c r="J10" i="6"/>
  <c r="J14" i="6"/>
  <c r="J27" i="6"/>
  <c r="J52" i="6"/>
  <c r="J36" i="6"/>
  <c r="J29" i="6"/>
  <c r="J8" i="6"/>
  <c r="J42" i="6"/>
  <c r="K38" i="6"/>
  <c r="K17" i="6"/>
  <c r="J39" i="6"/>
  <c r="K34" i="6"/>
  <c r="J13" i="6"/>
  <c r="J7" i="6"/>
  <c r="J35" i="6"/>
  <c r="K21" i="6"/>
  <c r="K37" i="6"/>
  <c r="K46" i="6"/>
  <c r="K25" i="6"/>
  <c r="K42" i="6"/>
  <c r="K45" i="6"/>
  <c r="K23" i="6"/>
  <c r="K20" i="6"/>
  <c r="J5" i="6"/>
  <c r="J30" i="6"/>
  <c r="J24" i="6"/>
  <c r="K50" i="6"/>
  <c r="J15" i="6"/>
  <c r="J26" i="6"/>
  <c r="J51" i="6"/>
  <c r="K16" i="6"/>
  <c r="K33" i="6"/>
  <c r="K7" i="6"/>
  <c r="K13" i="6"/>
  <c r="K39" i="6"/>
  <c r="J38" i="6"/>
  <c r="K24" i="6"/>
  <c r="K41" i="6"/>
  <c r="K29" i="6"/>
  <c r="K36" i="6"/>
  <c r="K4" i="6"/>
  <c r="J21" i="6"/>
  <c r="J46" i="6"/>
  <c r="J16" i="6"/>
  <c r="K32" i="6"/>
  <c r="K49" i="6"/>
  <c r="K19" i="6"/>
  <c r="K47" i="6"/>
  <c r="K52" i="6"/>
  <c r="K6" i="6"/>
  <c r="K28" i="6"/>
  <c r="J23" i="6"/>
  <c r="K14" i="6"/>
  <c r="K40" i="6"/>
  <c r="K10" i="6"/>
  <c r="K27" i="6"/>
  <c r="K8" i="6"/>
  <c r="K43" i="6"/>
  <c r="J37" i="6"/>
  <c r="J32" i="6"/>
  <c r="K22" i="6"/>
  <c r="K48" i="6"/>
  <c r="K18" i="6"/>
  <c r="K35" i="6"/>
  <c r="K31" i="6"/>
  <c r="K44" i="6"/>
  <c r="J3" i="6"/>
  <c r="J34" i="6"/>
  <c r="J20" i="6"/>
  <c r="J45" i="6"/>
  <c r="K30" i="6"/>
  <c r="K9" i="6"/>
  <c r="K26" i="6"/>
  <c r="K5" i="6"/>
  <c r="K51" i="6"/>
  <c r="K15" i="6"/>
  <c r="K12" i="6"/>
  <c r="L7" i="7" l="1"/>
  <c r="L6" i="7"/>
  <c r="N3" i="6"/>
  <c r="N2" i="6"/>
  <c r="Q5" i="6" s="1"/>
  <c r="S12" i="3"/>
  <c r="S13" i="3"/>
  <c r="S14" i="3"/>
  <c r="S15" i="3"/>
  <c r="S16" i="3"/>
  <c r="S11" i="3"/>
  <c r="P13" i="3"/>
  <c r="P12" i="3"/>
  <c r="P11" i="3"/>
  <c r="Q22" i="3"/>
  <c r="L13" i="3"/>
  <c r="O8" i="7" l="1"/>
  <c r="P10" i="6"/>
  <c r="J2" i="3"/>
  <c r="J4" i="3" s="1"/>
  <c r="N16" i="7" l="1"/>
  <c r="O18" i="7" s="1"/>
  <c r="G4" i="3"/>
  <c r="G3" i="3"/>
  <c r="G2" i="3"/>
  <c r="U15" i="1"/>
  <c r="U16" i="1"/>
  <c r="U17" i="1"/>
  <c r="U18" i="1"/>
  <c r="U19" i="1"/>
  <c r="U14" i="1"/>
  <c r="T15" i="1"/>
  <c r="T16" i="1"/>
  <c r="T17" i="1"/>
  <c r="T18" i="1"/>
  <c r="T19" i="1"/>
  <c r="T14" i="1"/>
  <c r="D4" i="3"/>
  <c r="D3" i="3"/>
  <c r="D11" i="3" s="1"/>
  <c r="D2" i="3"/>
  <c r="B24" i="2"/>
  <c r="E32" i="2"/>
  <c r="E15" i="2"/>
  <c r="B9" i="2" s="1"/>
  <c r="E24" i="2"/>
  <c r="E33" i="2"/>
  <c r="E29" i="2"/>
  <c r="I13" i="2"/>
  <c r="E30" i="2" s="1"/>
  <c r="L11" i="3" l="1"/>
  <c r="D6" i="3"/>
  <c r="D12" i="3" s="1"/>
  <c r="L12" i="3" s="1"/>
  <c r="N12" i="3" s="1"/>
  <c r="B8" i="2"/>
  <c r="B48" i="2"/>
  <c r="B40" i="2"/>
  <c r="B16" i="2"/>
  <c r="B46" i="2"/>
  <c r="B32" i="2"/>
  <c r="B47" i="2"/>
  <c r="B39" i="2"/>
  <c r="B31" i="2"/>
  <c r="B23" i="2"/>
  <c r="B15" i="2"/>
  <c r="B7" i="2"/>
  <c r="B38" i="2"/>
  <c r="B30" i="2"/>
  <c r="B22" i="2"/>
  <c r="B14" i="2"/>
  <c r="B6" i="2"/>
  <c r="B45" i="2"/>
  <c r="B37" i="2"/>
  <c r="B29" i="2"/>
  <c r="B21" i="2"/>
  <c r="B13" i="2"/>
  <c r="B5" i="2"/>
  <c r="B44" i="2"/>
  <c r="B36" i="2"/>
  <c r="B28" i="2"/>
  <c r="B20" i="2"/>
  <c r="B12" i="2"/>
  <c r="B4" i="2"/>
  <c r="B1" i="2"/>
  <c r="B43" i="2"/>
  <c r="B35" i="2"/>
  <c r="B27" i="2"/>
  <c r="B19" i="2"/>
  <c r="B11" i="2"/>
  <c r="B3" i="2"/>
  <c r="B50" i="2"/>
  <c r="B42" i="2"/>
  <c r="B34" i="2"/>
  <c r="B26" i="2"/>
  <c r="B18" i="2"/>
  <c r="B10" i="2"/>
  <c r="B2" i="2"/>
  <c r="B49" i="2"/>
  <c r="B41" i="2"/>
  <c r="B33" i="2"/>
  <c r="B25" i="2"/>
  <c r="B17" i="2"/>
  <c r="F34" i="2"/>
  <c r="I14" i="2"/>
  <c r="D13" i="3" l="1"/>
  <c r="E11" i="3"/>
  <c r="E12" i="2"/>
  <c r="E22" i="2"/>
  <c r="E25" i="2" s="1"/>
  <c r="E13" i="2"/>
  <c r="F30" i="2"/>
  <c r="E34" i="2" s="1"/>
  <c r="E12" i="3" l="1"/>
  <c r="M11" i="3"/>
  <c r="O11" i="3" s="1"/>
  <c r="D14" i="3"/>
  <c r="N13" i="3"/>
  <c r="F11" i="3"/>
  <c r="F25" i="2"/>
  <c r="E13" i="3" l="1"/>
  <c r="M12" i="3"/>
  <c r="O12" i="3" s="1"/>
  <c r="D15" i="3"/>
  <c r="L14" i="3"/>
  <c r="N14" i="3" s="1"/>
  <c r="F12" i="3"/>
  <c r="D8" i="1"/>
  <c r="V14" i="1"/>
  <c r="V15" i="1" s="1"/>
  <c r="V16" i="1" s="1"/>
  <c r="V17" i="1" s="1"/>
  <c r="V18" i="1" s="1"/>
  <c r="V19" i="1" s="1"/>
  <c r="V6" i="1"/>
  <c r="V7" i="1" s="1"/>
  <c r="V8" i="1" s="1"/>
  <c r="V9" i="1" s="1"/>
  <c r="V5" i="1"/>
  <c r="V4" i="1"/>
  <c r="M10" i="1"/>
  <c r="E12" i="1"/>
  <c r="D12" i="1"/>
  <c r="E8" i="1"/>
  <c r="E4" i="1"/>
  <c r="M3" i="1"/>
  <c r="M4" i="1"/>
  <c r="P14" i="1" s="1"/>
  <c r="M5" i="1"/>
  <c r="L5" i="1"/>
  <c r="L4" i="1"/>
  <c r="P4" i="1" s="1"/>
  <c r="L3" i="1"/>
  <c r="D4" i="1"/>
  <c r="E14" i="3" l="1"/>
  <c r="M13" i="3"/>
  <c r="O13" i="3" s="1"/>
  <c r="D16" i="3"/>
  <c r="L16" i="3" s="1"/>
  <c r="N16" i="3" s="1"/>
  <c r="P16" i="3" s="1"/>
  <c r="L15" i="3"/>
  <c r="N15" i="3" s="1"/>
  <c r="F13" i="3"/>
  <c r="L7" i="1"/>
  <c r="P5" i="1" s="1"/>
  <c r="Q4" i="1" s="1"/>
  <c r="Q5" i="1" s="1"/>
  <c r="Q6" i="1" s="1"/>
  <c r="Q7" i="1" s="1"/>
  <c r="Q8" i="1" s="1"/>
  <c r="Q9" i="1" s="1"/>
  <c r="M7" i="1"/>
  <c r="P15" i="1" s="1"/>
  <c r="P16" i="1" s="1"/>
  <c r="P17" i="1" s="1"/>
  <c r="P18" i="1" s="1"/>
  <c r="P19" i="1" s="1"/>
  <c r="E15" i="3" l="1"/>
  <c r="M14" i="3"/>
  <c r="O14" i="3" s="1"/>
  <c r="P14" i="3" s="1"/>
  <c r="G11" i="3" a="1"/>
  <c r="F14" i="3"/>
  <c r="S14" i="1" a="1"/>
  <c r="Q14" i="1"/>
  <c r="Q15" i="1" s="1"/>
  <c r="Q16" i="1" s="1"/>
  <c r="Q17" i="1" s="1"/>
  <c r="Q18" i="1" s="1"/>
  <c r="Q19" i="1" s="1"/>
  <c r="P6" i="1"/>
  <c r="P7" i="1" s="1"/>
  <c r="R5" i="1"/>
  <c r="R4" i="1"/>
  <c r="G11" i="3" l="1"/>
  <c r="Q14" i="3"/>
  <c r="Q13" i="3"/>
  <c r="Q12" i="3"/>
  <c r="Q16" i="3"/>
  <c r="E16" i="3"/>
  <c r="M16" i="3" s="1"/>
  <c r="M15" i="3"/>
  <c r="O15" i="3" s="1"/>
  <c r="P15" i="3" s="1"/>
  <c r="Q15" i="3" s="1"/>
  <c r="F16" i="3"/>
  <c r="F15" i="3"/>
  <c r="S14" i="1"/>
  <c r="R14" i="1"/>
  <c r="R16" i="1"/>
  <c r="R15" i="1"/>
  <c r="R6" i="1"/>
  <c r="R17" i="1"/>
  <c r="P8" i="1"/>
  <c r="R7" i="1"/>
  <c r="G17" i="3" l="1"/>
  <c r="Q11" i="3"/>
  <c r="Q18" i="3" s="1"/>
  <c r="S20" i="1"/>
  <c r="R18" i="1"/>
  <c r="P9" i="1"/>
  <c r="R8" i="1"/>
  <c r="H15" i="3" l="1"/>
  <c r="I15" i="3" s="1"/>
  <c r="H14" i="3"/>
  <c r="I14" i="3" s="1"/>
  <c r="H16" i="3"/>
  <c r="I16" i="3" s="1"/>
  <c r="H12" i="3"/>
  <c r="I12" i="3" s="1"/>
  <c r="H13" i="3"/>
  <c r="I13" i="3" s="1"/>
  <c r="H11" i="3"/>
  <c r="R19" i="1"/>
  <c r="R9" i="1"/>
  <c r="I11" i="3" l="1"/>
  <c r="H17" i="3"/>
  <c r="J11" i="3"/>
  <c r="J12" i="3" s="1"/>
  <c r="J13" i="3" s="1"/>
  <c r="J14" i="3" s="1"/>
  <c r="J15" i="3" s="1"/>
  <c r="J16" i="3" s="1"/>
  <c r="S4" i="1" a="1"/>
  <c r="S4" i="1" l="1"/>
  <c r="S10" i="1" l="1"/>
  <c r="T4" i="1" s="1"/>
  <c r="U4" i="1" s="1"/>
  <c r="T6" i="1" l="1"/>
  <c r="U6" i="1" s="1"/>
  <c r="T5" i="1"/>
  <c r="U5" i="1" s="1"/>
  <c r="T7" i="1"/>
  <c r="U7" i="1" s="1"/>
  <c r="T8" i="1"/>
  <c r="U8" i="1" s="1"/>
  <c r="T9" i="1"/>
  <c r="U9" i="1" s="1"/>
  <c r="T10" i="1" l="1"/>
  <c r="T20" i="1"/>
  <c r="F16" i="2"/>
  <c r="E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<sst xmlns="http://schemas.openxmlformats.org/spreadsheetml/2006/main" count="180" uniqueCount="117">
  <si>
    <t>X</t>
  </si>
  <si>
    <t>Y</t>
  </si>
  <si>
    <t>выборочное среднее:</t>
  </si>
  <si>
    <t>выборочная дисперсия:</t>
  </si>
  <si>
    <t>среднеквадратическое отклонение:</t>
  </si>
  <si>
    <t>число элементов</t>
  </si>
  <si>
    <t>минимальный</t>
  </si>
  <si>
    <t>максимальный</t>
  </si>
  <si>
    <t>число промежутков</t>
  </si>
  <si>
    <t>шаг</t>
  </si>
  <si>
    <t>номер
промежутка</t>
  </si>
  <si>
    <t>X:</t>
  </si>
  <si>
    <t>Y:</t>
  </si>
  <si>
    <t>сумма</t>
  </si>
  <si>
    <t>начало промежутка</t>
  </si>
  <si>
    <t>конец промежутка</t>
  </si>
  <si>
    <t>середина промежутка</t>
  </si>
  <si>
    <t>абсолютная частота</t>
  </si>
  <si>
    <t>относительная частота</t>
  </si>
  <si>
    <t>накопленная частота</t>
  </si>
  <si>
    <t>сколько интервалов?</t>
  </si>
  <si>
    <t>1 + log_2(50)</t>
  </si>
  <si>
    <t>плотность относ. част.</t>
  </si>
  <si>
    <t>полигон частот</t>
  </si>
  <si>
    <t>гистограмма</t>
  </si>
  <si>
    <t>Доверительный интервал для МО</t>
  </si>
  <si>
    <t>Выборочная дисперсия</t>
  </si>
  <si>
    <t>a</t>
  </si>
  <si>
    <t>1-a/2</t>
  </si>
  <si>
    <t>n</t>
  </si>
  <si>
    <t>Выборочное среднее</t>
  </si>
  <si>
    <t>1) Доверительные интервалы для МО при неизвестной дисперсии</t>
  </si>
  <si>
    <t>Квантиль стьюдента</t>
  </si>
  <si>
    <t>3) Доверительный интервал для дисперсии при неизвестном МО</t>
  </si>
  <si>
    <t>Доверительный интервал для дисперсии</t>
  </si>
  <si>
    <t>Исправленная выборочная дисперсия</t>
  </si>
  <si>
    <t>доверительный интервал для МО при известной дисперсии. u - квантиль нормального распрелеления.</t>
  </si>
  <si>
    <t>квантиль уровня p — значение, которое заданная случайная величина не превышает с вероятностью p.</t>
  </si>
  <si>
    <t>доверительный интервал для МО при неизвестной дисперсии.</t>
  </si>
  <si>
    <t>это квантиль распределения функции Стьюдента с n-1 степенью свободы.</t>
  </si>
  <si>
    <t>формулы:</t>
  </si>
  <si>
    <t>доверительный интервал для дисперсии.</t>
  </si>
  <si>
    <t>2) Доверительные интервалы при известной дисперсии для математического ожидания</t>
  </si>
  <si>
    <t>(s^2)</t>
  </si>
  <si>
    <t>если вероятность (уровень доверия) b, то а = 1-b, а квантили ищутся для 1-а/2.</t>
  </si>
  <si>
    <t>Уровень доверия (b)</t>
  </si>
  <si>
    <t>s</t>
  </si>
  <si>
    <t>Квантиль нормального распределения (вернет значение, при котором 95% данных лежат слева от этой точки в стандартном нормальном распределении).</t>
  </si>
  <si>
    <t>(это значение нам дано)</t>
  </si>
  <si>
    <t>(1-a/2, количество степеней свободы = 49)</t>
  </si>
  <si>
    <t>xи-квадрат квантиль</t>
  </si>
  <si>
    <t>(по формуле)</t>
  </si>
  <si>
    <t>значения            и            находятся по таблицам хи-квадрат распределения с n-1 степенью свободы, в таблице нужно искать       и            .</t>
  </si>
  <si>
    <t>выборочное среднее</t>
  </si>
  <si>
    <t>выборочная дисперсия</t>
  </si>
  <si>
    <t>ср. кв. отклонение</t>
  </si>
  <si>
    <t>степени свободы</t>
  </si>
  <si>
    <t>уровень значимости</t>
  </si>
  <si>
    <t>критическое значение</t>
  </si>
  <si>
    <t>объем выборки</t>
  </si>
  <si>
    <t>нормированные координаты интервалов</t>
  </si>
  <si>
    <t>значение функции Лапласа на границах</t>
  </si>
  <si>
    <t>абсолютная частота (n_k)</t>
  </si>
  <si>
    <t>число элементов (n)</t>
  </si>
  <si>
    <t>вероятность попадания в интервал (p_k)</t>
  </si>
  <si>
    <t>хи-квадрат меньше критического значения?</t>
  </si>
  <si>
    <t>гипотеза: генеральная совокупность для выборки распределена нормально</t>
  </si>
  <si>
    <t>k</t>
  </si>
  <si>
    <t>упорядоченная
выборка</t>
  </si>
  <si>
    <t>z (по таблице)</t>
  </si>
  <si>
    <t>максимумы</t>
  </si>
  <si>
    <t>z</t>
  </si>
  <si>
    <t>статистика Колмогорова</t>
  </si>
  <si>
    <t>α</t>
  </si>
  <si>
    <t>1-α</t>
  </si>
  <si>
    <t>вторая выборка</t>
  </si>
  <si>
    <t>первая выборка</t>
  </si>
  <si>
    <t xml:space="preserve">гипотеза:                                 </t>
  </si>
  <si>
    <t>m</t>
  </si>
  <si>
    <t>перемешанные выборки</t>
  </si>
  <si>
    <t>номер выборки</t>
  </si>
  <si>
    <t>R1+R2</t>
  </si>
  <si>
    <t>R1</t>
  </si>
  <si>
    <t>R2</t>
  </si>
  <si>
    <t>w1</t>
  </si>
  <si>
    <t>w2</t>
  </si>
  <si>
    <t>w1+w2</t>
  </si>
  <si>
    <t>n*m</t>
  </si>
  <si>
    <t>Ранги 1</t>
  </si>
  <si>
    <t>Ранги 2</t>
  </si>
  <si>
    <t>S согл. пары</t>
  </si>
  <si>
    <t>R инверсии</t>
  </si>
  <si>
    <t>баллы di</t>
  </si>
  <si>
    <t>Коэф. корреляции</t>
  </si>
  <si>
    <t>Сумма S</t>
  </si>
  <si>
    <t>Сумма R</t>
  </si>
  <si>
    <t>Коэффициент ранговой корреляции  Кэндела</t>
  </si>
  <si>
    <t>Коэф. Спирмена</t>
  </si>
  <si>
    <t>Коэф. Кэндела соответствует квантилю нормального распределения с параметрами:</t>
  </si>
  <si>
    <t>Оценка критерия</t>
  </si>
  <si>
    <t>ср. кв. откл.</t>
  </si>
  <si>
    <t>Крит. знач</t>
  </si>
  <si>
    <t>Оценка критерия &lt; Крит. значения</t>
  </si>
  <si>
    <t xml:space="preserve">Следовательно H0 не протеворечит опытным данным и её следует принять </t>
  </si>
  <si>
    <t>Оценка критерия &lt; Критического значения</t>
  </si>
  <si>
    <t>Следовательно гипотеза H0 не противоречит опытным данным и её следует принять</t>
  </si>
  <si>
    <t>гипотеза: X и Y — независимые случайные велечины</t>
  </si>
  <si>
    <t xml:space="preserve">                                      , где</t>
  </si>
  <si>
    <t>выб. ср.</t>
  </si>
  <si>
    <t>(xi - X)*(yi-Y)</t>
  </si>
  <si>
    <t>(xi-X)^2</t>
  </si>
  <si>
    <t>(yi-Y)^2</t>
  </si>
  <si>
    <t>Построить линейную регрессию Х на Y,Y на X, где X – первая выборка (столбик), Y- вторая выборка (столбик).</t>
  </si>
  <si>
    <t>1. y = a + bx</t>
  </si>
  <si>
    <t>коэф. регрессии</t>
  </si>
  <si>
    <t>b</t>
  </si>
  <si>
    <t>2. x = a +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</si>
</sst>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66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3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0" xfId="0" applyNumberFormat="1" applyFont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164" fontId="5" fillId="0" borderId="8" xfId="0" applyNumberFormat="1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vertical="center"/>
    </xf>
    <xf numFmtId="165" fontId="5" fillId="0" borderId="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1" fillId="0" borderId="21" xfId="0" applyFont="1" applyBorder="1"/>
    <xf numFmtId="0" fontId="1" fillId="0" borderId="17" xfId="0" applyFont="1" applyBorder="1"/>
    <xf numFmtId="0" fontId="1" fillId="0" borderId="9" xfId="0" applyFont="1" applyBorder="1"/>
    <xf numFmtId="164" fontId="1" fillId="0" borderId="9" xfId="0" applyNumberFormat="1" applyFont="1" applyBorder="1"/>
    <xf numFmtId="0" fontId="2" fillId="0" borderId="2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7" xfId="0" applyFont="1" applyFill="1" applyBorder="1"/>
    <xf numFmtId="0" fontId="1" fillId="0" borderId="9" xfId="0" applyFont="1" applyFill="1" applyBorder="1"/>
    <xf numFmtId="0" fontId="3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/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/>
    <xf numFmtId="0" fontId="1" fillId="0" borderId="21" xfId="0" applyFont="1" applyBorder="1" applyAlignment="1"/>
    <xf numFmtId="0" fontId="1" fillId="0" borderId="17" xfId="0" applyFont="1" applyFill="1" applyBorder="1" applyAlignment="1"/>
    <xf numFmtId="0" fontId="1" fillId="0" borderId="17" xfId="0" applyFont="1" applyBorder="1" applyAlignment="1"/>
    <xf numFmtId="0" fontId="3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/>
    <xf numFmtId="0" fontId="6" fillId="0" borderId="10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8" xfId="0" applyFont="1" applyBorder="1"/>
    <xf numFmtId="0" fontId="3" fillId="0" borderId="2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3" fillId="0" borderId="8" xfId="0" applyFont="1" applyBorder="1"/>
    <xf numFmtId="0" fontId="3" fillId="0" borderId="0" xfId="0" applyFont="1"/>
    <xf numFmtId="0" fontId="3" fillId="0" borderId="0" xfId="0" applyFont="1" applyBorder="1"/>
    <xf numFmtId="0" fontId="3" fillId="0" borderId="8" xfId="0" applyFont="1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F9FE3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2">
                <a:alpha val="70000"/>
              </a:schemeClr>
            </a:solidFill>
            <a:ln w="25400">
              <a:solidFill>
                <a:schemeClr val="accent2"/>
              </a:solidFill>
            </a:ln>
            <a:effectLst/>
          </c:spPr>
          <c:cat>
            <c:numRef>
              <c:f>'1'!$R$4:$R$9</c:f>
              <c:numCache>
                <c:formatCode>General</c:formatCode>
                <c:ptCount val="6"/>
                <c:pt idx="0">
                  <c:v>1.1687591666666668</c:v>
                </c:pt>
                <c:pt idx="1">
                  <c:v>1.4998775000000002</c:v>
                </c:pt>
                <c:pt idx="2">
                  <c:v>1.8309958333333336</c:v>
                </c:pt>
                <c:pt idx="3">
                  <c:v>2.162114166666667</c:v>
                </c:pt>
                <c:pt idx="4">
                  <c:v>2.4932325000000004</c:v>
                </c:pt>
                <c:pt idx="5">
                  <c:v>2.8243508333333338</c:v>
                </c:pt>
              </c:numCache>
            </c:numRef>
          </c:cat>
          <c:val>
            <c:numRef>
              <c:f>'1'!$S$4:$S$9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D-4D58-9799-74CACE7E3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spPr>
            <a:solidFill>
              <a:schemeClr val="accent1">
                <a:alpha val="70000"/>
              </a:schemeClr>
            </a:solidFill>
            <a:ln w="25400">
              <a:solidFill>
                <a:schemeClr val="accent1"/>
              </a:solidFill>
            </a:ln>
            <a:effectLst/>
          </c:spPr>
          <c:cat>
            <c:numRef>
              <c:f>'1'!$R$14:$R$19</c:f>
              <c:numCache>
                <c:formatCode>General</c:formatCode>
                <c:ptCount val="6"/>
                <c:pt idx="0">
                  <c:v>-0.97967166666666683</c:v>
                </c:pt>
                <c:pt idx="1">
                  <c:v>0.37472499999999964</c:v>
                </c:pt>
                <c:pt idx="2">
                  <c:v>1.729121666666666</c:v>
                </c:pt>
                <c:pt idx="3">
                  <c:v>3.0835183333333323</c:v>
                </c:pt>
                <c:pt idx="4">
                  <c:v>4.4379149999999985</c:v>
                </c:pt>
                <c:pt idx="5">
                  <c:v>5.7923116666666647</c:v>
                </c:pt>
              </c:numCache>
            </c:numRef>
          </c:cat>
          <c:val>
            <c:numRef>
              <c:f>'1'!$S$14:$S$19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12</c:v>
                </c:pt>
                <c:pt idx="3">
                  <c:v>13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A-4052-A2DB-212376405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639792"/>
        <c:axId val="828638960"/>
      </c:areaChart>
      <c:catAx>
        <c:axId val="82863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8960"/>
        <c:crosses val="autoZero"/>
        <c:auto val="1"/>
        <c:lblAlgn val="ctr"/>
        <c:lblOffset val="100"/>
        <c:noMultiLvlLbl val="0"/>
      </c:catAx>
      <c:valAx>
        <c:axId val="828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6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'1'!$P$4:$Q$9</c:f>
              <c:multiLvlStrCache>
                <c:ptCount val="6"/>
                <c:lvl>
                  <c:pt idx="0">
                    <c:v>1,33432</c:v>
                  </c:pt>
                  <c:pt idx="1">
                    <c:v>1,66544</c:v>
                  </c:pt>
                  <c:pt idx="2">
                    <c:v>1,99656</c:v>
                  </c:pt>
                  <c:pt idx="3">
                    <c:v>2,32767</c:v>
                  </c:pt>
                  <c:pt idx="4">
                    <c:v>2,65879</c:v>
                  </c:pt>
                  <c:pt idx="5">
                    <c:v>2,98991</c:v>
                  </c:pt>
                </c:lvl>
                <c:lvl>
                  <c:pt idx="0">
                    <c:v>1,00320</c:v>
                  </c:pt>
                  <c:pt idx="1">
                    <c:v>1,33432</c:v>
                  </c:pt>
                  <c:pt idx="2">
                    <c:v>1,66544</c:v>
                  </c:pt>
                  <c:pt idx="3">
                    <c:v>1,99656</c:v>
                  </c:pt>
                  <c:pt idx="4">
                    <c:v>2,32767</c:v>
                  </c:pt>
                  <c:pt idx="5">
                    <c:v>2,65879</c:v>
                  </c:pt>
                </c:lvl>
              </c:multiLvlStrCache>
            </c:multiLvlStrRef>
          </c:cat>
          <c:val>
            <c:numRef>
              <c:f>'1'!$U$4:$U$9</c:f>
              <c:numCache>
                <c:formatCode>General</c:formatCode>
                <c:ptCount val="6"/>
                <c:pt idx="0">
                  <c:v>1.0268232404326751</c:v>
                </c:pt>
                <c:pt idx="1">
                  <c:v>1.08722460751695</c:v>
                </c:pt>
                <c:pt idx="2">
                  <c:v>0.66441503792702505</c:v>
                </c:pt>
                <c:pt idx="3">
                  <c:v>0.12080273416855002</c:v>
                </c:pt>
                <c:pt idx="4">
                  <c:v>0</c:v>
                </c:pt>
                <c:pt idx="5">
                  <c:v>0.12080273416855002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5-4C26-9F0A-2BAB42DD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en-US" baseline="0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28575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'1'!$P$14:$Q$19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'1'!$U$14:$U$19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9-4673-A587-6B7D7EE7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'3'!$D$11:$E$16</c:f>
              <c:multiLvlStrCache>
                <c:ptCount val="6"/>
                <c:lvl>
                  <c:pt idx="0">
                    <c:v>-0,30247</c:v>
                  </c:pt>
                  <c:pt idx="1">
                    <c:v>1,05192</c:v>
                  </c:pt>
                  <c:pt idx="2">
                    <c:v>2,40632</c:v>
                  </c:pt>
                  <c:pt idx="3">
                    <c:v>3,76072</c:v>
                  </c:pt>
                  <c:pt idx="4">
                    <c:v>5,11511</c:v>
                  </c:pt>
                  <c:pt idx="5">
                    <c:v>6,46951</c:v>
                  </c:pt>
                </c:lvl>
                <c:lvl>
                  <c:pt idx="0">
                    <c:v>-1,65687</c:v>
                  </c:pt>
                  <c:pt idx="1">
                    <c:v>-0,30247</c:v>
                  </c:pt>
                  <c:pt idx="2">
                    <c:v>1,05192</c:v>
                  </c:pt>
                  <c:pt idx="3">
                    <c:v>2,40632</c:v>
                  </c:pt>
                  <c:pt idx="4">
                    <c:v>3,76072</c:v>
                  </c:pt>
                  <c:pt idx="5">
                    <c:v>5,11511</c:v>
                  </c:pt>
                </c:lvl>
              </c:multiLvlStrCache>
            </c:multiLvlStrRef>
          </c:cat>
          <c:val>
            <c:numRef>
              <c:f>'3'!$I$11:$I$16</c:f>
              <c:numCache>
                <c:formatCode>General</c:formatCode>
                <c:ptCount val="6"/>
                <c:pt idx="0">
                  <c:v>7.3833613490877872E-2</c:v>
                </c:pt>
                <c:pt idx="1">
                  <c:v>7.3833613490877872E-2</c:v>
                </c:pt>
                <c:pt idx="2">
                  <c:v>0.17720067237810688</c:v>
                </c:pt>
                <c:pt idx="3">
                  <c:v>0.19196739507628247</c:v>
                </c:pt>
                <c:pt idx="4">
                  <c:v>0.14766722698175574</c:v>
                </c:pt>
                <c:pt idx="5">
                  <c:v>7.3833613490877872E-2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62-4B45-B6EF-4D20FF30B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Нормированное нормальное 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'3'!$L$11:$M$16</c:f>
              <c:multiLvlStrCache>
                <c:ptCount val="6"/>
                <c:lvl>
                  <c:pt idx="0">
                    <c:v>-1,449449035</c:v>
                  </c:pt>
                  <c:pt idx="1">
                    <c:v>-0,754439029</c:v>
                  </c:pt>
                  <c:pt idx="2">
                    <c:v>-0,059429023</c:v>
                  </c:pt>
                  <c:pt idx="3">
                    <c:v>0,635580983</c:v>
                  </c:pt>
                  <c:pt idx="4">
                    <c:v>1,330590988</c:v>
                  </c:pt>
                  <c:pt idx="5">
                    <c:v>2,025600994</c:v>
                  </c:pt>
                </c:lvl>
                <c:lvl>
                  <c:pt idx="0">
                    <c:v>-2,144459041</c:v>
                  </c:pt>
                  <c:pt idx="1">
                    <c:v>-1,449449035</c:v>
                  </c:pt>
                  <c:pt idx="2">
                    <c:v>-0,754439029</c:v>
                  </c:pt>
                  <c:pt idx="3">
                    <c:v>-0,059429023</c:v>
                  </c:pt>
                  <c:pt idx="4">
                    <c:v>0,635580983</c:v>
                  </c:pt>
                  <c:pt idx="5">
                    <c:v>1,330590988</c:v>
                  </c:pt>
                </c:lvl>
              </c:multiLvlStrCache>
            </c:multiLvlStrRef>
          </c:cat>
          <c:val>
            <c:numRef>
              <c:f>'3'!$P$11:$P$16</c:f>
              <c:numCache>
                <c:formatCode>General</c:formatCode>
                <c:ptCount val="6"/>
                <c:pt idx="0">
                  <c:v>7.3606111689107662E-2</c:v>
                </c:pt>
                <c:pt idx="1">
                  <c:v>0.15168671001202255</c:v>
                </c:pt>
                <c:pt idx="2">
                  <c:v>0.25101237664776532</c:v>
                </c:pt>
                <c:pt idx="3">
                  <c:v>0.26117001763272563</c:v>
                </c:pt>
                <c:pt idx="4">
                  <c:v>0.17086296935610923</c:v>
                </c:pt>
                <c:pt idx="5">
                  <c:v>9.1661814662269636E-2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8-49B1-905C-E1751ACF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'6'!$B$3:$B$52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'6'!$C$3:$C$52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B-4FDF-B81E-9B66C9AA243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'6'!$S$3:$S$52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xVal>
          <c:yVal>
            <c:numRef>
              <c:f>'6'!$T$3:$T$52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2.2008902641723531</c:v>
                </c:pt>
                <c:pt idx="2">
                  <c:v>0.87167739861375271</c:v>
                </c:pt>
                <c:pt idx="3">
                  <c:v>2.4315482369912043</c:v>
                </c:pt>
                <c:pt idx="4">
                  <c:v>2.809295384563173</c:v>
                </c:pt>
                <c:pt idx="5">
                  <c:v>3.203741122703109</c:v>
                </c:pt>
                <c:pt idx="6">
                  <c:v>3.1179222496024801</c:v>
                </c:pt>
                <c:pt idx="7">
                  <c:v>3.1480075225409827</c:v>
                </c:pt>
                <c:pt idx="8">
                  <c:v>2.6504881224092172</c:v>
                </c:pt>
                <c:pt idx="9">
                  <c:v>1.7418496753115136</c:v>
                </c:pt>
                <c:pt idx="10">
                  <c:v>1.9651633020894943</c:v>
                </c:pt>
                <c:pt idx="11">
                  <c:v>2.1912832022256041</c:v>
                </c:pt>
                <c:pt idx="12">
                  <c:v>2.4370596567396019</c:v>
                </c:pt>
                <c:pt idx="13">
                  <c:v>2.7602361642798408</c:v>
                </c:pt>
                <c:pt idx="14">
                  <c:v>2.6532564731543991</c:v>
                </c:pt>
                <c:pt idx="15">
                  <c:v>2.2020911469156967</c:v>
                </c:pt>
                <c:pt idx="16">
                  <c:v>3.0825025291093349</c:v>
                </c:pt>
                <c:pt idx="17">
                  <c:v>2.6359258390373035</c:v>
                </c:pt>
                <c:pt idx="18">
                  <c:v>2.6632806838435727</c:v>
                </c:pt>
                <c:pt idx="19">
                  <c:v>2.9155166234296606</c:v>
                </c:pt>
                <c:pt idx="20">
                  <c:v>3.1697371797600109</c:v>
                </c:pt>
                <c:pt idx="21">
                  <c:v>2.4477411927198691</c:v>
                </c:pt>
                <c:pt idx="22">
                  <c:v>0.69236664372607803</c:v>
                </c:pt>
                <c:pt idx="23">
                  <c:v>2.1887550280290915</c:v>
                </c:pt>
                <c:pt idx="24">
                  <c:v>2.9987314771078815</c:v>
                </c:pt>
                <c:pt idx="25">
                  <c:v>2.1472929712062805</c:v>
                </c:pt>
                <c:pt idx="26">
                  <c:v>2.7244624993991837</c:v>
                </c:pt>
                <c:pt idx="27">
                  <c:v>2.998352250978404</c:v>
                </c:pt>
                <c:pt idx="28">
                  <c:v>2.9604928423856243</c:v>
                </c:pt>
                <c:pt idx="29">
                  <c:v>2.6178999570161667</c:v>
                </c:pt>
                <c:pt idx="30">
                  <c:v>2.4582710382483448</c:v>
                </c:pt>
                <c:pt idx="31">
                  <c:v>2.2267534862026799</c:v>
                </c:pt>
                <c:pt idx="32">
                  <c:v>2.8557000219401663</c:v>
                </c:pt>
                <c:pt idx="33">
                  <c:v>2.3946874572060466</c:v>
                </c:pt>
                <c:pt idx="34">
                  <c:v>2.7888171735714185</c:v>
                </c:pt>
                <c:pt idx="35">
                  <c:v>2.7058677781838316</c:v>
                </c:pt>
                <c:pt idx="36">
                  <c:v>3.0566140253370433</c:v>
                </c:pt>
                <c:pt idx="37">
                  <c:v>2.9524153258277659</c:v>
                </c:pt>
                <c:pt idx="38">
                  <c:v>1.988991343891628</c:v>
                </c:pt>
                <c:pt idx="39">
                  <c:v>2.4079350899957741</c:v>
                </c:pt>
                <c:pt idx="40">
                  <c:v>3.1965105445010824</c:v>
                </c:pt>
                <c:pt idx="41">
                  <c:v>2.1906637995474587</c:v>
                </c:pt>
                <c:pt idx="42">
                  <c:v>2.3191203304722774</c:v>
                </c:pt>
                <c:pt idx="43">
                  <c:v>1.8135486955246183</c:v>
                </c:pt>
                <c:pt idx="44">
                  <c:v>2.4914027610936458</c:v>
                </c:pt>
                <c:pt idx="45">
                  <c:v>2.4008562022455378</c:v>
                </c:pt>
                <c:pt idx="46">
                  <c:v>2.4388040969351956</c:v>
                </c:pt>
                <c:pt idx="47">
                  <c:v>2.8430085874736717</c:v>
                </c:pt>
                <c:pt idx="48">
                  <c:v>2.3423036878543</c:v>
                </c:pt>
                <c:pt idx="49">
                  <c:v>2.589988913886665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7B-4FDF-B81E-9B66C9AA2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86591"/>
        <c:axId val="634887007"/>
      </c:scatterChart>
      <c:valAx>
        <c:axId val="63488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887007"/>
        <c:crosses val="autoZero"/>
        <c:crossBetween val="midCat"/>
      </c:valAx>
      <c:valAx>
        <c:axId val="63488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488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'6'!$R$3:$R$52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'6'!$S$3:$S$52</c:f>
              <c:numCache>
                <c:formatCode>General</c:formatCode>
                <c:ptCount val="50"/>
                <c:pt idx="0">
                  <c:v>1.1511100000000001</c:v>
                </c:pt>
                <c:pt idx="1">
                  <c:v>1.79654</c:v>
                </c:pt>
                <c:pt idx="2">
                  <c:v>2.8480599999999998</c:v>
                </c:pt>
                <c:pt idx="3">
                  <c:v>1.6140699999999999</c:v>
                </c:pt>
                <c:pt idx="4">
                  <c:v>1.31524</c:v>
                </c:pt>
                <c:pt idx="5">
                  <c:v>1.0032000000000001</c:v>
                </c:pt>
                <c:pt idx="6">
                  <c:v>1.0710900000000001</c:v>
                </c:pt>
                <c:pt idx="7">
                  <c:v>1.0472900000000001</c:v>
                </c:pt>
                <c:pt idx="8">
                  <c:v>1.4408700000000001</c:v>
                </c:pt>
                <c:pt idx="9">
                  <c:v>2.1596799999999998</c:v>
                </c:pt>
                <c:pt idx="10">
                  <c:v>1.98302</c:v>
                </c:pt>
                <c:pt idx="11">
                  <c:v>1.8041400000000001</c:v>
                </c:pt>
                <c:pt idx="12">
                  <c:v>1.60971</c:v>
                </c:pt>
                <c:pt idx="13">
                  <c:v>1.35405</c:v>
                </c:pt>
                <c:pt idx="14">
                  <c:v>1.43868</c:v>
                </c:pt>
                <c:pt idx="15">
                  <c:v>1.79559</c:v>
                </c:pt>
                <c:pt idx="16">
                  <c:v>1.09911</c:v>
                </c:pt>
                <c:pt idx="17">
                  <c:v>1.4523900000000001</c:v>
                </c:pt>
                <c:pt idx="18">
                  <c:v>1.43075</c:v>
                </c:pt>
                <c:pt idx="19">
                  <c:v>1.2312099999999999</c:v>
                </c:pt>
                <c:pt idx="20">
                  <c:v>1.0301</c:v>
                </c:pt>
                <c:pt idx="21">
                  <c:v>1.6012599999999999</c:v>
                </c:pt>
                <c:pt idx="22">
                  <c:v>2.9899100000000001</c:v>
                </c:pt>
                <c:pt idx="23">
                  <c:v>1.8061400000000001</c:v>
                </c:pt>
                <c:pt idx="24">
                  <c:v>1.1653800000000001</c:v>
                </c:pt>
                <c:pt idx="25">
                  <c:v>1.83894</c:v>
                </c:pt>
                <c:pt idx="26">
                  <c:v>1.38235</c:v>
                </c:pt>
                <c:pt idx="27">
                  <c:v>1.16568</c:v>
                </c:pt>
                <c:pt idx="28">
                  <c:v>1.19563</c:v>
                </c:pt>
                <c:pt idx="29">
                  <c:v>1.46665</c:v>
                </c:pt>
                <c:pt idx="30">
                  <c:v>1.59293</c:v>
                </c:pt>
                <c:pt idx="31">
                  <c:v>1.7760800000000001</c:v>
                </c:pt>
                <c:pt idx="32">
                  <c:v>1.2785299999999999</c:v>
                </c:pt>
                <c:pt idx="33">
                  <c:v>1.64323</c:v>
                </c:pt>
                <c:pt idx="34">
                  <c:v>1.33144</c:v>
                </c:pt>
                <c:pt idx="35">
                  <c:v>1.39706</c:v>
                </c:pt>
                <c:pt idx="36">
                  <c:v>1.1195900000000001</c:v>
                </c:pt>
                <c:pt idx="37">
                  <c:v>1.2020200000000001</c:v>
                </c:pt>
                <c:pt idx="38">
                  <c:v>1.96417</c:v>
                </c:pt>
                <c:pt idx="39">
                  <c:v>1.6327499999999999</c:v>
                </c:pt>
                <c:pt idx="40">
                  <c:v>1.00892</c:v>
                </c:pt>
                <c:pt idx="41">
                  <c:v>1.80463</c:v>
                </c:pt>
                <c:pt idx="42">
                  <c:v>1.7030099999999999</c:v>
                </c:pt>
                <c:pt idx="43">
                  <c:v>2.1029599999999999</c:v>
                </c:pt>
                <c:pt idx="44">
                  <c:v>1.5667199999999999</c:v>
                </c:pt>
                <c:pt idx="45">
                  <c:v>1.63835</c:v>
                </c:pt>
                <c:pt idx="46">
                  <c:v>1.60833</c:v>
                </c:pt>
                <c:pt idx="47">
                  <c:v>1.28857</c:v>
                </c:pt>
                <c:pt idx="48">
                  <c:v>1.6846699999999999</c:v>
                </c:pt>
                <c:pt idx="49">
                  <c:v>1.4887300000000001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6-4936-9F5D-95412820D218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'6'!$V$3:$V$52</c:f>
              <c:numCache>
                <c:formatCode>General</c:formatCode>
                <c:ptCount val="50"/>
                <c:pt idx="0">
                  <c:v>3.0167700000000002</c:v>
                </c:pt>
                <c:pt idx="1">
                  <c:v>-0.17352000000000001</c:v>
                </c:pt>
                <c:pt idx="2">
                  <c:v>3.1695199999999999</c:v>
                </c:pt>
                <c:pt idx="3">
                  <c:v>2.3263500000000001</c:v>
                </c:pt>
                <c:pt idx="4">
                  <c:v>1.91276</c:v>
                </c:pt>
                <c:pt idx="5">
                  <c:v>-0.43187900000000001</c:v>
                </c:pt>
                <c:pt idx="6">
                  <c:v>3.9186800000000002</c:v>
                </c:pt>
                <c:pt idx="7">
                  <c:v>2.7407699999999999</c:v>
                </c:pt>
                <c:pt idx="8">
                  <c:v>5.4681600000000001</c:v>
                </c:pt>
                <c:pt idx="9">
                  <c:v>5.1539200000000003</c:v>
                </c:pt>
                <c:pt idx="10">
                  <c:v>1.16337</c:v>
                </c:pt>
                <c:pt idx="11">
                  <c:v>2.7423299999999999</c:v>
                </c:pt>
                <c:pt idx="12">
                  <c:v>-3.0000000000000001E-3</c:v>
                </c:pt>
                <c:pt idx="13">
                  <c:v>1.63781</c:v>
                </c:pt>
                <c:pt idx="14">
                  <c:v>3.81745</c:v>
                </c:pt>
                <c:pt idx="15">
                  <c:v>4.2461700000000002</c:v>
                </c:pt>
                <c:pt idx="16">
                  <c:v>4.3758400000000002</c:v>
                </c:pt>
                <c:pt idx="17">
                  <c:v>5.0537799999999997</c:v>
                </c:pt>
                <c:pt idx="18">
                  <c:v>5.10623</c:v>
                </c:pt>
                <c:pt idx="19">
                  <c:v>-1.6568700000000001</c:v>
                </c:pt>
                <c:pt idx="20">
                  <c:v>2.9357099999999998</c:v>
                </c:pt>
                <c:pt idx="21">
                  <c:v>1.49274</c:v>
                </c:pt>
                <c:pt idx="22">
                  <c:v>3.99708</c:v>
                </c:pt>
                <c:pt idx="23">
                  <c:v>4.6470500000000001</c:v>
                </c:pt>
                <c:pt idx="24">
                  <c:v>5.2593199999999998</c:v>
                </c:pt>
                <c:pt idx="25">
                  <c:v>2.8339300000000001</c:v>
                </c:pt>
                <c:pt idx="26">
                  <c:v>1.0916300000000001</c:v>
                </c:pt>
                <c:pt idx="27">
                  <c:v>-0.74036199999999996</c:v>
                </c:pt>
                <c:pt idx="28">
                  <c:v>2.7600500000000001</c:v>
                </c:pt>
                <c:pt idx="29">
                  <c:v>1.9047400000000001</c:v>
                </c:pt>
                <c:pt idx="30">
                  <c:v>3.0217100000000001</c:v>
                </c:pt>
                <c:pt idx="31">
                  <c:v>3.7261500000000001</c:v>
                </c:pt>
                <c:pt idx="32">
                  <c:v>1.72692</c:v>
                </c:pt>
                <c:pt idx="33">
                  <c:v>3.8111799999999998</c:v>
                </c:pt>
                <c:pt idx="34">
                  <c:v>0.27818100000000001</c:v>
                </c:pt>
                <c:pt idx="35">
                  <c:v>5.4249200000000002</c:v>
                </c:pt>
                <c:pt idx="36">
                  <c:v>6.4695099999999996</c:v>
                </c:pt>
                <c:pt idx="37">
                  <c:v>3.1700400000000002</c:v>
                </c:pt>
                <c:pt idx="38">
                  <c:v>1.5833200000000001</c:v>
                </c:pt>
                <c:pt idx="39">
                  <c:v>2.7949199999999998</c:v>
                </c:pt>
                <c:pt idx="40">
                  <c:v>1.7513700000000001</c:v>
                </c:pt>
                <c:pt idx="41">
                  <c:v>1.25841</c:v>
                </c:pt>
                <c:pt idx="42">
                  <c:v>1.5901099999999999</c:v>
                </c:pt>
                <c:pt idx="43">
                  <c:v>-0.13830100000000001</c:v>
                </c:pt>
                <c:pt idx="44">
                  <c:v>3.7054800000000001</c:v>
                </c:pt>
                <c:pt idx="45">
                  <c:v>-0.60269700000000004</c:v>
                </c:pt>
                <c:pt idx="46">
                  <c:v>4.6064499999999997</c:v>
                </c:pt>
                <c:pt idx="47">
                  <c:v>-0.73702800000000002</c:v>
                </c:pt>
                <c:pt idx="48">
                  <c:v>0.42441400000000001</c:v>
                </c:pt>
                <c:pt idx="49">
                  <c:v>2.4750100000000002</c:v>
                </c:pt>
              </c:numCache>
            </c:numRef>
          </c:xVal>
          <c:yVal>
            <c:numRef>
              <c:f>'6'!$W$3:$W$52</c:f>
              <c:numCache>
                <c:formatCode>General</c:formatCode>
                <c:ptCount val="50"/>
                <c:pt idx="0">
                  <c:v>1.5481047528704106</c:v>
                </c:pt>
                <c:pt idx="1">
                  <c:v>1.5113789099470893</c:v>
                </c:pt>
                <c:pt idx="2">
                  <c:v>1.5498631737370205</c:v>
                </c:pt>
                <c:pt idx="3">
                  <c:v>1.5401568056709023</c:v>
                </c:pt>
                <c:pt idx="4">
                  <c:v>1.5353956581342656</c:v>
                </c:pt>
                <c:pt idx="5">
                  <c:v>1.5084047439459338</c:v>
                </c:pt>
                <c:pt idx="6">
                  <c:v>1.5584873215368868</c:v>
                </c:pt>
                <c:pt idx="7">
                  <c:v>1.5449275079657665</c:v>
                </c:pt>
                <c:pt idx="8">
                  <c:v>1.5763245586196686</c:v>
                </c:pt>
                <c:pt idx="9">
                  <c:v>1.5727071041311347</c:v>
                </c:pt>
                <c:pt idx="10">
                  <c:v>1.5267688626303122</c:v>
                </c:pt>
                <c:pt idx="11">
                  <c:v>1.5449454663065318</c:v>
                </c:pt>
                <c:pt idx="12">
                  <c:v>1.513341894733828</c:v>
                </c:pt>
                <c:pt idx="13">
                  <c:v>1.5322305005743675</c:v>
                </c:pt>
                <c:pt idx="14">
                  <c:v>1.5573219863858103</c:v>
                </c:pt>
                <c:pt idx="15">
                  <c:v>1.5622573068043573</c:v>
                </c:pt>
                <c:pt idx="16">
                  <c:v>1.563750036321695</c:v>
                </c:pt>
                <c:pt idx="17">
                  <c:v>1.5715543167950803</c:v>
                </c:pt>
                <c:pt idx="18">
                  <c:v>1.5721581084445315</c:v>
                </c:pt>
                <c:pt idx="19">
                  <c:v>1.4943029453481631</c:v>
                </c:pt>
                <c:pt idx="20">
                  <c:v>1.5471716098560249</c:v>
                </c:pt>
                <c:pt idx="21">
                  <c:v>1.5305604900007563</c:v>
                </c:pt>
                <c:pt idx="22">
                  <c:v>1.5593898432779161</c:v>
                </c:pt>
                <c:pt idx="23">
                  <c:v>1.5668721399107837</c:v>
                </c:pt>
                <c:pt idx="24">
                  <c:v>1.5739204433084879</c:v>
                </c:pt>
                <c:pt idx="25">
                  <c:v>1.5459999432386529</c:v>
                </c:pt>
                <c:pt idx="26">
                  <c:v>1.5259430091902426</c:v>
                </c:pt>
                <c:pt idx="27">
                  <c:v>1.5048535626418784</c:v>
                </c:pt>
                <c:pt idx="28">
                  <c:v>1.5451494546388156</c:v>
                </c:pt>
                <c:pt idx="29">
                  <c:v>1.5353033338439206</c:v>
                </c:pt>
                <c:pt idx="30">
                  <c:v>1.5481616209495008</c:v>
                </c:pt>
                <c:pt idx="31">
                  <c:v>1.5562709629807596</c:v>
                </c:pt>
                <c:pt idx="32">
                  <c:v>1.5332563132318053</c:v>
                </c:pt>
                <c:pt idx="33">
                  <c:v>1.5572498076700418</c:v>
                </c:pt>
                <c:pt idx="34">
                  <c:v>1.5165787820509755</c:v>
                </c:pt>
                <c:pt idx="35">
                  <c:v>1.5758267902512744</c:v>
                </c:pt>
                <c:pt idx="36">
                  <c:v>1.5878518563923687</c:v>
                </c:pt>
                <c:pt idx="37">
                  <c:v>1.5498691598506089</c:v>
                </c:pt>
                <c:pt idx="38">
                  <c:v>1.5316032249408384</c:v>
                </c:pt>
                <c:pt idx="39">
                  <c:v>1.5455508696019493</c:v>
                </c:pt>
                <c:pt idx="40">
                  <c:v>1.533537775688032</c:v>
                </c:pt>
                <c:pt idx="41">
                  <c:v>1.5278629400061721</c:v>
                </c:pt>
                <c:pt idx="42">
                  <c:v>1.5316813897701953</c:v>
                </c:pt>
                <c:pt idx="43">
                  <c:v>1.5117843425133815</c:v>
                </c:pt>
                <c:pt idx="44">
                  <c:v>1.5560330149656183</c:v>
                </c:pt>
                <c:pt idx="45">
                  <c:v>1.5064383286556386</c:v>
                </c:pt>
                <c:pt idx="46">
                  <c:v>1.5664047625806079</c:v>
                </c:pt>
                <c:pt idx="47">
                  <c:v>1.5048919428393859</c:v>
                </c:pt>
                <c:pt idx="48">
                  <c:v>1.5182621807978625</c:v>
                </c:pt>
                <c:pt idx="49">
                  <c:v>1.5418681434517876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F6-4936-9F5D-95412820D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434447"/>
        <c:axId val="898435695"/>
      </c:scatterChart>
      <c:valAx>
        <c:axId val="898434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435695"/>
        <c:crosses val="autoZero"/>
        <c:crossBetween val="midCat"/>
      </c:valAx>
      <c:valAx>
        <c:axId val="8984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8434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609437</xdr:colOff>
      <xdr:row>22</xdr:row>
      <xdr:rowOff>6432</xdr:rowOff>
    </xdr:from>
    <xdr:to>
      <xdr:col>15</xdr:col>
      <xdr:colOff>260598</xdr:colOff>
      <xdr:row>37</xdr:row>
      <xdr:rowOff>19957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59E890-3ADE-4110-9DB7-1765AB38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11545</xdr:rowOff>
    </xdr:from>
    <xdr:to>
      <xdr:col>22</xdr:col>
      <xdr:colOff>32161</xdr:colOff>
      <xdr:row>37</xdr:row>
      <xdr:rowOff>25070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20FA587-03A4-4260-86CD-D8E4F7527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848592</xdr:colOff>
      <xdr:row>2</xdr:row>
      <xdr:rowOff>13855</xdr:rowOff>
    </xdr:from>
    <xdr:to>
      <xdr:col>28</xdr:col>
      <xdr:colOff>136072</xdr:colOff>
      <xdr:row>15</xdr:row>
      <xdr:rowOff>174914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F77B4B-49CA-403A-A43F-B925AB7BD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852712</xdr:colOff>
      <xdr:row>17</xdr:row>
      <xdr:rowOff>0</xdr:rowOff>
    </xdr:from>
    <xdr:to>
      <xdr:col>28</xdr:col>
      <xdr:colOff>145142</xdr:colOff>
      <xdr:row>32</xdr:row>
      <xdr:rowOff>127814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F10BAB2-C21E-4BEB-9E40-97494CE38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51685</xdr:colOff>
      <xdr:row>4</xdr:row>
      <xdr:rowOff>163688</xdr:rowOff>
    </xdr:from>
    <xdr:ext cx="4614825" cy="584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B142933-4830-4904-9D9F-A1A76A04676F}"/>
                </a:ext>
              </a:extLst>
            </xdr:cNvPr>
            <xdr:cNvSpPr txBox="1"/>
          </xdr:nvSpPr>
          <xdr:spPr>
            <a:xfrm>
              <a:off x="1572732" y="1625665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</a:t>
              </a:r>
              <a:r>
                <a:rPr lang="en-US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𝑛≤𝑎≤𝑥 ̅+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</a:t>
              </a:r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121354</xdr:colOff>
      <xdr:row>2</xdr:row>
      <xdr:rowOff>121354</xdr:rowOff>
    </xdr:from>
    <xdr:ext cx="4471320" cy="546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EF40B5-3C96-44FD-8525-172B621A8F38}"/>
                </a:ext>
              </a:extLst>
            </xdr:cNvPr>
            <xdr:cNvSpPr txBox="1"/>
          </xdr:nvSpPr>
          <xdr:spPr>
            <a:xfrm>
              <a:off x="1642401" y="520075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(𝑛−1)≤𝑎≤𝑥 ̅+𝑠/√𝑛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206021</xdr:colOff>
      <xdr:row>2</xdr:row>
      <xdr:rowOff>22577</xdr:rowOff>
    </xdr:from>
    <xdr:ext cx="2672645" cy="756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8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sz="180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D3BC097-0CAB-4C34-80BD-F7AB47E7122B}"/>
                </a:ext>
              </a:extLst>
            </xdr:cNvPr>
            <xdr:cNvSpPr txBox="1"/>
          </xdr:nvSpPr>
          <xdr:spPr>
            <a:xfrm>
              <a:off x="9637888" y="412044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𝑠^2=1/(𝑛−1) ∑129_(𝑖=1)^𝑛▒(𝑥_𝑖−𝑥 ̅ )^2 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1124729</xdr:colOff>
      <xdr:row>2</xdr:row>
      <xdr:rowOff>105561</xdr:rowOff>
    </xdr:from>
    <xdr:ext cx="882742" cy="356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6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6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EE95438-957E-4CC6-BE51-25E9AC127992}"/>
                </a:ext>
              </a:extLst>
            </xdr:cNvPr>
            <xdr:cNvSpPr txBox="1"/>
          </xdr:nvSpPr>
          <xdr:spPr>
            <a:xfrm>
              <a:off x="13894182" y="1564077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6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𝑡_(𝑎/2) (𝑛−1)</a:t>
              </a:r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695103</xdr:colOff>
      <xdr:row>6</xdr:row>
      <xdr:rowOff>156201</xdr:rowOff>
    </xdr:from>
    <xdr:ext cx="405687" cy="1913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F7D26FB-3457-4644-BA82-F14FDD7CC0AD}"/>
                </a:ext>
              </a:extLst>
            </xdr:cNvPr>
            <xdr:cNvSpPr txBox="1"/>
          </xdr:nvSpPr>
          <xdr:spPr>
            <a:xfrm>
              <a:off x="10877000" y="2688902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1229783</xdr:colOff>
      <xdr:row>6</xdr:row>
      <xdr:rowOff>151883</xdr:rowOff>
    </xdr:from>
    <xdr:ext cx="405687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E5CB888-ECE8-4098-A62B-52A1CBEDE7D2}"/>
                </a:ext>
              </a:extLst>
            </xdr:cNvPr>
            <xdr:cNvSpPr txBox="1"/>
          </xdr:nvSpPr>
          <xdr:spPr>
            <a:xfrm>
              <a:off x="11411680" y="2684584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2433595</xdr:colOff>
      <xdr:row>6</xdr:row>
      <xdr:rowOff>527751</xdr:rowOff>
    </xdr:from>
    <xdr:ext cx="113941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2FD676B-E247-4E42-848A-D628C129601D}"/>
                </a:ext>
              </a:extLst>
            </xdr:cNvPr>
            <xdr:cNvSpPr txBox="1"/>
          </xdr:nvSpPr>
          <xdr:spPr>
            <a:xfrm>
              <a:off x="11862607" y="3075135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2712353</xdr:colOff>
      <xdr:row>6</xdr:row>
      <xdr:rowOff>548422</xdr:rowOff>
    </xdr:from>
    <xdr:ext cx="369268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14:m>
                <m:oMath xmlns:m="http://schemas.openxmlformats.org/officeDocument/2006/math">
                  <m:r>
                    <a:rPr lang="ru-RU" sz="130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3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3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ru-RU" sz="13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A008E13-475C-4F08-8CFD-FB957F1126B0}"/>
                </a:ext>
              </a:extLst>
            </xdr:cNvPr>
            <xdr:cNvSpPr txBox="1"/>
          </xdr:nvSpPr>
          <xdr:spPr>
            <a:xfrm>
              <a:off x="12894250" y="3081123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:r>
                <a:rPr lang="ru-RU" sz="13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ru-RU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ru-RU" sz="13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0</xdr:colOff>
      <xdr:row>2</xdr:row>
      <xdr:rowOff>0</xdr:rowOff>
    </xdr:from>
    <xdr:to>
      <xdr:col>22</xdr:col>
      <xdr:colOff>488951</xdr:colOff>
      <xdr:row>16</xdr:row>
      <xdr:rowOff>158750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D959A49-3604-484B-A733-44B83E5C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93700"/>
          <a:ext cx="810895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23</xdr:col>
      <xdr:colOff>476250</xdr:colOff>
      <xdr:row>49</xdr:row>
      <xdr:rowOff>148167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CCD4450F-E2C5-4A6D-853B-7DDE98F2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86700" y="5949950"/>
          <a:ext cx="8858250" cy="643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51686</xdr:colOff>
      <xdr:row>6</xdr:row>
      <xdr:rowOff>129805</xdr:rowOff>
    </xdr:from>
    <xdr:ext cx="4607441" cy="626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D0B1E8-B9B6-4234-8DF6-EF814BABD956}"/>
                </a:ext>
              </a:extLst>
            </xdr:cNvPr>
            <xdr:cNvSpPr txBox="1"/>
          </xdr:nvSpPr>
          <xdr:spPr>
            <a:xfrm>
              <a:off x="1572733" y="2677189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((𝑛−1) 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 )&lt;𝑎&lt;((𝑛−1) 𝑠^2)/(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 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163988</xdr:rowOff>
    </xdr:from>
    <xdr:ext cx="792268" cy="372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43EB88E-45C6-4910-B1C4-05C342409C8C}"/>
                </a:ext>
              </a:extLst>
            </xdr:cNvPr>
            <xdr:cNvSpPr txBox="1"/>
          </xdr:nvSpPr>
          <xdr:spPr>
            <a:xfrm>
              <a:off x="15865443" y="1408588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17</xdr:row>
      <xdr:rowOff>15875</xdr:rowOff>
    </xdr:from>
    <xdr:ext cx="1329659" cy="4596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7E9EDC-23D7-46E6-BE01-DFAA4D8FF320}"/>
                </a:ext>
              </a:extLst>
            </xdr:cNvPr>
            <xdr:cNvSpPr txBox="1"/>
          </xdr:nvSpPr>
          <xdr:spPr>
            <a:xfrm>
              <a:off x="1423035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24</xdr:row>
      <xdr:rowOff>0</xdr:rowOff>
    </xdr:from>
    <xdr:to>
      <xdr:col>5</xdr:col>
      <xdr:colOff>1212084</xdr:colOff>
      <xdr:row>39</xdr:row>
      <xdr:rowOff>109497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DAB7E-0134-45E8-861B-C5CC5B274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97693</xdr:colOff>
      <xdr:row>39</xdr:row>
      <xdr:rowOff>109497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8BA6A19-159F-45FD-8DA5-7AC7D4428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9015E46-4882-4BE0-A491-671B4A20D0DF}"/>
                </a:ext>
              </a:extLst>
            </xdr:cNvPr>
            <xdr:cNvSpPr txBox="1"/>
          </xdr:nvSpPr>
          <xdr:spPr>
            <a:xfrm>
              <a:off x="5183372" y="188482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12701</xdr:colOff>
      <xdr:row>0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3E6FBA1-82D0-4685-8506-0CD89B85CAF9}"/>
                </a:ext>
              </a:extLst>
            </xdr:cNvPr>
            <xdr:cNvSpPr txBox="1"/>
          </xdr:nvSpPr>
          <xdr:spPr>
            <a:xfrm>
              <a:off x="5811383" y="188970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640</xdr:colOff>
      <xdr:row>0</xdr:row>
      <xdr:rowOff>1</xdr:rowOff>
    </xdr:from>
    <xdr:ext cx="831259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893B121-B013-481B-828A-77FFBFBFB63F}"/>
                </a:ext>
              </a:extLst>
            </xdr:cNvPr>
            <xdr:cNvSpPr txBox="1"/>
          </xdr:nvSpPr>
          <xdr:spPr>
            <a:xfrm>
              <a:off x="6414632" y="182133"/>
              <a:ext cx="831259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9</xdr:col>
      <xdr:colOff>6350</xdr:colOff>
      <xdr:row>0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AFDC0B5-8DD8-4EEE-A76F-E55EA8261022}"/>
                </a:ext>
              </a:extLst>
            </xdr:cNvPr>
            <xdr:cNvSpPr txBox="1"/>
          </xdr:nvSpPr>
          <xdr:spPr>
            <a:xfrm>
              <a:off x="7896085" y="191792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10</xdr:col>
      <xdr:colOff>5620</xdr:colOff>
      <xdr:row>0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F3A28A9-2D33-4F27-A218-6EA91C53EE57}"/>
                </a:ext>
              </a:extLst>
            </xdr:cNvPr>
            <xdr:cNvSpPr txBox="1"/>
          </xdr:nvSpPr>
          <xdr:spPr>
            <a:xfrm>
              <a:off x="8721416" y="191061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17</xdr:col>
      <xdr:colOff>58605</xdr:colOff>
      <xdr:row>3</xdr:row>
      <xdr:rowOff>170176</xdr:rowOff>
    </xdr:from>
    <xdr:ext cx="2469266" cy="376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limLowPr>
                      <m: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sup</m:t>
                        </m:r>
                      </m:e>
                      <m:lim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≤</m:t>
                        </m:r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lim>
                    </m:limLow>
                    <m:d>
                      <m:dPr>
                        <m:begChr m:val="["/>
                        <m:endChr m:val="]"/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ru-RU" sz="110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𝐹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ru-RU" sz="11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𝑘</m:t>
                            </m:r>
                            <m:r>
                              <a:rPr lang="en-US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−1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B2F9B13-2F47-481D-870A-00E42159CF17}"/>
                </a:ext>
              </a:extLst>
            </xdr:cNvPr>
            <xdr:cNvSpPr txBox="1"/>
          </xdr:nvSpPr>
          <xdr:spPr>
            <a:xfrm>
              <a:off x="13778234" y="953947"/>
              <a:ext cx="2469266" cy="376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𝐷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𝑛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=sup┬(1≤𝑘≤𝑛) [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𝑘/𝑛−𝐹_0 (𝑥_𝑘 ),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𝐹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𝑥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 )−(</a:t>
              </a:r>
              <a:r>
                <a:rPr lang="en-US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𝑘−1</a:t>
              </a:r>
              <a:r>
                <a:rPr lang="ru-RU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ru-RU" sz="11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𝑛]</a:t>
              </a:r>
              <a:endParaRPr lang="ru-RU" sz="11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34612</xdr:colOff>
      <xdr:row>2</xdr:row>
      <xdr:rowOff>786</xdr:rowOff>
    </xdr:from>
    <xdr:ext cx="8411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𝐾</m:t>
                    </m:r>
                    <m:d>
                      <m:d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ru-RU" sz="11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=1−</m:t>
                    </m:r>
                    <m:r>
                      <a:rPr lang="ru-RU" sz="11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6D090FB-B25A-412E-9050-AD27561D9D84}"/>
                </a:ext>
              </a:extLst>
            </xdr:cNvPr>
            <xdr:cNvSpPr txBox="1"/>
          </xdr:nvSpPr>
          <xdr:spPr>
            <a:xfrm>
              <a:off x="13754241" y="606757"/>
              <a:ext cx="8411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𝐾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(𝑧)=1−𝛼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3628</xdr:colOff>
      <xdr:row>6</xdr:row>
      <xdr:rowOff>174172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A9BBAC2-8A91-48A9-AA79-4B9FF027AD36}"/>
                </a:ext>
              </a:extLst>
            </xdr:cNvPr>
            <xdr:cNvSpPr txBox="1"/>
          </xdr:nvSpPr>
          <xdr:spPr>
            <a:xfrm>
              <a:off x="11589657" y="1491343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2425</xdr:colOff>
      <xdr:row>1</xdr:row>
      <xdr:rowOff>2540</xdr:rowOff>
    </xdr:from>
    <xdr:ext cx="602095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7CA91F-38E0-473C-BB99-4A64924DA469}"/>
                </a:ext>
              </a:extLst>
            </xdr:cNvPr>
            <xdr:cNvSpPr txBox="1"/>
          </xdr:nvSpPr>
          <xdr:spPr>
            <a:xfrm>
              <a:off x="10159885" y="429260"/>
              <a:ext cx="602095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12</xdr:col>
      <xdr:colOff>2540</xdr:colOff>
      <xdr:row>2</xdr:row>
      <xdr:rowOff>3594</xdr:rowOff>
    </xdr:from>
    <xdr:ext cx="6045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89FBF55-6197-4614-80D5-8E34929F5B42}"/>
                </a:ext>
              </a:extLst>
            </xdr:cNvPr>
            <xdr:cNvSpPr txBox="1"/>
          </xdr:nvSpPr>
          <xdr:spPr>
            <a:xfrm>
              <a:off x="10160000" y="608114"/>
              <a:ext cx="604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(𝑫_𝒏^−)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15</xdr:col>
      <xdr:colOff>0</xdr:colOff>
      <xdr:row>11</xdr:row>
      <xdr:rowOff>0</xdr:rowOff>
    </xdr:from>
    <xdr:ext cx="914399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</m:rad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698CE27-E9E6-4F2D-8BBF-ACBD4E574C86}"/>
                </a:ext>
              </a:extLst>
            </xdr:cNvPr>
            <xdr:cNvSpPr txBox="1"/>
          </xdr:nvSpPr>
          <xdr:spPr>
            <a:xfrm>
              <a:off x="12185000" y="2225000"/>
              <a:ext cx="914399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√𝒏 𝑫_𝒏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&lt;𝒛?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6350</xdr:rowOff>
    </xdr:from>
    <xdr:ext cx="61531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F6D8862-5A3D-48F1-9820-70A2DCAEE2BE}"/>
                </a:ext>
              </a:extLst>
            </xdr:cNvPr>
            <xdr:cNvSpPr txBox="1"/>
          </xdr:nvSpPr>
          <xdr:spPr>
            <a:xfrm>
              <a:off x="5187950" y="190500"/>
              <a:ext cx="61531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𝒌−𝟏</a:t>
              </a:r>
              <a:r>
                <a:rPr lang="ru-RU" sz="1100" b="1" i="0">
                  <a:latin typeface="Cambria Math" panose="02040503050406030204" pitchFamily="18" charset="0"/>
                </a:rPr>
                <a:t>)/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12701</xdr:colOff>
      <xdr:row>4</xdr:row>
      <xdr:rowOff>6838</xdr:rowOff>
    </xdr:from>
    <xdr:ext cx="597687" cy="4186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num>
                      <m:den>
                        <m:r>
                          <a:rPr lang="en-US" sz="1100" b="1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F22644-B1C9-40A7-B5BE-0D115FCB93B2}"/>
                </a:ext>
              </a:extLst>
            </xdr:cNvPr>
            <xdr:cNvSpPr txBox="1"/>
          </xdr:nvSpPr>
          <xdr:spPr>
            <a:xfrm>
              <a:off x="5816601" y="190988"/>
              <a:ext cx="597687" cy="418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𝒌</a:t>
              </a:r>
              <a:r>
                <a:rPr lang="ru-RU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 b="1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𝒏</a:t>
              </a:r>
              <a:endParaRPr lang="ru-RU" sz="1100" b="1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640</xdr:colOff>
      <xdr:row>4</xdr:row>
      <xdr:rowOff>1</xdr:rowOff>
    </xdr:from>
    <xdr:ext cx="623021" cy="431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𝑭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2C85721-1E66-4F59-A319-01A1F579714D}"/>
                </a:ext>
              </a:extLst>
            </xdr:cNvPr>
            <xdr:cNvSpPr txBox="1"/>
          </xdr:nvSpPr>
          <xdr:spPr>
            <a:xfrm>
              <a:off x="3946711" y="544287"/>
              <a:ext cx="623021" cy="431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𝑭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𝟎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7</xdr:col>
      <xdr:colOff>6350</xdr:colOff>
      <xdr:row>4</xdr:row>
      <xdr:rowOff>6350</xdr:rowOff>
    </xdr:from>
    <xdr:ext cx="825331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𝒌</m:t>
                            </m:r>
                          </m:num>
                          <m:den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den>
                        </m:f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ECE722D-2419-49B4-A82D-FB58A4F05E21}"/>
                </a:ext>
              </a:extLst>
            </xdr:cNvPr>
            <xdr:cNvSpPr txBox="1"/>
          </xdr:nvSpPr>
          <xdr:spPr>
            <a:xfrm>
              <a:off x="7880350" y="190500"/>
              <a:ext cx="825331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𝒌</a:t>
              </a:r>
              <a:r>
                <a:rPr lang="ru-RU" sz="1100" b="1" i="0">
                  <a:latin typeface="Cambria Math" panose="02040503050406030204" pitchFamily="18" charset="0"/>
                </a:rPr>
                <a:t>/</a:t>
              </a:r>
              <a:r>
                <a:rPr lang="en-US" sz="1100" b="1" i="0">
                  <a:latin typeface="Cambria Math" panose="02040503050406030204" pitchFamily="18" charset="0"/>
                </a:rPr>
                <a:t>𝒏−𝑭_𝟎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5620</xdr:colOff>
      <xdr:row>4</xdr:row>
      <xdr:rowOff>5619</xdr:rowOff>
    </xdr:from>
    <xdr:ext cx="831681" cy="425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𝑭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𝟎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A0C7822-C629-476A-962E-27F05D05112D}"/>
                </a:ext>
              </a:extLst>
            </xdr:cNvPr>
            <xdr:cNvSpPr txBox="1"/>
          </xdr:nvSpPr>
          <xdr:spPr>
            <a:xfrm>
              <a:off x="8705120" y="189769"/>
              <a:ext cx="831681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</a:t>
              </a:r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𝟎−(𝒌−𝟏)/𝒏|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3628</xdr:colOff>
      <xdr:row>12</xdr:row>
      <xdr:rowOff>174172</xdr:rowOff>
    </xdr:from>
    <xdr:ext cx="1375854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295597B-01B1-4394-8510-001315C6BAC4}"/>
                </a:ext>
              </a:extLst>
            </xdr:cNvPr>
            <xdr:cNvSpPr txBox="1"/>
          </xdr:nvSpPr>
          <xdr:spPr>
            <a:xfrm>
              <a:off x="9747594" y="2429517"/>
              <a:ext cx="1375854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2425</xdr:colOff>
      <xdr:row>5</xdr:row>
      <xdr:rowOff>2540</xdr:rowOff>
    </xdr:from>
    <xdr:ext cx="826669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5A0F729-CBF6-42ED-8266-7140C5B428C5}"/>
                </a:ext>
              </a:extLst>
            </xdr:cNvPr>
            <xdr:cNvSpPr txBox="1"/>
          </xdr:nvSpPr>
          <xdr:spPr>
            <a:xfrm>
              <a:off x="7464274" y="982597"/>
              <a:ext cx="826669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2540</xdr:colOff>
      <xdr:row>6</xdr:row>
      <xdr:rowOff>3594</xdr:rowOff>
    </xdr:from>
    <xdr:ext cx="82655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E825F0E-C348-4795-B08C-1AE0D1EEE8EF}"/>
                </a:ext>
              </a:extLst>
            </xdr:cNvPr>
            <xdr:cNvSpPr txBox="1"/>
          </xdr:nvSpPr>
          <xdr:spPr>
            <a:xfrm>
              <a:off x="7464389" y="1168160"/>
              <a:ext cx="82655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16</xdr:row>
      <xdr:rowOff>179551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𝑫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𝒏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𝒎</m:t>
                    </m:r>
                    <m:r>
                      <a:rPr lang="ru-RU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)&lt;</m:t>
                    </m:r>
                    <m:r>
                      <a:rPr lang="ru-RU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𝒛</m:t>
                    </m:r>
                    <m:r>
                      <a:rPr lang="en-US" sz="1100" b="1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975FD19-6326-4910-B439-64F6ACD8D745}"/>
                </a:ext>
              </a:extLst>
            </xdr:cNvPr>
            <xdr:cNvSpPr txBox="1"/>
          </xdr:nvSpPr>
          <xdr:spPr>
            <a:xfrm>
              <a:off x="9743966" y="3153103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 𝑫(𝒏,𝒎)&lt;𝒛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?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191887</xdr:colOff>
      <xdr:row>0</xdr:row>
      <xdr:rowOff>76306</xdr:rowOff>
    </xdr:from>
    <xdr:to>
      <xdr:col>8</xdr:col>
      <xdr:colOff>477954</xdr:colOff>
      <xdr:row>3</xdr:row>
      <xdr:rowOff>103373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50139E5-EF87-4538-8FCF-27DE5F4B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9639" y="76306"/>
          <a:ext cx="2968819" cy="573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882789</xdr:colOff>
      <xdr:row>0</xdr:row>
      <xdr:rowOff>95797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E83BB1B-88D5-4620-8961-080B16A2BF18}"/>
                </a:ext>
              </a:extLst>
            </xdr:cNvPr>
            <xdr:cNvSpPr txBox="1"/>
          </xdr:nvSpPr>
          <xdr:spPr>
            <a:xfrm>
              <a:off x="882789" y="95797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4433</xdr:colOff>
      <xdr:row>3</xdr:row>
      <xdr:rowOff>1998</xdr:rowOff>
    </xdr:from>
    <xdr:ext cx="818475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109CDA3-130C-4F95-8617-88B8B6BA022F}"/>
                </a:ext>
              </a:extLst>
            </xdr:cNvPr>
            <xdr:cNvSpPr txBox="1"/>
          </xdr:nvSpPr>
          <xdr:spPr>
            <a:xfrm>
              <a:off x="8635249" y="371335"/>
              <a:ext cx="818475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(𝑫_(𝒏,𝒎)^+)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3240</xdr:colOff>
      <xdr:row>3</xdr:row>
      <xdr:rowOff>2129</xdr:rowOff>
    </xdr:from>
    <xdr:ext cx="842477" cy="1826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Sup>
                      <m:sSubSup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𝒎</m:t>
                        </m:r>
                      </m:sub>
                      <m:sup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bSup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43F7B59-26C9-4576-9C64-429B5ED021F6}"/>
                </a:ext>
              </a:extLst>
            </xdr:cNvPr>
            <xdr:cNvSpPr txBox="1"/>
          </xdr:nvSpPr>
          <xdr:spPr>
            <a:xfrm>
              <a:off x="9460204" y="371466"/>
              <a:ext cx="842477" cy="182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(𝑫_(𝒏,𝒎)^−)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16</xdr:col>
      <xdr:colOff>3141</xdr:colOff>
      <xdr:row>2</xdr:row>
      <xdr:rowOff>2298</xdr:rowOff>
    </xdr:from>
    <xdr:to>
      <xdr:col>20</xdr:col>
      <xdr:colOff>549241</xdr:colOff>
      <xdr:row>3</xdr:row>
      <xdr:rowOff>167240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5A3613C-2B21-412F-BE68-FFF7A407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3440" y="367328"/>
          <a:ext cx="3542388" cy="34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604580</xdr:colOff>
      <xdr:row>5</xdr:row>
      <xdr:rowOff>3807</xdr:rowOff>
    </xdr:from>
    <xdr:to>
      <xdr:col>20</xdr:col>
      <xdr:colOff>508000</xdr:colOff>
      <xdr:row>6</xdr:row>
      <xdr:rowOff>168907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D833B7D9-D1F1-4EB4-98D5-8999EEBA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0299" y="973418"/>
          <a:ext cx="3504288" cy="347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7384</xdr:colOff>
      <xdr:row>8</xdr:row>
      <xdr:rowOff>3188</xdr:rowOff>
    </xdr:from>
    <xdr:to>
      <xdr:col>17</xdr:col>
      <xdr:colOff>470934</xdr:colOff>
      <xdr:row>9</xdr:row>
      <xdr:rowOff>5735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90BF9C33-2381-448E-B7C1-2D655208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7683" y="1520344"/>
          <a:ext cx="1611874" cy="185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2214</xdr:colOff>
      <xdr:row>7</xdr:row>
      <xdr:rowOff>2921</xdr:rowOff>
    </xdr:from>
    <xdr:ext cx="1010158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𝒎</m:t>
                        </m:r>
                      </m:sub>
                    </m:sSub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8832F31-5A10-470C-ABAE-C5B43467B6BD}"/>
                </a:ext>
              </a:extLst>
            </xdr:cNvPr>
            <xdr:cNvSpPr txBox="1"/>
          </xdr:nvSpPr>
          <xdr:spPr>
            <a:xfrm>
              <a:off x="9748557" y="1541435"/>
              <a:ext cx="1010158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𝑫_(𝒏</a:t>
              </a:r>
              <a:r>
                <a:rPr lang="en-US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,𝒎</a:t>
              </a:r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3504</xdr:colOff>
      <xdr:row>10</xdr:row>
      <xdr:rowOff>3504</xdr:rowOff>
    </xdr:from>
    <xdr:ext cx="1383862" cy="366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𝒏𝒎</m:t>
                            </m:r>
                          </m:num>
                          <m:den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𝒎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F463044-BE7C-4240-B6C4-2125F5F71E2C}"/>
                </a:ext>
              </a:extLst>
            </xdr:cNvPr>
            <xdr:cNvSpPr txBox="1"/>
          </xdr:nvSpPr>
          <xdr:spPr>
            <a:xfrm>
              <a:off x="9747470" y="1895366"/>
              <a:ext cx="1383862" cy="366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√(𝒏𝒎/(𝒏+𝒎))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1055</xdr:colOff>
      <xdr:row>6</xdr:row>
      <xdr:rowOff>1911</xdr:rowOff>
    </xdr:from>
    <xdr:ext cx="1319075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1" i="1">
                      <a:latin typeface="Cambria Math" panose="02040503050406030204" pitchFamily="18" charset="0"/>
                    </a:rPr>
                    <m:t>𝑼</m:t>
                  </m:r>
                </m:oMath>
              </a14:m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A5FE926-3703-4722-B804-22B0F8BC5EA4}"/>
                </a:ext>
              </a:extLst>
            </xdr:cNvPr>
            <xdr:cNvSpPr txBox="1"/>
          </xdr:nvSpPr>
          <xdr:spPr>
            <a:xfrm>
              <a:off x="4859641" y="1347108"/>
              <a:ext cx="1319075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𝑼</a:t>
              </a:r>
              <a:r>
                <a:rPr lang="en-US" sz="1100" b="1"/>
                <a:t> </a:t>
              </a:r>
              <a:r>
                <a:rPr lang="en-US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(</a:t>
              </a:r>
              <a:r>
                <a:rPr lang="ru-RU" sz="10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выборочное значение статистики) </a:t>
              </a:r>
              <a:endParaRPr lang="ru-RU" sz="10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4977</xdr:colOff>
      <xdr:row>6</xdr:row>
      <xdr:rowOff>3365</xdr:rowOff>
    </xdr:from>
    <xdr:ext cx="830776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d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2D667-C457-4A15-B5DB-F49BDDF0E601}"/>
                </a:ext>
              </a:extLst>
            </xdr:cNvPr>
            <xdr:cNvSpPr txBox="1"/>
          </xdr:nvSpPr>
          <xdr:spPr>
            <a:xfrm>
              <a:off x="5704036" y="1342444"/>
              <a:ext cx="830776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𝑼(𝟏−𝒂)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2129</xdr:colOff>
      <xdr:row>6</xdr:row>
      <xdr:rowOff>3707</xdr:rowOff>
    </xdr:from>
    <xdr:ext cx="613232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𝑴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𝑼</m:t>
                    </m:r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97B629A-661B-47C5-80DE-3A30A185C4EE}"/>
                </a:ext>
              </a:extLst>
            </xdr:cNvPr>
            <xdr:cNvSpPr txBox="1"/>
          </xdr:nvSpPr>
          <xdr:spPr>
            <a:xfrm>
              <a:off x="6532155" y="1332625"/>
              <a:ext cx="613232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𝑴(𝑼)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2130</xdr:colOff>
      <xdr:row>6</xdr:row>
      <xdr:rowOff>3710</xdr:rowOff>
    </xdr:from>
    <xdr:ext cx="825988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05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𝑫𝑼</m:t>
                    </m:r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452247E-8A17-44EB-8071-8BFCB9CFAFE8}"/>
                </a:ext>
              </a:extLst>
            </xdr:cNvPr>
            <xdr:cNvSpPr txBox="1"/>
          </xdr:nvSpPr>
          <xdr:spPr>
            <a:xfrm>
              <a:off x="7147517" y="1332628"/>
              <a:ext cx="825988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𝑫𝑼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3273</xdr:colOff>
      <xdr:row>6</xdr:row>
      <xdr:rowOff>2269</xdr:rowOff>
    </xdr:from>
    <xdr:ext cx="839769" cy="3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𝒛</m:t>
                        </m:r>
                      </m:e>
                      <m:sub>
                        <m:r>
                          <a:rPr lang="en-US" sz="105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𝑩</m:t>
                        </m:r>
                      </m:sub>
                    </m:sSub>
                  </m:oMath>
                </m:oMathPara>
              </a14:m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3DD4B3-461D-491C-A633-6D93AFA6BB8C}"/>
                </a:ext>
              </a:extLst>
            </xdr:cNvPr>
            <xdr:cNvSpPr txBox="1"/>
          </xdr:nvSpPr>
          <xdr:spPr>
            <a:xfrm>
              <a:off x="7973505" y="1331187"/>
              <a:ext cx="839769" cy="3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05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𝒛_𝑩</a:t>
              </a:r>
              <a:endParaRPr lang="en-US" sz="1050" b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12</xdr:col>
      <xdr:colOff>3273</xdr:colOff>
      <xdr:row>6</xdr:row>
      <xdr:rowOff>3273</xdr:rowOff>
    </xdr:from>
    <xdr:ext cx="598995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B53EB9D0-AA11-4BF0-8BD8-482A358A8B90}"/>
                </a:ext>
              </a:extLst>
            </xdr:cNvPr>
            <xdr:cNvSpPr txBox="1"/>
          </xdr:nvSpPr>
          <xdr:spPr>
            <a:xfrm>
              <a:off x="8817989" y="1332191"/>
              <a:ext cx="598995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13</xdr:col>
      <xdr:colOff>1835</xdr:colOff>
      <xdr:row>6</xdr:row>
      <xdr:rowOff>1833</xdr:rowOff>
    </xdr:from>
    <xdr:ext cx="1168380" cy="3796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𝒛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𝑩</m:t>
                            </m:r>
                          </m:sub>
                        </m:sSub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&lt;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𝑼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ru-RU" sz="1100" b="1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7ECAD61-D502-4480-AFCE-D8DB2492DCAE}"/>
                </a:ext>
              </a:extLst>
            </xdr:cNvPr>
            <xdr:cNvSpPr txBox="1"/>
          </xdr:nvSpPr>
          <xdr:spPr>
            <a:xfrm>
              <a:off x="9925978" y="1335333"/>
              <a:ext cx="1168380" cy="379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b="1" i="0">
                  <a:latin typeface="Cambria Math" panose="02040503050406030204" pitchFamily="18" charset="0"/>
                </a:rPr>
                <a:t>|</a:t>
              </a:r>
              <a:r>
                <a:rPr lang="en-US" sz="1100" b="1" i="0">
                  <a:latin typeface="Cambria Math" panose="02040503050406030204" pitchFamily="18" charset="0"/>
                </a:rPr>
                <a:t>𝒛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𝑩</a:t>
              </a:r>
              <a:r>
                <a:rPr lang="ru-RU" sz="1100" b="1" i="0">
                  <a:latin typeface="Cambria Math" panose="02040503050406030204" pitchFamily="18" charset="0"/>
                </a:rPr>
                <a:t> |</a:t>
              </a:r>
              <a:r>
                <a:rPr lang="en-US" sz="1100" b="1" i="0">
                  <a:latin typeface="Cambria Math" panose="02040503050406030204" pitchFamily="18" charset="0"/>
                </a:rPr>
                <a:t>&lt;𝑼(𝟏−𝒂)?</a:t>
              </a:r>
              <a:endParaRPr lang="ru-RU" sz="1100" b="1"/>
            </a:p>
          </xdr:txBody>
        </xdr:sp>
      </mc:Fallback>
    </mc:AlternateContent>
    <xdr:clientData/>
  </xdr:oneCellAnchor>
  <xdr:twoCellAnchor>
    <xdr:from>
      <xdr:col>8</xdr:col>
      <xdr:colOff>50946</xdr:colOff>
      <xdr:row>9</xdr:row>
      <xdr:rowOff>155497</xdr:rowOff>
    </xdr:from>
    <xdr:to>
      <xdr:col>10</xdr:col>
      <xdr:colOff>48097</xdr:colOff>
      <xdr:row>11</xdr:row>
      <xdr:rowOff>83722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69C2C2EA-5379-4333-B93C-39D99166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6732" y="2060497"/>
          <a:ext cx="1448579" cy="30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71655</xdr:colOff>
      <xdr:row>11</xdr:row>
      <xdr:rowOff>140471</xdr:rowOff>
    </xdr:from>
    <xdr:to>
      <xdr:col>9</xdr:col>
      <xdr:colOff>250492</xdr:colOff>
      <xdr:row>13</xdr:row>
      <xdr:rowOff>140470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DAB8D499-E5F7-4867-925C-037E7CA1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41" y="2426471"/>
          <a:ext cx="1013408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74180</xdr:colOff>
      <xdr:row>10</xdr:row>
      <xdr:rowOff>105997</xdr:rowOff>
    </xdr:from>
    <xdr:ext cx="10368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}"/>
                        <m:ctrlPr>
                          <a:rPr lang="ru-RU" sz="11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r>
                          <a:rPr lang="ru-RU" sz="1100" b="1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𝑭</m:t>
                            </m:r>
                          </m:e>
                          <m:sub>
                            <m:r>
                              <a:rPr lang="ru-RU" sz="1100" b="1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b>
                        </m:sSub>
                        <m:d>
                          <m:dPr>
                            <m:ctrlP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d>
                  </m:oMath>
                </m:oMathPara>
              </a14:m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5B2352-0E0C-4CD9-82A6-3A144B51B2D4}"/>
                </a:ext>
              </a:extLst>
            </xdr:cNvPr>
            <xdr:cNvSpPr txBox="1"/>
          </xdr:nvSpPr>
          <xdr:spPr>
            <a:xfrm>
              <a:off x="3705666" y="2018648"/>
              <a:ext cx="10368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{𝑭_𝟏 (𝒙)=𝑭_𝟐 (𝒙)}</a:t>
              </a:r>
              <a:endParaRPr lang="ru-RU" sz="11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0</xdr:colOff>
      <xdr:row>0</xdr:row>
      <xdr:rowOff>0</xdr:rowOff>
    </xdr:from>
    <xdr:to>
      <xdr:col>12</xdr:col>
      <xdr:colOff>19050</xdr:colOff>
      <xdr:row>1</xdr:row>
      <xdr:rowOff>158750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3A339DE5-312F-4BA7-89EF-E50542F5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0"/>
          <a:ext cx="16891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12</xdr:col>
      <xdr:colOff>107950</xdr:colOff>
      <xdr:row>3</xdr:row>
      <xdr:rowOff>158750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72248A8-F3BC-440A-BCA1-AE81A2F9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381000"/>
          <a:ext cx="17780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</xdr:colOff>
      <xdr:row>4</xdr:row>
      <xdr:rowOff>133350</xdr:rowOff>
    </xdr:from>
    <xdr:to>
      <xdr:col>12</xdr:col>
      <xdr:colOff>279400</xdr:colOff>
      <xdr:row>7</xdr:row>
      <xdr:rowOff>50800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DFC8D9-14B6-47C5-98E0-8ACD0AF1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3293" y="895350"/>
          <a:ext cx="1415143" cy="67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68036</xdr:colOff>
      <xdr:row>5</xdr:row>
      <xdr:rowOff>95250</xdr:rowOff>
    </xdr:from>
    <xdr:to>
      <xdr:col>17</xdr:col>
      <xdr:colOff>252185</xdr:colOff>
      <xdr:row>6</xdr:row>
      <xdr:rowOff>82550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890674C-17FE-4CBD-8EF6-AD8F82948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9393" y="1047750"/>
          <a:ext cx="2633435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2</xdr:row>
      <xdr:rowOff>19050</xdr:rowOff>
    </xdr:from>
    <xdr:to>
      <xdr:col>6</xdr:col>
      <xdr:colOff>342900</xdr:colOff>
      <xdr:row>3</xdr:row>
      <xdr:rowOff>6350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CC005BD-E06C-4069-94F0-3C6D9131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40005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215900</xdr:colOff>
      <xdr:row>2</xdr:row>
      <xdr:rowOff>9525</xdr:rowOff>
    </xdr:from>
    <xdr:to>
      <xdr:col>7</xdr:col>
      <xdr:colOff>372428</xdr:colOff>
      <xdr:row>3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7B48170-2F67-4A01-9A9A-2B9F2BC47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3500" y="390525"/>
          <a:ext cx="15652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996950</xdr:colOff>
      <xdr:row>11</xdr:row>
      <xdr:rowOff>76200</xdr:rowOff>
    </xdr:from>
    <xdr:to>
      <xdr:col>9</xdr:col>
      <xdr:colOff>1346200</xdr:colOff>
      <xdr:row>13</xdr:row>
      <xdr:rowOff>129409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A6BEAD0-A0C5-4265-9A01-730B608A0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3750" y="1609725"/>
          <a:ext cx="339725" cy="434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1162050</xdr:colOff>
      <xdr:row>14</xdr:row>
      <xdr:rowOff>127000</xdr:rowOff>
    </xdr:from>
    <xdr:to>
      <xdr:col>9</xdr:col>
      <xdr:colOff>1308100</xdr:colOff>
      <xdr:row>16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D2FA332-BA7A-498B-9816-102655D07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2232025"/>
          <a:ext cx="1460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95703</xdr:colOff>
      <xdr:row>19</xdr:row>
      <xdr:rowOff>79375</xdr:rowOff>
    </xdr:from>
    <xdr:to>
      <xdr:col>17</xdr:col>
      <xdr:colOff>102053</xdr:colOff>
      <xdr:row>22</xdr:row>
      <xdr:rowOff>66675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A49CFA0-D8AD-4969-B935-3D58DDA0A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6596" y="3508375"/>
          <a:ext cx="56261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297543</xdr:colOff>
      <xdr:row>27</xdr:row>
      <xdr:rowOff>68036</xdr:rowOff>
    </xdr:from>
    <xdr:to>
      <xdr:col>9</xdr:col>
      <xdr:colOff>1123043</xdr:colOff>
      <xdr:row>28</xdr:row>
      <xdr:rowOff>156936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A5DD852-0164-46EA-AB7D-2612821E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8436" y="5021036"/>
          <a:ext cx="8255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253093</xdr:colOff>
      <xdr:row>22</xdr:row>
      <xdr:rowOff>189593</xdr:rowOff>
    </xdr:from>
    <xdr:to>
      <xdr:col>9</xdr:col>
      <xdr:colOff>894443</xdr:colOff>
      <xdr:row>25</xdr:row>
      <xdr:rowOff>176893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3958695-D641-4291-ABA3-B9DA448F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3986" y="4190093"/>
          <a:ext cx="64135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1130300</xdr:colOff>
      <xdr:row>16</xdr:row>
      <xdr:rowOff>6350</xdr:rowOff>
    </xdr:from>
    <xdr:to>
      <xdr:col>9</xdr:col>
      <xdr:colOff>1333500</xdr:colOff>
      <xdr:row>17</xdr:row>
      <xdr:rowOff>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24F56FA-359A-419D-B6B3-6BEA15D2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7100" y="2492375"/>
          <a:ext cx="2032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552450</xdr:colOff>
      <xdr:row>4</xdr:row>
      <xdr:rowOff>0</xdr:rowOff>
    </xdr:from>
    <xdr:to>
      <xdr:col>27</xdr:col>
      <xdr:colOff>628650</xdr:colOff>
      <xdr:row>4</xdr:row>
      <xdr:rowOff>177800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82207AF-FCC8-4000-974B-2806DC84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0" y="76200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103909</xdr:colOff>
      <xdr:row>5</xdr:row>
      <xdr:rowOff>150092</xdr:rowOff>
    </xdr:from>
    <xdr:to>
      <xdr:col>30</xdr:col>
      <xdr:colOff>357909</xdr:colOff>
      <xdr:row>8</xdr:row>
      <xdr:rowOff>150756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E9A1CD9-6658-4F52-924D-CA7D0442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72709" y="731117"/>
          <a:ext cx="1625600" cy="572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463550</xdr:colOff>
      <xdr:row>10</xdr:row>
      <xdr:rowOff>0</xdr:rowOff>
    </xdr:from>
    <xdr:to>
      <xdr:col>28</xdr:col>
      <xdr:colOff>546100</xdr:colOff>
      <xdr:row>11</xdr:row>
      <xdr:rowOff>25400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67ECA31A-24D0-4302-BFFF-655FA6192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2350" y="1533525"/>
          <a:ext cx="8255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114300</xdr:colOff>
      <xdr:row>13</xdr:row>
      <xdr:rowOff>25400</xdr:rowOff>
    </xdr:from>
    <xdr:to>
      <xdr:col>30</xdr:col>
      <xdr:colOff>463550</xdr:colOff>
      <xdr:row>16</xdr:row>
      <xdr:rowOff>78831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8566F7A-CD1A-465D-98B9-DC5B2996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83100" y="2130425"/>
          <a:ext cx="1720850" cy="624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25400</xdr:colOff>
      <xdr:row>17</xdr:row>
      <xdr:rowOff>69850</xdr:rowOff>
    </xdr:from>
    <xdr:to>
      <xdr:col>28</xdr:col>
      <xdr:colOff>749300</xdr:colOff>
      <xdr:row>19</xdr:row>
      <xdr:rowOff>109048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8C137556-BA57-4878-A69B-0A91F02F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4200" y="2936875"/>
          <a:ext cx="723900" cy="420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92075</xdr:colOff>
      <xdr:row>5</xdr:row>
      <xdr:rowOff>111125</xdr:rowOff>
    </xdr:from>
    <xdr:ext cx="1171411" cy="3551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90C49C6-2516-4787-91D5-7959D4CF2538}"/>
                </a:ext>
              </a:extLst>
            </xdr:cNvPr>
            <xdr:cNvSpPr txBox="1"/>
          </xdr:nvSpPr>
          <xdr:spPr>
            <a:xfrm>
              <a:off x="5778500" y="1063625"/>
              <a:ext cx="1171411" cy="3551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b </a:t>
              </a:r>
              <a14:m>
                <m:oMath xmlns:m="http://schemas.openxmlformats.org/officeDocument/2006/math">
                  <m:r>
                    <a:rPr lang="ru-RU" sz="11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grow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d>
                            <m:d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𝑋</m:t>
                              </m:r>
                            </m:e>
                          </m:d>
                          <m:d>
                            <m:d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𝑌</m:t>
                              </m:r>
                            </m:e>
                          </m:d>
                        </m:e>
                      </m:nary>
                    </m:num>
                    <m:den>
                      <m:nary>
                        <m:naryPr>
                          <m:chr m:val="∑"/>
                          <m:limLoc m:val="undOvr"/>
                          <m:grow m:val="on"/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𝑖</m:t>
                          </m:r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=1</m:t>
                          </m:r>
                        </m:sub>
                        <m:sup>
                          <m:r>
                            <a:rPr lang="ru-RU" sz="1100" i="1">
                              <a:latin typeface="Cambria Math" panose="02040503050406030204" pitchFamily="18" charset="0"/>
                            </a:rPr>
                            <m:t>𝑛</m:t>
                          </m:r>
                        </m:sup>
                        <m:e>
                          <m:sSup>
                            <m:sSup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ru-RU" sz="1100" i="1">
                                          <a:latin typeface="Cambria Math" panose="02040503050406030204" pitchFamily="18" charset="0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  <m:t>𝑋</m:t>
                                  </m:r>
                                </m:e>
                              </m:d>
                            </m:e>
                            <m:sup>
                              <m:r>
                                <a:rPr lang="ru-RU" sz="110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</m:den>
                  </m:f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90C49C6-2516-4787-91D5-7959D4CF2538}"/>
                </a:ext>
              </a:extLst>
            </xdr:cNvPr>
            <xdr:cNvSpPr txBox="1"/>
          </xdr:nvSpPr>
          <xdr:spPr>
            <a:xfrm>
              <a:off x="5778500" y="1063625"/>
              <a:ext cx="1171411" cy="3551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b </a:t>
              </a:r>
              <a:r>
                <a:rPr lang="ru-RU" sz="1100" i="0">
                  <a:latin typeface="Cambria Math" panose="02040503050406030204" pitchFamily="18" charset="0"/>
                </a:rPr>
                <a:t>=(∑129_(𝑖=1)^𝑛▒(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ru-RU" sz="1100" i="0">
                  <a:latin typeface="Cambria Math" panose="02040503050406030204" pitchFamily="18" charset="0"/>
                </a:rPr>
                <a:t>𝑖−𝑋)(𝑦_𝑖−𝑌) )/(∑129_(𝑖=1)^𝑛▒(𝑥_𝑖−𝑋)^2 )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117475</xdr:colOff>
      <xdr:row>8</xdr:row>
      <xdr:rowOff>22225</xdr:rowOff>
    </xdr:from>
    <xdr:ext cx="67114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CF35DC-360C-47CC-956C-6A039ADAFB86}"/>
                </a:ext>
              </a:extLst>
            </xdr:cNvPr>
            <xdr:cNvSpPr txBox="1"/>
          </xdr:nvSpPr>
          <xdr:spPr>
            <a:xfrm>
              <a:off x="4584700" y="1546225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a </a:t>
              </a:r>
              <a14:m>
                <m:oMath xmlns:m="http://schemas.openxmlformats.org/officeDocument/2006/math">
                  <m:r>
                    <a:rPr lang="ru-RU" sz="1100" i="0">
                      <a:latin typeface="Cambria Math" panose="02040503050406030204" pitchFamily="18" charset="0"/>
                    </a:rPr>
                    <m:t>=</m:t>
                  </m:r>
                  <m:r>
                    <a:rPr lang="ru-RU" sz="1100" i="1">
                      <a:latin typeface="Cambria Math" panose="02040503050406030204" pitchFamily="18" charset="0"/>
                    </a:rPr>
                    <m:t>𝑌</m:t>
                  </m:r>
                  <m:r>
                    <a:rPr lang="ru-RU" sz="1100" i="0">
                      <a:latin typeface="Cambria Math" panose="02040503050406030204" pitchFamily="18" charset="0"/>
                    </a:rPr>
                    <m:t>−</m:t>
                  </m:r>
                  <m:r>
                    <a:rPr lang="ru-RU" sz="1100" i="1">
                      <a:latin typeface="Cambria Math" panose="02040503050406030204" pitchFamily="18" charset="0"/>
                    </a:rPr>
                    <m:t>𝑏𝑋</m:t>
                  </m:r>
                </m:oMath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CCF35DC-360C-47CC-956C-6A039ADAFB86}"/>
                </a:ext>
              </a:extLst>
            </xdr:cNvPr>
            <xdr:cNvSpPr txBox="1"/>
          </xdr:nvSpPr>
          <xdr:spPr>
            <a:xfrm>
              <a:off x="4584700" y="1546225"/>
              <a:ext cx="6711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aseline="0"/>
                <a:t>a </a:t>
              </a:r>
              <a:r>
                <a:rPr lang="ru-RU" sz="1100" i="0">
                  <a:latin typeface="Cambria Math" panose="02040503050406030204" pitchFamily="18" charset="0"/>
                </a:rPr>
                <a:t>=𝑌−𝑏𝑋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7</xdr:col>
      <xdr:colOff>46936</xdr:colOff>
      <xdr:row>15</xdr:row>
      <xdr:rowOff>64052</xdr:rowOff>
    </xdr:from>
    <xdr:to>
      <xdr:col>14</xdr:col>
      <xdr:colOff>367196</xdr:colOff>
      <xdr:row>30</xdr:row>
      <xdr:rowOff>46383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4DB6E0A-993A-4856-9389-415E8D874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140607</xdr:colOff>
      <xdr:row>38</xdr:row>
      <xdr:rowOff>34471</xdr:rowOff>
    </xdr:from>
    <xdr:to>
      <xdr:col>14</xdr:col>
      <xdr:colOff>458107</xdr:colOff>
      <xdr:row>53</xdr:row>
      <xdr:rowOff>56243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E52F79F-B8F1-4F8D-AF3C-84C5FB1C5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hen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.1"/>
      <sheetName val="Задание 4.2"/>
      <sheetName val="Задание 4.3"/>
      <sheetName val="Задание 5"/>
      <sheetName val="Задание 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>
            <v>1.8548500000000001</v>
          </cell>
          <cell r="C3">
            <v>5.1363300000000001</v>
          </cell>
          <cell r="R3">
            <v>5.1363300000000001</v>
          </cell>
          <cell r="S3">
            <v>1.8548500000000001</v>
          </cell>
          <cell r="T3">
            <v>5.1363299999999992</v>
          </cell>
          <cell r="V3">
            <v>5.1363300000000001</v>
          </cell>
          <cell r="W3">
            <v>1.9393973371777904</v>
          </cell>
        </row>
        <row r="4">
          <cell r="B4">
            <v>2.0194589999999999</v>
          </cell>
          <cell r="C4">
            <v>6.6862700000000004</v>
          </cell>
          <cell r="R4">
            <v>6.6862700000000004</v>
          </cell>
          <cell r="S4">
            <v>2.0194589999999999</v>
          </cell>
          <cell r="T4">
            <v>4.11873566033087</v>
          </cell>
          <cell r="V4">
            <v>6.6862700000000004</v>
          </cell>
          <cell r="W4">
            <v>1.8869118287013409</v>
          </cell>
        </row>
        <row r="5">
          <cell r="B5">
            <v>2.0776699999999999</v>
          </cell>
          <cell r="C5">
            <v>0.29131499999999999</v>
          </cell>
          <cell r="R5">
            <v>0.29131499999999999</v>
          </cell>
          <cell r="S5">
            <v>2.0776699999999999</v>
          </cell>
          <cell r="T5">
            <v>3.7588817999314994</v>
          </cell>
          <cell r="V5">
            <v>0.29131499999999999</v>
          </cell>
          <cell r="W5">
            <v>2.1034637370713503</v>
          </cell>
        </row>
        <row r="6">
          <cell r="B6">
            <v>1.3166599999999999</v>
          </cell>
          <cell r="C6">
            <v>5.1470700000000003</v>
          </cell>
          <cell r="R6">
            <v>5.1470700000000003</v>
          </cell>
          <cell r="S6">
            <v>1.3166599999999999</v>
          </cell>
          <cell r="T6">
            <v>8.4633600996089502</v>
          </cell>
          <cell r="V6">
            <v>5.1470700000000003</v>
          </cell>
          <cell r="W6">
            <v>1.9390336493182363</v>
          </cell>
        </row>
        <row r="7">
          <cell r="B7">
            <v>2.4552399999999999</v>
          </cell>
          <cell r="C7">
            <v>5.0792099999999998</v>
          </cell>
          <cell r="R7">
            <v>5.0792099999999998</v>
          </cell>
          <cell r="S7">
            <v>2.4552399999999999</v>
          </cell>
          <cell r="T7">
            <v>1.4247864902651166</v>
          </cell>
          <cell r="V7">
            <v>5.0792099999999998</v>
          </cell>
          <cell r="W7">
            <v>1.941331587693407</v>
          </cell>
        </row>
        <row r="8">
          <cell r="B8">
            <v>2.0126400000000002</v>
          </cell>
          <cell r="C8">
            <v>0.57628599999999996</v>
          </cell>
          <cell r="R8">
            <v>0.57628599999999996</v>
          </cell>
          <cell r="S8">
            <v>2.0126400000000002</v>
          </cell>
          <cell r="T8">
            <v>4.1608899520294003</v>
          </cell>
          <cell r="V8">
            <v>0.57628599999999996</v>
          </cell>
          <cell r="W8">
            <v>2.0938137842757309</v>
          </cell>
        </row>
        <row r="9">
          <cell r="B9">
            <v>2.08955</v>
          </cell>
          <cell r="C9">
            <v>10.639849999999999</v>
          </cell>
          <cell r="R9">
            <v>10.639849999999999</v>
          </cell>
          <cell r="S9">
            <v>2.08955</v>
          </cell>
          <cell r="T9">
            <v>3.6854409749749699</v>
          </cell>
          <cell r="V9">
            <v>10.639849999999999</v>
          </cell>
          <cell r="W9">
            <v>1.7530320290946977</v>
          </cell>
        </row>
        <row r="10">
          <cell r="B10">
            <v>2.4561500000000001</v>
          </cell>
          <cell r="C10">
            <v>8.4246800000000004</v>
          </cell>
          <cell r="R10">
            <v>8.4246800000000004</v>
          </cell>
          <cell r="S10">
            <v>2.4561500000000001</v>
          </cell>
          <cell r="T10">
            <v>1.4191609725285463</v>
          </cell>
          <cell r="V10">
            <v>8.4246800000000004</v>
          </cell>
          <cell r="W10">
            <v>1.8280441739595159</v>
          </cell>
        </row>
        <row r="11">
          <cell r="B11">
            <v>2.72661</v>
          </cell>
          <cell r="C11">
            <v>2.1817000000000002</v>
          </cell>
          <cell r="R11">
            <v>2.1817000000000002</v>
          </cell>
          <cell r="S11">
            <v>2.72661</v>
          </cell>
          <cell r="T11">
            <v>-0.25279235388078192</v>
          </cell>
          <cell r="V11">
            <v>2.1817000000000002</v>
          </cell>
          <cell r="W11">
            <v>2.0394497636651199</v>
          </cell>
        </row>
        <row r="12">
          <cell r="B12">
            <v>2.9084699999999999</v>
          </cell>
          <cell r="C12">
            <v>2.8486600000000002</v>
          </cell>
          <cell r="R12">
            <v>2.8486600000000002</v>
          </cell>
          <cell r="S12">
            <v>2.9084699999999999</v>
          </cell>
          <cell r="T12">
            <v>-1.3770304369274449</v>
          </cell>
          <cell r="V12">
            <v>2.8486600000000002</v>
          </cell>
          <cell r="W12">
            <v>2.0168645444092439</v>
          </cell>
        </row>
        <row r="13">
          <cell r="B13">
            <v>1.26769</v>
          </cell>
          <cell r="C13">
            <v>2.0169899999999998</v>
          </cell>
          <cell r="R13">
            <v>2.0169899999999998</v>
          </cell>
          <cell r="S13">
            <v>1.26769</v>
          </cell>
          <cell r="T13">
            <v>8.7660871364878421</v>
          </cell>
          <cell r="V13">
            <v>2.0169899999999998</v>
          </cell>
          <cell r="W13">
            <v>2.0450273267328232</v>
          </cell>
        </row>
        <row r="14">
          <cell r="B14">
            <v>1.7948599999999999</v>
          </cell>
          <cell r="C14">
            <v>1.13697</v>
          </cell>
          <cell r="R14">
            <v>1.13697</v>
          </cell>
          <cell r="S14">
            <v>1.7948599999999999</v>
          </cell>
          <cell r="T14">
            <v>5.5071814384799822</v>
          </cell>
          <cell r="V14">
            <v>1.13697</v>
          </cell>
          <cell r="W14">
            <v>2.0748273816829794</v>
          </cell>
        </row>
        <row r="15">
          <cell r="B15">
            <v>2.46258</v>
          </cell>
          <cell r="C15">
            <v>5.2546600000000003</v>
          </cell>
          <cell r="R15">
            <v>5.2546600000000003</v>
          </cell>
          <cell r="S15">
            <v>2.46258</v>
          </cell>
          <cell r="T15">
            <v>1.3794114351152054</v>
          </cell>
          <cell r="V15">
            <v>5.2546600000000003</v>
          </cell>
          <cell r="W15">
            <v>1.9353903367661498</v>
          </cell>
        </row>
        <row r="16">
          <cell r="B16">
            <v>1.3559600000000001</v>
          </cell>
          <cell r="C16">
            <v>4.67936</v>
          </cell>
          <cell r="R16">
            <v>4.67936</v>
          </cell>
          <cell r="S16">
            <v>1.3559600000000001</v>
          </cell>
          <cell r="T16">
            <v>8.2204119160406339</v>
          </cell>
          <cell r="V16">
            <v>4.67936</v>
          </cell>
          <cell r="W16">
            <v>1.9548716799320152</v>
          </cell>
        </row>
        <row r="17">
          <cell r="B17">
            <v>1.9734700000000001</v>
          </cell>
          <cell r="C17">
            <v>5.5770600000000004</v>
          </cell>
          <cell r="R17">
            <v>5.5770600000000004</v>
          </cell>
          <cell r="S17">
            <v>1.9734700000000001</v>
          </cell>
          <cell r="T17">
            <v>4.4030344902067782</v>
          </cell>
          <cell r="V17">
            <v>5.5770600000000004</v>
          </cell>
          <cell r="W17">
            <v>1.9244729283936919</v>
          </cell>
        </row>
        <row r="18">
          <cell r="B18">
            <v>1.82836</v>
          </cell>
          <cell r="C18">
            <v>7.05016</v>
          </cell>
          <cell r="R18">
            <v>7.05016</v>
          </cell>
          <cell r="S18">
            <v>1.82836</v>
          </cell>
          <cell r="T18">
            <v>5.3000882031227654</v>
          </cell>
          <cell r="V18">
            <v>7.05016</v>
          </cell>
          <cell r="W18">
            <v>1.8745894473965838</v>
          </cell>
        </row>
        <row r="19">
          <cell r="B19">
            <v>1.3441099999999999</v>
          </cell>
          <cell r="C19">
            <v>8.7911699999999993</v>
          </cell>
          <cell r="R19">
            <v>8.7911699999999993</v>
          </cell>
          <cell r="S19">
            <v>1.3441099999999999</v>
          </cell>
          <cell r="T19">
            <v>8.2936672843684871</v>
          </cell>
          <cell r="V19">
            <v>8.7911699999999993</v>
          </cell>
          <cell r="W19">
            <v>1.8156337490388519</v>
          </cell>
        </row>
        <row r="20">
          <cell r="B20">
            <v>1.88008</v>
          </cell>
          <cell r="C20">
            <v>10.263999999999999</v>
          </cell>
          <cell r="R20">
            <v>10.263999999999999</v>
          </cell>
          <cell r="S20">
            <v>1.88008</v>
          </cell>
          <cell r="T20">
            <v>4.980360975281716</v>
          </cell>
          <cell r="V20">
            <v>10.263999999999999</v>
          </cell>
          <cell r="W20">
            <v>1.7657594110326267</v>
          </cell>
        </row>
        <row r="21">
          <cell r="B21">
            <v>2.65469</v>
          </cell>
          <cell r="C21">
            <v>1.1330499999999999</v>
          </cell>
          <cell r="R21">
            <v>1.1330499999999999</v>
          </cell>
          <cell r="S21">
            <v>2.65469</v>
          </cell>
          <cell r="T21">
            <v>0.19180900393685718</v>
          </cell>
          <cell r="V21">
            <v>1.1330499999999999</v>
          </cell>
          <cell r="W21">
            <v>2.0749601243654237</v>
          </cell>
        </row>
        <row r="22">
          <cell r="B22">
            <v>1.7806299999999999</v>
          </cell>
          <cell r="C22">
            <v>2.1659299999999999</v>
          </cell>
          <cell r="R22">
            <v>2.1659299999999999</v>
          </cell>
          <cell r="S22">
            <v>1.7806299999999999</v>
          </cell>
          <cell r="T22">
            <v>5.5951496993496281</v>
          </cell>
          <cell r="V22">
            <v>2.1659299999999999</v>
          </cell>
          <cell r="W22">
            <v>2.0399837820585245</v>
          </cell>
        </row>
        <row r="23">
          <cell r="B23">
            <v>2.5245600000000001</v>
          </cell>
          <cell r="C23">
            <v>4.09626</v>
          </cell>
          <cell r="R23">
            <v>4.09626</v>
          </cell>
          <cell r="S23">
            <v>2.5245600000000001</v>
          </cell>
          <cell r="T23">
            <v>0.99625804026624287</v>
          </cell>
          <cell r="V23">
            <v>4.09626</v>
          </cell>
          <cell r="W23">
            <v>1.9746171539456012</v>
          </cell>
        </row>
        <row r="24">
          <cell r="B24">
            <v>1.23054</v>
          </cell>
          <cell r="C24">
            <v>2.3341400000000001</v>
          </cell>
          <cell r="R24">
            <v>2.3341400000000001</v>
          </cell>
          <cell r="S24">
            <v>1.23054</v>
          </cell>
          <cell r="T24">
            <v>8.9957442616675607</v>
          </cell>
          <cell r="V24">
            <v>2.3341400000000001</v>
          </cell>
          <cell r="W24">
            <v>2.0342876987386389</v>
          </cell>
        </row>
        <row r="25">
          <cell r="B25">
            <v>1.2444299999999999</v>
          </cell>
          <cell r="C25">
            <v>9.4604800000000004</v>
          </cell>
          <cell r="R25">
            <v>9.4604800000000004</v>
          </cell>
          <cell r="S25">
            <v>1.2444299999999999</v>
          </cell>
          <cell r="T25">
            <v>8.9098778425895979</v>
          </cell>
          <cell r="V25">
            <v>9.4604800000000004</v>
          </cell>
          <cell r="W25">
            <v>1.7929689518993674</v>
          </cell>
        </row>
        <row r="26">
          <cell r="B26">
            <v>2.1318899999999998</v>
          </cell>
          <cell r="C26">
            <v>6.3081500000000004</v>
          </cell>
          <cell r="R26">
            <v>6.3081500000000004</v>
          </cell>
          <cell r="S26">
            <v>2.1318899999999998</v>
          </cell>
          <cell r="T26">
            <v>3.4236998530339413</v>
          </cell>
          <cell r="V26">
            <v>6.3081500000000004</v>
          </cell>
          <cell r="W26">
            <v>1.8997160794885424</v>
          </cell>
        </row>
        <row r="27">
          <cell r="B27">
            <v>1.45451</v>
          </cell>
          <cell r="C27">
            <v>4.0541200000000002</v>
          </cell>
          <cell r="R27">
            <v>4.0541200000000002</v>
          </cell>
          <cell r="S27">
            <v>1.45451</v>
          </cell>
          <cell r="T27">
            <v>7.611186890833066</v>
          </cell>
          <cell r="V27">
            <v>4.0541200000000002</v>
          </cell>
          <cell r="W27">
            <v>1.9760441377818772</v>
          </cell>
        </row>
        <row r="28">
          <cell r="B28">
            <v>2.8380100000000001</v>
          </cell>
          <cell r="C28">
            <v>2.7465700000000002</v>
          </cell>
          <cell r="R28">
            <v>2.7465700000000002</v>
          </cell>
          <cell r="S28">
            <v>2.8380100000000001</v>
          </cell>
          <cell r="T28">
            <v>-0.94145463503880933</v>
          </cell>
          <cell r="V28">
            <v>2.7465700000000002</v>
          </cell>
          <cell r="W28">
            <v>2.020321610850758</v>
          </cell>
        </row>
        <row r="29">
          <cell r="B29">
            <v>1.2317800000000001</v>
          </cell>
          <cell r="C29">
            <v>2.3625500000000001</v>
          </cell>
          <cell r="R29">
            <v>2.3625500000000001</v>
          </cell>
          <cell r="S29">
            <v>1.2317800000000001</v>
          </cell>
          <cell r="T29">
            <v>8.9880787210155297</v>
          </cell>
          <cell r="V29">
            <v>2.3625500000000001</v>
          </cell>
          <cell r="W29">
            <v>2.0333256529202099</v>
          </cell>
        </row>
        <row r="30">
          <cell r="B30">
            <v>2.7359800000000001</v>
          </cell>
          <cell r="C30">
            <v>-1.51603</v>
          </cell>
          <cell r="R30">
            <v>-1.51603</v>
          </cell>
          <cell r="S30">
            <v>2.7359800000000001</v>
          </cell>
          <cell r="T30">
            <v>-0.31071664090457674</v>
          </cell>
          <cell r="V30">
            <v>-1.51603</v>
          </cell>
          <cell r="W30">
            <v>2.1646657328372307</v>
          </cell>
        </row>
        <row r="31">
          <cell r="B31">
            <v>2.0678200000000002</v>
          </cell>
          <cell r="C31">
            <v>7.6174799999999996</v>
          </cell>
          <cell r="R31">
            <v>7.6174799999999996</v>
          </cell>
          <cell r="S31">
            <v>2.0678200000000002</v>
          </cell>
          <cell r="T31">
            <v>3.8197733930141418</v>
          </cell>
          <cell r="V31">
            <v>7.6174799999999996</v>
          </cell>
          <cell r="W31">
            <v>1.8553783304056943</v>
          </cell>
        </row>
        <row r="32">
          <cell r="B32">
            <v>2.03674</v>
          </cell>
          <cell r="C32">
            <v>0.29575800000000002</v>
          </cell>
          <cell r="R32">
            <v>0.29575800000000002</v>
          </cell>
          <cell r="S32">
            <v>2.03674</v>
          </cell>
          <cell r="T32">
            <v>4.0119064603246581</v>
          </cell>
          <cell r="V32">
            <v>0.29575800000000002</v>
          </cell>
          <cell r="W32">
            <v>2.1033132840769371</v>
          </cell>
        </row>
        <row r="33">
          <cell r="B33">
            <v>2.80681</v>
          </cell>
          <cell r="C33">
            <v>7.3238899999999996</v>
          </cell>
          <cell r="R33">
            <v>7.3238899999999996</v>
          </cell>
          <cell r="S33">
            <v>2.80681</v>
          </cell>
          <cell r="T33">
            <v>-0.74857974121357884</v>
          </cell>
          <cell r="V33">
            <v>7.3238899999999996</v>
          </cell>
          <cell r="W33">
            <v>1.8653201477880452</v>
          </cell>
        </row>
        <row r="34">
          <cell r="B34">
            <v>2.7911600000000001</v>
          </cell>
          <cell r="C34">
            <v>2.8535900000000001</v>
          </cell>
          <cell r="R34">
            <v>2.8535900000000001</v>
          </cell>
          <cell r="S34">
            <v>2.7911600000000001</v>
          </cell>
          <cell r="T34">
            <v>-0.65183319991983524</v>
          </cell>
          <cell r="V34">
            <v>2.8535900000000001</v>
          </cell>
          <cell r="W34">
            <v>2.0166976001683126</v>
          </cell>
        </row>
        <row r="35">
          <cell r="B35">
            <v>1.35772</v>
          </cell>
          <cell r="C35">
            <v>2.7207699999999999</v>
          </cell>
          <cell r="R35">
            <v>2.7207699999999999</v>
          </cell>
          <cell r="S35">
            <v>1.35772</v>
          </cell>
          <cell r="T35">
            <v>8.2095317938248531</v>
          </cell>
          <cell r="V35">
            <v>2.7207699999999999</v>
          </cell>
          <cell r="W35">
            <v>2.0211952744239885</v>
          </cell>
        </row>
        <row r="36">
          <cell r="B36">
            <v>2.4147799999999999</v>
          </cell>
          <cell r="C36">
            <v>6.1454000000000004</v>
          </cell>
          <cell r="R36">
            <v>6.1454000000000004</v>
          </cell>
          <cell r="S36">
            <v>2.4147799999999999</v>
          </cell>
          <cell r="T36">
            <v>1.6749056634756521</v>
          </cell>
          <cell r="V36">
            <v>6.1454000000000004</v>
          </cell>
          <cell r="W36">
            <v>1.9052272712150236</v>
          </cell>
        </row>
        <row r="37">
          <cell r="B37">
            <v>1.29125</v>
          </cell>
          <cell r="C37">
            <v>1.12967</v>
          </cell>
          <cell r="R37">
            <v>1.12967</v>
          </cell>
          <cell r="S37">
            <v>1.29125</v>
          </cell>
          <cell r="T37">
            <v>8.6204418640993055</v>
          </cell>
          <cell r="V37">
            <v>1.12967</v>
          </cell>
          <cell r="W37">
            <v>2.0750745810661027</v>
          </cell>
        </row>
        <row r="38">
          <cell r="B38">
            <v>2.69475</v>
          </cell>
          <cell r="C38">
            <v>0.73295500000000002</v>
          </cell>
          <cell r="R38">
            <v>0.73295500000000002</v>
          </cell>
          <cell r="S38">
            <v>2.69475</v>
          </cell>
          <cell r="T38">
            <v>-5.5837414224637172E-2</v>
          </cell>
          <cell r="V38">
            <v>0.73295500000000002</v>
          </cell>
          <cell r="W38">
            <v>2.0885085130216843</v>
          </cell>
        </row>
        <row r="39">
          <cell r="B39">
            <v>2.2817099999999999</v>
          </cell>
          <cell r="C39">
            <v>2.0230700000000001</v>
          </cell>
          <cell r="R39">
            <v>2.0230700000000001</v>
          </cell>
          <cell r="S39">
            <v>2.2817099999999999</v>
          </cell>
          <cell r="T39">
            <v>2.4975294494154916</v>
          </cell>
          <cell r="V39">
            <v>2.0230700000000001</v>
          </cell>
          <cell r="W39">
            <v>2.0448214401233176</v>
          </cell>
        </row>
        <row r="40">
          <cell r="B40">
            <v>1.2373099999999999</v>
          </cell>
          <cell r="C40">
            <v>4.7182700000000004</v>
          </cell>
          <cell r="R40">
            <v>4.7182700000000004</v>
          </cell>
          <cell r="S40">
            <v>1.2373099999999999</v>
          </cell>
          <cell r="T40">
            <v>8.9538928824625348</v>
          </cell>
          <cell r="V40">
            <v>4.7182700000000004</v>
          </cell>
          <cell r="W40">
            <v>1.9535540733570389</v>
          </cell>
        </row>
        <row r="41">
          <cell r="B41">
            <v>2.9272100000000001</v>
          </cell>
          <cell r="C41">
            <v>3.2783500000000001</v>
          </cell>
          <cell r="R41">
            <v>3.2783500000000001</v>
          </cell>
          <cell r="S41">
            <v>2.9272100000000001</v>
          </cell>
          <cell r="T41">
            <v>-1.4928790109750345</v>
          </cell>
          <cell r="V41">
            <v>3.2783500000000001</v>
          </cell>
          <cell r="W41">
            <v>2.0023139823634577</v>
          </cell>
        </row>
        <row r="42">
          <cell r="B42">
            <v>1.5619799999999999</v>
          </cell>
          <cell r="C42">
            <v>7.3078500000000002</v>
          </cell>
          <cell r="R42">
            <v>7.3078500000000002</v>
          </cell>
          <cell r="S42">
            <v>1.5619799999999999</v>
          </cell>
          <cell r="T42">
            <v>6.9468194280318727</v>
          </cell>
          <cell r="V42">
            <v>7.3078500000000002</v>
          </cell>
          <cell r="W42">
            <v>1.8658633091723325</v>
          </cell>
        </row>
        <row r="43">
          <cell r="B43">
            <v>1.2929900000000001</v>
          </cell>
          <cell r="C43">
            <v>1.7641899999999999</v>
          </cell>
          <cell r="R43">
            <v>1.7641899999999999</v>
          </cell>
          <cell r="S43">
            <v>1.2929900000000001</v>
          </cell>
          <cell r="T43">
            <v>8.6096853796359731</v>
          </cell>
          <cell r="V43">
            <v>1.7641899999999999</v>
          </cell>
          <cell r="W43">
            <v>2.053587875233311</v>
          </cell>
        </row>
        <row r="44">
          <cell r="B44">
            <v>2.6832699999999998</v>
          </cell>
          <cell r="C44">
            <v>4.7862799999999996</v>
          </cell>
          <cell r="R44">
            <v>4.7862799999999996</v>
          </cell>
          <cell r="S44">
            <v>2.6832699999999998</v>
          </cell>
          <cell r="T44">
            <v>1.5130655682852989E-2</v>
          </cell>
          <cell r="V44">
            <v>4.7862799999999996</v>
          </cell>
          <cell r="W44">
            <v>1.9512510555424891</v>
          </cell>
        </row>
        <row r="45">
          <cell r="B45">
            <v>1.37456</v>
          </cell>
          <cell r="C45">
            <v>9.3262300000000007</v>
          </cell>
          <cell r="R45">
            <v>9.3262300000000007</v>
          </cell>
          <cell r="S45">
            <v>1.37456</v>
          </cell>
          <cell r="T45">
            <v>8.1054288062602105</v>
          </cell>
          <cell r="V45">
            <v>9.3262300000000007</v>
          </cell>
          <cell r="W45">
            <v>1.797515050143792</v>
          </cell>
        </row>
        <row r="46">
          <cell r="B46">
            <v>1.18757</v>
          </cell>
          <cell r="C46">
            <v>2.7852100000000002</v>
          </cell>
          <cell r="R46">
            <v>2.7852100000000002</v>
          </cell>
          <cell r="S46">
            <v>1.18757</v>
          </cell>
          <cell r="T46">
            <v>9.261379972810829</v>
          </cell>
          <cell r="V46">
            <v>2.7852100000000002</v>
          </cell>
          <cell r="W46">
            <v>2.0190131472666644</v>
          </cell>
        </row>
        <row r="47">
          <cell r="B47">
            <v>1.0218100000000001</v>
          </cell>
          <cell r="C47">
            <v>12.2189</v>
          </cell>
          <cell r="R47">
            <v>12.2189</v>
          </cell>
          <cell r="S47">
            <v>1.0218100000000001</v>
          </cell>
          <cell r="T47">
            <v>10.286089665133577</v>
          </cell>
          <cell r="V47">
            <v>12.2189</v>
          </cell>
          <cell r="W47">
            <v>1.6995607707493827</v>
          </cell>
        </row>
        <row r="48">
          <cell r="B48">
            <v>1.62961</v>
          </cell>
          <cell r="C48">
            <v>2.7725499999999998</v>
          </cell>
          <cell r="R48">
            <v>2.7725499999999998</v>
          </cell>
          <cell r="S48">
            <v>1.62961</v>
          </cell>
          <cell r="T48">
            <v>6.5287383681152011</v>
          </cell>
          <cell r="V48">
            <v>2.7725499999999998</v>
          </cell>
          <cell r="W48">
            <v>2.019441851950273</v>
          </cell>
        </row>
        <row r="49">
          <cell r="B49">
            <v>1.4418800000000001</v>
          </cell>
          <cell r="C49">
            <v>4.7862299999999998</v>
          </cell>
          <cell r="R49">
            <v>4.7862299999999998</v>
          </cell>
          <cell r="S49">
            <v>1.4418800000000001</v>
          </cell>
          <cell r="T49">
            <v>7.6892641315065458</v>
          </cell>
          <cell r="V49">
            <v>4.7862299999999998</v>
          </cell>
          <cell r="W49">
            <v>1.9512527486889488</v>
          </cell>
        </row>
        <row r="50">
          <cell r="B50">
            <v>2.8650799999999998</v>
          </cell>
          <cell r="C50">
            <v>5.0236499999999999</v>
          </cell>
          <cell r="R50">
            <v>5.0236499999999999</v>
          </cell>
          <cell r="S50">
            <v>2.8650799999999998</v>
          </cell>
          <cell r="T50">
            <v>-1.1087983329826798</v>
          </cell>
          <cell r="V50">
            <v>5.0236499999999999</v>
          </cell>
          <cell r="W50">
            <v>1.9432130120394793</v>
          </cell>
        </row>
        <row r="51">
          <cell r="B51">
            <v>1.22424</v>
          </cell>
          <cell r="C51">
            <v>2.9275000000000002</v>
          </cell>
          <cell r="R51">
            <v>2.9275000000000002</v>
          </cell>
          <cell r="S51">
            <v>1.22424</v>
          </cell>
          <cell r="T51">
            <v>9.0346901536899615</v>
          </cell>
          <cell r="V51">
            <v>2.9275000000000002</v>
          </cell>
          <cell r="W51">
            <v>2.0141947910715126</v>
          </cell>
        </row>
        <row r="52">
          <cell r="B52">
            <v>2.24743</v>
          </cell>
          <cell r="C52">
            <v>6.2996100000000004</v>
          </cell>
          <cell r="R52">
            <v>6.2996100000000004</v>
          </cell>
          <cell r="S52">
            <v>2.24743</v>
          </cell>
          <cell r="T52">
            <v>2.7094445571183385</v>
          </cell>
          <cell r="V52">
            <v>6.2996100000000004</v>
          </cell>
          <cell r="W52">
            <v>1.9000052689038673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F45-D839-4453-9BDF-240EA0705C49}">
  <sheetPr>
    <tabColor theme="5" tint="0.39997558519241921"/>
  </sheetPr>
  <dimension ref="A2:X52"/>
  <sheetViews>
    <sheetView zoomScale="40" zoomScaleNormal="40" workbookViewId="0">
      <selection activeCell="A3" sqref="A3:B52"/>
    </sheetView>
  </sheetViews>
  <sheetFormatPr defaultColWidth="8.7109375" defaultRowHeight="15" x14ac:dyDescent="0.25"/>
  <cols>
    <col min="1" max="1" width="7.42578125" style="1" bestFit="1" customWidth="1"/>
    <col min="2" max="2" width="9" style="1" bestFit="1" customWidth="1"/>
    <col min="3" max="7" width="8.7109375" style="1"/>
    <col min="8" max="8" width="7.42578125" style="1" bestFit="1" customWidth="1"/>
    <col min="9" max="9" width="9" style="1" bestFit="1" customWidth="1"/>
    <col min="10" max="10" width="8.7109375" style="1"/>
    <col min="11" max="11" width="20.140625" style="1" bestFit="1" customWidth="1"/>
    <col min="12" max="12" width="11.7109375" style="1" bestFit="1" customWidth="1"/>
    <col min="13" max="13" width="10.140625" style="1" bestFit="1" customWidth="1"/>
    <col min="14" max="14" width="8.7109375" style="1" customWidth="1"/>
    <col min="15" max="15" width="13.28515625" style="1" bestFit="1" customWidth="1"/>
    <col min="16" max="16" width="12.42578125" style="1" customWidth="1"/>
    <col min="17" max="18" width="12.28515625" style="1" customWidth="1"/>
    <col min="19" max="19" width="12.140625" style="1" bestFit="1" customWidth="1"/>
    <col min="20" max="21" width="14.85546875" style="1" customWidth="1"/>
    <col min="22" max="22" width="13.42578125" style="1" customWidth="1"/>
    <col min="23" max="24" width="12.140625" style="1" bestFit="1" customWidth="1"/>
    <col min="25" max="25" width="15" style="1" bestFit="1" customWidth="1"/>
    <col min="26" max="26" width="13.28515625" style="1" bestFit="1" customWidth="1"/>
    <col min="27" max="16384" width="8.7109375" style="1"/>
  </cols>
  <sheetData>
    <row r="2" spans="1:24" ht="15.75" thickBot="1" x14ac:dyDescent="0.3">
      <c r="A2" s="1" t="s">
        <v>0</v>
      </c>
      <c r="B2" s="1" t="s">
        <v>1</v>
      </c>
      <c r="D2" s="1" t="s">
        <v>2</v>
      </c>
      <c r="H2" s="1" t="s">
        <v>0</v>
      </c>
      <c r="I2" s="1" t="s">
        <v>1</v>
      </c>
      <c r="L2" s="1" t="s">
        <v>0</v>
      </c>
      <c r="M2" s="1" t="s">
        <v>1</v>
      </c>
      <c r="O2" s="1" t="s">
        <v>11</v>
      </c>
      <c r="X2" s="1" t="s">
        <v>24</v>
      </c>
    </row>
    <row r="3" spans="1:24" ht="42.75" x14ac:dyDescent="0.25">
      <c r="A3" s="2">
        <v>1.1511100000000001</v>
      </c>
      <c r="B3" s="3">
        <v>3.0167700000000002</v>
      </c>
      <c r="D3" s="1" t="s">
        <v>0</v>
      </c>
      <c r="E3" s="1" t="s">
        <v>1</v>
      </c>
      <c r="H3" s="2">
        <v>1.0032000000000001</v>
      </c>
      <c r="I3" s="3">
        <v>-1.6568700000000001</v>
      </c>
      <c r="K3" s="1" t="s">
        <v>5</v>
      </c>
      <c r="L3" s="1">
        <f>COUNTA(H3:H52)</f>
        <v>50</v>
      </c>
      <c r="M3" s="1">
        <f>COUNTA(I3:I52)</f>
        <v>50</v>
      </c>
      <c r="O3" s="13" t="s">
        <v>10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22</v>
      </c>
      <c r="V3" s="14" t="s">
        <v>19</v>
      </c>
    </row>
    <row r="4" spans="1:24" x14ac:dyDescent="0.25">
      <c r="A4" s="4">
        <v>1.79654</v>
      </c>
      <c r="B4" s="5">
        <v>-0.17352000000000001</v>
      </c>
      <c r="D4" s="1">
        <f>AVERAGE(A3:A52)</f>
        <v>1.5424106000000009</v>
      </c>
      <c r="E4" s="1">
        <f>AVERAGE(B3:B52)</f>
        <v>2.5221319599999994</v>
      </c>
      <c r="H4" s="4">
        <v>1.00892</v>
      </c>
      <c r="I4" s="5">
        <v>-0.74036199999999996</v>
      </c>
      <c r="K4" s="1" t="s">
        <v>6</v>
      </c>
      <c r="L4" s="1">
        <f>H3</f>
        <v>1.0032000000000001</v>
      </c>
      <c r="M4" s="1">
        <f>I3</f>
        <v>-1.6568700000000001</v>
      </c>
      <c r="O4" s="10">
        <v>1</v>
      </c>
      <c r="P4" s="15">
        <f>L4</f>
        <v>1.0032000000000001</v>
      </c>
      <c r="Q4" s="16">
        <f>P5</f>
        <v>1.3343183333333335</v>
      </c>
      <c r="R4" s="12">
        <f t="shared" ref="R4:R9" si="0">(P4+Q4)/2</f>
        <v>1.1687591666666668</v>
      </c>
      <c r="S4" s="12" cm="1">
        <f t="array" ref="S4:S9">FREQUENCY(H3:H52,P5:P9)</f>
        <v>17</v>
      </c>
      <c r="T4" s="12">
        <f t="shared" ref="T4:T9" si="1">S4/$S$10</f>
        <v>0.34</v>
      </c>
      <c r="U4" s="12">
        <f>T4/$L$7</f>
        <v>1.0268232404326751</v>
      </c>
      <c r="V4" s="11">
        <f>T4</f>
        <v>0.34</v>
      </c>
    </row>
    <row r="5" spans="1:24" x14ac:dyDescent="0.25">
      <c r="A5" s="6">
        <v>2.8480599999999998</v>
      </c>
      <c r="B5" s="5">
        <v>3.1695199999999999</v>
      </c>
      <c r="H5" s="4">
        <v>1.0301</v>
      </c>
      <c r="I5" s="5">
        <v>-0.73702800000000002</v>
      </c>
      <c r="K5" s="1" t="s">
        <v>7</v>
      </c>
      <c r="L5" s="1">
        <f>H52</f>
        <v>2.9899100000000001</v>
      </c>
      <c r="M5" s="1">
        <f>I52</f>
        <v>6.4695099999999996</v>
      </c>
      <c r="O5" s="10">
        <v>2</v>
      </c>
      <c r="P5" s="15">
        <f t="shared" ref="P5:Q9" si="2">P4+$L$7</f>
        <v>1.3343183333333335</v>
      </c>
      <c r="Q5" s="16">
        <f t="shared" si="2"/>
        <v>1.6654366666666669</v>
      </c>
      <c r="R5" s="12">
        <f t="shared" si="0"/>
        <v>1.4998775000000002</v>
      </c>
      <c r="S5" s="12">
        <v>18</v>
      </c>
      <c r="T5" s="12">
        <f t="shared" si="1"/>
        <v>0.36</v>
      </c>
      <c r="U5" s="12">
        <f t="shared" ref="U5:U9" si="3">T5/$L$7</f>
        <v>1.08722460751695</v>
      </c>
      <c r="V5" s="11">
        <f>V4+T5</f>
        <v>0.7</v>
      </c>
    </row>
    <row r="6" spans="1:24" x14ac:dyDescent="0.25">
      <c r="A6" s="4">
        <v>1.6140699999999999</v>
      </c>
      <c r="B6" s="5">
        <v>2.3263500000000001</v>
      </c>
      <c r="D6" s="1" t="s">
        <v>3</v>
      </c>
      <c r="H6" s="4">
        <v>1.0472900000000001</v>
      </c>
      <c r="I6" s="5">
        <v>-0.60269700000000004</v>
      </c>
      <c r="K6" s="1" t="s">
        <v>8</v>
      </c>
      <c r="L6" s="1">
        <v>6</v>
      </c>
      <c r="M6" s="1">
        <v>6</v>
      </c>
      <c r="O6" s="10">
        <v>3</v>
      </c>
      <c r="P6" s="15">
        <f t="shared" si="2"/>
        <v>1.6654366666666669</v>
      </c>
      <c r="Q6" s="16">
        <f t="shared" si="2"/>
        <v>1.9965550000000003</v>
      </c>
      <c r="R6" s="12">
        <f t="shared" si="0"/>
        <v>1.8309958333333336</v>
      </c>
      <c r="S6" s="12">
        <v>11</v>
      </c>
      <c r="T6" s="12">
        <f t="shared" si="1"/>
        <v>0.22</v>
      </c>
      <c r="U6" s="12">
        <f t="shared" si="3"/>
        <v>0.66441503792702505</v>
      </c>
      <c r="V6" s="11">
        <f t="shared" ref="V6:V9" si="4">V5+T6</f>
        <v>0.91999999999999993</v>
      </c>
    </row>
    <row r="7" spans="1:24" x14ac:dyDescent="0.25">
      <c r="A7" s="4">
        <v>1.31524</v>
      </c>
      <c r="B7" s="5">
        <v>1.91276</v>
      </c>
      <c r="D7" s="1" t="s">
        <v>0</v>
      </c>
      <c r="E7" s="1" t="s">
        <v>1</v>
      </c>
      <c r="H7" s="4">
        <v>1.0710900000000001</v>
      </c>
      <c r="I7" s="5">
        <v>-0.43187900000000001</v>
      </c>
      <c r="K7" s="1" t="s">
        <v>9</v>
      </c>
      <c r="L7" s="17">
        <f>(L5-L4)/(L6)</f>
        <v>0.33111833333333335</v>
      </c>
      <c r="M7" s="17">
        <f>(M5-M4)/(M6)</f>
        <v>1.3543966666666665</v>
      </c>
      <c r="O7" s="10">
        <v>4</v>
      </c>
      <c r="P7" s="15">
        <f t="shared" si="2"/>
        <v>1.9965550000000003</v>
      </c>
      <c r="Q7" s="16">
        <f t="shared" si="2"/>
        <v>2.3276733333333337</v>
      </c>
      <c r="R7" s="12">
        <f t="shared" si="0"/>
        <v>2.162114166666667</v>
      </c>
      <c r="S7" s="12">
        <v>2</v>
      </c>
      <c r="T7" s="12">
        <f t="shared" si="1"/>
        <v>0.04</v>
      </c>
      <c r="U7" s="12">
        <f t="shared" si="3"/>
        <v>0.12080273416855002</v>
      </c>
      <c r="V7" s="11">
        <f t="shared" si="4"/>
        <v>0.96</v>
      </c>
    </row>
    <row r="8" spans="1:24" x14ac:dyDescent="0.25">
      <c r="A8" s="4">
        <v>1.0032000000000001</v>
      </c>
      <c r="B8" s="5">
        <v>-0.43187900000000001</v>
      </c>
      <c r="D8" s="1">
        <f>_xlfn.VAR.S(A3:A52)</f>
        <v>0.16842184981391609</v>
      </c>
      <c r="E8" s="1">
        <f>_xlfn.VAR.S(B3:B52)</f>
        <v>3.7976036708135497</v>
      </c>
      <c r="H8" s="4">
        <v>1.09911</v>
      </c>
      <c r="I8" s="5">
        <v>-0.17352000000000001</v>
      </c>
      <c r="O8" s="10">
        <v>5</v>
      </c>
      <c r="P8" s="15">
        <f t="shared" si="2"/>
        <v>2.3276733333333337</v>
      </c>
      <c r="Q8" s="16">
        <f t="shared" si="2"/>
        <v>2.6587916666666671</v>
      </c>
      <c r="R8" s="12">
        <f t="shared" si="0"/>
        <v>2.4932325000000004</v>
      </c>
      <c r="S8" s="12">
        <v>0</v>
      </c>
      <c r="T8" s="12">
        <f t="shared" si="1"/>
        <v>0</v>
      </c>
      <c r="U8" s="12">
        <f t="shared" si="3"/>
        <v>0</v>
      </c>
      <c r="V8" s="11">
        <f t="shared" si="4"/>
        <v>0.96</v>
      </c>
    </row>
    <row r="9" spans="1:24" x14ac:dyDescent="0.25">
      <c r="A9" s="4">
        <v>1.0710900000000001</v>
      </c>
      <c r="B9" s="5">
        <v>3.9186800000000002</v>
      </c>
      <c r="H9" s="4">
        <v>1.1195900000000001</v>
      </c>
      <c r="I9" s="5">
        <v>-0.13830100000000001</v>
      </c>
      <c r="O9" s="10">
        <v>6</v>
      </c>
      <c r="P9" s="15">
        <f t="shared" si="2"/>
        <v>2.6587916666666671</v>
      </c>
      <c r="Q9" s="16">
        <f t="shared" si="2"/>
        <v>2.9899100000000005</v>
      </c>
      <c r="R9" s="12">
        <f t="shared" si="0"/>
        <v>2.8243508333333338</v>
      </c>
      <c r="S9" s="12">
        <v>2</v>
      </c>
      <c r="T9" s="12">
        <f t="shared" si="1"/>
        <v>0.04</v>
      </c>
      <c r="U9" s="12">
        <f t="shared" si="3"/>
        <v>0.12080273416855002</v>
      </c>
      <c r="V9" s="11">
        <f t="shared" si="4"/>
        <v>1</v>
      </c>
    </row>
    <row r="10" spans="1:24" x14ac:dyDescent="0.25">
      <c r="A10" s="4">
        <v>1.0472900000000001</v>
      </c>
      <c r="B10" s="5">
        <v>2.7407699999999999</v>
      </c>
      <c r="D10" s="1" t="s">
        <v>4</v>
      </c>
      <c r="H10" s="4">
        <v>1.1511100000000001</v>
      </c>
      <c r="I10" s="5">
        <v>-3.0000000000000001E-3</v>
      </c>
      <c r="K10" s="1" t="s">
        <v>20</v>
      </c>
      <c r="L10" s="1" t="s">
        <v>21</v>
      </c>
      <c r="M10" s="1">
        <f>ROUNDDOWN((1 + LOG(50,2)),0)</f>
        <v>6</v>
      </c>
      <c r="O10" s="10" t="s">
        <v>13</v>
      </c>
      <c r="P10" s="15"/>
      <c r="Q10" s="16"/>
      <c r="R10" s="12"/>
      <c r="S10" s="12">
        <f>SUM(_xlfn.ANCHORARRAY(S4))</f>
        <v>50</v>
      </c>
      <c r="T10" s="12">
        <f>SUM(T4:T9)</f>
        <v>1</v>
      </c>
      <c r="U10" s="12"/>
      <c r="V10" s="11"/>
    </row>
    <row r="11" spans="1:24" x14ac:dyDescent="0.25">
      <c r="A11" s="4">
        <v>1.4408700000000001</v>
      </c>
      <c r="B11" s="5">
        <v>5.4681600000000001</v>
      </c>
      <c r="D11" s="1" t="s">
        <v>0</v>
      </c>
      <c r="E11" s="1" t="s">
        <v>1</v>
      </c>
      <c r="H11" s="4">
        <v>1.1653800000000001</v>
      </c>
      <c r="I11" s="5">
        <v>0.27818100000000001</v>
      </c>
    </row>
    <row r="12" spans="1:24" x14ac:dyDescent="0.25">
      <c r="A12" s="6">
        <v>2.1596799999999998</v>
      </c>
      <c r="B12" s="5">
        <v>5.1539200000000003</v>
      </c>
      <c r="D12" s="1">
        <f>_xlfn.STDEV.S(A3:A52)</f>
        <v>0.41039231207944926</v>
      </c>
      <c r="E12" s="1">
        <f>_xlfn.STDEV.S(B3:B52)</f>
        <v>1.9487441265629384</v>
      </c>
      <c r="H12" s="4">
        <v>1.16568</v>
      </c>
      <c r="I12" s="5">
        <v>0.42441400000000001</v>
      </c>
      <c r="O12" s="1" t="s">
        <v>12</v>
      </c>
    </row>
    <row r="13" spans="1:24" ht="42.75" x14ac:dyDescent="0.25">
      <c r="A13" s="4">
        <v>1.98302</v>
      </c>
      <c r="B13" s="5">
        <v>1.16337</v>
      </c>
      <c r="H13" s="4">
        <v>1.19563</v>
      </c>
      <c r="I13" s="5">
        <v>1.0916300000000001</v>
      </c>
      <c r="O13" s="13" t="s">
        <v>10</v>
      </c>
      <c r="P13" s="13" t="s">
        <v>14</v>
      </c>
      <c r="Q13" s="13" t="s">
        <v>15</v>
      </c>
      <c r="R13" s="13" t="s">
        <v>16</v>
      </c>
      <c r="S13" s="13" t="s">
        <v>17</v>
      </c>
      <c r="T13" s="13" t="s">
        <v>18</v>
      </c>
      <c r="U13" s="13" t="s">
        <v>22</v>
      </c>
      <c r="V13" s="14" t="s">
        <v>19</v>
      </c>
    </row>
    <row r="14" spans="1:24" x14ac:dyDescent="0.25">
      <c r="A14" s="4">
        <v>1.8041400000000001</v>
      </c>
      <c r="B14" s="5">
        <v>2.7423299999999999</v>
      </c>
      <c r="H14" s="4">
        <v>1.2020200000000001</v>
      </c>
      <c r="I14" s="5">
        <v>1.16337</v>
      </c>
      <c r="O14" s="10">
        <v>1</v>
      </c>
      <c r="P14" s="15">
        <f>M4</f>
        <v>-1.6568700000000001</v>
      </c>
      <c r="Q14" s="16">
        <f>P15</f>
        <v>-0.30247333333333359</v>
      </c>
      <c r="R14" s="12">
        <f t="shared" ref="R14:R19" si="5">(P14+Q14)/2</f>
        <v>-0.97967166666666683</v>
      </c>
      <c r="S14" s="12" cm="1">
        <f t="array" ref="S14:S19">FREQUENCY(I3:I52,P15:P19)</f>
        <v>5</v>
      </c>
      <c r="T14" s="12">
        <f>S14/$S$20</f>
        <v>0.1</v>
      </c>
      <c r="U14" s="12">
        <f>T14/$M$7</f>
        <v>7.3833613490877872E-2</v>
      </c>
      <c r="V14" s="11">
        <f>T14</f>
        <v>0.1</v>
      </c>
    </row>
    <row r="15" spans="1:24" x14ac:dyDescent="0.25">
      <c r="A15" s="4">
        <v>1.60971</v>
      </c>
      <c r="B15" s="5">
        <v>-3.0000000000000001E-3</v>
      </c>
      <c r="H15" s="4">
        <v>1.2312099999999999</v>
      </c>
      <c r="I15" s="5">
        <v>1.25841</v>
      </c>
      <c r="O15" s="10">
        <v>2</v>
      </c>
      <c r="P15" s="15">
        <f t="shared" ref="P15:Q19" si="6">P14+$M$7</f>
        <v>-0.30247333333333359</v>
      </c>
      <c r="Q15" s="16">
        <f t="shared" si="6"/>
        <v>1.0519233333333329</v>
      </c>
      <c r="R15" s="12">
        <f t="shared" si="5"/>
        <v>0.37472499999999964</v>
      </c>
      <c r="S15" s="12">
        <v>5</v>
      </c>
      <c r="T15" s="12">
        <f t="shared" ref="T15:T19" si="7">S15/$S$20</f>
        <v>0.1</v>
      </c>
      <c r="U15" s="12">
        <f t="shared" ref="U15:U19" si="8">T15/$M$7</f>
        <v>7.3833613490877872E-2</v>
      </c>
      <c r="V15" s="11">
        <f>V14+T15</f>
        <v>0.2</v>
      </c>
    </row>
    <row r="16" spans="1:24" x14ac:dyDescent="0.25">
      <c r="A16" s="4">
        <v>1.35405</v>
      </c>
      <c r="B16" s="5">
        <v>1.63781</v>
      </c>
      <c r="H16" s="4">
        <v>1.2785299999999999</v>
      </c>
      <c r="I16" s="5">
        <v>1.49274</v>
      </c>
      <c r="O16" s="10">
        <v>3</v>
      </c>
      <c r="P16" s="15">
        <f t="shared" si="6"/>
        <v>1.0519233333333329</v>
      </c>
      <c r="Q16" s="16">
        <f t="shared" si="6"/>
        <v>2.4063199999999991</v>
      </c>
      <c r="R16" s="12">
        <f t="shared" si="5"/>
        <v>1.729121666666666</v>
      </c>
      <c r="S16" s="12">
        <v>12</v>
      </c>
      <c r="T16" s="12">
        <f t="shared" si="7"/>
        <v>0.24</v>
      </c>
      <c r="U16" s="12">
        <f t="shared" si="8"/>
        <v>0.17720067237810688</v>
      </c>
      <c r="V16" s="11">
        <f t="shared" ref="V16:V19" si="9">V15+T16</f>
        <v>0.44</v>
      </c>
    </row>
    <row r="17" spans="1:22" x14ac:dyDescent="0.25">
      <c r="A17" s="4">
        <v>1.43868</v>
      </c>
      <c r="B17" s="5">
        <v>3.81745</v>
      </c>
      <c r="H17" s="4">
        <v>1.28857</v>
      </c>
      <c r="I17" s="5">
        <v>1.5833200000000001</v>
      </c>
      <c r="O17" s="10">
        <v>4</v>
      </c>
      <c r="P17" s="15">
        <f t="shared" si="6"/>
        <v>2.4063199999999991</v>
      </c>
      <c r="Q17" s="16">
        <f t="shared" si="6"/>
        <v>3.7607166666666654</v>
      </c>
      <c r="R17" s="12">
        <f t="shared" si="5"/>
        <v>3.0835183333333323</v>
      </c>
      <c r="S17" s="12">
        <v>13</v>
      </c>
      <c r="T17" s="12">
        <f t="shared" si="7"/>
        <v>0.26</v>
      </c>
      <c r="U17" s="12">
        <f t="shared" si="8"/>
        <v>0.19196739507628247</v>
      </c>
      <c r="V17" s="11">
        <f t="shared" si="9"/>
        <v>0.7</v>
      </c>
    </row>
    <row r="18" spans="1:22" x14ac:dyDescent="0.25">
      <c r="A18" s="4">
        <v>1.79559</v>
      </c>
      <c r="B18" s="5">
        <v>4.2461700000000002</v>
      </c>
      <c r="H18" s="4">
        <v>1.31524</v>
      </c>
      <c r="I18" s="5">
        <v>1.5901099999999999</v>
      </c>
      <c r="O18" s="10">
        <v>5</v>
      </c>
      <c r="P18" s="15">
        <f t="shared" si="6"/>
        <v>3.7607166666666654</v>
      </c>
      <c r="Q18" s="16">
        <f t="shared" si="6"/>
        <v>5.1151133333333316</v>
      </c>
      <c r="R18" s="12">
        <f t="shared" si="5"/>
        <v>4.4379149999999985</v>
      </c>
      <c r="S18" s="12">
        <v>10</v>
      </c>
      <c r="T18" s="12">
        <f t="shared" si="7"/>
        <v>0.2</v>
      </c>
      <c r="U18" s="12">
        <f t="shared" si="8"/>
        <v>0.14766722698175574</v>
      </c>
      <c r="V18" s="11">
        <f t="shared" si="9"/>
        <v>0.89999999999999991</v>
      </c>
    </row>
    <row r="19" spans="1:22" x14ac:dyDescent="0.25">
      <c r="A19" s="4">
        <v>1.09911</v>
      </c>
      <c r="B19" s="5">
        <v>4.3758400000000002</v>
      </c>
      <c r="H19" s="4">
        <v>1.33144</v>
      </c>
      <c r="I19" s="5">
        <v>1.63781</v>
      </c>
      <c r="O19" s="10">
        <v>6</v>
      </c>
      <c r="P19" s="15">
        <f t="shared" si="6"/>
        <v>5.1151133333333316</v>
      </c>
      <c r="Q19" s="16">
        <f t="shared" si="6"/>
        <v>6.4695099999999979</v>
      </c>
      <c r="R19" s="12">
        <f t="shared" si="5"/>
        <v>5.7923116666666647</v>
      </c>
      <c r="S19" s="12">
        <v>5</v>
      </c>
      <c r="T19" s="12">
        <f t="shared" si="7"/>
        <v>0.1</v>
      </c>
      <c r="U19" s="12">
        <f t="shared" si="8"/>
        <v>7.3833613490877872E-2</v>
      </c>
      <c r="V19" s="11">
        <f t="shared" si="9"/>
        <v>0.99999999999999989</v>
      </c>
    </row>
    <row r="20" spans="1:22" x14ac:dyDescent="0.25">
      <c r="A20" s="4">
        <v>1.4523900000000001</v>
      </c>
      <c r="B20" s="5">
        <v>5.0537799999999997</v>
      </c>
      <c r="H20" s="4">
        <v>1.35405</v>
      </c>
      <c r="I20" s="5">
        <v>1.72692</v>
      </c>
      <c r="O20" s="10" t="s">
        <v>13</v>
      </c>
      <c r="P20" s="15"/>
      <c r="Q20" s="16"/>
      <c r="R20" s="12"/>
      <c r="S20" s="12">
        <f>SUM(_xlfn.ANCHORARRAY(S14))</f>
        <v>50</v>
      </c>
      <c r="T20" s="12">
        <f>SUM(T14:T19)</f>
        <v>0.99999999999999989</v>
      </c>
      <c r="U20" s="12"/>
      <c r="V20" s="11"/>
    </row>
    <row r="21" spans="1:22" x14ac:dyDescent="0.25">
      <c r="A21" s="4">
        <v>1.43075</v>
      </c>
      <c r="B21" s="5">
        <v>5.10623</v>
      </c>
      <c r="H21" s="4">
        <v>1.38235</v>
      </c>
      <c r="I21" s="5">
        <v>1.7513700000000001</v>
      </c>
    </row>
    <row r="22" spans="1:22" x14ac:dyDescent="0.25">
      <c r="A22" s="4">
        <v>1.2312099999999999</v>
      </c>
      <c r="B22" s="5">
        <v>-1.6568700000000001</v>
      </c>
      <c r="H22" s="4">
        <v>1.39706</v>
      </c>
      <c r="I22" s="5">
        <v>1.9047400000000001</v>
      </c>
      <c r="K22" s="1" t="s">
        <v>23</v>
      </c>
    </row>
    <row r="23" spans="1:22" x14ac:dyDescent="0.25">
      <c r="A23" s="4">
        <v>1.0301</v>
      </c>
      <c r="B23" s="5">
        <v>2.9357099999999998</v>
      </c>
      <c r="H23" s="4">
        <v>1.43075</v>
      </c>
      <c r="I23" s="5">
        <v>1.91276</v>
      </c>
    </row>
    <row r="24" spans="1:22" x14ac:dyDescent="0.25">
      <c r="A24" s="4">
        <v>1.6012599999999999</v>
      </c>
      <c r="B24" s="5">
        <v>1.49274</v>
      </c>
      <c r="H24" s="4">
        <v>1.43868</v>
      </c>
      <c r="I24" s="5">
        <v>2.3263500000000001</v>
      </c>
    </row>
    <row r="25" spans="1:22" x14ac:dyDescent="0.25">
      <c r="A25" s="6">
        <v>2.9899100000000001</v>
      </c>
      <c r="B25" s="5">
        <v>3.99708</v>
      </c>
      <c r="H25" s="4">
        <v>1.4408700000000001</v>
      </c>
      <c r="I25" s="5">
        <v>2.4750100000000002</v>
      </c>
    </row>
    <row r="26" spans="1:22" x14ac:dyDescent="0.25">
      <c r="A26" s="4">
        <v>1.8061400000000001</v>
      </c>
      <c r="B26" s="5">
        <v>4.6470500000000001</v>
      </c>
      <c r="H26" s="4">
        <v>1.4523900000000001</v>
      </c>
      <c r="I26" s="5">
        <v>2.7407699999999999</v>
      </c>
    </row>
    <row r="27" spans="1:22" x14ac:dyDescent="0.25">
      <c r="A27" s="4">
        <v>1.1653800000000001</v>
      </c>
      <c r="B27" s="5">
        <v>5.2593199999999998</v>
      </c>
      <c r="H27" s="4">
        <v>1.46665</v>
      </c>
      <c r="I27" s="5">
        <v>2.7423299999999999</v>
      </c>
    </row>
    <row r="28" spans="1:22" x14ac:dyDescent="0.25">
      <c r="A28" s="4">
        <v>1.83894</v>
      </c>
      <c r="B28" s="5">
        <v>2.8339300000000001</v>
      </c>
      <c r="H28" s="4">
        <v>1.4887300000000001</v>
      </c>
      <c r="I28" s="5">
        <v>2.7600500000000001</v>
      </c>
    </row>
    <row r="29" spans="1:22" x14ac:dyDescent="0.25">
      <c r="A29" s="4">
        <v>1.38235</v>
      </c>
      <c r="B29" s="5">
        <v>1.0916300000000001</v>
      </c>
      <c r="H29" s="4">
        <v>1.5667199999999999</v>
      </c>
      <c r="I29" s="5">
        <v>2.7949199999999998</v>
      </c>
    </row>
    <row r="30" spans="1:22" x14ac:dyDescent="0.25">
      <c r="A30" s="4">
        <v>1.16568</v>
      </c>
      <c r="B30" s="5">
        <v>-0.74036199999999996</v>
      </c>
      <c r="H30" s="4">
        <v>1.59293</v>
      </c>
      <c r="I30" s="5">
        <v>2.8339300000000001</v>
      </c>
    </row>
    <row r="31" spans="1:22" x14ac:dyDescent="0.25">
      <c r="A31" s="4">
        <v>1.19563</v>
      </c>
      <c r="B31" s="5">
        <v>2.7600500000000001</v>
      </c>
      <c r="H31" s="4">
        <v>1.6012599999999999</v>
      </c>
      <c r="I31" s="5">
        <v>2.9357099999999998</v>
      </c>
    </row>
    <row r="32" spans="1:22" x14ac:dyDescent="0.25">
      <c r="A32" s="4">
        <v>1.46665</v>
      </c>
      <c r="B32" s="5">
        <v>1.9047400000000001</v>
      </c>
      <c r="H32" s="4">
        <v>1.60833</v>
      </c>
      <c r="I32" s="5">
        <v>3.0167700000000002</v>
      </c>
    </row>
    <row r="33" spans="1:9" x14ac:dyDescent="0.25">
      <c r="A33" s="4">
        <v>1.59293</v>
      </c>
      <c r="B33" s="5">
        <v>3.0217100000000001</v>
      </c>
      <c r="H33" s="4">
        <v>1.60971</v>
      </c>
      <c r="I33" s="5">
        <v>3.0217100000000001</v>
      </c>
    </row>
    <row r="34" spans="1:9" x14ac:dyDescent="0.25">
      <c r="A34" s="4">
        <v>1.7760800000000001</v>
      </c>
      <c r="B34" s="5">
        <v>3.7261500000000001</v>
      </c>
      <c r="H34" s="4">
        <v>1.6140699999999999</v>
      </c>
      <c r="I34" s="5">
        <v>3.1695199999999999</v>
      </c>
    </row>
    <row r="35" spans="1:9" x14ac:dyDescent="0.25">
      <c r="A35" s="4">
        <v>1.2785299999999999</v>
      </c>
      <c r="B35" s="5">
        <v>1.72692</v>
      </c>
      <c r="H35" s="4">
        <v>1.6327499999999999</v>
      </c>
      <c r="I35" s="5">
        <v>3.1700400000000002</v>
      </c>
    </row>
    <row r="36" spans="1:9" x14ac:dyDescent="0.25">
      <c r="A36" s="4">
        <v>1.64323</v>
      </c>
      <c r="B36" s="5">
        <v>3.8111799999999998</v>
      </c>
      <c r="H36" s="4">
        <v>1.63835</v>
      </c>
      <c r="I36" s="5">
        <v>3.7054800000000001</v>
      </c>
    </row>
    <row r="37" spans="1:9" x14ac:dyDescent="0.25">
      <c r="A37" s="4">
        <v>1.33144</v>
      </c>
      <c r="B37" s="5">
        <v>0.27818100000000001</v>
      </c>
      <c r="H37" s="4">
        <v>1.64323</v>
      </c>
      <c r="I37" s="5">
        <v>3.7261500000000001</v>
      </c>
    </row>
    <row r="38" spans="1:9" x14ac:dyDescent="0.25">
      <c r="A38" s="4">
        <v>1.39706</v>
      </c>
      <c r="B38" s="5">
        <v>5.4249200000000002</v>
      </c>
      <c r="H38" s="4">
        <v>1.6846699999999999</v>
      </c>
      <c r="I38" s="5">
        <v>3.8111799999999998</v>
      </c>
    </row>
    <row r="39" spans="1:9" x14ac:dyDescent="0.25">
      <c r="A39" s="4">
        <v>1.1195900000000001</v>
      </c>
      <c r="B39" s="5">
        <v>6.4695099999999996</v>
      </c>
      <c r="H39" s="4">
        <v>1.7030099999999999</v>
      </c>
      <c r="I39" s="5">
        <v>3.81745</v>
      </c>
    </row>
    <row r="40" spans="1:9" x14ac:dyDescent="0.25">
      <c r="A40" s="4">
        <v>1.2020200000000001</v>
      </c>
      <c r="B40" s="5">
        <v>3.1700400000000002</v>
      </c>
      <c r="H40" s="4">
        <v>1.7760800000000001</v>
      </c>
      <c r="I40" s="5">
        <v>3.9186800000000002</v>
      </c>
    </row>
    <row r="41" spans="1:9" x14ac:dyDescent="0.25">
      <c r="A41" s="4">
        <v>1.96417</v>
      </c>
      <c r="B41" s="5">
        <v>1.5833200000000001</v>
      </c>
      <c r="H41" s="4">
        <v>1.79559</v>
      </c>
      <c r="I41" s="5">
        <v>3.99708</v>
      </c>
    </row>
    <row r="42" spans="1:9" x14ac:dyDescent="0.25">
      <c r="A42" s="4">
        <v>1.6327499999999999</v>
      </c>
      <c r="B42" s="5">
        <v>2.7949199999999998</v>
      </c>
      <c r="H42" s="4">
        <v>1.79654</v>
      </c>
      <c r="I42" s="5">
        <v>4.2461700000000002</v>
      </c>
    </row>
    <row r="43" spans="1:9" x14ac:dyDescent="0.25">
      <c r="A43" s="4">
        <v>1.00892</v>
      </c>
      <c r="B43" s="5">
        <v>1.7513700000000001</v>
      </c>
      <c r="H43" s="4">
        <v>1.8041400000000001</v>
      </c>
      <c r="I43" s="5">
        <v>4.3758400000000002</v>
      </c>
    </row>
    <row r="44" spans="1:9" x14ac:dyDescent="0.25">
      <c r="A44" s="4">
        <v>1.80463</v>
      </c>
      <c r="B44" s="5">
        <v>1.25841</v>
      </c>
      <c r="H44" s="4">
        <v>1.80463</v>
      </c>
      <c r="I44" s="5">
        <v>4.6064499999999997</v>
      </c>
    </row>
    <row r="45" spans="1:9" x14ac:dyDescent="0.25">
      <c r="A45" s="4">
        <v>1.7030099999999999</v>
      </c>
      <c r="B45" s="5">
        <v>1.5901099999999999</v>
      </c>
      <c r="H45" s="4">
        <v>1.8061400000000001</v>
      </c>
      <c r="I45" s="5">
        <v>4.6470500000000001</v>
      </c>
    </row>
    <row r="46" spans="1:9" x14ac:dyDescent="0.25">
      <c r="A46" s="6">
        <v>2.1029599999999999</v>
      </c>
      <c r="B46" s="5">
        <v>-0.13830100000000001</v>
      </c>
      <c r="H46" s="4">
        <v>1.83894</v>
      </c>
      <c r="I46" s="5">
        <v>5.0537799999999997</v>
      </c>
    </row>
    <row r="47" spans="1:9" x14ac:dyDescent="0.25">
      <c r="A47" s="4">
        <v>1.5667199999999999</v>
      </c>
      <c r="B47" s="5">
        <v>3.7054800000000001</v>
      </c>
      <c r="H47" s="4">
        <v>1.96417</v>
      </c>
      <c r="I47" s="5">
        <v>5.10623</v>
      </c>
    </row>
    <row r="48" spans="1:9" x14ac:dyDescent="0.25">
      <c r="A48" s="4">
        <v>1.63835</v>
      </c>
      <c r="B48" s="5">
        <v>-0.60269700000000004</v>
      </c>
      <c r="H48" s="4">
        <v>1.98302</v>
      </c>
      <c r="I48" s="5">
        <v>5.1539200000000003</v>
      </c>
    </row>
    <row r="49" spans="1:9" x14ac:dyDescent="0.25">
      <c r="A49" s="4">
        <v>1.60833</v>
      </c>
      <c r="B49" s="5">
        <v>4.6064499999999997</v>
      </c>
      <c r="H49" s="6">
        <v>2.1029599999999999</v>
      </c>
      <c r="I49" s="5">
        <v>5.2593199999999998</v>
      </c>
    </row>
    <row r="50" spans="1:9" x14ac:dyDescent="0.25">
      <c r="A50" s="4">
        <v>1.28857</v>
      </c>
      <c r="B50" s="5">
        <v>-0.73702800000000002</v>
      </c>
      <c r="H50" s="6">
        <v>2.1596799999999998</v>
      </c>
      <c r="I50" s="5">
        <v>5.4249200000000002</v>
      </c>
    </row>
    <row r="51" spans="1:9" x14ac:dyDescent="0.25">
      <c r="A51" s="4">
        <v>1.6846699999999999</v>
      </c>
      <c r="B51" s="5">
        <v>0.42441400000000001</v>
      </c>
      <c r="H51" s="6">
        <v>2.8480599999999998</v>
      </c>
      <c r="I51" s="5">
        <v>5.4681600000000001</v>
      </c>
    </row>
    <row r="52" spans="1:9" ht="15.75" thickBot="1" x14ac:dyDescent="0.3">
      <c r="A52" s="7">
        <v>1.4887300000000001</v>
      </c>
      <c r="B52" s="8">
        <v>2.4750100000000002</v>
      </c>
      <c r="H52" s="9">
        <v>2.9899100000000001</v>
      </c>
      <c r="I52" s="8">
        <v>6.4695099999999996</v>
      </c>
    </row>
  </sheetData>
  <sortState xmlns:xlrd2="http://schemas.microsoft.com/office/spreadsheetml/2017/richdata2" ref="M1:M53">
    <sortCondition ref="M1:M5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10E-1330-4351-BA66-3E21EDBF54C5}">
  <sheetPr>
    <tabColor theme="7" tint="0.39997558519241921"/>
  </sheetPr>
  <dimension ref="A1:M50"/>
  <sheetViews>
    <sheetView zoomScale="53" zoomScaleNormal="70" workbookViewId="0">
      <selection activeCell="E7" sqref="E7"/>
    </sheetView>
  </sheetViews>
  <sheetFormatPr defaultColWidth="10.85546875" defaultRowHeight="15.75" x14ac:dyDescent="0.25"/>
  <cols>
    <col min="1" max="3" width="10.85546875" style="18"/>
    <col min="4" max="4" width="67.140625" style="18" customWidth="1"/>
    <col min="5" max="5" width="23.7109375" style="18" customWidth="1"/>
    <col min="6" max="6" width="47.42578125" style="18" customWidth="1"/>
    <col min="7" max="7" width="43.5703125" style="18" customWidth="1"/>
    <col min="8" max="8" width="20.5703125" style="18" customWidth="1"/>
    <col min="9" max="16384" width="10.85546875" style="18"/>
  </cols>
  <sheetData>
    <row r="1" spans="1:13" x14ac:dyDescent="0.25">
      <c r="A1" s="53">
        <v>1.0032000000000001</v>
      </c>
      <c r="B1" s="43">
        <f>POWER(A1-$E$15, 2)</f>
        <v>0.29074807115235962</v>
      </c>
      <c r="C1" s="43"/>
      <c r="D1" s="18" t="s">
        <v>40</v>
      </c>
      <c r="H1" s="19"/>
    </row>
    <row r="2" spans="1:13" x14ac:dyDescent="0.25">
      <c r="A2" s="54">
        <v>1.00892</v>
      </c>
      <c r="B2" s="43">
        <f t="shared" ref="B2:B50" si="0">POWER(A2-$E$15, 2)</f>
        <v>0.2846122202883597</v>
      </c>
      <c r="C2" s="43"/>
      <c r="H2" s="19"/>
    </row>
    <row r="3" spans="1:13" ht="63" x14ac:dyDescent="0.25">
      <c r="A3" s="54">
        <v>1.0301</v>
      </c>
      <c r="B3" s="43">
        <f t="shared" si="0"/>
        <v>0.26246215087235975</v>
      </c>
      <c r="C3" s="43"/>
      <c r="D3" s="45"/>
      <c r="E3" s="46" t="s">
        <v>38</v>
      </c>
      <c r="F3" s="47"/>
      <c r="G3" s="48" t="s">
        <v>39</v>
      </c>
      <c r="H3" s="20"/>
      <c r="M3"/>
    </row>
    <row r="4" spans="1:13" x14ac:dyDescent="0.25">
      <c r="A4" s="54">
        <v>1.0472900000000001</v>
      </c>
      <c r="B4" s="43">
        <f t="shared" si="0"/>
        <v>0.2451444085443597</v>
      </c>
      <c r="C4" s="43"/>
      <c r="D4" s="19"/>
      <c r="E4" s="19"/>
      <c r="F4" s="19"/>
      <c r="G4" s="19"/>
    </row>
    <row r="5" spans="1:13" ht="108.95" customHeight="1" x14ac:dyDescent="0.25">
      <c r="A5" s="54">
        <v>1.0710900000000001</v>
      </c>
      <c r="B5" s="43">
        <f t="shared" si="0"/>
        <v>0.22214310798435966</v>
      </c>
      <c r="C5" s="43"/>
      <c r="D5" s="49"/>
      <c r="E5" s="46" t="s">
        <v>36</v>
      </c>
      <c r="F5" s="50" t="s">
        <v>37</v>
      </c>
    </row>
    <row r="6" spans="1:13" x14ac:dyDescent="0.25">
      <c r="A6" s="54">
        <v>1.09911</v>
      </c>
      <c r="B6" s="43">
        <f t="shared" si="0"/>
        <v>0.19651542196035973</v>
      </c>
      <c r="C6" s="43"/>
    </row>
    <row r="7" spans="1:13" ht="69" customHeight="1" x14ac:dyDescent="0.25">
      <c r="A7" s="54">
        <v>1.1195900000000001</v>
      </c>
      <c r="B7" s="43">
        <f t="shared" si="0"/>
        <v>0.17877725978435971</v>
      </c>
      <c r="C7" s="43"/>
      <c r="D7" s="51"/>
      <c r="E7" s="46" t="s">
        <v>41</v>
      </c>
      <c r="F7" s="52" t="s">
        <v>52</v>
      </c>
    </row>
    <row r="8" spans="1:13" x14ac:dyDescent="0.25">
      <c r="A8" s="54">
        <v>1.1511100000000001</v>
      </c>
      <c r="B8" s="43">
        <f t="shared" si="0"/>
        <v>0.15311615956035973</v>
      </c>
      <c r="C8" s="43"/>
    </row>
    <row r="9" spans="1:13" ht="18.95" customHeight="1" x14ac:dyDescent="0.25">
      <c r="A9" s="54">
        <v>1.1653800000000001</v>
      </c>
      <c r="B9" s="43">
        <f t="shared" si="0"/>
        <v>0.14215207333635974</v>
      </c>
      <c r="C9" s="43"/>
    </row>
    <row r="10" spans="1:13" x14ac:dyDescent="0.25">
      <c r="A10" s="54">
        <v>1.16568</v>
      </c>
      <c r="B10" s="43">
        <f t="shared" si="0"/>
        <v>0.14192594497635977</v>
      </c>
      <c r="C10" s="43"/>
      <c r="D10" s="100" t="s">
        <v>31</v>
      </c>
      <c r="E10" s="21"/>
      <c r="F10" s="35"/>
      <c r="G10" s="22"/>
      <c r="H10" s="22"/>
    </row>
    <row r="11" spans="1:13" x14ac:dyDescent="0.25">
      <c r="A11" s="54">
        <v>1.19563</v>
      </c>
      <c r="B11" s="43">
        <f t="shared" si="0"/>
        <v>0.12025678453635984</v>
      </c>
      <c r="C11" s="43"/>
      <c r="D11" s="101"/>
      <c r="E11" s="23"/>
      <c r="F11" s="36"/>
    </row>
    <row r="12" spans="1:13" x14ac:dyDescent="0.25">
      <c r="A12" s="54">
        <v>1.2020200000000001</v>
      </c>
      <c r="B12" s="43">
        <f t="shared" si="0"/>
        <v>0.11586576056835976</v>
      </c>
      <c r="C12" s="43"/>
      <c r="D12" s="24" t="s">
        <v>46</v>
      </c>
      <c r="E12" s="44">
        <f>SQRT(1/49 * SUM(B1:B50))</f>
        <v>0.41039231207945204</v>
      </c>
      <c r="F12" s="42" t="s">
        <v>51</v>
      </c>
      <c r="H12" s="26" t="s">
        <v>45</v>
      </c>
      <c r="I12" s="26">
        <v>0.95</v>
      </c>
    </row>
    <row r="13" spans="1:13" x14ac:dyDescent="0.25">
      <c r="A13" s="54">
        <v>1.2312099999999999</v>
      </c>
      <c r="B13" s="43">
        <f t="shared" si="0"/>
        <v>9.684581344035989E-2</v>
      </c>
      <c r="C13" s="43"/>
      <c r="D13" s="26" t="s">
        <v>32</v>
      </c>
      <c r="E13" s="26">
        <f>_xlfn.T.INV(I14, 49)</f>
        <v>2.0095752371292388</v>
      </c>
      <c r="F13" s="42" t="s">
        <v>49</v>
      </c>
      <c r="H13" s="26" t="s">
        <v>27</v>
      </c>
      <c r="I13" s="26">
        <f>1-I12</f>
        <v>5.0000000000000044E-2</v>
      </c>
    </row>
    <row r="14" spans="1:13" x14ac:dyDescent="0.25">
      <c r="A14" s="54">
        <v>1.2785299999999999</v>
      </c>
      <c r="B14" s="43">
        <f t="shared" si="0"/>
        <v>6.9632971056359891E-2</v>
      </c>
      <c r="C14" s="43"/>
      <c r="D14" s="26" t="s">
        <v>29</v>
      </c>
      <c r="E14" s="26">
        <v>50</v>
      </c>
      <c r="F14" s="25"/>
      <c r="H14" s="26" t="s">
        <v>28</v>
      </c>
      <c r="I14" s="26">
        <f>1-I13/2</f>
        <v>0.97499999999999998</v>
      </c>
    </row>
    <row r="15" spans="1:13" x14ac:dyDescent="0.25">
      <c r="A15" s="54">
        <v>1.28857</v>
      </c>
      <c r="B15" s="43">
        <f t="shared" si="0"/>
        <v>6.4435050208359879E-2</v>
      </c>
      <c r="C15" s="43"/>
      <c r="D15" s="26" t="s">
        <v>30</v>
      </c>
      <c r="E15" s="27">
        <f>SUM(A1:A50)/E14</f>
        <v>1.5424105999999997</v>
      </c>
      <c r="F15" s="37"/>
    </row>
    <row r="16" spans="1:13" ht="15.6" customHeight="1" x14ac:dyDescent="0.25">
      <c r="A16" s="54">
        <v>1.31524</v>
      </c>
      <c r="B16" s="43">
        <f t="shared" si="0"/>
        <v>5.1606481504359897E-2</v>
      </c>
      <c r="C16" s="43"/>
      <c r="D16" s="28" t="s">
        <v>25</v>
      </c>
      <c r="E16" s="29">
        <f>E15-(E12/SQRT(E14))*E13</f>
        <v>1.4257783953873973</v>
      </c>
      <c r="F16" s="38">
        <f>E15+(E12/SQRT(E14))*E13</f>
        <v>1.6590428046126022</v>
      </c>
      <c r="H16" s="104" t="s">
        <v>44</v>
      </c>
      <c r="I16" s="104"/>
    </row>
    <row r="17" spans="1:13" ht="26.1" customHeight="1" x14ac:dyDescent="0.25">
      <c r="A17" s="54">
        <v>1.33144</v>
      </c>
      <c r="B17" s="43">
        <f t="shared" si="0"/>
        <v>4.4508594064359912E-2</v>
      </c>
      <c r="C17" s="43"/>
      <c r="F17" s="39"/>
      <c r="H17" s="104"/>
      <c r="I17" s="104"/>
    </row>
    <row r="18" spans="1:13" x14ac:dyDescent="0.25">
      <c r="A18" s="54">
        <v>1.35405</v>
      </c>
      <c r="B18" s="43">
        <f t="shared" si="0"/>
        <v>3.5479715632359909E-2</v>
      </c>
      <c r="C18" s="43"/>
      <c r="F18" s="39"/>
      <c r="H18" s="104"/>
      <c r="I18" s="104"/>
    </row>
    <row r="19" spans="1:13" x14ac:dyDescent="0.25">
      <c r="A19" s="54">
        <v>1.38235</v>
      </c>
      <c r="B19" s="43">
        <f t="shared" si="0"/>
        <v>2.5619395672359928E-2</v>
      </c>
      <c r="C19" s="43"/>
      <c r="D19" s="102" t="s">
        <v>42</v>
      </c>
      <c r="E19" s="21"/>
      <c r="F19" s="35"/>
      <c r="G19" s="22"/>
    </row>
    <row r="20" spans="1:13" x14ac:dyDescent="0.25">
      <c r="A20" s="54">
        <v>1.39706</v>
      </c>
      <c r="B20" s="43">
        <f t="shared" si="0"/>
        <v>2.1126796920359934E-2</v>
      </c>
      <c r="C20" s="43"/>
      <c r="D20" s="103"/>
      <c r="E20" s="23"/>
      <c r="F20" s="36"/>
      <c r="M20"/>
    </row>
    <row r="21" spans="1:13" x14ac:dyDescent="0.25">
      <c r="A21" s="54">
        <v>1.43075</v>
      </c>
      <c r="B21" s="43">
        <f t="shared" si="0"/>
        <v>1.2468089592359951E-2</v>
      </c>
      <c r="C21" s="43"/>
      <c r="D21" s="26" t="s">
        <v>26</v>
      </c>
      <c r="E21" s="30">
        <v>4</v>
      </c>
      <c r="F21" s="41" t="s">
        <v>48</v>
      </c>
      <c r="M21"/>
    </row>
    <row r="22" spans="1:13" ht="47.25" x14ac:dyDescent="0.25">
      <c r="A22" s="54">
        <v>1.43868</v>
      </c>
      <c r="B22" s="43">
        <f t="shared" si="0"/>
        <v>1.0760037376359955E-2</v>
      </c>
      <c r="C22" s="43"/>
      <c r="D22" s="31" t="s">
        <v>47</v>
      </c>
      <c r="E22" s="26">
        <f>_xlfn.NORM.S.INV(I14)</f>
        <v>1.9599639845400536</v>
      </c>
      <c r="F22" s="25"/>
    </row>
    <row r="23" spans="1:13" x14ac:dyDescent="0.25">
      <c r="A23" s="54">
        <v>1.4408700000000001</v>
      </c>
      <c r="B23" s="43">
        <f t="shared" si="0"/>
        <v>1.0310493448359928E-2</v>
      </c>
      <c r="C23" s="43"/>
      <c r="D23" s="26" t="s">
        <v>29</v>
      </c>
      <c r="E23" s="26">
        <v>50</v>
      </c>
      <c r="F23" s="25"/>
    </row>
    <row r="24" spans="1:13" x14ac:dyDescent="0.25">
      <c r="A24" s="54">
        <v>1.4523900000000001</v>
      </c>
      <c r="B24" s="43">
        <f t="shared" si="0"/>
        <v>8.1037084243599407E-3</v>
      </c>
      <c r="C24" s="43"/>
      <c r="D24" s="26" t="s">
        <v>30</v>
      </c>
      <c r="E24" s="27">
        <f>AVERAGE(A1:A50)</f>
        <v>1.5424105999999997</v>
      </c>
      <c r="F24" s="37"/>
    </row>
    <row r="25" spans="1:13" x14ac:dyDescent="0.25">
      <c r="A25" s="54">
        <v>1.46665</v>
      </c>
      <c r="B25" s="43">
        <f t="shared" si="0"/>
        <v>5.7396685123599599E-3</v>
      </c>
      <c r="C25" s="43"/>
      <c r="D25" s="28" t="s">
        <v>25</v>
      </c>
      <c r="E25" s="29">
        <f>E24-E22*(SQRT(E21)/SQRT(E23))</f>
        <v>0.98804907026012878</v>
      </c>
      <c r="F25" s="38">
        <f>E24+E22*(SQRT(E21)/SQRT(E23))</f>
        <v>2.0967721297398709</v>
      </c>
    </row>
    <row r="26" spans="1:13" x14ac:dyDescent="0.25">
      <c r="A26" s="54">
        <v>1.4887300000000001</v>
      </c>
      <c r="B26" s="43">
        <f t="shared" si="0"/>
        <v>2.8816068163599606E-3</v>
      </c>
      <c r="C26" s="43"/>
      <c r="F26" s="39"/>
    </row>
    <row r="27" spans="1:13" x14ac:dyDescent="0.25">
      <c r="A27" s="54">
        <v>1.5667199999999999</v>
      </c>
      <c r="B27" s="43">
        <f t="shared" si="0"/>
        <v>5.9094692836000721E-4</v>
      </c>
      <c r="C27" s="43"/>
      <c r="D27" s="100" t="s">
        <v>33</v>
      </c>
      <c r="E27" s="21"/>
      <c r="F27" s="35"/>
      <c r="G27" s="22"/>
      <c r="H27" s="22"/>
    </row>
    <row r="28" spans="1:13" x14ac:dyDescent="0.25">
      <c r="A28" s="54">
        <v>1.59293</v>
      </c>
      <c r="B28" s="43">
        <f t="shared" si="0"/>
        <v>2.5522097763600216E-3</v>
      </c>
      <c r="C28" s="43"/>
      <c r="D28" s="101"/>
      <c r="E28" s="23"/>
      <c r="F28" s="36"/>
    </row>
    <row r="29" spans="1:13" x14ac:dyDescent="0.25">
      <c r="A29" s="54">
        <v>1.6012599999999999</v>
      </c>
      <c r="B29" s="43">
        <f t="shared" si="0"/>
        <v>3.4632518803600193E-3</v>
      </c>
      <c r="C29" s="43"/>
      <c r="D29" s="24" t="s">
        <v>26</v>
      </c>
      <c r="E29" s="33">
        <f>_xlfn.VAR.P(A1:A50)</f>
        <v>0.16505341281764013</v>
      </c>
      <c r="F29" s="25"/>
    </row>
    <row r="30" spans="1:13" x14ac:dyDescent="0.25">
      <c r="A30" s="54">
        <v>1.60833</v>
      </c>
      <c r="B30" s="43">
        <f t="shared" si="0"/>
        <v>4.3453672963600391E-3</v>
      </c>
      <c r="C30" s="43"/>
      <c r="D30" s="26" t="s">
        <v>50</v>
      </c>
      <c r="E30" s="26">
        <f>_xlfn.CHISQ.INV(I13/2, 49)</f>
        <v>31.55491646266713</v>
      </c>
      <c r="F30" s="34">
        <f>_xlfn.CHISQ.INV(I14, 49)</f>
        <v>70.22241356643454</v>
      </c>
    </row>
    <row r="31" spans="1:13" x14ac:dyDescent="0.25">
      <c r="A31" s="54">
        <v>1.60971</v>
      </c>
      <c r="B31" s="43">
        <f t="shared" si="0"/>
        <v>4.5292092403600315E-3</v>
      </c>
      <c r="C31" s="43"/>
      <c r="D31" s="26" t="s">
        <v>29</v>
      </c>
      <c r="E31" s="24">
        <v>50</v>
      </c>
      <c r="F31" s="25"/>
    </row>
    <row r="32" spans="1:13" x14ac:dyDescent="0.25">
      <c r="A32" s="54">
        <v>1.6140699999999999</v>
      </c>
      <c r="B32" s="43">
        <f t="shared" si="0"/>
        <v>5.135069608360022E-3</v>
      </c>
      <c r="C32" s="43"/>
      <c r="D32" s="26" t="s">
        <v>30</v>
      </c>
      <c r="E32" s="27">
        <f>AVERAGE(A1:A50)</f>
        <v>1.5424105999999997</v>
      </c>
      <c r="F32" s="25"/>
    </row>
    <row r="33" spans="1:6" x14ac:dyDescent="0.25">
      <c r="A33" s="54">
        <v>1.6327499999999999</v>
      </c>
      <c r="B33" s="43">
        <f t="shared" si="0"/>
        <v>8.1612071923600326E-3</v>
      </c>
      <c r="C33" s="43"/>
      <c r="D33" s="26" t="s">
        <v>35</v>
      </c>
      <c r="E33" s="26">
        <f>_xlfn.VAR.S(A1:A50)</f>
        <v>0.16842184981391842</v>
      </c>
      <c r="F33" s="40" t="s">
        <v>43</v>
      </c>
    </row>
    <row r="34" spans="1:6" x14ac:dyDescent="0.25">
      <c r="A34" s="54">
        <v>1.63835</v>
      </c>
      <c r="B34" s="43">
        <f t="shared" si="0"/>
        <v>9.2043684723600444E-3</v>
      </c>
      <c r="C34" s="43"/>
      <c r="D34" s="28" t="s">
        <v>34</v>
      </c>
      <c r="E34" s="29">
        <f>((E31-1)*E33)/F30</f>
        <v>0.117521888265411</v>
      </c>
      <c r="F34" s="38">
        <f>((E31-1)*E33)/E30</f>
        <v>0.26153359178262447</v>
      </c>
    </row>
    <row r="35" spans="1:6" x14ac:dyDescent="0.25">
      <c r="A35" s="54">
        <v>1.64323</v>
      </c>
      <c r="B35" s="43">
        <f t="shared" si="0"/>
        <v>1.0164551416360046E-2</v>
      </c>
      <c r="C35" s="43"/>
    </row>
    <row r="36" spans="1:6" x14ac:dyDescent="0.25">
      <c r="A36" s="54">
        <v>1.6846699999999999</v>
      </c>
      <c r="B36" s="43">
        <f t="shared" si="0"/>
        <v>2.0237736888360041E-2</v>
      </c>
      <c r="C36" s="43"/>
      <c r="D36" s="32"/>
    </row>
    <row r="37" spans="1:6" x14ac:dyDescent="0.25">
      <c r="A37" s="54">
        <v>1.7030099999999999</v>
      </c>
      <c r="B37" s="43">
        <f t="shared" si="0"/>
        <v>2.5792167280360056E-2</v>
      </c>
      <c r="C37" s="43"/>
    </row>
    <row r="38" spans="1:6" x14ac:dyDescent="0.25">
      <c r="A38" s="54">
        <v>1.7760800000000001</v>
      </c>
      <c r="B38" s="43">
        <f t="shared" si="0"/>
        <v>5.4601388496360169E-2</v>
      </c>
      <c r="C38" s="43"/>
    </row>
    <row r="39" spans="1:6" x14ac:dyDescent="0.25">
      <c r="A39" s="54">
        <v>1.79559</v>
      </c>
      <c r="B39" s="43">
        <f t="shared" si="0"/>
        <v>6.4099808584360138E-2</v>
      </c>
      <c r="C39" s="43"/>
    </row>
    <row r="40" spans="1:6" x14ac:dyDescent="0.25">
      <c r="A40" s="54">
        <v>1.79654</v>
      </c>
      <c r="B40" s="43">
        <f t="shared" si="0"/>
        <v>6.4581751944360138E-2</v>
      </c>
      <c r="C40" s="43"/>
    </row>
    <row r="41" spans="1:6" x14ac:dyDescent="0.25">
      <c r="A41" s="54">
        <v>1.8041400000000001</v>
      </c>
      <c r="B41" s="43">
        <f t="shared" si="0"/>
        <v>6.8502278824360177E-2</v>
      </c>
      <c r="C41" s="43"/>
    </row>
    <row r="42" spans="1:6" x14ac:dyDescent="0.25">
      <c r="A42" s="54">
        <v>1.80463</v>
      </c>
      <c r="B42" s="43">
        <f t="shared" si="0"/>
        <v>6.8759013736360106E-2</v>
      </c>
      <c r="C42" s="43"/>
    </row>
    <row r="43" spans="1:6" x14ac:dyDescent="0.25">
      <c r="A43" s="54">
        <v>1.8061400000000001</v>
      </c>
      <c r="B43" s="43">
        <f t="shared" si="0"/>
        <v>6.9553196424360184E-2</v>
      </c>
      <c r="C43" s="43"/>
    </row>
    <row r="44" spans="1:6" x14ac:dyDescent="0.25">
      <c r="A44" s="54">
        <v>1.83894</v>
      </c>
      <c r="B44" s="43">
        <f t="shared" si="0"/>
        <v>8.7929685064360164E-2</v>
      </c>
      <c r="C44" s="43"/>
    </row>
    <row r="45" spans="1:6" x14ac:dyDescent="0.25">
      <c r="A45" s="54">
        <v>1.96417</v>
      </c>
      <c r="B45" s="43">
        <f t="shared" si="0"/>
        <v>0.1778809914883602</v>
      </c>
      <c r="C45" s="43"/>
    </row>
    <row r="46" spans="1:6" x14ac:dyDescent="0.25">
      <c r="A46" s="54">
        <v>1.98302</v>
      </c>
      <c r="B46" s="43">
        <f t="shared" si="0"/>
        <v>0.19413664336836023</v>
      </c>
      <c r="C46" s="43"/>
    </row>
    <row r="47" spans="1:6" x14ac:dyDescent="0.25">
      <c r="A47" s="55">
        <v>2.1029599999999999</v>
      </c>
      <c r="B47" s="43">
        <f t="shared" si="0"/>
        <v>0.31421562984036022</v>
      </c>
      <c r="C47" s="43"/>
    </row>
    <row r="48" spans="1:6" x14ac:dyDescent="0.25">
      <c r="A48" s="55">
        <v>2.1596799999999998</v>
      </c>
      <c r="B48" s="43">
        <f t="shared" si="0"/>
        <v>0.3810215121763601</v>
      </c>
      <c r="C48" s="43"/>
    </row>
    <row r="49" spans="1:3" x14ac:dyDescent="0.25">
      <c r="A49" s="55">
        <v>2.8480599999999998</v>
      </c>
      <c r="B49" s="43">
        <f t="shared" si="0"/>
        <v>1.7047203557203603</v>
      </c>
      <c r="C49" s="43"/>
    </row>
    <row r="50" spans="1:3" ht="16.5" thickBot="1" x14ac:dyDescent="0.3">
      <c r="A50" s="56">
        <v>2.9899100000000001</v>
      </c>
      <c r="B50" s="43">
        <f t="shared" si="0"/>
        <v>2.095254513000361</v>
      </c>
      <c r="C50" s="43"/>
    </row>
  </sheetData>
  <mergeCells count="4">
    <mergeCell ref="D10:D11"/>
    <mergeCell ref="D19:D20"/>
    <mergeCell ref="D27:D28"/>
    <mergeCell ref="H16:I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21E-869F-40FE-A2B9-AF5E1BE2CAF4}">
  <sheetPr>
    <tabColor theme="9" tint="0.39997558519241921"/>
  </sheetPr>
  <dimension ref="A2:S51"/>
  <sheetViews>
    <sheetView zoomScale="70" zoomScaleNormal="70" workbookViewId="0">
      <selection activeCell="G24" sqref="G24"/>
    </sheetView>
  </sheetViews>
  <sheetFormatPr defaultColWidth="8.7109375" defaultRowHeight="15" x14ac:dyDescent="0.25"/>
  <cols>
    <col min="1" max="2" width="8.7109375" style="1"/>
    <col min="3" max="3" width="18" style="1" bestFit="1" customWidth="1"/>
    <col min="4" max="4" width="12.42578125" style="1" customWidth="1"/>
    <col min="5" max="5" width="12.140625" style="1" customWidth="1"/>
    <col min="6" max="6" width="19.85546875" style="1" customWidth="1"/>
    <col min="7" max="7" width="13.42578125" style="1" customWidth="1"/>
    <col min="8" max="8" width="14.85546875" style="1" customWidth="1"/>
    <col min="9" max="9" width="20.140625" style="1" customWidth="1"/>
    <col min="10" max="10" width="12.85546875" style="1" customWidth="1"/>
    <col min="11" max="11" width="14.28515625" style="1" bestFit="1" customWidth="1"/>
    <col min="12" max="12" width="16.140625" style="1" bestFit="1" customWidth="1"/>
    <col min="13" max="13" width="12.85546875" style="1" bestFit="1" customWidth="1"/>
    <col min="14" max="14" width="10" style="1" customWidth="1"/>
    <col min="15" max="15" width="10.140625" style="1" customWidth="1"/>
    <col min="16" max="16" width="22.42578125" style="1" customWidth="1"/>
    <col min="17" max="16384" width="8.7109375" style="1"/>
  </cols>
  <sheetData>
    <row r="2" spans="1:19" x14ac:dyDescent="0.25">
      <c r="A2" s="61">
        <v>-1.6568700000000001</v>
      </c>
      <c r="C2" s="57" t="s">
        <v>63</v>
      </c>
      <c r="D2" s="57">
        <f>COUNTA(A2:A51)</f>
        <v>50</v>
      </c>
      <c r="F2" s="57" t="s">
        <v>53</v>
      </c>
      <c r="G2" s="57">
        <f>AVERAGE(A2:A51)</f>
        <v>2.5221319600000003</v>
      </c>
      <c r="I2" s="57" t="s">
        <v>56</v>
      </c>
      <c r="J2" s="57">
        <f>D5-2-1</f>
        <v>3</v>
      </c>
    </row>
    <row r="3" spans="1:19" x14ac:dyDescent="0.25">
      <c r="A3" s="62">
        <v>-0.74036199999999996</v>
      </c>
      <c r="C3" s="58" t="s">
        <v>6</v>
      </c>
      <c r="D3" s="58">
        <f>MIN(A2:A51)</f>
        <v>-1.6568700000000001</v>
      </c>
      <c r="F3" s="64" t="s">
        <v>54</v>
      </c>
      <c r="G3" s="58">
        <f>_xlfn.VAR.S(A2:A51)</f>
        <v>3.7976036708135497</v>
      </c>
      <c r="I3" s="58" t="s">
        <v>57</v>
      </c>
      <c r="J3" s="58">
        <v>0.1</v>
      </c>
    </row>
    <row r="4" spans="1:19" x14ac:dyDescent="0.25">
      <c r="A4" s="62">
        <v>-0.73702800000000002</v>
      </c>
      <c r="C4" s="58" t="s">
        <v>7</v>
      </c>
      <c r="D4" s="58">
        <f>MAX(A2:A51)</f>
        <v>6.4695099999999996</v>
      </c>
      <c r="F4" s="65" t="s">
        <v>55</v>
      </c>
      <c r="G4" s="59">
        <f>_xlfn.STDEV.S(A2:A51)</f>
        <v>1.9487441265629384</v>
      </c>
      <c r="I4" s="58" t="s">
        <v>58</v>
      </c>
      <c r="J4" s="58">
        <f>_xlfn.CHISQ.INV.RT(J3,J2)</f>
        <v>6.2513886311703235</v>
      </c>
    </row>
    <row r="5" spans="1:19" x14ac:dyDescent="0.25">
      <c r="A5" s="62">
        <v>-0.60269700000000004</v>
      </c>
      <c r="C5" s="58" t="s">
        <v>8</v>
      </c>
      <c r="D5" s="58">
        <v>6</v>
      </c>
      <c r="I5" s="59" t="s">
        <v>59</v>
      </c>
      <c r="J5" s="59">
        <v>50</v>
      </c>
    </row>
    <row r="6" spans="1:19" x14ac:dyDescent="0.25">
      <c r="A6" s="62">
        <v>-0.43187900000000001</v>
      </c>
      <c r="C6" s="59" t="s">
        <v>9</v>
      </c>
      <c r="D6" s="60">
        <f>(D4-D3)/(D5)</f>
        <v>1.3543966666666665</v>
      </c>
    </row>
    <row r="7" spans="1:19" x14ac:dyDescent="0.25">
      <c r="A7" s="62">
        <v>-0.17352000000000001</v>
      </c>
    </row>
    <row r="8" spans="1:19" x14ac:dyDescent="0.25">
      <c r="A8" s="62">
        <v>-0.13830100000000001</v>
      </c>
    </row>
    <row r="9" spans="1:19" ht="14.1" customHeight="1" x14ac:dyDescent="0.25">
      <c r="A9" s="62">
        <v>-3.0000000000000001E-3</v>
      </c>
      <c r="C9" s="117" t="s">
        <v>10</v>
      </c>
      <c r="D9" s="117" t="s">
        <v>14</v>
      </c>
      <c r="E9" s="117" t="s">
        <v>15</v>
      </c>
      <c r="F9" s="117" t="s">
        <v>16</v>
      </c>
      <c r="G9" s="117" t="s">
        <v>62</v>
      </c>
      <c r="H9" s="117" t="s">
        <v>18</v>
      </c>
      <c r="I9" s="117" t="s">
        <v>22</v>
      </c>
      <c r="J9" s="118" t="s">
        <v>19</v>
      </c>
      <c r="L9" s="116" t="s">
        <v>60</v>
      </c>
      <c r="M9" s="116"/>
      <c r="N9" s="116" t="s">
        <v>61</v>
      </c>
      <c r="O9" s="116"/>
      <c r="P9" s="106" t="s">
        <v>64</v>
      </c>
      <c r="Q9" s="116"/>
      <c r="R9" s="116"/>
    </row>
    <row r="10" spans="1:19" x14ac:dyDescent="0.25">
      <c r="A10" s="62">
        <v>0.27818100000000001</v>
      </c>
      <c r="C10" s="117"/>
      <c r="D10" s="117"/>
      <c r="E10" s="117"/>
      <c r="F10" s="117"/>
      <c r="G10" s="117"/>
      <c r="H10" s="117"/>
      <c r="I10" s="117"/>
      <c r="J10" s="118"/>
      <c r="L10" s="116"/>
      <c r="M10" s="116"/>
      <c r="N10" s="116"/>
      <c r="O10" s="116"/>
      <c r="P10" s="107"/>
      <c r="Q10" s="116"/>
      <c r="R10" s="116"/>
    </row>
    <row r="11" spans="1:19" x14ac:dyDescent="0.25">
      <c r="A11" s="62">
        <v>0.42441400000000001</v>
      </c>
      <c r="C11" s="66">
        <v>1</v>
      </c>
      <c r="D11" s="67">
        <f>D3</f>
        <v>-1.6568700000000001</v>
      </c>
      <c r="E11" s="68">
        <f>D12</f>
        <v>-0.30247333333333359</v>
      </c>
      <c r="F11" s="69">
        <f t="shared" ref="F11:F16" si="0">(D11+E11)/2</f>
        <v>-0.97967166666666683</v>
      </c>
      <c r="G11" s="69" cm="1">
        <f t="array" ref="G11:G16">FREQUENCY(A2:A51,D12:D16)</f>
        <v>5</v>
      </c>
      <c r="H11" s="69">
        <f t="shared" ref="H11:H16" si="1">G11/$G$17</f>
        <v>0.1</v>
      </c>
      <c r="I11" s="69">
        <f t="shared" ref="I11:I16" si="2">H11/$D$6</f>
        <v>7.3833613490877872E-2</v>
      </c>
      <c r="J11" s="71">
        <f>H11</f>
        <v>0.1</v>
      </c>
      <c r="L11" s="70">
        <f>(D11-$G$2)/$G$4</f>
        <v>-2.1444590405876625</v>
      </c>
      <c r="M11" s="70">
        <f>(E11-$G$2)/$G$4</f>
        <v>-1.4494490348074476</v>
      </c>
      <c r="N11" s="70">
        <v>0</v>
      </c>
      <c r="O11" s="70">
        <f>_xlfn.NORM.S.DIST(M11, TRUE)</f>
        <v>7.3606111689107662E-2</v>
      </c>
      <c r="P11" s="72">
        <f>O11-N11</f>
        <v>7.3606111689107662E-2</v>
      </c>
      <c r="Q11" s="105">
        <f t="shared" ref="Q11:Q16" si="3">POWER(G11-$D$2*P11,2)/($D$2*P11)</f>
        <v>0.47321976679753674</v>
      </c>
      <c r="R11" s="105"/>
      <c r="S11" s="1">
        <f>P11*50</f>
        <v>3.6803055844553829</v>
      </c>
    </row>
    <row r="12" spans="1:19" x14ac:dyDescent="0.25">
      <c r="A12" s="62">
        <v>1.0916300000000001</v>
      </c>
      <c r="C12" s="66">
        <v>2</v>
      </c>
      <c r="D12" s="67">
        <f t="shared" ref="D12:E16" si="4">D11+$D$6</f>
        <v>-0.30247333333333359</v>
      </c>
      <c r="E12" s="68">
        <f t="shared" si="4"/>
        <v>1.0519233333333329</v>
      </c>
      <c r="F12" s="69">
        <f t="shared" si="0"/>
        <v>0.37472499999999964</v>
      </c>
      <c r="G12" s="69">
        <v>5</v>
      </c>
      <c r="H12" s="69">
        <f t="shared" si="1"/>
        <v>0.1</v>
      </c>
      <c r="I12" s="69">
        <f t="shared" si="2"/>
        <v>7.3833613490877872E-2</v>
      </c>
      <c r="J12" s="71">
        <f>J11+H12</f>
        <v>0.2</v>
      </c>
      <c r="L12" s="70">
        <f t="shared" ref="L12:M15" si="5">(D12-$G$2)/$G$4</f>
        <v>-1.4494490348074476</v>
      </c>
      <c r="M12" s="70">
        <f t="shared" si="5"/>
        <v>-0.75443902902723348</v>
      </c>
      <c r="N12" s="70">
        <f t="shared" ref="N12:O16" si="6">_xlfn.NORM.S.DIST(L12, TRUE)</f>
        <v>7.3606111689107662E-2</v>
      </c>
      <c r="O12" s="70">
        <f t="shared" si="6"/>
        <v>0.22529282170113021</v>
      </c>
      <c r="P12" s="72">
        <f>O12-N12</f>
        <v>0.15168671001202255</v>
      </c>
      <c r="Q12" s="105">
        <f t="shared" si="3"/>
        <v>0.88060318259100312</v>
      </c>
      <c r="R12" s="105"/>
      <c r="S12" s="1">
        <f t="shared" ref="S12:S16" si="7">P12*50</f>
        <v>7.5843355006011279</v>
      </c>
    </row>
    <row r="13" spans="1:19" x14ac:dyDescent="0.25">
      <c r="A13" s="62">
        <v>1.16337</v>
      </c>
      <c r="C13" s="66">
        <v>3</v>
      </c>
      <c r="D13" s="67">
        <f t="shared" si="4"/>
        <v>1.0519233333333329</v>
      </c>
      <c r="E13" s="68">
        <f t="shared" si="4"/>
        <v>2.4063199999999991</v>
      </c>
      <c r="F13" s="69">
        <f t="shared" si="0"/>
        <v>1.729121666666666</v>
      </c>
      <c r="G13" s="69">
        <v>12</v>
      </c>
      <c r="H13" s="69">
        <f t="shared" si="1"/>
        <v>0.24</v>
      </c>
      <c r="I13" s="69">
        <f t="shared" si="2"/>
        <v>0.17720067237810688</v>
      </c>
      <c r="J13" s="71">
        <f t="shared" ref="J13:J16" si="8">J12+H13</f>
        <v>0.44</v>
      </c>
      <c r="L13" s="70">
        <f>(D13-$G$2)/$G$4</f>
        <v>-0.75443902902723348</v>
      </c>
      <c r="M13" s="70">
        <f t="shared" si="5"/>
        <v>-5.9429023247019284E-2</v>
      </c>
      <c r="N13" s="70">
        <f t="shared" si="6"/>
        <v>0.22529282170113021</v>
      </c>
      <c r="O13" s="70">
        <f t="shared" si="6"/>
        <v>0.47630519834889551</v>
      </c>
      <c r="P13" s="72">
        <f>O13-N13</f>
        <v>0.25101237664776532</v>
      </c>
      <c r="Q13" s="105">
        <f t="shared" si="3"/>
        <v>2.4156665311054284E-2</v>
      </c>
      <c r="R13" s="105"/>
      <c r="S13" s="1">
        <f t="shared" si="7"/>
        <v>12.550618832388267</v>
      </c>
    </row>
    <row r="14" spans="1:19" x14ac:dyDescent="0.25">
      <c r="A14" s="62">
        <v>1.25841</v>
      </c>
      <c r="C14" s="66">
        <v>4</v>
      </c>
      <c r="D14" s="67">
        <f t="shared" si="4"/>
        <v>2.4063199999999991</v>
      </c>
      <c r="E14" s="68">
        <f t="shared" si="4"/>
        <v>3.7607166666666654</v>
      </c>
      <c r="F14" s="69">
        <f t="shared" si="0"/>
        <v>3.0835183333333323</v>
      </c>
      <c r="G14" s="69">
        <v>13</v>
      </c>
      <c r="H14" s="69">
        <f t="shared" si="1"/>
        <v>0.26</v>
      </c>
      <c r="I14" s="69">
        <f t="shared" si="2"/>
        <v>0.19196739507628247</v>
      </c>
      <c r="J14" s="71">
        <f t="shared" si="8"/>
        <v>0.7</v>
      </c>
      <c r="L14" s="70">
        <f t="shared" si="5"/>
        <v>-5.9429023247019284E-2</v>
      </c>
      <c r="M14" s="70">
        <f t="shared" si="5"/>
        <v>0.63558098253319495</v>
      </c>
      <c r="N14" s="70">
        <f t="shared" si="6"/>
        <v>0.47630519834889551</v>
      </c>
      <c r="O14" s="70">
        <f t="shared" si="6"/>
        <v>0.73747521598162113</v>
      </c>
      <c r="P14" s="72">
        <f t="shared" ref="P14:P15" si="9">O14-N14</f>
        <v>0.26117001763272563</v>
      </c>
      <c r="Q14" s="105">
        <f t="shared" si="3"/>
        <v>2.6207856347698231E-4</v>
      </c>
      <c r="R14" s="105"/>
      <c r="S14" s="1">
        <f t="shared" si="7"/>
        <v>13.058500881636281</v>
      </c>
    </row>
    <row r="15" spans="1:19" x14ac:dyDescent="0.25">
      <c r="A15" s="62">
        <v>1.49274</v>
      </c>
      <c r="C15" s="66">
        <v>5</v>
      </c>
      <c r="D15" s="67">
        <f t="shared" si="4"/>
        <v>3.7607166666666654</v>
      </c>
      <c r="E15" s="68">
        <f t="shared" si="4"/>
        <v>5.1151133333333316</v>
      </c>
      <c r="F15" s="69">
        <f t="shared" si="0"/>
        <v>4.4379149999999985</v>
      </c>
      <c r="G15" s="69">
        <v>10</v>
      </c>
      <c r="H15" s="69">
        <f t="shared" si="1"/>
        <v>0.2</v>
      </c>
      <c r="I15" s="69">
        <f t="shared" si="2"/>
        <v>0.14766722698175574</v>
      </c>
      <c r="J15" s="71">
        <f t="shared" si="8"/>
        <v>0.89999999999999991</v>
      </c>
      <c r="L15" s="70">
        <f t="shared" si="5"/>
        <v>0.63558098253319495</v>
      </c>
      <c r="M15" s="70">
        <f t="shared" si="5"/>
        <v>1.3305909883134091</v>
      </c>
      <c r="N15" s="70">
        <f t="shared" si="6"/>
        <v>0.73747521598162113</v>
      </c>
      <c r="O15" s="70">
        <f t="shared" si="6"/>
        <v>0.90833818533773036</v>
      </c>
      <c r="P15" s="72">
        <f t="shared" si="9"/>
        <v>0.17086296935610923</v>
      </c>
      <c r="Q15" s="105">
        <f t="shared" si="3"/>
        <v>0.2484349177420736</v>
      </c>
      <c r="R15" s="105"/>
      <c r="S15" s="1">
        <f t="shared" si="7"/>
        <v>8.5431484678054623</v>
      </c>
    </row>
    <row r="16" spans="1:19" x14ac:dyDescent="0.25">
      <c r="A16" s="62">
        <v>1.5833200000000001</v>
      </c>
      <c r="C16" s="66">
        <v>6</v>
      </c>
      <c r="D16" s="67">
        <f t="shared" si="4"/>
        <v>5.1151133333333316</v>
      </c>
      <c r="E16" s="68">
        <f t="shared" si="4"/>
        <v>6.4695099999999979</v>
      </c>
      <c r="F16" s="69">
        <f t="shared" si="0"/>
        <v>5.7923116666666647</v>
      </c>
      <c r="G16" s="69">
        <v>5</v>
      </c>
      <c r="H16" s="69">
        <f t="shared" si="1"/>
        <v>0.1</v>
      </c>
      <c r="I16" s="69">
        <f t="shared" si="2"/>
        <v>7.3833613490877872E-2</v>
      </c>
      <c r="J16" s="71">
        <f t="shared" si="8"/>
        <v>0.99999999999999989</v>
      </c>
      <c r="L16" s="70">
        <f>(D16-$G$2)/$G$4</f>
        <v>1.3305909883134091</v>
      </c>
      <c r="M16" s="70">
        <f>(E16-$G$2)/$G$4</f>
        <v>2.0256009940936233</v>
      </c>
      <c r="N16" s="70">
        <f t="shared" si="6"/>
        <v>0.90833818533773036</v>
      </c>
      <c r="O16" s="70">
        <v>1</v>
      </c>
      <c r="P16" s="72">
        <f>O16-N16</f>
        <v>9.1661814662269636E-2</v>
      </c>
      <c r="Q16" s="105">
        <f t="shared" si="3"/>
        <v>3.7924917252898441E-2</v>
      </c>
      <c r="R16" s="105"/>
      <c r="S16" s="1">
        <f t="shared" si="7"/>
        <v>4.5830907331134814</v>
      </c>
    </row>
    <row r="17" spans="1:18" x14ac:dyDescent="0.25">
      <c r="A17" s="62">
        <v>1.5901099999999999</v>
      </c>
      <c r="C17" s="73" t="s">
        <v>13</v>
      </c>
      <c r="D17" s="74"/>
      <c r="E17" s="75"/>
      <c r="F17" s="76"/>
      <c r="G17" s="76">
        <f>SUM(_xlfn.ANCHORARRAY(G11))</f>
        <v>50</v>
      </c>
      <c r="H17" s="76">
        <f>SUM(H11:H16)</f>
        <v>0.99999999999999989</v>
      </c>
      <c r="I17" s="76"/>
      <c r="J17" s="77"/>
    </row>
    <row r="18" spans="1:18" x14ac:dyDescent="0.25">
      <c r="A18" s="62">
        <v>1.63781</v>
      </c>
      <c r="P18" s="110"/>
      <c r="Q18" s="109">
        <f>SUM(Q11:Q16)</f>
        <v>1.6646015282580433</v>
      </c>
      <c r="R18" s="109"/>
    </row>
    <row r="19" spans="1:18" x14ac:dyDescent="0.25">
      <c r="A19" s="62">
        <v>1.72692</v>
      </c>
      <c r="P19" s="111"/>
      <c r="Q19" s="109"/>
      <c r="R19" s="109"/>
    </row>
    <row r="20" spans="1:18" x14ac:dyDescent="0.25">
      <c r="A20" s="62">
        <v>1.7513700000000001</v>
      </c>
      <c r="C20" s="108" t="s">
        <v>66</v>
      </c>
      <c r="D20" s="108"/>
      <c r="E20" s="108"/>
      <c r="P20" s="112"/>
      <c r="Q20" s="109"/>
      <c r="R20" s="109"/>
    </row>
    <row r="21" spans="1:18" x14ac:dyDescent="0.25">
      <c r="A21" s="62">
        <v>1.9047400000000001</v>
      </c>
      <c r="C21" s="108"/>
      <c r="D21" s="108"/>
      <c r="E21" s="108"/>
    </row>
    <row r="22" spans="1:18" ht="14.1" customHeight="1" x14ac:dyDescent="0.25">
      <c r="A22" s="62">
        <v>1.91276</v>
      </c>
      <c r="C22" s="108"/>
      <c r="D22" s="108"/>
      <c r="E22" s="108"/>
      <c r="P22" s="113" t="s">
        <v>65</v>
      </c>
      <c r="Q22" s="108" t="str">
        <f>IF(Q18&lt;$J$4, "да, гипотеза не противоречит результату", "нет, гипотеза отвергнута")</f>
        <v>да, гипотеза не противоречит результату</v>
      </c>
      <c r="R22" s="108"/>
    </row>
    <row r="23" spans="1:18" x14ac:dyDescent="0.25">
      <c r="A23" s="62">
        <v>2.3263500000000001</v>
      </c>
      <c r="P23" s="114"/>
      <c r="Q23" s="108"/>
      <c r="R23" s="108"/>
    </row>
    <row r="24" spans="1:18" x14ac:dyDescent="0.25">
      <c r="A24" s="62">
        <v>2.4750100000000002</v>
      </c>
      <c r="P24" s="115"/>
      <c r="Q24" s="108"/>
      <c r="R24" s="108"/>
    </row>
    <row r="25" spans="1:18" x14ac:dyDescent="0.25">
      <c r="A25" s="62">
        <v>2.7407699999999999</v>
      </c>
    </row>
    <row r="26" spans="1:18" x14ac:dyDescent="0.25">
      <c r="A26" s="62">
        <v>2.7423299999999999</v>
      </c>
    </row>
    <row r="27" spans="1:18" x14ac:dyDescent="0.25">
      <c r="A27" s="62">
        <v>2.7600500000000001</v>
      </c>
    </row>
    <row r="28" spans="1:18" x14ac:dyDescent="0.25">
      <c r="A28" s="62">
        <v>2.7949199999999998</v>
      </c>
    </row>
    <row r="29" spans="1:18" x14ac:dyDescent="0.25">
      <c r="A29" s="62">
        <v>2.8339300000000001</v>
      </c>
    </row>
    <row r="30" spans="1:18" x14ac:dyDescent="0.25">
      <c r="A30" s="62">
        <v>2.9357099999999998</v>
      </c>
    </row>
    <row r="31" spans="1:18" x14ac:dyDescent="0.25">
      <c r="A31" s="62">
        <v>3.0167700000000002</v>
      </c>
    </row>
    <row r="32" spans="1:18" x14ac:dyDescent="0.25">
      <c r="A32" s="62">
        <v>3.0217100000000001</v>
      </c>
    </row>
    <row r="33" spans="1:1" x14ac:dyDescent="0.25">
      <c r="A33" s="62">
        <v>3.1695199999999999</v>
      </c>
    </row>
    <row r="34" spans="1:1" x14ac:dyDescent="0.25">
      <c r="A34" s="62">
        <v>3.1700400000000002</v>
      </c>
    </row>
    <row r="35" spans="1:1" x14ac:dyDescent="0.25">
      <c r="A35" s="62">
        <v>3.7054800000000001</v>
      </c>
    </row>
    <row r="36" spans="1:1" x14ac:dyDescent="0.25">
      <c r="A36" s="62">
        <v>3.7261500000000001</v>
      </c>
    </row>
    <row r="37" spans="1:1" x14ac:dyDescent="0.25">
      <c r="A37" s="62">
        <v>3.8111799999999998</v>
      </c>
    </row>
    <row r="38" spans="1:1" x14ac:dyDescent="0.25">
      <c r="A38" s="62">
        <v>3.81745</v>
      </c>
    </row>
    <row r="39" spans="1:1" x14ac:dyDescent="0.25">
      <c r="A39" s="62">
        <v>3.9186800000000002</v>
      </c>
    </row>
    <row r="40" spans="1:1" x14ac:dyDescent="0.25">
      <c r="A40" s="62">
        <v>3.99708</v>
      </c>
    </row>
    <row r="41" spans="1:1" x14ac:dyDescent="0.25">
      <c r="A41" s="62">
        <v>4.2461700000000002</v>
      </c>
    </row>
    <row r="42" spans="1:1" x14ac:dyDescent="0.25">
      <c r="A42" s="62">
        <v>4.3758400000000002</v>
      </c>
    </row>
    <row r="43" spans="1:1" x14ac:dyDescent="0.25">
      <c r="A43" s="62">
        <v>4.6064499999999997</v>
      </c>
    </row>
    <row r="44" spans="1:1" x14ac:dyDescent="0.25">
      <c r="A44" s="62">
        <v>4.6470500000000001</v>
      </c>
    </row>
    <row r="45" spans="1:1" x14ac:dyDescent="0.25">
      <c r="A45" s="62">
        <v>5.0537799999999997</v>
      </c>
    </row>
    <row r="46" spans="1:1" x14ac:dyDescent="0.25">
      <c r="A46" s="62">
        <v>5.10623</v>
      </c>
    </row>
    <row r="47" spans="1:1" x14ac:dyDescent="0.25">
      <c r="A47" s="62">
        <v>5.1539200000000003</v>
      </c>
    </row>
    <row r="48" spans="1:1" x14ac:dyDescent="0.25">
      <c r="A48" s="62">
        <v>5.2593199999999998</v>
      </c>
    </row>
    <row r="49" spans="1:1" x14ac:dyDescent="0.25">
      <c r="A49" s="62">
        <v>5.4249200000000002</v>
      </c>
    </row>
    <row r="50" spans="1:1" x14ac:dyDescent="0.25">
      <c r="A50" s="62">
        <v>5.4681600000000001</v>
      </c>
    </row>
    <row r="51" spans="1:1" x14ac:dyDescent="0.25">
      <c r="A51" s="63">
        <v>6.4695099999999996</v>
      </c>
    </row>
  </sheetData>
  <mergeCells count="23">
    <mergeCell ref="I9:I10"/>
    <mergeCell ref="J9:J10"/>
    <mergeCell ref="D9:D10"/>
    <mergeCell ref="E9:E10"/>
    <mergeCell ref="F9:F10"/>
    <mergeCell ref="G9:G10"/>
    <mergeCell ref="H9:H10"/>
    <mergeCell ref="Q15:R15"/>
    <mergeCell ref="Q16:R16"/>
    <mergeCell ref="P9:P10"/>
    <mergeCell ref="C20:E22"/>
    <mergeCell ref="Q18:R20"/>
    <mergeCell ref="Q22:R24"/>
    <mergeCell ref="P18:P20"/>
    <mergeCell ref="P22:P24"/>
    <mergeCell ref="Q9:R10"/>
    <mergeCell ref="Q11:R11"/>
    <mergeCell ref="Q12:R12"/>
    <mergeCell ref="Q13:R13"/>
    <mergeCell ref="Q14:R14"/>
    <mergeCell ref="N9:O10"/>
    <mergeCell ref="L9:M10"/>
    <mergeCell ref="C9:C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5912-5643-4AFA-826C-8663BDB3FB36}">
  <sheetPr>
    <tabColor theme="8" tint="0.39997558519241921"/>
  </sheetPr>
  <dimension ref="A1:V52"/>
  <sheetViews>
    <sheetView topLeftCell="G1" zoomScale="86" zoomScaleNormal="190" workbookViewId="0">
      <selection activeCell="Q14" sqref="Q14"/>
    </sheetView>
  </sheetViews>
  <sheetFormatPr defaultColWidth="8.85546875" defaultRowHeight="15" x14ac:dyDescent="0.25"/>
  <cols>
    <col min="1" max="1" width="20.7109375" style="1" bestFit="1" customWidth="1"/>
    <col min="2" max="2" width="12" style="1" bestFit="1" customWidth="1"/>
    <col min="3" max="3" width="8.85546875" style="1" customWidth="1"/>
    <col min="4" max="4" width="15.140625" style="85" bestFit="1" customWidth="1"/>
    <col min="5" max="7" width="8.85546875" style="1" customWidth="1"/>
    <col min="8" max="8" width="12" style="1" bestFit="1" customWidth="1"/>
    <col min="9" max="9" width="8.85546875" style="86"/>
    <col min="10" max="10" width="11.85546875" style="1" bestFit="1" customWidth="1"/>
    <col min="11" max="11" width="12.140625" style="1" bestFit="1" customWidth="1"/>
    <col min="12" max="13" width="8.5703125" style="1" customWidth="1"/>
    <col min="14" max="14" width="11.85546875" style="1" bestFit="1" customWidth="1"/>
    <col min="15" max="15" width="8.5703125" style="1" customWidth="1"/>
    <col min="16" max="16" width="13.140625" style="1" bestFit="1" customWidth="1"/>
    <col min="17" max="16384" width="8.85546875" style="1"/>
  </cols>
  <sheetData>
    <row r="1" spans="1:22" ht="18.95" customHeight="1" x14ac:dyDescent="0.25">
      <c r="D1" s="128" t="s">
        <v>68</v>
      </c>
      <c r="E1" s="128" t="s">
        <v>67</v>
      </c>
      <c r="F1" s="126"/>
      <c r="G1" s="126"/>
      <c r="H1" s="126"/>
      <c r="I1" s="73"/>
      <c r="J1" s="126"/>
      <c r="K1" s="126"/>
      <c r="L1" s="73"/>
      <c r="M1" s="90"/>
      <c r="N1" s="90" t="s">
        <v>70</v>
      </c>
      <c r="P1" s="95" t="s">
        <v>73</v>
      </c>
      <c r="Q1" s="79">
        <v>0.1</v>
      </c>
    </row>
    <row r="2" spans="1:22" x14ac:dyDescent="0.25">
      <c r="A2" s="78" t="s">
        <v>63</v>
      </c>
      <c r="B2" s="78">
        <f>COUNTA(D3:D52)</f>
        <v>50</v>
      </c>
      <c r="D2" s="126"/>
      <c r="E2" s="128"/>
      <c r="F2" s="126"/>
      <c r="G2" s="126"/>
      <c r="H2" s="126"/>
      <c r="I2" s="73"/>
      <c r="J2" s="126"/>
      <c r="K2" s="126"/>
      <c r="L2" s="73"/>
      <c r="M2" s="90"/>
      <c r="N2" s="79">
        <f>MAX(J3:J52)</f>
        <v>6.466533727470225E-2</v>
      </c>
      <c r="P2" s="90" t="s">
        <v>74</v>
      </c>
      <c r="Q2" s="79">
        <f>1-Q1</f>
        <v>0.9</v>
      </c>
    </row>
    <row r="3" spans="1:22" x14ac:dyDescent="0.25">
      <c r="D3" s="69">
        <v>-1.6568700000000001</v>
      </c>
      <c r="E3" s="91">
        <v>1</v>
      </c>
      <c r="F3" s="79">
        <f>(E3-1)/$B$2</f>
        <v>0</v>
      </c>
      <c r="G3" s="79">
        <f>E3/$B$2</f>
        <v>0.02</v>
      </c>
      <c r="H3" s="79">
        <f>_xlfn.NORM.DIST(D3,$B$5,$B$7,TRUE)</f>
        <v>1.5998061978995105E-2</v>
      </c>
      <c r="J3" s="79">
        <f>ABS(G3-H3)</f>
        <v>4.0019380210048958E-3</v>
      </c>
      <c r="K3" s="79">
        <f>ABS(H3-F3)</f>
        <v>1.5998061978995105E-2</v>
      </c>
      <c r="L3" s="86"/>
      <c r="M3" s="79"/>
      <c r="N3" s="79">
        <f>MAX(K3:K52)</f>
        <v>8.4665337274702213E-2</v>
      </c>
      <c r="P3" s="90" t="s">
        <v>69</v>
      </c>
      <c r="Q3" s="79">
        <v>1.22</v>
      </c>
    </row>
    <row r="4" spans="1:22" x14ac:dyDescent="0.25">
      <c r="D4" s="69">
        <v>-0.74036199999999996</v>
      </c>
      <c r="E4" s="91">
        <v>2</v>
      </c>
      <c r="F4" s="79">
        <f t="shared" ref="F4:F52" si="0">(E4-1)/$B$2</f>
        <v>0.02</v>
      </c>
      <c r="G4" s="79">
        <f t="shared" ref="G4:G52" si="1">E4/$B$2</f>
        <v>0.04</v>
      </c>
      <c r="H4" s="79">
        <f t="shared" ref="H4:H52" si="2">_xlfn.NORM.DIST(D4,$B$5,$B$7,TRUE)</f>
        <v>4.7050360949035232E-2</v>
      </c>
      <c r="J4" s="79">
        <f t="shared" ref="J4:J52" si="3">ABS(G4-H4)</f>
        <v>7.0503609490352309E-3</v>
      </c>
      <c r="K4" s="79">
        <f t="shared" ref="K4:K52" si="4">ABS(H4-F4)</f>
        <v>2.7050360949035231E-2</v>
      </c>
      <c r="L4" s="86"/>
      <c r="M4" s="86"/>
      <c r="N4" s="86"/>
    </row>
    <row r="5" spans="1:22" x14ac:dyDescent="0.25">
      <c r="A5" s="80" t="s">
        <v>53</v>
      </c>
      <c r="B5" s="80">
        <f>AVERAGE(D3:D52)</f>
        <v>2.5221319600000003</v>
      </c>
      <c r="D5" s="69">
        <v>-0.73702800000000002</v>
      </c>
      <c r="E5" s="91">
        <v>3</v>
      </c>
      <c r="F5" s="79">
        <f t="shared" si="0"/>
        <v>0.04</v>
      </c>
      <c r="G5" s="79">
        <f t="shared" si="1"/>
        <v>0.06</v>
      </c>
      <c r="H5" s="79">
        <f t="shared" si="2"/>
        <v>4.7218677061490175E-2</v>
      </c>
      <c r="J5" s="79">
        <f t="shared" si="3"/>
        <v>1.2781322938509823E-2</v>
      </c>
      <c r="K5" s="79">
        <f t="shared" si="4"/>
        <v>7.2186770614901738E-3</v>
      </c>
      <c r="L5" s="86"/>
      <c r="M5" s="86"/>
      <c r="N5" s="86"/>
      <c r="P5" s="106" t="s">
        <v>72</v>
      </c>
      <c r="Q5" s="109">
        <f>MAX(N2:N3)</f>
        <v>8.4665337274702213E-2</v>
      </c>
    </row>
    <row r="6" spans="1:22" x14ac:dyDescent="0.25">
      <c r="A6" s="81" t="s">
        <v>54</v>
      </c>
      <c r="B6" s="82">
        <f>_xlfn.VAR.S(D3:D52)</f>
        <v>3.7976036708135497</v>
      </c>
      <c r="D6" s="69">
        <v>-0.60269700000000004</v>
      </c>
      <c r="E6" s="91">
        <v>4</v>
      </c>
      <c r="F6" s="79">
        <f t="shared" si="0"/>
        <v>0.06</v>
      </c>
      <c r="G6" s="79">
        <f t="shared" si="1"/>
        <v>0.08</v>
      </c>
      <c r="H6" s="79">
        <f t="shared" si="2"/>
        <v>5.44111497331475E-2</v>
      </c>
      <c r="J6" s="79">
        <f t="shared" si="3"/>
        <v>2.5588850266852502E-2</v>
      </c>
      <c r="K6" s="79">
        <f t="shared" si="4"/>
        <v>5.5888502668524978E-3</v>
      </c>
      <c r="L6" s="86"/>
      <c r="M6" s="86"/>
      <c r="N6" s="86"/>
      <c r="P6" s="107"/>
      <c r="Q6" s="109"/>
    </row>
    <row r="7" spans="1:22" x14ac:dyDescent="0.25">
      <c r="A7" s="65" t="s">
        <v>55</v>
      </c>
      <c r="B7" s="59">
        <f>_xlfn.STDEV.S(D3:D52)</f>
        <v>1.9487441265629384</v>
      </c>
      <c r="D7" s="69">
        <v>-0.43187900000000001</v>
      </c>
      <c r="E7" s="91">
        <v>5</v>
      </c>
      <c r="F7" s="79">
        <f t="shared" si="0"/>
        <v>0.08</v>
      </c>
      <c r="G7" s="79">
        <f t="shared" si="1"/>
        <v>0.1</v>
      </c>
      <c r="H7" s="79">
        <f t="shared" si="2"/>
        <v>6.4778177208029267E-2</v>
      </c>
      <c r="J7" s="79">
        <f t="shared" si="3"/>
        <v>3.5221822791970739E-2</v>
      </c>
      <c r="K7" s="79">
        <f t="shared" si="4"/>
        <v>1.5221822791970735E-2</v>
      </c>
      <c r="L7" s="86"/>
      <c r="M7" s="86"/>
      <c r="N7" s="86"/>
    </row>
    <row r="8" spans="1:22" x14ac:dyDescent="0.25">
      <c r="A8" s="73"/>
      <c r="B8" s="74"/>
      <c r="D8" s="69">
        <v>-0.17352000000000001</v>
      </c>
      <c r="E8" s="91">
        <v>6</v>
      </c>
      <c r="F8" s="79">
        <f t="shared" si="0"/>
        <v>0.1</v>
      </c>
      <c r="G8" s="79">
        <f t="shared" si="1"/>
        <v>0.12</v>
      </c>
      <c r="H8" s="79">
        <f t="shared" si="2"/>
        <v>8.3290049992261417E-2</v>
      </c>
      <c r="J8" s="79">
        <f t="shared" si="3"/>
        <v>3.6709950007738579E-2</v>
      </c>
      <c r="K8" s="79">
        <f t="shared" si="4"/>
        <v>1.6709950007738589E-2</v>
      </c>
      <c r="L8" s="86"/>
      <c r="M8" s="86"/>
      <c r="N8" s="86"/>
      <c r="O8" s="86"/>
      <c r="P8" s="125"/>
      <c r="Q8" s="126" t="s">
        <v>71</v>
      </c>
    </row>
    <row r="9" spans="1:22" ht="14.1" customHeight="1" x14ac:dyDescent="0.25">
      <c r="A9" s="73"/>
      <c r="B9" s="74"/>
      <c r="C9" s="83"/>
      <c r="D9" s="69">
        <v>-0.13830100000000001</v>
      </c>
      <c r="E9" s="91">
        <v>7</v>
      </c>
      <c r="F9" s="79">
        <f t="shared" si="0"/>
        <v>0.12</v>
      </c>
      <c r="G9" s="79">
        <f t="shared" si="1"/>
        <v>0.14000000000000001</v>
      </c>
      <c r="H9" s="79">
        <f t="shared" si="2"/>
        <v>8.6094496282292668E-2</v>
      </c>
      <c r="J9" s="79">
        <f t="shared" si="3"/>
        <v>5.3905503717707345E-2</v>
      </c>
      <c r="K9" s="79">
        <f t="shared" si="4"/>
        <v>3.3905503717707328E-2</v>
      </c>
      <c r="L9" s="86"/>
      <c r="M9" s="86"/>
      <c r="N9" s="86"/>
      <c r="O9" s="89"/>
      <c r="P9" s="125"/>
      <c r="Q9" s="126"/>
      <c r="R9" s="89"/>
      <c r="S9" s="89"/>
      <c r="T9" s="89"/>
      <c r="U9" s="89"/>
      <c r="V9" s="86"/>
    </row>
    <row r="10" spans="1:22" x14ac:dyDescent="0.25">
      <c r="A10" s="78" t="s">
        <v>57</v>
      </c>
      <c r="B10" s="78">
        <v>0.1</v>
      </c>
      <c r="C10" s="83"/>
      <c r="D10" s="69">
        <v>-3.0000000000000001E-3</v>
      </c>
      <c r="E10" s="91">
        <v>8</v>
      </c>
      <c r="F10" s="79">
        <f t="shared" si="0"/>
        <v>0.14000000000000001</v>
      </c>
      <c r="G10" s="79">
        <f t="shared" si="1"/>
        <v>0.16</v>
      </c>
      <c r="H10" s="79">
        <f t="shared" si="2"/>
        <v>9.7526680102202085E-2</v>
      </c>
      <c r="J10" s="79">
        <f t="shared" si="3"/>
        <v>6.2473319897797919E-2</v>
      </c>
      <c r="K10" s="79">
        <f t="shared" si="4"/>
        <v>4.2473319897797929E-2</v>
      </c>
      <c r="L10" s="86"/>
      <c r="M10" s="86"/>
      <c r="N10" s="86"/>
      <c r="O10" s="89"/>
      <c r="P10" s="79">
        <f>SQRT(B2)*Q5</f>
        <v>0.59867434118388108</v>
      </c>
      <c r="Q10" s="79">
        <f>Q3</f>
        <v>1.22</v>
      </c>
      <c r="R10" s="89"/>
      <c r="S10" s="89"/>
      <c r="T10" s="89"/>
      <c r="U10" s="89"/>
      <c r="V10" s="86"/>
    </row>
    <row r="11" spans="1:22" x14ac:dyDescent="0.25">
      <c r="C11" s="75"/>
      <c r="D11" s="69">
        <v>0.27818100000000001</v>
      </c>
      <c r="E11" s="91">
        <v>9</v>
      </c>
      <c r="F11" s="79">
        <f t="shared" si="0"/>
        <v>0.16</v>
      </c>
      <c r="G11" s="79">
        <f t="shared" si="1"/>
        <v>0.18</v>
      </c>
      <c r="H11" s="79">
        <f t="shared" si="2"/>
        <v>0.12476624112096941</v>
      </c>
      <c r="J11" s="79">
        <f t="shared" si="3"/>
        <v>5.5233758879030578E-2</v>
      </c>
      <c r="K11" s="79">
        <f t="shared" si="4"/>
        <v>3.5233758879030588E-2</v>
      </c>
      <c r="L11" s="86"/>
      <c r="M11" s="86"/>
      <c r="N11" s="86"/>
      <c r="O11" s="86"/>
      <c r="P11" s="86"/>
      <c r="Q11" s="86"/>
      <c r="R11" s="86"/>
      <c r="S11" s="87"/>
      <c r="T11" s="87"/>
      <c r="U11" s="87"/>
      <c r="V11" s="86"/>
    </row>
    <row r="12" spans="1:22" ht="14.1" customHeight="1" x14ac:dyDescent="0.25">
      <c r="C12" s="75"/>
      <c r="D12" s="69">
        <v>0.42441400000000001</v>
      </c>
      <c r="E12" s="91">
        <v>10</v>
      </c>
      <c r="F12" s="79">
        <f t="shared" si="0"/>
        <v>0.18</v>
      </c>
      <c r="G12" s="79">
        <f t="shared" si="1"/>
        <v>0.2</v>
      </c>
      <c r="H12" s="79">
        <f t="shared" si="2"/>
        <v>0.14086390349915517</v>
      </c>
      <c r="J12" s="79">
        <f t="shared" si="3"/>
        <v>5.9136096500844837E-2</v>
      </c>
      <c r="K12" s="79">
        <f t="shared" si="4"/>
        <v>3.9136096500844819E-2</v>
      </c>
      <c r="L12" s="86"/>
      <c r="M12" s="86"/>
      <c r="N12" s="86"/>
      <c r="O12" s="86"/>
      <c r="P12" s="125"/>
      <c r="Q12" s="127" t="str">
        <f>IF(P10&lt;Q10, "да; гипотеза не противоречит опытным данным, ее следует принять.", "нет; гипотеза противоречит опытным данным, ее следует отвергнуть.")</f>
        <v>да; гипотеза не противоречит опытным данным, ее следует принять.</v>
      </c>
      <c r="R12" s="127"/>
      <c r="S12" s="127"/>
      <c r="T12" s="127"/>
      <c r="U12" s="87"/>
      <c r="V12" s="86"/>
    </row>
    <row r="13" spans="1:22" x14ac:dyDescent="0.25">
      <c r="A13" s="119" t="s">
        <v>66</v>
      </c>
      <c r="B13" s="120"/>
      <c r="C13" s="75"/>
      <c r="D13" s="69">
        <v>1.0916300000000001</v>
      </c>
      <c r="E13" s="91">
        <v>11</v>
      </c>
      <c r="F13" s="79">
        <f t="shared" si="0"/>
        <v>0.2</v>
      </c>
      <c r="G13" s="79">
        <f t="shared" si="1"/>
        <v>0.22</v>
      </c>
      <c r="H13" s="79">
        <f t="shared" si="2"/>
        <v>0.23145501485153405</v>
      </c>
      <c r="J13" s="79">
        <f t="shared" si="3"/>
        <v>1.1455014851534051E-2</v>
      </c>
      <c r="K13" s="79">
        <f t="shared" si="4"/>
        <v>3.1455014851534041E-2</v>
      </c>
      <c r="L13" s="86"/>
      <c r="M13" s="86"/>
      <c r="N13" s="86"/>
      <c r="O13" s="86"/>
      <c r="P13" s="125"/>
      <c r="Q13" s="127"/>
      <c r="R13" s="127"/>
      <c r="S13" s="127"/>
      <c r="T13" s="127"/>
      <c r="U13" s="87"/>
      <c r="V13" s="86"/>
    </row>
    <row r="14" spans="1:22" x14ac:dyDescent="0.25">
      <c r="A14" s="121"/>
      <c r="B14" s="122"/>
      <c r="C14" s="75"/>
      <c r="D14" s="69">
        <v>1.16337</v>
      </c>
      <c r="E14" s="91">
        <v>12</v>
      </c>
      <c r="F14" s="79">
        <f t="shared" si="0"/>
        <v>0.22</v>
      </c>
      <c r="G14" s="79">
        <f t="shared" si="1"/>
        <v>0.24</v>
      </c>
      <c r="H14" s="79">
        <f t="shared" si="2"/>
        <v>0.24282315757926337</v>
      </c>
      <c r="J14" s="79">
        <f t="shared" si="3"/>
        <v>2.8231575792633801E-3</v>
      </c>
      <c r="K14" s="79">
        <f t="shared" si="4"/>
        <v>2.282315757926337E-2</v>
      </c>
      <c r="L14" s="86"/>
      <c r="M14" s="86"/>
      <c r="N14" s="86"/>
      <c r="O14" s="86"/>
      <c r="P14" s="86"/>
      <c r="Q14" s="86"/>
      <c r="R14" s="86"/>
      <c r="S14" s="87"/>
      <c r="T14" s="87"/>
      <c r="U14" s="87"/>
      <c r="V14" s="86"/>
    </row>
    <row r="15" spans="1:22" x14ac:dyDescent="0.25">
      <c r="A15" s="121"/>
      <c r="B15" s="122"/>
      <c r="C15" s="75"/>
      <c r="D15" s="69">
        <v>1.25841</v>
      </c>
      <c r="E15" s="91">
        <v>13</v>
      </c>
      <c r="F15" s="79">
        <f t="shared" si="0"/>
        <v>0.24</v>
      </c>
      <c r="G15" s="79">
        <f t="shared" si="1"/>
        <v>0.26</v>
      </c>
      <c r="H15" s="79">
        <f t="shared" si="2"/>
        <v>0.25833721001279153</v>
      </c>
      <c r="J15" s="79">
        <f t="shared" si="3"/>
        <v>1.6627899872084795E-3</v>
      </c>
      <c r="K15" s="79">
        <f t="shared" si="4"/>
        <v>1.8337210012791538E-2</v>
      </c>
      <c r="L15" s="86"/>
      <c r="M15" s="86"/>
      <c r="N15" s="86"/>
      <c r="O15" s="86"/>
      <c r="P15" s="86"/>
      <c r="Q15" s="86"/>
      <c r="R15" s="86"/>
      <c r="S15" s="87"/>
      <c r="T15" s="87"/>
      <c r="U15" s="87"/>
      <c r="V15" s="86"/>
    </row>
    <row r="16" spans="1:22" x14ac:dyDescent="0.25">
      <c r="A16" s="123"/>
      <c r="B16" s="124"/>
      <c r="C16" s="75"/>
      <c r="D16" s="69">
        <v>1.49274</v>
      </c>
      <c r="E16" s="91">
        <v>14</v>
      </c>
      <c r="F16" s="79">
        <f t="shared" si="0"/>
        <v>0.26</v>
      </c>
      <c r="G16" s="79">
        <f t="shared" si="1"/>
        <v>0.28000000000000003</v>
      </c>
      <c r="H16" s="79">
        <f t="shared" si="2"/>
        <v>0.29866863512951358</v>
      </c>
      <c r="J16" s="79">
        <f t="shared" si="3"/>
        <v>1.8668635129513556E-2</v>
      </c>
      <c r="K16" s="79">
        <f t="shared" si="4"/>
        <v>3.8668635129513573E-2</v>
      </c>
      <c r="L16" s="86"/>
      <c r="M16" s="86"/>
      <c r="N16" s="86"/>
      <c r="O16" s="86"/>
      <c r="P16" s="86"/>
      <c r="Q16" s="86"/>
      <c r="R16" s="86"/>
      <c r="S16" s="87"/>
      <c r="T16" s="87"/>
      <c r="U16" s="87"/>
      <c r="V16" s="86"/>
    </row>
    <row r="17" spans="3:22" x14ac:dyDescent="0.25">
      <c r="C17" s="75"/>
      <c r="D17" s="69">
        <v>1.5833200000000001</v>
      </c>
      <c r="E17" s="91">
        <v>15</v>
      </c>
      <c r="F17" s="79">
        <f t="shared" si="0"/>
        <v>0.28000000000000003</v>
      </c>
      <c r="G17" s="79">
        <f t="shared" si="1"/>
        <v>0.3</v>
      </c>
      <c r="H17" s="79">
        <f t="shared" si="2"/>
        <v>0.31499096004205773</v>
      </c>
      <c r="J17" s="79">
        <f t="shared" si="3"/>
        <v>1.4990960042057744E-2</v>
      </c>
      <c r="K17" s="79">
        <f t="shared" si="4"/>
        <v>3.4990960042057706E-2</v>
      </c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3:22" x14ac:dyDescent="0.25">
      <c r="C18" s="86"/>
      <c r="D18" s="69">
        <v>1.5901099999999999</v>
      </c>
      <c r="E18" s="91">
        <v>16</v>
      </c>
      <c r="F18" s="79">
        <f t="shared" si="0"/>
        <v>0.3</v>
      </c>
      <c r="G18" s="79">
        <f t="shared" si="1"/>
        <v>0.32</v>
      </c>
      <c r="H18" s="79">
        <f t="shared" si="2"/>
        <v>0.31622973384244901</v>
      </c>
      <c r="J18" s="79">
        <f t="shared" si="3"/>
        <v>3.7702661575509944E-3</v>
      </c>
      <c r="K18" s="79">
        <f t="shared" si="4"/>
        <v>1.6229733842449023E-2</v>
      </c>
      <c r="L18" s="86"/>
      <c r="M18" s="86"/>
      <c r="N18" s="86"/>
      <c r="O18" s="86"/>
      <c r="P18" s="86"/>
      <c r="Q18" s="86"/>
      <c r="R18" s="86"/>
      <c r="S18" s="87"/>
      <c r="T18" s="88"/>
      <c r="U18" s="88"/>
      <c r="V18" s="86"/>
    </row>
    <row r="19" spans="3:22" x14ac:dyDescent="0.25">
      <c r="C19" s="86"/>
      <c r="D19" s="69">
        <v>1.63781</v>
      </c>
      <c r="E19" s="91">
        <v>17</v>
      </c>
      <c r="F19" s="79">
        <f t="shared" si="0"/>
        <v>0.32</v>
      </c>
      <c r="G19" s="79">
        <f t="shared" si="1"/>
        <v>0.34</v>
      </c>
      <c r="H19" s="79">
        <f t="shared" si="2"/>
        <v>0.32498973920593305</v>
      </c>
      <c r="J19" s="79">
        <f t="shared" si="3"/>
        <v>1.5010260794066976E-2</v>
      </c>
      <c r="K19" s="79">
        <f t="shared" si="4"/>
        <v>4.9897392059330414E-3</v>
      </c>
      <c r="L19" s="86"/>
      <c r="M19" s="86"/>
      <c r="N19" s="86"/>
      <c r="O19" s="86"/>
      <c r="P19" s="86"/>
      <c r="Q19" s="86"/>
      <c r="R19" s="86"/>
      <c r="S19" s="87"/>
      <c r="T19" s="88"/>
      <c r="U19" s="88"/>
      <c r="V19" s="86"/>
    </row>
    <row r="20" spans="3:22" ht="14.45" customHeight="1" x14ac:dyDescent="0.25">
      <c r="C20" s="84"/>
      <c r="D20" s="69">
        <v>1.72692</v>
      </c>
      <c r="E20" s="91">
        <v>18</v>
      </c>
      <c r="F20" s="79">
        <f t="shared" si="0"/>
        <v>0.34</v>
      </c>
      <c r="G20" s="79">
        <f t="shared" si="1"/>
        <v>0.36</v>
      </c>
      <c r="H20" s="79">
        <f t="shared" si="2"/>
        <v>0.34161341294703396</v>
      </c>
      <c r="J20" s="79">
        <f t="shared" si="3"/>
        <v>1.838658705296603E-2</v>
      </c>
      <c r="K20" s="79">
        <f t="shared" si="4"/>
        <v>1.613412947033932E-3</v>
      </c>
      <c r="L20" s="86"/>
      <c r="M20" s="86"/>
      <c r="N20" s="86"/>
      <c r="O20" s="86"/>
      <c r="P20" s="86"/>
      <c r="Q20" s="86"/>
      <c r="R20" s="86"/>
      <c r="S20" s="87"/>
      <c r="T20" s="88"/>
      <c r="U20" s="88"/>
      <c r="V20" s="86"/>
    </row>
    <row r="21" spans="3:22" x14ac:dyDescent="0.25">
      <c r="C21" s="84"/>
      <c r="D21" s="69">
        <v>1.7513700000000001</v>
      </c>
      <c r="E21" s="91">
        <v>19</v>
      </c>
      <c r="F21" s="79">
        <f t="shared" si="0"/>
        <v>0.36</v>
      </c>
      <c r="G21" s="79">
        <f t="shared" si="1"/>
        <v>0.38</v>
      </c>
      <c r="H21" s="79">
        <f t="shared" si="2"/>
        <v>0.34623058881917823</v>
      </c>
      <c r="J21" s="79">
        <f t="shared" si="3"/>
        <v>3.3769411180821773E-2</v>
      </c>
      <c r="K21" s="79">
        <f t="shared" si="4"/>
        <v>1.3769411180821756E-2</v>
      </c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3:22" ht="14.1" customHeight="1" x14ac:dyDescent="0.25">
      <c r="C22" s="84"/>
      <c r="D22" s="69">
        <v>1.9047400000000001</v>
      </c>
      <c r="E22" s="91">
        <v>20</v>
      </c>
      <c r="F22" s="79">
        <f t="shared" si="0"/>
        <v>0.38</v>
      </c>
      <c r="G22" s="79">
        <f t="shared" si="1"/>
        <v>0.4</v>
      </c>
      <c r="H22" s="79">
        <f t="shared" si="2"/>
        <v>0.37569187608190246</v>
      </c>
      <c r="J22" s="79">
        <f t="shared" si="3"/>
        <v>2.4308123918097557E-2</v>
      </c>
      <c r="K22" s="79">
        <f t="shared" si="4"/>
        <v>4.3081239180975395E-3</v>
      </c>
      <c r="L22" s="86"/>
      <c r="M22" s="86"/>
      <c r="N22" s="86"/>
      <c r="O22" s="86"/>
      <c r="P22" s="86"/>
      <c r="Q22" s="86"/>
      <c r="R22" s="86"/>
      <c r="S22" s="84"/>
      <c r="T22" s="84"/>
      <c r="U22" s="84"/>
      <c r="V22" s="86"/>
    </row>
    <row r="23" spans="3:22" x14ac:dyDescent="0.25">
      <c r="C23" s="86"/>
      <c r="D23" s="69">
        <v>1.91276</v>
      </c>
      <c r="E23" s="91">
        <v>21</v>
      </c>
      <c r="F23" s="79">
        <f t="shared" si="0"/>
        <v>0.4</v>
      </c>
      <c r="G23" s="79">
        <f t="shared" si="1"/>
        <v>0.42</v>
      </c>
      <c r="H23" s="79">
        <f t="shared" si="2"/>
        <v>0.37725436180043725</v>
      </c>
      <c r="J23" s="79">
        <f t="shared" si="3"/>
        <v>4.274563819956273E-2</v>
      </c>
      <c r="K23" s="79">
        <f t="shared" si="4"/>
        <v>2.2745638199562768E-2</v>
      </c>
      <c r="L23" s="86"/>
      <c r="M23" s="86"/>
      <c r="N23" s="86"/>
      <c r="O23" s="86"/>
      <c r="P23" s="86"/>
      <c r="Q23" s="86"/>
      <c r="R23" s="86"/>
      <c r="S23" s="84"/>
      <c r="T23" s="84"/>
      <c r="U23" s="84"/>
      <c r="V23" s="86"/>
    </row>
    <row r="24" spans="3:22" x14ac:dyDescent="0.25">
      <c r="C24" s="86"/>
      <c r="D24" s="69">
        <v>2.3263500000000001</v>
      </c>
      <c r="E24" s="91">
        <v>22</v>
      </c>
      <c r="F24" s="79">
        <f t="shared" si="0"/>
        <v>0.42</v>
      </c>
      <c r="G24" s="79">
        <f t="shared" si="1"/>
        <v>0.44</v>
      </c>
      <c r="H24" s="79">
        <f t="shared" si="2"/>
        <v>0.45998730272848393</v>
      </c>
      <c r="J24" s="79">
        <f t="shared" si="3"/>
        <v>1.9987302728483924E-2</v>
      </c>
      <c r="K24" s="79">
        <f t="shared" si="4"/>
        <v>3.9987302728483942E-2</v>
      </c>
      <c r="L24" s="86"/>
      <c r="M24" s="86"/>
      <c r="N24" s="86"/>
      <c r="O24" s="86"/>
      <c r="P24" s="86"/>
      <c r="Q24" s="86"/>
      <c r="R24" s="86"/>
      <c r="S24" s="84"/>
      <c r="T24" s="84"/>
      <c r="U24" s="84"/>
      <c r="V24" s="86"/>
    </row>
    <row r="25" spans="3:22" x14ac:dyDescent="0.25">
      <c r="D25" s="69">
        <v>2.4750100000000002</v>
      </c>
      <c r="E25" s="91">
        <v>23</v>
      </c>
      <c r="F25" s="79">
        <f t="shared" si="0"/>
        <v>0.44</v>
      </c>
      <c r="G25" s="79">
        <f t="shared" si="1"/>
        <v>0.46</v>
      </c>
      <c r="H25" s="79">
        <f t="shared" si="2"/>
        <v>0.49035424399221611</v>
      </c>
      <c r="J25" s="79">
        <f t="shared" si="3"/>
        <v>3.035424399221609E-2</v>
      </c>
      <c r="K25" s="79">
        <f t="shared" si="4"/>
        <v>5.0354243992216108E-2</v>
      </c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3:22" x14ac:dyDescent="0.25">
      <c r="D26" s="69">
        <v>2.7407699999999999</v>
      </c>
      <c r="E26" s="91">
        <v>24</v>
      </c>
      <c r="F26" s="79">
        <f t="shared" si="0"/>
        <v>0.46</v>
      </c>
      <c r="G26" s="79">
        <f t="shared" si="1"/>
        <v>0.48</v>
      </c>
      <c r="H26" s="79">
        <f t="shared" si="2"/>
        <v>0.54466533727470223</v>
      </c>
      <c r="J26" s="79">
        <f t="shared" si="3"/>
        <v>6.466533727470225E-2</v>
      </c>
      <c r="K26" s="79">
        <f t="shared" si="4"/>
        <v>8.4665337274702213E-2</v>
      </c>
      <c r="L26" s="86"/>
      <c r="M26" s="86"/>
      <c r="N26" s="86"/>
    </row>
    <row r="27" spans="3:22" x14ac:dyDescent="0.25">
      <c r="D27" s="69">
        <v>2.7423299999999999</v>
      </c>
      <c r="E27" s="91">
        <v>25</v>
      </c>
      <c r="F27" s="79">
        <f t="shared" si="0"/>
        <v>0.48</v>
      </c>
      <c r="G27" s="79">
        <f t="shared" si="1"/>
        <v>0.5</v>
      </c>
      <c r="H27" s="79">
        <f t="shared" si="2"/>
        <v>0.54498267882600071</v>
      </c>
      <c r="J27" s="79">
        <f t="shared" si="3"/>
        <v>4.498267882600071E-2</v>
      </c>
      <c r="K27" s="79">
        <f t="shared" si="4"/>
        <v>6.4982678826000728E-2</v>
      </c>
      <c r="L27" s="86"/>
      <c r="M27" s="86"/>
      <c r="N27" s="86"/>
    </row>
    <row r="28" spans="3:22" x14ac:dyDescent="0.25">
      <c r="D28" s="69">
        <v>2.7600500000000001</v>
      </c>
      <c r="E28" s="91">
        <v>26</v>
      </c>
      <c r="F28" s="79">
        <f t="shared" si="0"/>
        <v>0.5</v>
      </c>
      <c r="G28" s="79">
        <f t="shared" si="1"/>
        <v>0.52</v>
      </c>
      <c r="H28" s="79">
        <f t="shared" si="2"/>
        <v>0.54858528997258671</v>
      </c>
      <c r="J28" s="79">
        <f t="shared" si="3"/>
        <v>2.8585289972586692E-2</v>
      </c>
      <c r="K28" s="79">
        <f t="shared" si="4"/>
        <v>4.8585289972586709E-2</v>
      </c>
      <c r="L28" s="86"/>
      <c r="M28" s="86"/>
      <c r="N28" s="86"/>
    </row>
    <row r="29" spans="3:22" x14ac:dyDescent="0.25">
      <c r="D29" s="69">
        <v>2.7949199999999998</v>
      </c>
      <c r="E29" s="91">
        <v>27</v>
      </c>
      <c r="F29" s="79">
        <f t="shared" si="0"/>
        <v>0.52</v>
      </c>
      <c r="G29" s="79">
        <f t="shared" si="1"/>
        <v>0.54</v>
      </c>
      <c r="H29" s="79">
        <f t="shared" si="2"/>
        <v>0.55566267891480414</v>
      </c>
      <c r="J29" s="79">
        <f t="shared" si="3"/>
        <v>1.5662678914804107E-2</v>
      </c>
      <c r="K29" s="79">
        <f t="shared" si="4"/>
        <v>3.5662678914804125E-2</v>
      </c>
      <c r="L29" s="86"/>
      <c r="M29" s="86"/>
      <c r="N29" s="86"/>
    </row>
    <row r="30" spans="3:22" x14ac:dyDescent="0.25">
      <c r="D30" s="69">
        <v>2.8339300000000001</v>
      </c>
      <c r="E30" s="91">
        <v>28</v>
      </c>
      <c r="F30" s="79">
        <f t="shared" si="0"/>
        <v>0.54</v>
      </c>
      <c r="G30" s="79">
        <f t="shared" si="1"/>
        <v>0.56000000000000005</v>
      </c>
      <c r="H30" s="79">
        <f t="shared" si="2"/>
        <v>0.56355925668465845</v>
      </c>
      <c r="J30" s="79">
        <f t="shared" si="3"/>
        <v>3.5592566846583962E-3</v>
      </c>
      <c r="K30" s="79">
        <f t="shared" si="4"/>
        <v>2.3559256684658414E-2</v>
      </c>
      <c r="L30" s="86"/>
      <c r="M30" s="86"/>
      <c r="N30" s="86"/>
    </row>
    <row r="31" spans="3:22" x14ac:dyDescent="0.25">
      <c r="D31" s="69">
        <v>2.9357099999999998</v>
      </c>
      <c r="E31" s="91">
        <v>29</v>
      </c>
      <c r="F31" s="79">
        <f t="shared" si="0"/>
        <v>0.56000000000000005</v>
      </c>
      <c r="G31" s="79">
        <f t="shared" si="1"/>
        <v>0.57999999999999996</v>
      </c>
      <c r="H31" s="79">
        <f t="shared" si="2"/>
        <v>0.58403541259412861</v>
      </c>
      <c r="J31" s="79">
        <f t="shared" si="3"/>
        <v>4.0354125941286512E-3</v>
      </c>
      <c r="K31" s="79">
        <f t="shared" si="4"/>
        <v>2.4035412594128558E-2</v>
      </c>
      <c r="L31" s="86"/>
      <c r="M31" s="86"/>
      <c r="N31" s="86"/>
    </row>
    <row r="32" spans="3:22" x14ac:dyDescent="0.25">
      <c r="D32" s="69">
        <v>3.0167700000000002</v>
      </c>
      <c r="E32" s="91">
        <v>30</v>
      </c>
      <c r="F32" s="79">
        <f t="shared" si="0"/>
        <v>0.57999999999999996</v>
      </c>
      <c r="G32" s="79">
        <f t="shared" si="1"/>
        <v>0.6</v>
      </c>
      <c r="H32" s="79">
        <f t="shared" si="2"/>
        <v>0.60018423655057007</v>
      </c>
      <c r="J32" s="79">
        <f t="shared" si="3"/>
        <v>1.842365505700938E-4</v>
      </c>
      <c r="K32" s="79">
        <f t="shared" si="4"/>
        <v>2.0184236550570112E-2</v>
      </c>
      <c r="L32" s="86"/>
      <c r="M32" s="86"/>
      <c r="N32" s="86"/>
    </row>
    <row r="33" spans="4:14" x14ac:dyDescent="0.25">
      <c r="D33" s="69">
        <v>3.0217100000000001</v>
      </c>
      <c r="E33" s="91">
        <v>31</v>
      </c>
      <c r="F33" s="79">
        <f t="shared" si="0"/>
        <v>0.6</v>
      </c>
      <c r="G33" s="79">
        <f t="shared" si="1"/>
        <v>0.62</v>
      </c>
      <c r="H33" s="79">
        <f t="shared" si="2"/>
        <v>0.60116316726226504</v>
      </c>
      <c r="J33" s="79">
        <f t="shared" si="3"/>
        <v>1.8836832737734954E-2</v>
      </c>
      <c r="K33" s="79">
        <f t="shared" si="4"/>
        <v>1.1631672622650635E-3</v>
      </c>
      <c r="L33" s="86"/>
      <c r="M33" s="86"/>
      <c r="N33" s="86"/>
    </row>
    <row r="34" spans="4:14" x14ac:dyDescent="0.25">
      <c r="D34" s="69">
        <v>3.1695199999999999</v>
      </c>
      <c r="E34" s="91">
        <v>32</v>
      </c>
      <c r="F34" s="79">
        <f t="shared" si="0"/>
        <v>0.62</v>
      </c>
      <c r="G34" s="79">
        <f t="shared" si="1"/>
        <v>0.64</v>
      </c>
      <c r="H34" s="79">
        <f t="shared" si="2"/>
        <v>0.6301338307494363</v>
      </c>
      <c r="J34" s="79">
        <f t="shared" si="3"/>
        <v>9.8661692505637166E-3</v>
      </c>
      <c r="K34" s="79">
        <f t="shared" si="4"/>
        <v>1.0133830749436301E-2</v>
      </c>
      <c r="L34" s="86"/>
      <c r="M34" s="86"/>
      <c r="N34" s="86"/>
    </row>
    <row r="35" spans="4:14" x14ac:dyDescent="0.25">
      <c r="D35" s="69">
        <v>3.1700400000000002</v>
      </c>
      <c r="E35" s="91">
        <v>33</v>
      </c>
      <c r="F35" s="79">
        <f t="shared" si="0"/>
        <v>0.64</v>
      </c>
      <c r="G35" s="79">
        <f t="shared" si="1"/>
        <v>0.66</v>
      </c>
      <c r="H35" s="79">
        <f t="shared" si="2"/>
        <v>0.63023456438871073</v>
      </c>
      <c r="J35" s="79">
        <f t="shared" si="3"/>
        <v>2.9765435611289304E-2</v>
      </c>
      <c r="K35" s="79">
        <f t="shared" si="4"/>
        <v>9.7654356112892859E-3</v>
      </c>
      <c r="L35" s="86"/>
      <c r="M35" s="86"/>
      <c r="N35" s="86"/>
    </row>
    <row r="36" spans="4:14" x14ac:dyDescent="0.25">
      <c r="D36" s="69">
        <v>3.7054800000000001</v>
      </c>
      <c r="E36" s="91">
        <v>34</v>
      </c>
      <c r="F36" s="79">
        <f t="shared" si="0"/>
        <v>0.66</v>
      </c>
      <c r="G36" s="79">
        <f t="shared" si="1"/>
        <v>0.68</v>
      </c>
      <c r="H36" s="79">
        <f t="shared" si="2"/>
        <v>0.7281529246866002</v>
      </c>
      <c r="J36" s="79">
        <f t="shared" si="3"/>
        <v>4.8152924686600151E-2</v>
      </c>
      <c r="K36" s="79">
        <f t="shared" si="4"/>
        <v>6.8152924686600169E-2</v>
      </c>
      <c r="L36" s="86"/>
      <c r="M36" s="86"/>
      <c r="N36" s="86"/>
    </row>
    <row r="37" spans="4:14" x14ac:dyDescent="0.25">
      <c r="D37" s="69">
        <v>3.7261500000000001</v>
      </c>
      <c r="E37" s="91">
        <v>35</v>
      </c>
      <c r="F37" s="79">
        <f t="shared" si="0"/>
        <v>0.68</v>
      </c>
      <c r="G37" s="79">
        <f t="shared" si="1"/>
        <v>0.7</v>
      </c>
      <c r="H37" s="79">
        <f t="shared" si="2"/>
        <v>0.73166060301748004</v>
      </c>
      <c r="J37" s="79">
        <f t="shared" si="3"/>
        <v>3.1660603017480082E-2</v>
      </c>
      <c r="K37" s="79">
        <f t="shared" si="4"/>
        <v>5.1660603017479989E-2</v>
      </c>
      <c r="L37" s="86"/>
      <c r="M37" s="86"/>
      <c r="N37" s="86"/>
    </row>
    <row r="38" spans="4:14" x14ac:dyDescent="0.25">
      <c r="D38" s="69">
        <v>3.8111799999999998</v>
      </c>
      <c r="E38" s="91">
        <v>36</v>
      </c>
      <c r="F38" s="79">
        <f t="shared" si="0"/>
        <v>0.7</v>
      </c>
      <c r="G38" s="79">
        <f t="shared" si="1"/>
        <v>0.72</v>
      </c>
      <c r="H38" s="79">
        <f t="shared" si="2"/>
        <v>0.74584654330999456</v>
      </c>
      <c r="J38" s="79">
        <f t="shared" si="3"/>
        <v>2.5846543309994585E-2</v>
      </c>
      <c r="K38" s="79">
        <f t="shared" si="4"/>
        <v>4.5846543309994603E-2</v>
      </c>
      <c r="L38" s="86"/>
      <c r="M38" s="86"/>
      <c r="N38" s="86"/>
    </row>
    <row r="39" spans="4:14" x14ac:dyDescent="0.25">
      <c r="D39" s="69">
        <v>3.81745</v>
      </c>
      <c r="E39" s="91">
        <v>37</v>
      </c>
      <c r="F39" s="79">
        <f t="shared" si="0"/>
        <v>0.72</v>
      </c>
      <c r="G39" s="79">
        <f t="shared" si="1"/>
        <v>0.74</v>
      </c>
      <c r="H39" s="79">
        <f t="shared" si="2"/>
        <v>0.74687680370380272</v>
      </c>
      <c r="J39" s="79">
        <f t="shared" si="3"/>
        <v>6.8768037038027252E-3</v>
      </c>
      <c r="K39" s="79">
        <f t="shared" si="4"/>
        <v>2.6876803703802743E-2</v>
      </c>
      <c r="L39" s="86"/>
      <c r="M39" s="86"/>
      <c r="N39" s="86"/>
    </row>
    <row r="40" spans="4:14" x14ac:dyDescent="0.25">
      <c r="D40" s="69">
        <v>3.9186800000000002</v>
      </c>
      <c r="E40" s="91">
        <v>38</v>
      </c>
      <c r="F40" s="79">
        <f t="shared" si="0"/>
        <v>0.74</v>
      </c>
      <c r="G40" s="79">
        <f t="shared" si="1"/>
        <v>0.76</v>
      </c>
      <c r="H40" s="79">
        <f t="shared" si="2"/>
        <v>0.76320187952109153</v>
      </c>
      <c r="J40" s="79">
        <f t="shared" si="3"/>
        <v>3.2018795210915219E-3</v>
      </c>
      <c r="K40" s="79">
        <f t="shared" si="4"/>
        <v>2.320187952109154E-2</v>
      </c>
      <c r="L40" s="86"/>
      <c r="M40" s="86"/>
      <c r="N40" s="86"/>
    </row>
    <row r="41" spans="4:14" x14ac:dyDescent="0.25">
      <c r="D41" s="69">
        <v>3.99708</v>
      </c>
      <c r="E41" s="91">
        <v>39</v>
      </c>
      <c r="F41" s="79">
        <f t="shared" si="0"/>
        <v>0.76</v>
      </c>
      <c r="G41" s="79">
        <f t="shared" si="1"/>
        <v>0.78</v>
      </c>
      <c r="H41" s="79">
        <f t="shared" si="2"/>
        <v>0.775436443604546</v>
      </c>
      <c r="J41" s="79">
        <f t="shared" si="3"/>
        <v>4.563556395454027E-3</v>
      </c>
      <c r="K41" s="79">
        <f t="shared" si="4"/>
        <v>1.5436443604545991E-2</v>
      </c>
      <c r="L41" s="86"/>
      <c r="M41" s="86"/>
      <c r="N41" s="86"/>
    </row>
    <row r="42" spans="4:14" x14ac:dyDescent="0.25">
      <c r="D42" s="69">
        <v>4.2461700000000002</v>
      </c>
      <c r="E42" s="91">
        <v>40</v>
      </c>
      <c r="F42" s="79">
        <f t="shared" si="0"/>
        <v>0.78</v>
      </c>
      <c r="G42" s="79">
        <f t="shared" si="1"/>
        <v>0.8</v>
      </c>
      <c r="H42" s="79">
        <f t="shared" si="2"/>
        <v>0.81183857284069338</v>
      </c>
      <c r="J42" s="79">
        <f t="shared" si="3"/>
        <v>1.183857284069334E-2</v>
      </c>
      <c r="K42" s="79">
        <f t="shared" si="4"/>
        <v>3.1838572840693358E-2</v>
      </c>
      <c r="L42" s="86"/>
      <c r="M42" s="86"/>
      <c r="N42" s="86"/>
    </row>
    <row r="43" spans="4:14" x14ac:dyDescent="0.25">
      <c r="D43" s="69">
        <v>4.3758400000000002</v>
      </c>
      <c r="E43" s="91">
        <v>41</v>
      </c>
      <c r="F43" s="79">
        <f t="shared" si="0"/>
        <v>0.8</v>
      </c>
      <c r="G43" s="79">
        <f t="shared" si="1"/>
        <v>0.82</v>
      </c>
      <c r="H43" s="79">
        <f t="shared" si="2"/>
        <v>0.82925672604176126</v>
      </c>
      <c r="J43" s="79">
        <f t="shared" si="3"/>
        <v>9.2567260417613095E-3</v>
      </c>
      <c r="K43" s="79">
        <f t="shared" si="4"/>
        <v>2.9256726041761216E-2</v>
      </c>
      <c r="L43" s="86"/>
      <c r="M43" s="86"/>
      <c r="N43" s="86"/>
    </row>
    <row r="44" spans="4:14" x14ac:dyDescent="0.25">
      <c r="D44" s="69">
        <v>4.6064499999999997</v>
      </c>
      <c r="E44" s="91">
        <v>42</v>
      </c>
      <c r="F44" s="79">
        <f t="shared" si="0"/>
        <v>0.82</v>
      </c>
      <c r="G44" s="79">
        <f t="shared" si="1"/>
        <v>0.84</v>
      </c>
      <c r="H44" s="79">
        <f t="shared" si="2"/>
        <v>0.85759352271471756</v>
      </c>
      <c r="J44" s="79">
        <f t="shared" si="3"/>
        <v>1.7593522714717591E-2</v>
      </c>
      <c r="K44" s="79">
        <f t="shared" si="4"/>
        <v>3.7593522714717609E-2</v>
      </c>
      <c r="L44" s="86"/>
      <c r="M44" s="86"/>
      <c r="N44" s="86"/>
    </row>
    <row r="45" spans="4:14" x14ac:dyDescent="0.25">
      <c r="D45" s="69">
        <v>4.6470500000000001</v>
      </c>
      <c r="E45" s="91">
        <v>43</v>
      </c>
      <c r="F45" s="79">
        <f t="shared" si="0"/>
        <v>0.84</v>
      </c>
      <c r="G45" s="79">
        <f t="shared" si="1"/>
        <v>0.86</v>
      </c>
      <c r="H45" s="79">
        <f t="shared" si="2"/>
        <v>0.86223235008039822</v>
      </c>
      <c r="J45" s="79">
        <f t="shared" si="3"/>
        <v>2.2323500803982377E-3</v>
      </c>
      <c r="K45" s="79">
        <f t="shared" si="4"/>
        <v>2.2232350080398255E-2</v>
      </c>
      <c r="L45" s="86"/>
      <c r="M45" s="86"/>
      <c r="N45" s="86"/>
    </row>
    <row r="46" spans="4:14" x14ac:dyDescent="0.25">
      <c r="D46" s="69">
        <v>5.0537799999999997</v>
      </c>
      <c r="E46" s="91">
        <v>44</v>
      </c>
      <c r="F46" s="79">
        <f t="shared" si="0"/>
        <v>0.86</v>
      </c>
      <c r="G46" s="79">
        <f t="shared" si="1"/>
        <v>0.88</v>
      </c>
      <c r="H46" s="79">
        <f t="shared" si="2"/>
        <v>0.90304823479471708</v>
      </c>
      <c r="J46" s="79">
        <f t="shared" si="3"/>
        <v>2.3048234794717071E-2</v>
      </c>
      <c r="K46" s="79">
        <f t="shared" si="4"/>
        <v>4.3048234794717088E-2</v>
      </c>
      <c r="L46" s="86"/>
      <c r="M46" s="86"/>
      <c r="N46" s="86"/>
    </row>
    <row r="47" spans="4:14" x14ac:dyDescent="0.25">
      <c r="D47" s="69">
        <v>5.10623</v>
      </c>
      <c r="E47" s="91">
        <v>45</v>
      </c>
      <c r="F47" s="79">
        <f t="shared" si="0"/>
        <v>0.88</v>
      </c>
      <c r="G47" s="79">
        <f t="shared" si="1"/>
        <v>0.9</v>
      </c>
      <c r="H47" s="79">
        <f t="shared" si="2"/>
        <v>0.90758553324006008</v>
      </c>
      <c r="J47" s="79">
        <f t="shared" si="3"/>
        <v>7.5855332400600606E-3</v>
      </c>
      <c r="K47" s="79">
        <f t="shared" si="4"/>
        <v>2.7585533240060078E-2</v>
      </c>
      <c r="L47" s="86"/>
      <c r="M47" s="86"/>
      <c r="N47" s="86"/>
    </row>
    <row r="48" spans="4:14" x14ac:dyDescent="0.25">
      <c r="D48" s="69">
        <v>5.1539200000000003</v>
      </c>
      <c r="E48" s="91">
        <v>46</v>
      </c>
      <c r="F48" s="79">
        <f t="shared" si="0"/>
        <v>0.9</v>
      </c>
      <c r="G48" s="79">
        <f t="shared" si="1"/>
        <v>0.92</v>
      </c>
      <c r="H48" s="79">
        <f t="shared" si="2"/>
        <v>0.91157292135396517</v>
      </c>
      <c r="J48" s="79">
        <f t="shared" si="3"/>
        <v>8.427078646034869E-3</v>
      </c>
      <c r="K48" s="79">
        <f t="shared" si="4"/>
        <v>1.1572921353965149E-2</v>
      </c>
      <c r="L48" s="86"/>
      <c r="M48" s="86"/>
      <c r="N48" s="86"/>
    </row>
    <row r="49" spans="4:14" x14ac:dyDescent="0.25">
      <c r="D49" s="69">
        <v>5.2593199999999998</v>
      </c>
      <c r="E49" s="91">
        <v>47</v>
      </c>
      <c r="F49" s="79">
        <f t="shared" si="0"/>
        <v>0.92</v>
      </c>
      <c r="G49" s="79">
        <f t="shared" si="1"/>
        <v>0.94</v>
      </c>
      <c r="H49" s="79">
        <f t="shared" si="2"/>
        <v>0.9199285006144805</v>
      </c>
      <c r="J49" s="79">
        <f t="shared" si="3"/>
        <v>2.0071499385519442E-2</v>
      </c>
      <c r="K49" s="79">
        <f t="shared" si="4"/>
        <v>7.1499385519535608E-5</v>
      </c>
      <c r="L49" s="86"/>
      <c r="M49" s="86"/>
      <c r="N49" s="86"/>
    </row>
    <row r="50" spans="4:14" x14ac:dyDescent="0.25">
      <c r="D50" s="69">
        <v>5.4249200000000002</v>
      </c>
      <c r="E50" s="91">
        <v>48</v>
      </c>
      <c r="F50" s="79">
        <f t="shared" si="0"/>
        <v>0.94</v>
      </c>
      <c r="G50" s="79">
        <f t="shared" si="1"/>
        <v>0.96</v>
      </c>
      <c r="H50" s="79">
        <f t="shared" si="2"/>
        <v>0.93183114694791602</v>
      </c>
      <c r="J50" s="79">
        <f t="shared" si="3"/>
        <v>2.8168853052083942E-2</v>
      </c>
      <c r="K50" s="79">
        <f t="shared" si="4"/>
        <v>8.1688530520839242E-3</v>
      </c>
      <c r="L50" s="86"/>
      <c r="M50" s="86"/>
      <c r="N50" s="86"/>
    </row>
    <row r="51" spans="4:14" x14ac:dyDescent="0.25">
      <c r="D51" s="69">
        <v>5.4681600000000001</v>
      </c>
      <c r="E51" s="91">
        <v>49</v>
      </c>
      <c r="F51" s="79">
        <f t="shared" si="0"/>
        <v>0.96</v>
      </c>
      <c r="G51" s="79">
        <f t="shared" si="1"/>
        <v>0.98</v>
      </c>
      <c r="H51" s="79">
        <f t="shared" si="2"/>
        <v>0.93470218433507279</v>
      </c>
      <c r="J51" s="79">
        <f t="shared" si="3"/>
        <v>4.5297815664927188E-2</v>
      </c>
      <c r="K51" s="79">
        <f t="shared" si="4"/>
        <v>2.529781566492717E-2</v>
      </c>
      <c r="L51" s="86"/>
      <c r="M51" s="86"/>
      <c r="N51" s="86"/>
    </row>
    <row r="52" spans="4:14" x14ac:dyDescent="0.25">
      <c r="D52" s="69">
        <v>6.4695099999999996</v>
      </c>
      <c r="E52" s="91">
        <v>50</v>
      </c>
      <c r="F52" s="79">
        <f t="shared" si="0"/>
        <v>0.98</v>
      </c>
      <c r="G52" s="79">
        <f t="shared" si="1"/>
        <v>1</v>
      </c>
      <c r="H52" s="79">
        <f t="shared" si="2"/>
        <v>0.9785971552035011</v>
      </c>
      <c r="J52" s="79">
        <f t="shared" si="3"/>
        <v>2.1402844796498899E-2</v>
      </c>
      <c r="K52" s="79">
        <f t="shared" si="4"/>
        <v>1.4028447964988811E-3</v>
      </c>
      <c r="L52" s="86"/>
      <c r="M52" s="86"/>
      <c r="N52" s="86"/>
    </row>
  </sheetData>
  <mergeCells count="14">
    <mergeCell ref="K1:K2"/>
    <mergeCell ref="D1:D2"/>
    <mergeCell ref="E1:E2"/>
    <mergeCell ref="F1:F2"/>
    <mergeCell ref="G1:G2"/>
    <mergeCell ref="H1:H2"/>
    <mergeCell ref="J1:J2"/>
    <mergeCell ref="A13:B16"/>
    <mergeCell ref="Q5:Q6"/>
    <mergeCell ref="P8:P9"/>
    <mergeCell ref="Q8:Q9"/>
    <mergeCell ref="P12:P13"/>
    <mergeCell ref="Q12:T13"/>
    <mergeCell ref="P5:P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2694-453F-45A0-8309-4315458B916D}">
  <sheetPr>
    <tabColor theme="8" tint="0.39997558519241921"/>
  </sheetPr>
  <dimension ref="A1:W56"/>
  <sheetViews>
    <sheetView topLeftCell="A8" zoomScale="73" zoomScaleNormal="100" workbookViewId="0">
      <selection activeCell="A7" sqref="A7:B56"/>
    </sheetView>
  </sheetViews>
  <sheetFormatPr defaultColWidth="8.85546875" defaultRowHeight="15" x14ac:dyDescent="0.25"/>
  <cols>
    <col min="1" max="1" width="15.140625" style="85" bestFit="1" customWidth="1"/>
    <col min="2" max="2" width="15.140625" style="1" customWidth="1"/>
    <col min="3" max="3" width="8.5703125" style="1" customWidth="1"/>
    <col min="4" max="4" width="8.85546875" style="1" customWidth="1"/>
    <col min="5" max="5" width="8.85546875" style="85" customWidth="1"/>
    <col min="6" max="7" width="8.85546875" style="1" customWidth="1"/>
    <col min="8" max="8" width="11.85546875" style="1" customWidth="1"/>
    <col min="9" max="9" width="12" style="1" bestFit="1" customWidth="1"/>
    <col min="10" max="10" width="8.85546875" style="86"/>
    <col min="11" max="11" width="11.85546875" style="1" bestFit="1" customWidth="1"/>
    <col min="12" max="12" width="12.140625" style="1" bestFit="1" customWidth="1"/>
    <col min="13" max="13" width="8.5703125" style="1" customWidth="1"/>
    <col min="14" max="14" width="19.7109375" style="1" customWidth="1"/>
    <col min="15" max="15" width="11.85546875" style="1" bestFit="1" customWidth="1"/>
    <col min="16" max="16" width="8.5703125" style="1" customWidth="1"/>
    <col min="17" max="17" width="16.42578125" style="1" customWidth="1"/>
    <col min="18" max="16384" width="8.85546875" style="1"/>
  </cols>
  <sheetData>
    <row r="1" spans="1:23" ht="14.45" customHeight="1" x14ac:dyDescent="0.25">
      <c r="A1" s="109" t="s">
        <v>77</v>
      </c>
      <c r="B1" s="109"/>
      <c r="C1" s="97" t="s">
        <v>29</v>
      </c>
      <c r="D1" s="92">
        <f>COUNT(B7:B56)</f>
        <v>50</v>
      </c>
      <c r="E1" s="1"/>
    </row>
    <row r="2" spans="1:23" ht="14.45" customHeight="1" x14ac:dyDescent="0.25">
      <c r="A2" s="109"/>
      <c r="B2" s="109"/>
      <c r="C2" s="94" t="s">
        <v>78</v>
      </c>
      <c r="D2" s="92">
        <f>COUNT(A7:A56)</f>
        <v>50</v>
      </c>
    </row>
    <row r="3" spans="1:23" ht="14.45" customHeight="1" x14ac:dyDescent="0.25">
      <c r="A3" s="96"/>
      <c r="B3" s="96"/>
      <c r="C3" s="96"/>
    </row>
    <row r="4" spans="1:23" ht="14.45" customHeight="1" x14ac:dyDescent="0.25">
      <c r="A4" s="1"/>
      <c r="B4" s="85"/>
      <c r="E4" s="1"/>
      <c r="G4" s="86"/>
      <c r="J4" s="1"/>
    </row>
    <row r="5" spans="1:23" ht="18.95" customHeight="1" x14ac:dyDescent="0.25">
      <c r="A5" s="131" t="s">
        <v>76</v>
      </c>
      <c r="B5" s="131" t="s">
        <v>75</v>
      </c>
      <c r="C5" s="131" t="s">
        <v>67</v>
      </c>
      <c r="D5" s="129"/>
      <c r="E5" s="129"/>
      <c r="F5" s="129"/>
      <c r="G5" s="73"/>
      <c r="H5" s="129"/>
      <c r="I5" s="129"/>
      <c r="J5" s="73"/>
      <c r="K5" s="94"/>
      <c r="L5" s="94" t="s">
        <v>70</v>
      </c>
      <c r="N5" s="94" t="s">
        <v>73</v>
      </c>
      <c r="O5" s="92">
        <v>0.1</v>
      </c>
      <c r="Q5"/>
    </row>
    <row r="6" spans="1:23" ht="14.45" customHeight="1" x14ac:dyDescent="0.25">
      <c r="A6" s="132"/>
      <c r="B6" s="132"/>
      <c r="C6" s="132"/>
      <c r="D6" s="130"/>
      <c r="E6" s="130"/>
      <c r="F6" s="130"/>
      <c r="G6" s="73"/>
      <c r="H6" s="130"/>
      <c r="I6" s="130"/>
      <c r="J6" s="73"/>
      <c r="K6" s="94"/>
      <c r="L6" s="92">
        <f>MAX(H7:H56)</f>
        <v>0.54</v>
      </c>
      <c r="N6" s="94" t="s">
        <v>69</v>
      </c>
      <c r="O6" s="92">
        <v>1.22</v>
      </c>
    </row>
    <row r="7" spans="1:23" ht="14.45" customHeight="1" x14ac:dyDescent="0.25">
      <c r="A7" s="69">
        <v>1.0032000000000001</v>
      </c>
      <c r="B7" s="69">
        <v>-1.6568700000000001</v>
      </c>
      <c r="C7" s="91">
        <v>1</v>
      </c>
      <c r="D7" s="92">
        <f>(C7-1)/$D$1</f>
        <v>0</v>
      </c>
      <c r="E7" s="92">
        <f>C7/$D$1</f>
        <v>0.02</v>
      </c>
      <c r="F7" s="92">
        <f>COUNTIF($B$7:$B$56,"&lt;"&amp;A7)/$D$1</f>
        <v>0.2</v>
      </c>
      <c r="G7" s="86"/>
      <c r="H7" s="92">
        <f>ABS(E7-F7)</f>
        <v>0.18000000000000002</v>
      </c>
      <c r="I7" s="92">
        <f>ABS(F7-D7)</f>
        <v>0.2</v>
      </c>
      <c r="K7" s="92"/>
      <c r="L7" s="92">
        <f>MAX(I7:I56)</f>
        <v>0.52</v>
      </c>
    </row>
    <row r="8" spans="1:23" x14ac:dyDescent="0.25">
      <c r="A8" s="69">
        <v>1.00892</v>
      </c>
      <c r="B8" s="69">
        <v>-0.74036199999999996</v>
      </c>
      <c r="C8" s="91">
        <v>2</v>
      </c>
      <c r="D8" s="92">
        <f t="shared" ref="D8:D56" si="0">(C8-1)/$D$1</f>
        <v>0.02</v>
      </c>
      <c r="E8" s="92">
        <f t="shared" ref="E8:E56" si="1">C8/$D$1</f>
        <v>0.04</v>
      </c>
      <c r="F8" s="92">
        <f t="shared" ref="F8:F38" si="2">COUNTIF($B$7:$B$56,"&lt;"&amp;A8)/$D$1</f>
        <v>0.2</v>
      </c>
      <c r="G8" s="86"/>
      <c r="H8" s="92">
        <f t="shared" ref="H8:H56" si="3">ABS(E8-F8)</f>
        <v>0.16</v>
      </c>
      <c r="I8" s="92">
        <f t="shared" ref="I8:I56" si="4">ABS(F8-D8)</f>
        <v>0.18000000000000002</v>
      </c>
      <c r="K8" s="86"/>
      <c r="L8" s="86"/>
      <c r="N8" s="106"/>
      <c r="O8" s="133">
        <f>MAX(L6:L7)</f>
        <v>0.54</v>
      </c>
      <c r="Q8"/>
    </row>
    <row r="9" spans="1:23" ht="14.45" customHeight="1" x14ac:dyDescent="0.25">
      <c r="A9" s="69">
        <v>1.0301</v>
      </c>
      <c r="B9" s="69">
        <v>-0.73702800000000002</v>
      </c>
      <c r="C9" s="91">
        <v>3</v>
      </c>
      <c r="D9" s="92">
        <f t="shared" si="0"/>
        <v>0.04</v>
      </c>
      <c r="E9" s="92">
        <f t="shared" si="1"/>
        <v>0.06</v>
      </c>
      <c r="F9" s="92">
        <f t="shared" si="2"/>
        <v>0.2</v>
      </c>
      <c r="G9" s="86"/>
      <c r="H9" s="92">
        <f t="shared" si="3"/>
        <v>0.14000000000000001</v>
      </c>
      <c r="I9" s="92">
        <f t="shared" si="4"/>
        <v>0.16</v>
      </c>
      <c r="L9" s="86"/>
      <c r="N9" s="107"/>
      <c r="O9" s="134"/>
    </row>
    <row r="10" spans="1:23" x14ac:dyDescent="0.25">
      <c r="A10" s="69">
        <v>1.0472900000000001</v>
      </c>
      <c r="B10" s="69">
        <v>-0.60269700000000004</v>
      </c>
      <c r="C10" s="91">
        <v>4</v>
      </c>
      <c r="D10" s="92">
        <f t="shared" si="0"/>
        <v>0.06</v>
      </c>
      <c r="E10" s="92">
        <f t="shared" si="1"/>
        <v>0.08</v>
      </c>
      <c r="F10" s="92">
        <f t="shared" si="2"/>
        <v>0.2</v>
      </c>
      <c r="G10" s="86"/>
      <c r="H10" s="92">
        <f t="shared" si="3"/>
        <v>0.12000000000000001</v>
      </c>
      <c r="I10" s="92">
        <f t="shared" si="4"/>
        <v>0.14000000000000001</v>
      </c>
      <c r="K10" s="86"/>
      <c r="L10" s="86"/>
    </row>
    <row r="11" spans="1:23" x14ac:dyDescent="0.25">
      <c r="A11" s="69">
        <v>1.0710900000000001</v>
      </c>
      <c r="B11" s="69">
        <v>-0.43187900000000001</v>
      </c>
      <c r="C11" s="91">
        <v>5</v>
      </c>
      <c r="D11" s="92">
        <f t="shared" si="0"/>
        <v>0.08</v>
      </c>
      <c r="E11" s="92">
        <f t="shared" si="1"/>
        <v>0.1</v>
      </c>
      <c r="F11" s="92">
        <f t="shared" si="2"/>
        <v>0.2</v>
      </c>
      <c r="G11" s="86"/>
      <c r="H11" s="92">
        <f t="shared" si="3"/>
        <v>0.1</v>
      </c>
      <c r="I11" s="92">
        <f t="shared" si="4"/>
        <v>0.12000000000000001</v>
      </c>
      <c r="K11" s="86"/>
      <c r="L11" s="86"/>
      <c r="N11" s="125"/>
      <c r="O11" s="109">
        <f>SQRT((D1*D2)/(D1+D2))</f>
        <v>5</v>
      </c>
      <c r="Q11"/>
    </row>
    <row r="12" spans="1:23" x14ac:dyDescent="0.25">
      <c r="A12" s="69">
        <v>1.09911</v>
      </c>
      <c r="B12" s="69">
        <v>-0.17352000000000001</v>
      </c>
      <c r="C12" s="91">
        <v>6</v>
      </c>
      <c r="D12" s="92">
        <f t="shared" si="0"/>
        <v>0.1</v>
      </c>
      <c r="E12" s="92">
        <f t="shared" si="1"/>
        <v>0.12</v>
      </c>
      <c r="F12" s="92">
        <f t="shared" si="2"/>
        <v>0.22</v>
      </c>
      <c r="G12" s="86"/>
      <c r="H12" s="92">
        <f t="shared" si="3"/>
        <v>0.1</v>
      </c>
      <c r="I12" s="92">
        <f t="shared" si="4"/>
        <v>0.12</v>
      </c>
      <c r="K12" s="86"/>
      <c r="L12" s="86"/>
      <c r="M12" s="86"/>
      <c r="N12" s="125"/>
      <c r="O12" s="109"/>
    </row>
    <row r="13" spans="1:23" ht="14.1" customHeight="1" x14ac:dyDescent="0.25">
      <c r="A13" s="69">
        <v>1.1195900000000001</v>
      </c>
      <c r="B13" s="69">
        <v>-0.13830100000000001</v>
      </c>
      <c r="C13" s="91">
        <v>7</v>
      </c>
      <c r="D13" s="92">
        <f t="shared" si="0"/>
        <v>0.12</v>
      </c>
      <c r="E13" s="92">
        <f t="shared" si="1"/>
        <v>0.14000000000000001</v>
      </c>
      <c r="F13" s="92">
        <f t="shared" si="2"/>
        <v>0.22</v>
      </c>
      <c r="G13" s="86"/>
      <c r="H13" s="92">
        <f t="shared" si="3"/>
        <v>7.9999999999999988E-2</v>
      </c>
      <c r="I13" s="92">
        <f t="shared" si="4"/>
        <v>0.1</v>
      </c>
      <c r="K13" s="86"/>
      <c r="L13" s="86"/>
      <c r="M13" s="89"/>
      <c r="S13" s="89"/>
      <c r="W13" s="86"/>
    </row>
    <row r="14" spans="1:23" x14ac:dyDescent="0.25">
      <c r="A14" s="69">
        <v>1.1511100000000001</v>
      </c>
      <c r="B14" s="69">
        <v>-3.0000000000000001E-3</v>
      </c>
      <c r="C14" s="91">
        <v>8</v>
      </c>
      <c r="D14" s="92">
        <f t="shared" si="0"/>
        <v>0.14000000000000001</v>
      </c>
      <c r="E14" s="92">
        <f t="shared" si="1"/>
        <v>0.16</v>
      </c>
      <c r="F14" s="92">
        <f t="shared" si="2"/>
        <v>0.22</v>
      </c>
      <c r="G14" s="86"/>
      <c r="H14" s="92">
        <f t="shared" si="3"/>
        <v>0.06</v>
      </c>
      <c r="I14" s="92">
        <f t="shared" si="4"/>
        <v>7.9999999999999988E-2</v>
      </c>
      <c r="K14" s="86"/>
      <c r="L14" s="86"/>
      <c r="M14" s="89"/>
      <c r="N14" s="110"/>
      <c r="O14" s="129" t="s">
        <v>71</v>
      </c>
      <c r="S14" s="89"/>
      <c r="W14" s="86"/>
    </row>
    <row r="15" spans="1:23" x14ac:dyDescent="0.25">
      <c r="A15" s="69">
        <v>1.1653800000000001</v>
      </c>
      <c r="B15" s="69">
        <v>0.27818100000000001</v>
      </c>
      <c r="C15" s="91">
        <v>9</v>
      </c>
      <c r="D15" s="92">
        <f t="shared" si="0"/>
        <v>0.16</v>
      </c>
      <c r="E15" s="92">
        <f t="shared" si="1"/>
        <v>0.18</v>
      </c>
      <c r="F15" s="92">
        <f t="shared" si="2"/>
        <v>0.24</v>
      </c>
      <c r="G15" s="86"/>
      <c r="H15" s="92">
        <f t="shared" si="3"/>
        <v>0.06</v>
      </c>
      <c r="I15" s="92">
        <f t="shared" si="4"/>
        <v>7.9999999999999988E-2</v>
      </c>
      <c r="K15" s="86"/>
      <c r="L15" s="86"/>
      <c r="M15" s="86"/>
      <c r="N15" s="112"/>
      <c r="O15" s="130"/>
      <c r="P15" s="89"/>
      <c r="Q15" s="89"/>
      <c r="R15" s="89"/>
      <c r="S15" s="87"/>
      <c r="W15" s="86"/>
    </row>
    <row r="16" spans="1:23" ht="14.1" customHeight="1" x14ac:dyDescent="0.25">
      <c r="A16" s="69">
        <v>1.16568</v>
      </c>
      <c r="B16" s="69">
        <v>0.42441400000000001</v>
      </c>
      <c r="C16" s="91">
        <v>10</v>
      </c>
      <c r="D16" s="92">
        <f t="shared" si="0"/>
        <v>0.18</v>
      </c>
      <c r="E16" s="92">
        <f t="shared" si="1"/>
        <v>0.2</v>
      </c>
      <c r="F16" s="92">
        <f t="shared" si="2"/>
        <v>0.24</v>
      </c>
      <c r="G16" s="86"/>
      <c r="H16" s="92">
        <f t="shared" si="3"/>
        <v>3.999999999999998E-2</v>
      </c>
      <c r="I16" s="92">
        <f t="shared" si="4"/>
        <v>0.06</v>
      </c>
      <c r="K16" s="86"/>
      <c r="L16" s="86"/>
      <c r="M16" s="86"/>
      <c r="N16" s="92">
        <f>O11*O8</f>
        <v>2.7</v>
      </c>
      <c r="O16" s="92">
        <f>O6</f>
        <v>1.22</v>
      </c>
      <c r="P16" s="89"/>
      <c r="Q16" s="89"/>
      <c r="R16" s="89"/>
      <c r="S16" s="87"/>
      <c r="W16" s="86"/>
    </row>
    <row r="17" spans="1:23" x14ac:dyDescent="0.25">
      <c r="A17" s="69">
        <v>1.19563</v>
      </c>
      <c r="B17" s="69">
        <v>1.0916300000000001</v>
      </c>
      <c r="C17" s="91">
        <v>11</v>
      </c>
      <c r="D17" s="92">
        <f t="shared" si="0"/>
        <v>0.2</v>
      </c>
      <c r="E17" s="92">
        <f t="shared" si="1"/>
        <v>0.22</v>
      </c>
      <c r="F17" s="92">
        <f t="shared" si="2"/>
        <v>0.24</v>
      </c>
      <c r="G17" s="86"/>
      <c r="H17" s="92">
        <f t="shared" si="3"/>
        <v>1.999999999999999E-2</v>
      </c>
      <c r="I17" s="92">
        <f t="shared" si="4"/>
        <v>3.999999999999998E-2</v>
      </c>
      <c r="K17" s="86"/>
      <c r="L17" s="86"/>
      <c r="M17" s="86"/>
      <c r="N17" s="86"/>
      <c r="O17" s="86"/>
      <c r="P17" s="86"/>
      <c r="Q17" s="87"/>
      <c r="R17" s="87"/>
      <c r="S17" s="87"/>
      <c r="W17" s="86"/>
    </row>
    <row r="18" spans="1:23" ht="14.45" customHeight="1" x14ac:dyDescent="0.25">
      <c r="A18" s="69">
        <v>1.2020200000000001</v>
      </c>
      <c r="B18" s="69">
        <v>1.16337</v>
      </c>
      <c r="C18" s="91">
        <v>12</v>
      </c>
      <c r="D18" s="92">
        <f t="shared" si="0"/>
        <v>0.22</v>
      </c>
      <c r="E18" s="92">
        <f t="shared" si="1"/>
        <v>0.24</v>
      </c>
      <c r="F18" s="92">
        <f t="shared" si="2"/>
        <v>0.24</v>
      </c>
      <c r="G18" s="86"/>
      <c r="H18" s="92">
        <f t="shared" si="3"/>
        <v>0</v>
      </c>
      <c r="I18" s="92">
        <f t="shared" si="4"/>
        <v>1.999999999999999E-2</v>
      </c>
      <c r="K18" s="86"/>
      <c r="L18" s="86"/>
      <c r="M18" s="86"/>
      <c r="N18" s="110"/>
      <c r="O18" s="135" t="str">
        <f>IF(N16&lt;O16, "да; гипотеза не противоречит опытным данным, ее следует принять.", "нет; гипотеза противоречит опытным данным, ее следует отвергнуть.")</f>
        <v>нет; гипотеза противоречит опытным данным, ее следует отвергнуть.</v>
      </c>
      <c r="P18" s="136"/>
      <c r="Q18" s="136"/>
      <c r="R18" s="137"/>
      <c r="S18" s="87"/>
      <c r="W18" s="86"/>
    </row>
    <row r="19" spans="1:23" x14ac:dyDescent="0.25">
      <c r="A19" s="69">
        <v>1.2312099999999999</v>
      </c>
      <c r="B19" s="69">
        <v>1.25841</v>
      </c>
      <c r="C19" s="91">
        <v>13</v>
      </c>
      <c r="D19" s="92">
        <f t="shared" si="0"/>
        <v>0.24</v>
      </c>
      <c r="E19" s="92">
        <f t="shared" si="1"/>
        <v>0.26</v>
      </c>
      <c r="F19" s="92">
        <f t="shared" si="2"/>
        <v>0.24</v>
      </c>
      <c r="G19" s="86"/>
      <c r="H19" s="92">
        <f t="shared" si="3"/>
        <v>2.0000000000000018E-2</v>
      </c>
      <c r="I19" s="92">
        <f t="shared" si="4"/>
        <v>0</v>
      </c>
      <c r="K19" s="86"/>
      <c r="L19" s="86"/>
      <c r="M19" s="86"/>
      <c r="N19" s="112"/>
      <c r="O19" s="138"/>
      <c r="P19" s="139"/>
      <c r="Q19" s="139"/>
      <c r="R19" s="140"/>
      <c r="S19" s="87"/>
      <c r="W19" s="86"/>
    </row>
    <row r="20" spans="1:23" x14ac:dyDescent="0.25">
      <c r="A20" s="69">
        <v>1.2785299999999999</v>
      </c>
      <c r="B20" s="69">
        <v>1.49274</v>
      </c>
      <c r="C20" s="91">
        <v>14</v>
      </c>
      <c r="D20" s="92">
        <f t="shared" si="0"/>
        <v>0.26</v>
      </c>
      <c r="E20" s="92">
        <f t="shared" si="1"/>
        <v>0.28000000000000003</v>
      </c>
      <c r="F20" s="92">
        <f t="shared" si="2"/>
        <v>0.26</v>
      </c>
      <c r="G20" s="86"/>
      <c r="H20" s="92">
        <f t="shared" si="3"/>
        <v>2.0000000000000018E-2</v>
      </c>
      <c r="I20" s="92">
        <f t="shared" si="4"/>
        <v>0</v>
      </c>
      <c r="K20" s="86"/>
      <c r="L20" s="86"/>
      <c r="M20" s="86"/>
      <c r="N20" s="86"/>
      <c r="O20" s="86"/>
      <c r="P20" s="86"/>
      <c r="Q20" s="87"/>
      <c r="R20" s="87"/>
      <c r="S20" s="87"/>
      <c r="W20" s="86"/>
    </row>
    <row r="21" spans="1:23" x14ac:dyDescent="0.25">
      <c r="A21" s="69">
        <v>1.28857</v>
      </c>
      <c r="B21" s="69">
        <v>1.5833200000000001</v>
      </c>
      <c r="C21" s="91">
        <v>15</v>
      </c>
      <c r="D21" s="92">
        <f t="shared" si="0"/>
        <v>0.28000000000000003</v>
      </c>
      <c r="E21" s="92">
        <f t="shared" si="1"/>
        <v>0.3</v>
      </c>
      <c r="F21" s="92">
        <f t="shared" si="2"/>
        <v>0.26</v>
      </c>
      <c r="G21" s="86"/>
      <c r="H21" s="92">
        <f t="shared" si="3"/>
        <v>3.999999999999998E-2</v>
      </c>
      <c r="I21" s="92">
        <f t="shared" si="4"/>
        <v>2.0000000000000018E-2</v>
      </c>
      <c r="K21" s="86"/>
      <c r="L21" s="86"/>
      <c r="M21" s="86"/>
      <c r="N21" s="86"/>
      <c r="O21" s="86"/>
      <c r="P21" s="86"/>
      <c r="Q21" s="86"/>
      <c r="R21" s="86"/>
      <c r="S21" s="86"/>
      <c r="W21" s="86"/>
    </row>
    <row r="22" spans="1:23" x14ac:dyDescent="0.25">
      <c r="A22" s="69">
        <v>1.31524</v>
      </c>
      <c r="B22" s="69">
        <v>1.5901099999999999</v>
      </c>
      <c r="C22" s="91">
        <v>16</v>
      </c>
      <c r="D22" s="92">
        <f t="shared" si="0"/>
        <v>0.3</v>
      </c>
      <c r="E22" s="92">
        <f t="shared" si="1"/>
        <v>0.32</v>
      </c>
      <c r="F22" s="92">
        <f t="shared" si="2"/>
        <v>0.26</v>
      </c>
      <c r="G22" s="86"/>
      <c r="H22" s="92">
        <f t="shared" si="3"/>
        <v>0.06</v>
      </c>
      <c r="I22" s="92">
        <f t="shared" si="4"/>
        <v>3.999999999999998E-2</v>
      </c>
      <c r="K22" s="86"/>
      <c r="L22" s="86"/>
      <c r="M22" s="86"/>
      <c r="N22" s="86"/>
      <c r="O22" s="86"/>
      <c r="P22" s="86"/>
      <c r="Q22" s="87"/>
      <c r="R22" s="88"/>
      <c r="S22" s="88"/>
      <c r="W22" s="86"/>
    </row>
    <row r="23" spans="1:23" x14ac:dyDescent="0.25">
      <c r="A23" s="69">
        <v>1.33144</v>
      </c>
      <c r="B23" s="69">
        <v>1.63781</v>
      </c>
      <c r="C23" s="91">
        <v>17</v>
      </c>
      <c r="D23" s="92">
        <f t="shared" si="0"/>
        <v>0.32</v>
      </c>
      <c r="E23" s="92">
        <f t="shared" si="1"/>
        <v>0.34</v>
      </c>
      <c r="F23" s="92">
        <f t="shared" si="2"/>
        <v>0.26</v>
      </c>
      <c r="G23" s="86"/>
      <c r="H23" s="92">
        <f t="shared" si="3"/>
        <v>8.0000000000000016E-2</v>
      </c>
      <c r="I23" s="92">
        <f t="shared" si="4"/>
        <v>0.06</v>
      </c>
      <c r="K23" s="86"/>
      <c r="L23" s="86"/>
      <c r="M23" s="86"/>
      <c r="N23" s="86"/>
      <c r="O23" s="86"/>
      <c r="P23" s="86"/>
      <c r="Q23" s="87"/>
      <c r="R23" s="88"/>
      <c r="S23" s="88"/>
      <c r="W23" s="86"/>
    </row>
    <row r="24" spans="1:23" ht="14.45" customHeight="1" x14ac:dyDescent="0.25">
      <c r="A24" s="69">
        <v>1.35405</v>
      </c>
      <c r="B24" s="69">
        <v>1.72692</v>
      </c>
      <c r="C24" s="91">
        <v>18</v>
      </c>
      <c r="D24" s="92">
        <f t="shared" si="0"/>
        <v>0.34</v>
      </c>
      <c r="E24" s="92">
        <f t="shared" si="1"/>
        <v>0.36</v>
      </c>
      <c r="F24" s="92">
        <f t="shared" si="2"/>
        <v>0.26</v>
      </c>
      <c r="G24" s="86"/>
      <c r="H24" s="92">
        <f t="shared" si="3"/>
        <v>9.9999999999999978E-2</v>
      </c>
      <c r="I24" s="92">
        <f t="shared" si="4"/>
        <v>8.0000000000000016E-2</v>
      </c>
      <c r="K24" s="86"/>
      <c r="L24" s="86"/>
      <c r="M24" s="86"/>
      <c r="N24" s="86"/>
      <c r="O24" s="86"/>
      <c r="P24" s="86"/>
      <c r="Q24" s="87"/>
      <c r="R24" s="88"/>
      <c r="S24" s="88"/>
      <c r="W24" s="86"/>
    </row>
    <row r="25" spans="1:23" x14ac:dyDescent="0.25">
      <c r="A25" s="69">
        <v>1.38235</v>
      </c>
      <c r="B25" s="69">
        <v>1.7513700000000001</v>
      </c>
      <c r="C25" s="91">
        <v>19</v>
      </c>
      <c r="D25" s="92">
        <f t="shared" si="0"/>
        <v>0.36</v>
      </c>
      <c r="E25" s="92">
        <f t="shared" si="1"/>
        <v>0.38</v>
      </c>
      <c r="F25" s="92">
        <f t="shared" si="2"/>
        <v>0.26</v>
      </c>
      <c r="G25" s="86"/>
      <c r="H25" s="92">
        <f t="shared" si="3"/>
        <v>0.12</v>
      </c>
      <c r="I25" s="92">
        <f t="shared" si="4"/>
        <v>9.9999999999999978E-2</v>
      </c>
      <c r="K25" s="86"/>
      <c r="L25" s="86"/>
      <c r="M25" s="86"/>
      <c r="N25" s="86"/>
      <c r="O25" s="86"/>
      <c r="P25" s="86"/>
      <c r="Q25" s="86"/>
      <c r="R25" s="86"/>
      <c r="S25" s="86"/>
      <c r="W25" s="86"/>
    </row>
    <row r="26" spans="1:23" ht="14.1" customHeight="1" x14ac:dyDescent="0.25">
      <c r="A26" s="69">
        <v>1.39706</v>
      </c>
      <c r="B26" s="69">
        <v>1.9047400000000001</v>
      </c>
      <c r="C26" s="91">
        <v>20</v>
      </c>
      <c r="D26" s="92">
        <f t="shared" si="0"/>
        <v>0.38</v>
      </c>
      <c r="E26" s="92">
        <f t="shared" si="1"/>
        <v>0.4</v>
      </c>
      <c r="F26" s="92">
        <f t="shared" si="2"/>
        <v>0.26</v>
      </c>
      <c r="G26" s="86"/>
      <c r="H26" s="92">
        <f t="shared" si="3"/>
        <v>0.14000000000000001</v>
      </c>
      <c r="I26" s="92">
        <f t="shared" si="4"/>
        <v>0.12</v>
      </c>
      <c r="K26" s="86"/>
      <c r="L26" s="86"/>
      <c r="M26" s="86"/>
      <c r="N26" s="86"/>
      <c r="O26" s="86"/>
      <c r="P26" s="86"/>
      <c r="Q26" s="84"/>
      <c r="R26" s="84"/>
      <c r="S26" s="84"/>
      <c r="W26" s="86"/>
    </row>
    <row r="27" spans="1:23" x14ac:dyDescent="0.25">
      <c r="A27" s="69">
        <v>1.43075</v>
      </c>
      <c r="B27" s="69">
        <v>1.91276</v>
      </c>
      <c r="C27" s="91">
        <v>21</v>
      </c>
      <c r="D27" s="92">
        <f t="shared" si="0"/>
        <v>0.4</v>
      </c>
      <c r="E27" s="92">
        <f t="shared" si="1"/>
        <v>0.42</v>
      </c>
      <c r="F27" s="92">
        <f t="shared" si="2"/>
        <v>0.26</v>
      </c>
      <c r="G27" s="86"/>
      <c r="H27" s="92">
        <f t="shared" si="3"/>
        <v>0.15999999999999998</v>
      </c>
      <c r="I27" s="92">
        <f t="shared" si="4"/>
        <v>0.14000000000000001</v>
      </c>
      <c r="K27" s="86"/>
      <c r="L27" s="86"/>
      <c r="M27" s="86"/>
      <c r="N27" s="86"/>
      <c r="O27" s="86"/>
      <c r="P27" s="86"/>
      <c r="Q27" s="84"/>
      <c r="R27" s="84"/>
      <c r="S27" s="84"/>
      <c r="W27" s="86"/>
    </row>
    <row r="28" spans="1:23" x14ac:dyDescent="0.25">
      <c r="A28" s="69">
        <v>1.43868</v>
      </c>
      <c r="B28" s="69">
        <v>2.3263500000000001</v>
      </c>
      <c r="C28" s="91">
        <v>22</v>
      </c>
      <c r="D28" s="92">
        <f t="shared" si="0"/>
        <v>0.42</v>
      </c>
      <c r="E28" s="92">
        <f t="shared" si="1"/>
        <v>0.44</v>
      </c>
      <c r="F28" s="92">
        <f t="shared" si="2"/>
        <v>0.26</v>
      </c>
      <c r="G28" s="86"/>
      <c r="H28" s="92">
        <f t="shared" si="3"/>
        <v>0.18</v>
      </c>
      <c r="I28" s="92">
        <f t="shared" si="4"/>
        <v>0.15999999999999998</v>
      </c>
      <c r="K28" s="86"/>
      <c r="L28" s="86"/>
      <c r="M28" s="86"/>
      <c r="N28" s="86"/>
      <c r="O28" s="86"/>
      <c r="P28" s="86"/>
      <c r="Q28" s="84"/>
      <c r="R28" s="84"/>
      <c r="S28" s="84"/>
      <c r="W28" s="86"/>
    </row>
    <row r="29" spans="1:23" x14ac:dyDescent="0.25">
      <c r="A29" s="69">
        <v>1.4408700000000001</v>
      </c>
      <c r="B29" s="69">
        <v>2.4750100000000002</v>
      </c>
      <c r="C29" s="91">
        <v>23</v>
      </c>
      <c r="D29" s="92">
        <f t="shared" si="0"/>
        <v>0.44</v>
      </c>
      <c r="E29" s="92">
        <f t="shared" si="1"/>
        <v>0.46</v>
      </c>
      <c r="F29" s="92">
        <f t="shared" si="2"/>
        <v>0.26</v>
      </c>
      <c r="G29" s="86"/>
      <c r="H29" s="92">
        <f t="shared" si="3"/>
        <v>0.2</v>
      </c>
      <c r="I29" s="92">
        <f t="shared" si="4"/>
        <v>0.18</v>
      </c>
      <c r="K29" s="86"/>
      <c r="L29" s="86"/>
      <c r="M29" s="86"/>
      <c r="N29" s="86"/>
      <c r="O29" s="86"/>
      <c r="P29" s="86"/>
      <c r="Q29" s="86"/>
      <c r="R29" s="86"/>
      <c r="S29" s="86"/>
      <c r="W29" s="86"/>
    </row>
    <row r="30" spans="1:23" x14ac:dyDescent="0.25">
      <c r="A30" s="69">
        <v>1.4523900000000001</v>
      </c>
      <c r="B30" s="69">
        <v>2.7407699999999999</v>
      </c>
      <c r="C30" s="91">
        <v>24</v>
      </c>
      <c r="D30" s="92">
        <f t="shared" si="0"/>
        <v>0.46</v>
      </c>
      <c r="E30" s="92">
        <f t="shared" si="1"/>
        <v>0.48</v>
      </c>
      <c r="F30" s="92">
        <f t="shared" si="2"/>
        <v>0.26</v>
      </c>
      <c r="G30" s="86"/>
      <c r="H30" s="92">
        <f t="shared" si="3"/>
        <v>0.21999999999999997</v>
      </c>
      <c r="I30" s="92">
        <f t="shared" si="4"/>
        <v>0.2</v>
      </c>
      <c r="K30" s="86"/>
      <c r="L30" s="86"/>
    </row>
    <row r="31" spans="1:23" x14ac:dyDescent="0.25">
      <c r="A31" s="69">
        <v>1.46665</v>
      </c>
      <c r="B31" s="69">
        <v>2.7423299999999999</v>
      </c>
      <c r="C31" s="91">
        <v>25</v>
      </c>
      <c r="D31" s="92">
        <f t="shared" si="0"/>
        <v>0.48</v>
      </c>
      <c r="E31" s="92">
        <f t="shared" si="1"/>
        <v>0.5</v>
      </c>
      <c r="F31" s="92">
        <f t="shared" si="2"/>
        <v>0.26</v>
      </c>
      <c r="G31" s="86"/>
      <c r="H31" s="92">
        <f t="shared" si="3"/>
        <v>0.24</v>
      </c>
      <c r="I31" s="92">
        <f t="shared" si="4"/>
        <v>0.21999999999999997</v>
      </c>
      <c r="K31" s="86"/>
      <c r="L31" s="86"/>
    </row>
    <row r="32" spans="1:23" x14ac:dyDescent="0.25">
      <c r="A32" s="69">
        <v>1.4887300000000001</v>
      </c>
      <c r="B32" s="69">
        <v>2.7600500000000001</v>
      </c>
      <c r="C32" s="91">
        <v>26</v>
      </c>
      <c r="D32" s="92">
        <f t="shared" si="0"/>
        <v>0.5</v>
      </c>
      <c r="E32" s="92">
        <f t="shared" si="1"/>
        <v>0.52</v>
      </c>
      <c r="F32" s="92">
        <f t="shared" si="2"/>
        <v>0.26</v>
      </c>
      <c r="G32" s="86"/>
      <c r="H32" s="92">
        <f t="shared" si="3"/>
        <v>0.26</v>
      </c>
      <c r="I32" s="92">
        <f t="shared" si="4"/>
        <v>0.24</v>
      </c>
      <c r="K32" s="86"/>
      <c r="L32" s="86"/>
    </row>
    <row r="33" spans="1:12" x14ac:dyDescent="0.25">
      <c r="A33" s="69">
        <v>1.5667199999999999</v>
      </c>
      <c r="B33" s="69">
        <v>2.7949199999999998</v>
      </c>
      <c r="C33" s="91">
        <v>27</v>
      </c>
      <c r="D33" s="92">
        <f t="shared" si="0"/>
        <v>0.52</v>
      </c>
      <c r="E33" s="92">
        <f t="shared" si="1"/>
        <v>0.54</v>
      </c>
      <c r="F33" s="92">
        <f t="shared" si="2"/>
        <v>0.28000000000000003</v>
      </c>
      <c r="G33" s="86"/>
      <c r="H33" s="92">
        <f t="shared" si="3"/>
        <v>0.26</v>
      </c>
      <c r="I33" s="92">
        <f t="shared" si="4"/>
        <v>0.24</v>
      </c>
      <c r="K33" s="86"/>
      <c r="L33" s="86"/>
    </row>
    <row r="34" spans="1:12" x14ac:dyDescent="0.25">
      <c r="A34" s="69">
        <v>1.59293</v>
      </c>
      <c r="B34" s="69">
        <v>2.8339300000000001</v>
      </c>
      <c r="C34" s="91">
        <v>28</v>
      </c>
      <c r="D34" s="92">
        <f t="shared" si="0"/>
        <v>0.54</v>
      </c>
      <c r="E34" s="92">
        <f t="shared" si="1"/>
        <v>0.56000000000000005</v>
      </c>
      <c r="F34" s="92">
        <f t="shared" si="2"/>
        <v>0.32</v>
      </c>
      <c r="G34" s="86"/>
      <c r="H34" s="92">
        <f t="shared" si="3"/>
        <v>0.24000000000000005</v>
      </c>
      <c r="I34" s="92">
        <f t="shared" si="4"/>
        <v>0.22000000000000003</v>
      </c>
      <c r="K34" s="86"/>
      <c r="L34" s="86"/>
    </row>
    <row r="35" spans="1:12" x14ac:dyDescent="0.25">
      <c r="A35" s="69">
        <v>1.6012599999999999</v>
      </c>
      <c r="B35" s="69">
        <v>2.9357099999999998</v>
      </c>
      <c r="C35" s="91">
        <v>29</v>
      </c>
      <c r="D35" s="92">
        <f t="shared" si="0"/>
        <v>0.56000000000000005</v>
      </c>
      <c r="E35" s="92">
        <f t="shared" si="1"/>
        <v>0.57999999999999996</v>
      </c>
      <c r="F35" s="92">
        <f t="shared" si="2"/>
        <v>0.32</v>
      </c>
      <c r="G35" s="86"/>
      <c r="H35" s="92">
        <f t="shared" si="3"/>
        <v>0.25999999999999995</v>
      </c>
      <c r="I35" s="92">
        <f t="shared" si="4"/>
        <v>0.24000000000000005</v>
      </c>
      <c r="K35" s="86"/>
      <c r="L35" s="86"/>
    </row>
    <row r="36" spans="1:12" x14ac:dyDescent="0.25">
      <c r="A36" s="69">
        <v>1.60833</v>
      </c>
      <c r="B36" s="69">
        <v>3.0167700000000002</v>
      </c>
      <c r="C36" s="91">
        <v>30</v>
      </c>
      <c r="D36" s="92">
        <f t="shared" si="0"/>
        <v>0.57999999999999996</v>
      </c>
      <c r="E36" s="92">
        <f t="shared" si="1"/>
        <v>0.6</v>
      </c>
      <c r="F36" s="92">
        <f t="shared" si="2"/>
        <v>0.32</v>
      </c>
      <c r="G36" s="86"/>
      <c r="H36" s="92">
        <f t="shared" si="3"/>
        <v>0.27999999999999997</v>
      </c>
      <c r="I36" s="92">
        <f t="shared" si="4"/>
        <v>0.25999999999999995</v>
      </c>
      <c r="K36" s="86"/>
      <c r="L36" s="86"/>
    </row>
    <row r="37" spans="1:12" x14ac:dyDescent="0.25">
      <c r="A37" s="69">
        <v>1.60971</v>
      </c>
      <c r="B37" s="69">
        <v>3.0217100000000001</v>
      </c>
      <c r="C37" s="91">
        <v>31</v>
      </c>
      <c r="D37" s="92">
        <f t="shared" si="0"/>
        <v>0.6</v>
      </c>
      <c r="E37" s="92">
        <f t="shared" si="1"/>
        <v>0.62</v>
      </c>
      <c r="F37" s="92">
        <f t="shared" si="2"/>
        <v>0.32</v>
      </c>
      <c r="G37" s="86"/>
      <c r="H37" s="92">
        <f t="shared" si="3"/>
        <v>0.3</v>
      </c>
      <c r="I37" s="92">
        <f t="shared" si="4"/>
        <v>0.27999999999999997</v>
      </c>
      <c r="K37" s="86"/>
      <c r="L37" s="86"/>
    </row>
    <row r="38" spans="1:12" x14ac:dyDescent="0.25">
      <c r="A38" s="69">
        <v>1.6140699999999999</v>
      </c>
      <c r="B38" s="69">
        <v>3.1695199999999999</v>
      </c>
      <c r="C38" s="91">
        <v>32</v>
      </c>
      <c r="D38" s="92">
        <f t="shared" si="0"/>
        <v>0.62</v>
      </c>
      <c r="E38" s="92">
        <f t="shared" si="1"/>
        <v>0.64</v>
      </c>
      <c r="F38" s="92">
        <f t="shared" si="2"/>
        <v>0.32</v>
      </c>
      <c r="G38" s="86"/>
      <c r="H38" s="92">
        <f t="shared" si="3"/>
        <v>0.32</v>
      </c>
      <c r="I38" s="92">
        <f t="shared" si="4"/>
        <v>0.3</v>
      </c>
      <c r="K38" s="86"/>
      <c r="L38" s="86"/>
    </row>
    <row r="39" spans="1:12" x14ac:dyDescent="0.25">
      <c r="A39" s="69">
        <v>1.6327499999999999</v>
      </c>
      <c r="B39" s="69">
        <v>3.1700400000000002</v>
      </c>
      <c r="C39" s="91">
        <v>33</v>
      </c>
      <c r="D39" s="92">
        <f t="shared" si="0"/>
        <v>0.64</v>
      </c>
      <c r="E39" s="92">
        <f t="shared" si="1"/>
        <v>0.66</v>
      </c>
      <c r="F39" s="92">
        <f t="shared" ref="F39:F56" si="5">COUNTIF($B$7:$B$56,"&lt;"&amp;A39)/$D$1</f>
        <v>0.32</v>
      </c>
      <c r="G39" s="86"/>
      <c r="H39" s="92">
        <f t="shared" si="3"/>
        <v>0.34</v>
      </c>
      <c r="I39" s="92">
        <f t="shared" si="4"/>
        <v>0.32</v>
      </c>
      <c r="K39" s="86"/>
      <c r="L39" s="86"/>
    </row>
    <row r="40" spans="1:12" x14ac:dyDescent="0.25">
      <c r="A40" s="69">
        <v>1.63835</v>
      </c>
      <c r="B40" s="69">
        <v>3.7054800000000001</v>
      </c>
      <c r="C40" s="91">
        <v>34</v>
      </c>
      <c r="D40" s="92">
        <f t="shared" si="0"/>
        <v>0.66</v>
      </c>
      <c r="E40" s="92">
        <f t="shared" si="1"/>
        <v>0.68</v>
      </c>
      <c r="F40" s="92">
        <f t="shared" si="5"/>
        <v>0.34</v>
      </c>
      <c r="G40" s="86"/>
      <c r="H40" s="92">
        <f t="shared" si="3"/>
        <v>0.34</v>
      </c>
      <c r="I40" s="92">
        <f t="shared" si="4"/>
        <v>0.32</v>
      </c>
      <c r="K40" s="86"/>
      <c r="L40" s="86"/>
    </row>
    <row r="41" spans="1:12" x14ac:dyDescent="0.25">
      <c r="A41" s="69">
        <v>1.64323</v>
      </c>
      <c r="B41" s="69">
        <v>3.7261500000000001</v>
      </c>
      <c r="C41" s="91">
        <v>35</v>
      </c>
      <c r="D41" s="92">
        <f t="shared" si="0"/>
        <v>0.68</v>
      </c>
      <c r="E41" s="92">
        <f t="shared" si="1"/>
        <v>0.7</v>
      </c>
      <c r="F41" s="92">
        <f t="shared" si="5"/>
        <v>0.34</v>
      </c>
      <c r="G41" s="86"/>
      <c r="H41" s="92">
        <f t="shared" si="3"/>
        <v>0.35999999999999993</v>
      </c>
      <c r="I41" s="92">
        <f t="shared" si="4"/>
        <v>0.34</v>
      </c>
      <c r="K41" s="86"/>
      <c r="L41" s="86"/>
    </row>
    <row r="42" spans="1:12" x14ac:dyDescent="0.25">
      <c r="A42" s="69">
        <v>1.6846699999999999</v>
      </c>
      <c r="B42" s="69">
        <v>3.8111799999999998</v>
      </c>
      <c r="C42" s="91">
        <v>36</v>
      </c>
      <c r="D42" s="92">
        <f t="shared" si="0"/>
        <v>0.7</v>
      </c>
      <c r="E42" s="92">
        <f t="shared" si="1"/>
        <v>0.72</v>
      </c>
      <c r="F42" s="92">
        <f t="shared" si="5"/>
        <v>0.34</v>
      </c>
      <c r="G42" s="86"/>
      <c r="H42" s="92">
        <f t="shared" si="3"/>
        <v>0.37999999999999995</v>
      </c>
      <c r="I42" s="92">
        <f t="shared" si="4"/>
        <v>0.35999999999999993</v>
      </c>
      <c r="K42" s="86"/>
      <c r="L42" s="86"/>
    </row>
    <row r="43" spans="1:12" x14ac:dyDescent="0.25">
      <c r="A43" s="69">
        <v>1.7030099999999999</v>
      </c>
      <c r="B43" s="69">
        <v>3.81745</v>
      </c>
      <c r="C43" s="91">
        <v>37</v>
      </c>
      <c r="D43" s="92">
        <f t="shared" si="0"/>
        <v>0.72</v>
      </c>
      <c r="E43" s="92">
        <f t="shared" si="1"/>
        <v>0.74</v>
      </c>
      <c r="F43" s="92">
        <f t="shared" si="5"/>
        <v>0.34</v>
      </c>
      <c r="G43" s="86"/>
      <c r="H43" s="92">
        <f t="shared" si="3"/>
        <v>0.39999999999999997</v>
      </c>
      <c r="I43" s="92">
        <f t="shared" si="4"/>
        <v>0.37999999999999995</v>
      </c>
      <c r="K43" s="86"/>
      <c r="L43" s="86"/>
    </row>
    <row r="44" spans="1:12" x14ac:dyDescent="0.25">
      <c r="A44" s="69">
        <v>1.7760800000000001</v>
      </c>
      <c r="B44" s="69">
        <v>3.9186800000000002</v>
      </c>
      <c r="C44" s="91">
        <v>38</v>
      </c>
      <c r="D44" s="92">
        <f t="shared" si="0"/>
        <v>0.74</v>
      </c>
      <c r="E44" s="92">
        <f t="shared" si="1"/>
        <v>0.76</v>
      </c>
      <c r="F44" s="92">
        <f t="shared" si="5"/>
        <v>0.38</v>
      </c>
      <c r="G44" s="86"/>
      <c r="H44" s="92">
        <f t="shared" si="3"/>
        <v>0.38</v>
      </c>
      <c r="I44" s="92">
        <f t="shared" si="4"/>
        <v>0.36</v>
      </c>
      <c r="K44" s="86"/>
      <c r="L44" s="86"/>
    </row>
    <row r="45" spans="1:12" x14ac:dyDescent="0.25">
      <c r="A45" s="69">
        <v>1.79559</v>
      </c>
      <c r="B45" s="69">
        <v>3.99708</v>
      </c>
      <c r="C45" s="91">
        <v>39</v>
      </c>
      <c r="D45" s="92">
        <f t="shared" si="0"/>
        <v>0.76</v>
      </c>
      <c r="E45" s="92">
        <f t="shared" si="1"/>
        <v>0.78</v>
      </c>
      <c r="F45" s="92">
        <f t="shared" si="5"/>
        <v>0.38</v>
      </c>
      <c r="G45" s="86"/>
      <c r="H45" s="92">
        <f t="shared" si="3"/>
        <v>0.4</v>
      </c>
      <c r="I45" s="92">
        <f t="shared" si="4"/>
        <v>0.38</v>
      </c>
      <c r="K45" s="86"/>
      <c r="L45" s="86"/>
    </row>
    <row r="46" spans="1:12" x14ac:dyDescent="0.25">
      <c r="A46" s="69">
        <v>1.79654</v>
      </c>
      <c r="B46" s="69">
        <v>4.2461700000000002</v>
      </c>
      <c r="C46" s="91">
        <v>40</v>
      </c>
      <c r="D46" s="92">
        <f t="shared" si="0"/>
        <v>0.78</v>
      </c>
      <c r="E46" s="92">
        <f t="shared" si="1"/>
        <v>0.8</v>
      </c>
      <c r="F46" s="92">
        <f t="shared" si="5"/>
        <v>0.38</v>
      </c>
      <c r="G46" s="86"/>
      <c r="H46" s="92">
        <f t="shared" si="3"/>
        <v>0.42000000000000004</v>
      </c>
      <c r="I46" s="92">
        <f t="shared" si="4"/>
        <v>0.4</v>
      </c>
      <c r="K46" s="86"/>
      <c r="L46" s="86"/>
    </row>
    <row r="47" spans="1:12" x14ac:dyDescent="0.25">
      <c r="A47" s="69">
        <v>1.8041400000000001</v>
      </c>
      <c r="B47" s="69">
        <v>4.3758400000000002</v>
      </c>
      <c r="C47" s="91">
        <v>41</v>
      </c>
      <c r="D47" s="92">
        <f t="shared" si="0"/>
        <v>0.8</v>
      </c>
      <c r="E47" s="92">
        <f t="shared" si="1"/>
        <v>0.82</v>
      </c>
      <c r="F47" s="92">
        <f t="shared" si="5"/>
        <v>0.38</v>
      </c>
      <c r="G47" s="86"/>
      <c r="H47" s="92">
        <f t="shared" si="3"/>
        <v>0.43999999999999995</v>
      </c>
      <c r="I47" s="92">
        <f t="shared" si="4"/>
        <v>0.42000000000000004</v>
      </c>
      <c r="K47" s="86"/>
      <c r="L47" s="86"/>
    </row>
    <row r="48" spans="1:12" x14ac:dyDescent="0.25">
      <c r="A48" s="69">
        <v>1.80463</v>
      </c>
      <c r="B48" s="69">
        <v>4.6064499999999997</v>
      </c>
      <c r="C48" s="91">
        <v>42</v>
      </c>
      <c r="D48" s="92">
        <f t="shared" si="0"/>
        <v>0.82</v>
      </c>
      <c r="E48" s="92">
        <f t="shared" si="1"/>
        <v>0.84</v>
      </c>
      <c r="F48" s="92">
        <f t="shared" si="5"/>
        <v>0.38</v>
      </c>
      <c r="G48" s="86"/>
      <c r="H48" s="92">
        <f t="shared" si="3"/>
        <v>0.45999999999999996</v>
      </c>
      <c r="I48" s="92">
        <f t="shared" si="4"/>
        <v>0.43999999999999995</v>
      </c>
      <c r="K48" s="86"/>
      <c r="L48" s="86"/>
    </row>
    <row r="49" spans="1:12" x14ac:dyDescent="0.25">
      <c r="A49" s="69">
        <v>1.8061400000000001</v>
      </c>
      <c r="B49" s="69">
        <v>4.6470500000000001</v>
      </c>
      <c r="C49" s="91">
        <v>43</v>
      </c>
      <c r="D49" s="92">
        <f t="shared" si="0"/>
        <v>0.84</v>
      </c>
      <c r="E49" s="92">
        <f t="shared" si="1"/>
        <v>0.86</v>
      </c>
      <c r="F49" s="92">
        <f t="shared" si="5"/>
        <v>0.38</v>
      </c>
      <c r="G49" s="86"/>
      <c r="H49" s="92">
        <f t="shared" si="3"/>
        <v>0.48</v>
      </c>
      <c r="I49" s="92">
        <f t="shared" si="4"/>
        <v>0.45999999999999996</v>
      </c>
      <c r="K49" s="86"/>
      <c r="L49" s="86"/>
    </row>
    <row r="50" spans="1:12" x14ac:dyDescent="0.25">
      <c r="A50" s="69">
        <v>1.83894</v>
      </c>
      <c r="B50" s="69">
        <v>5.0537799999999997</v>
      </c>
      <c r="C50" s="91">
        <v>44</v>
      </c>
      <c r="D50" s="92">
        <f t="shared" si="0"/>
        <v>0.86</v>
      </c>
      <c r="E50" s="92">
        <f t="shared" si="1"/>
        <v>0.88</v>
      </c>
      <c r="F50" s="92">
        <f t="shared" si="5"/>
        <v>0.38</v>
      </c>
      <c r="G50" s="86"/>
      <c r="H50" s="92">
        <f t="shared" si="3"/>
        <v>0.5</v>
      </c>
      <c r="I50" s="92">
        <f t="shared" si="4"/>
        <v>0.48</v>
      </c>
      <c r="K50" s="86"/>
      <c r="L50" s="86"/>
    </row>
    <row r="51" spans="1:12" x14ac:dyDescent="0.25">
      <c r="A51" s="69">
        <v>1.96417</v>
      </c>
      <c r="B51" s="69">
        <v>5.10623</v>
      </c>
      <c r="C51" s="91">
        <v>45</v>
      </c>
      <c r="D51" s="92">
        <f t="shared" si="0"/>
        <v>0.88</v>
      </c>
      <c r="E51" s="92">
        <f t="shared" si="1"/>
        <v>0.9</v>
      </c>
      <c r="F51" s="92">
        <f t="shared" si="5"/>
        <v>0.42</v>
      </c>
      <c r="G51" s="86"/>
      <c r="H51" s="92">
        <f t="shared" si="3"/>
        <v>0.48000000000000004</v>
      </c>
      <c r="I51" s="92">
        <f t="shared" si="4"/>
        <v>0.46</v>
      </c>
      <c r="K51" s="86"/>
      <c r="L51" s="86"/>
    </row>
    <row r="52" spans="1:12" x14ac:dyDescent="0.25">
      <c r="A52" s="69">
        <v>1.98302</v>
      </c>
      <c r="B52" s="69">
        <v>5.1539200000000003</v>
      </c>
      <c r="C52" s="91">
        <v>46</v>
      </c>
      <c r="D52" s="92">
        <f t="shared" si="0"/>
        <v>0.9</v>
      </c>
      <c r="E52" s="92">
        <f t="shared" si="1"/>
        <v>0.92</v>
      </c>
      <c r="F52" s="92">
        <f t="shared" si="5"/>
        <v>0.42</v>
      </c>
      <c r="G52" s="86"/>
      <c r="H52" s="92">
        <f t="shared" si="3"/>
        <v>0.5</v>
      </c>
      <c r="I52" s="92">
        <f t="shared" si="4"/>
        <v>0.48000000000000004</v>
      </c>
      <c r="K52" s="86"/>
      <c r="L52" s="86"/>
    </row>
    <row r="53" spans="1:12" x14ac:dyDescent="0.25">
      <c r="A53" s="69">
        <v>2.1029599999999999</v>
      </c>
      <c r="B53" s="69">
        <v>5.2593199999999998</v>
      </c>
      <c r="C53" s="91">
        <v>47</v>
      </c>
      <c r="D53" s="92">
        <f t="shared" si="0"/>
        <v>0.92</v>
      </c>
      <c r="E53" s="92">
        <f t="shared" si="1"/>
        <v>0.94</v>
      </c>
      <c r="F53" s="92">
        <f t="shared" si="5"/>
        <v>0.42</v>
      </c>
      <c r="G53" s="86"/>
      <c r="H53" s="92">
        <f t="shared" si="3"/>
        <v>0.52</v>
      </c>
      <c r="I53" s="92">
        <f t="shared" si="4"/>
        <v>0.5</v>
      </c>
      <c r="K53" s="86"/>
      <c r="L53" s="86"/>
    </row>
    <row r="54" spans="1:12" x14ac:dyDescent="0.25">
      <c r="A54" s="69">
        <v>2.1596799999999998</v>
      </c>
      <c r="B54" s="69">
        <v>5.4249200000000002</v>
      </c>
      <c r="C54" s="91">
        <v>48</v>
      </c>
      <c r="D54" s="92">
        <f t="shared" si="0"/>
        <v>0.94</v>
      </c>
      <c r="E54" s="92">
        <f t="shared" si="1"/>
        <v>0.96</v>
      </c>
      <c r="F54" s="92">
        <f t="shared" si="5"/>
        <v>0.42</v>
      </c>
      <c r="G54" s="86"/>
      <c r="H54" s="92">
        <f t="shared" si="3"/>
        <v>0.54</v>
      </c>
      <c r="I54" s="92">
        <f t="shared" si="4"/>
        <v>0.52</v>
      </c>
      <c r="K54" s="86"/>
      <c r="L54" s="86"/>
    </row>
    <row r="55" spans="1:12" x14ac:dyDescent="0.25">
      <c r="A55" s="69">
        <v>2.8480599999999998</v>
      </c>
      <c r="B55" s="69">
        <v>5.4681600000000001</v>
      </c>
      <c r="C55" s="91">
        <v>49</v>
      </c>
      <c r="D55" s="92">
        <f t="shared" si="0"/>
        <v>0.96</v>
      </c>
      <c r="E55" s="92">
        <f t="shared" si="1"/>
        <v>0.98</v>
      </c>
      <c r="F55" s="92">
        <f t="shared" si="5"/>
        <v>0.56000000000000005</v>
      </c>
      <c r="G55" s="86"/>
      <c r="H55" s="92">
        <f t="shared" si="3"/>
        <v>0.41999999999999993</v>
      </c>
      <c r="I55" s="92">
        <f t="shared" si="4"/>
        <v>0.39999999999999991</v>
      </c>
      <c r="K55" s="86"/>
      <c r="L55" s="86"/>
    </row>
    <row r="56" spans="1:12" x14ac:dyDescent="0.25">
      <c r="A56" s="69">
        <v>2.9899100000000001</v>
      </c>
      <c r="B56" s="69">
        <v>6.4695099999999996</v>
      </c>
      <c r="C56" s="91">
        <v>50</v>
      </c>
      <c r="D56" s="92">
        <f t="shared" si="0"/>
        <v>0.98</v>
      </c>
      <c r="E56" s="92">
        <f t="shared" si="1"/>
        <v>1</v>
      </c>
      <c r="F56" s="92">
        <f t="shared" si="5"/>
        <v>0.57999999999999996</v>
      </c>
      <c r="G56" s="86"/>
      <c r="H56" s="92">
        <f t="shared" si="3"/>
        <v>0.42000000000000004</v>
      </c>
      <c r="I56" s="92">
        <f t="shared" si="4"/>
        <v>0.4</v>
      </c>
      <c r="K56" s="86"/>
      <c r="L56" s="86"/>
    </row>
  </sheetData>
  <mergeCells count="17">
    <mergeCell ref="N18:N19"/>
    <mergeCell ref="O18:R19"/>
    <mergeCell ref="N11:N12"/>
    <mergeCell ref="O11:O12"/>
    <mergeCell ref="O14:O15"/>
    <mergeCell ref="N14:N15"/>
    <mergeCell ref="A1:B2"/>
    <mergeCell ref="E5:E6"/>
    <mergeCell ref="F5:F6"/>
    <mergeCell ref="O8:O9"/>
    <mergeCell ref="N8:N9"/>
    <mergeCell ref="H5:H6"/>
    <mergeCell ref="I5:I6"/>
    <mergeCell ref="A5:A6"/>
    <mergeCell ref="B5:B6"/>
    <mergeCell ref="C5:C6"/>
    <mergeCell ref="D5:D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5D15-48E7-4CB9-9029-DC9815C2B295}">
  <sheetPr>
    <tabColor theme="8" tint="0.39997558519241921"/>
  </sheetPr>
  <dimension ref="A1:W102"/>
  <sheetViews>
    <sheetView zoomScale="89" zoomScaleNormal="160" workbookViewId="0">
      <selection activeCell="L11" sqref="L11:N12"/>
    </sheetView>
  </sheetViews>
  <sheetFormatPr defaultColWidth="8.85546875" defaultRowHeight="15" customHeight="1" x14ac:dyDescent="0.25"/>
  <cols>
    <col min="1" max="1" width="16" style="98" customWidth="1"/>
    <col min="2" max="2" width="10.5703125" style="98" customWidth="1"/>
    <col min="3" max="3" width="8.5703125" style="98" customWidth="1"/>
    <col min="4" max="7" width="8.85546875" style="98" customWidth="1"/>
    <col min="8" max="8" width="18.85546875" style="98" customWidth="1"/>
    <col min="9" max="9" width="12" style="98" bestFit="1" customWidth="1"/>
    <col min="10" max="10" width="8.85546875" style="88"/>
    <col min="11" max="11" width="11.85546875" style="98" bestFit="1" customWidth="1"/>
    <col min="12" max="12" width="12.140625" style="98" bestFit="1" customWidth="1"/>
    <col min="13" max="13" width="8.5703125" style="98" customWidth="1"/>
    <col min="14" max="14" width="16.85546875" style="98" customWidth="1"/>
    <col min="15" max="15" width="11.85546875" style="98" bestFit="1" customWidth="1"/>
    <col min="16" max="16" width="8.5703125" style="98" customWidth="1"/>
    <col min="17" max="17" width="16.42578125" style="98" customWidth="1"/>
    <col min="18" max="16384" width="8.85546875" style="98"/>
  </cols>
  <sheetData>
    <row r="1" spans="1:23" ht="15" customHeight="1" x14ac:dyDescent="0.25">
      <c r="A1" s="128" t="s">
        <v>79</v>
      </c>
      <c r="B1" s="128" t="s">
        <v>80</v>
      </c>
      <c r="C1" s="126" t="s">
        <v>67</v>
      </c>
      <c r="E1" s="94" t="s">
        <v>82</v>
      </c>
      <c r="F1" s="93">
        <f>SUMIF(B3:B102, 1, C3:C102)</f>
        <v>2039</v>
      </c>
      <c r="H1" s="94" t="s">
        <v>84</v>
      </c>
      <c r="I1" s="93">
        <f>$F$5*$F$6+(F5*(F5+1))/2 - F1</f>
        <v>1736</v>
      </c>
      <c r="K1"/>
    </row>
    <row r="2" spans="1:23" ht="15" customHeight="1" x14ac:dyDescent="0.25">
      <c r="A2" s="128"/>
      <c r="B2" s="128"/>
      <c r="C2" s="126"/>
      <c r="D2" s="88"/>
      <c r="E2" s="94" t="s">
        <v>83</v>
      </c>
      <c r="F2" s="93">
        <f>SUMIF(B3:B102, 2, C3:C102)</f>
        <v>3011</v>
      </c>
      <c r="G2" s="88"/>
      <c r="H2" s="94" t="s">
        <v>85</v>
      </c>
      <c r="I2" s="93">
        <f>$F$5*$F$6+(F6*(F6+1))/2 - F2</f>
        <v>764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3" ht="15" customHeight="1" x14ac:dyDescent="0.25">
      <c r="A3" s="91">
        <v>-1.6568700000000001</v>
      </c>
      <c r="B3" s="91">
        <v>2</v>
      </c>
      <c r="C3" s="91">
        <v>1</v>
      </c>
      <c r="D3" s="88"/>
      <c r="E3" s="94" t="s">
        <v>81</v>
      </c>
      <c r="F3" s="93">
        <f>SUM(C3:C102)</f>
        <v>5050</v>
      </c>
      <c r="G3" s="88"/>
      <c r="H3" s="88"/>
      <c r="I3" s="88"/>
      <c r="K3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3" ht="15" customHeight="1" x14ac:dyDescent="0.25">
      <c r="A4" s="91">
        <v>-0.74036199999999996</v>
      </c>
      <c r="B4" s="91">
        <v>2</v>
      </c>
      <c r="C4" s="91">
        <v>2</v>
      </c>
      <c r="E4" s="96"/>
      <c r="F4" s="96"/>
      <c r="G4" s="88"/>
      <c r="H4" s="94" t="s">
        <v>86</v>
      </c>
      <c r="I4" s="93">
        <f>I1+I2</f>
        <v>2500</v>
      </c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3" ht="15" customHeight="1" x14ac:dyDescent="0.25">
      <c r="A5" s="91">
        <v>-0.73702800000000002</v>
      </c>
      <c r="B5" s="91">
        <v>2</v>
      </c>
      <c r="C5" s="91">
        <v>3</v>
      </c>
      <c r="E5" s="94" t="s">
        <v>29</v>
      </c>
      <c r="F5" s="93">
        <f>COUNTIF(B3:B102, 1)</f>
        <v>50</v>
      </c>
      <c r="G5" s="88"/>
      <c r="H5" s="94" t="s">
        <v>87</v>
      </c>
      <c r="I5" s="93">
        <f>F5*F6</f>
        <v>2500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3" ht="15" customHeight="1" x14ac:dyDescent="0.25">
      <c r="A6" s="91">
        <v>-0.60269700000000004</v>
      </c>
      <c r="B6" s="91">
        <v>2</v>
      </c>
      <c r="C6" s="91">
        <v>4</v>
      </c>
      <c r="D6" s="88"/>
      <c r="E6" s="94" t="s">
        <v>78</v>
      </c>
      <c r="F6" s="93">
        <f>COUNTIF(B3:B102, 2)</f>
        <v>50</v>
      </c>
      <c r="G6" s="88"/>
      <c r="H6" s="88"/>
      <c r="I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3" ht="15" customHeight="1" x14ac:dyDescent="0.25">
      <c r="A7" s="91">
        <v>-0.43187900000000001</v>
      </c>
      <c r="B7" s="91">
        <v>2</v>
      </c>
      <c r="C7" s="91">
        <v>5</v>
      </c>
      <c r="D7" s="88"/>
      <c r="F7" s="88"/>
      <c r="G7" s="88"/>
      <c r="H7" s="126"/>
      <c r="I7" s="126"/>
      <c r="J7" s="126"/>
      <c r="K7" s="126"/>
      <c r="L7" s="126"/>
      <c r="M7" s="126"/>
      <c r="N7" s="126"/>
      <c r="O7"/>
      <c r="P7" s="88"/>
      <c r="Q7" s="88"/>
      <c r="R7" s="88"/>
      <c r="S7" s="88"/>
      <c r="T7" s="88"/>
      <c r="U7" s="88"/>
      <c r="V7" s="88"/>
    </row>
    <row r="8" spans="1:23" ht="15" customHeight="1" x14ac:dyDescent="0.25">
      <c r="A8" s="91">
        <v>-0.17352000000000001</v>
      </c>
      <c r="B8" s="91">
        <v>2</v>
      </c>
      <c r="C8" s="91">
        <v>6</v>
      </c>
      <c r="D8" s="88"/>
      <c r="E8" s="94" t="s">
        <v>27</v>
      </c>
      <c r="F8" s="93">
        <v>0.1</v>
      </c>
      <c r="G8" s="88"/>
      <c r="H8" s="126"/>
      <c r="I8" s="126"/>
      <c r="J8" s="126"/>
      <c r="K8" s="126"/>
      <c r="L8" s="126"/>
      <c r="M8" s="126"/>
      <c r="N8" s="126"/>
      <c r="O8" s="88"/>
      <c r="P8" s="88"/>
      <c r="Q8" s="88"/>
      <c r="R8" s="88"/>
      <c r="S8" s="88"/>
      <c r="T8" s="88"/>
      <c r="U8" s="88"/>
      <c r="V8" s="88"/>
    </row>
    <row r="9" spans="1:23" ht="15" customHeight="1" x14ac:dyDescent="0.25">
      <c r="A9" s="91">
        <v>-0.13830100000000001</v>
      </c>
      <c r="B9" s="91">
        <v>2</v>
      </c>
      <c r="C9" s="91">
        <v>7</v>
      </c>
      <c r="D9" s="88"/>
      <c r="F9" s="88"/>
      <c r="G9" s="88"/>
      <c r="H9" s="93">
        <f>MIN(I1:I2)</f>
        <v>764</v>
      </c>
      <c r="I9" s="93">
        <f>_xlfn.NORM.S.INV(1-F8/2)</f>
        <v>1.6448536269514715</v>
      </c>
      <c r="J9" s="93">
        <f>F5*F6/2</f>
        <v>1250</v>
      </c>
      <c r="K9" s="93">
        <f>(F5*F6/12)*(F5+F6-1)</f>
        <v>20625</v>
      </c>
      <c r="L9" s="93">
        <f>(H9-J9)/(SQRT(K9))</f>
        <v>-3.3840696317787655</v>
      </c>
      <c r="M9" s="93">
        <f>ABS(L9)</f>
        <v>3.3840696317787655</v>
      </c>
      <c r="N9" s="93" t="str">
        <f>IF(M9&lt;I9, "да", "нет")</f>
        <v>нет</v>
      </c>
      <c r="O9" s="88"/>
      <c r="P9" s="88"/>
      <c r="Q9" s="88"/>
      <c r="R9" s="88"/>
      <c r="S9" s="88"/>
      <c r="T9" s="88"/>
      <c r="U9" s="88"/>
      <c r="V9" s="88"/>
    </row>
    <row r="10" spans="1:23" ht="15" customHeight="1" x14ac:dyDescent="0.25">
      <c r="A10" s="91">
        <v>-3.0000000000000001E-3</v>
      </c>
      <c r="B10" s="91">
        <v>2</v>
      </c>
      <c r="C10" s="91">
        <v>8</v>
      </c>
      <c r="D10" s="88"/>
      <c r="F10" s="88"/>
      <c r="G10" s="88"/>
      <c r="H10" s="88"/>
      <c r="I10" s="88"/>
      <c r="K10" s="88"/>
      <c r="L10" s="88"/>
      <c r="M10" s="88"/>
      <c r="N10" s="84"/>
      <c r="O10" s="88"/>
      <c r="P10" s="88"/>
      <c r="Q10" s="88"/>
      <c r="R10" s="88"/>
      <c r="S10" s="88"/>
      <c r="T10" s="88"/>
      <c r="U10" s="88"/>
      <c r="V10" s="88"/>
    </row>
    <row r="11" spans="1:23" ht="15" customHeight="1" x14ac:dyDescent="0.25">
      <c r="A11" s="91">
        <v>0.27818100000000001</v>
      </c>
      <c r="B11" s="91">
        <v>2</v>
      </c>
      <c r="C11" s="91">
        <v>9</v>
      </c>
      <c r="D11" s="88"/>
      <c r="E11" s="109" t="s">
        <v>77</v>
      </c>
      <c r="F11" s="109"/>
      <c r="G11" s="109"/>
      <c r="H11" s="88"/>
      <c r="I11" s="88"/>
      <c r="K11" s="88"/>
      <c r="L11" s="108" t="str">
        <f>IF(N9="да", "гипотеза не противоречит опытным данным, ее можно принять.", "гипотеза противоречит опытным данным, ее стоит отвергнуть.")</f>
        <v>гипотеза противоречит опытным данным, ее стоит отвергнуть.</v>
      </c>
      <c r="M11" s="108"/>
      <c r="N11" s="108"/>
      <c r="O11" s="88"/>
      <c r="P11" s="88"/>
      <c r="Q11" s="88"/>
      <c r="R11" s="88"/>
      <c r="S11" s="88"/>
      <c r="T11" s="88"/>
      <c r="U11" s="88"/>
      <c r="V11" s="88"/>
    </row>
    <row r="12" spans="1:23" ht="15" customHeight="1" x14ac:dyDescent="0.25">
      <c r="A12" s="91">
        <v>0.42441400000000001</v>
      </c>
      <c r="B12" s="91">
        <v>2</v>
      </c>
      <c r="C12" s="91">
        <v>10</v>
      </c>
      <c r="D12" s="88"/>
      <c r="E12" s="109"/>
      <c r="F12" s="109"/>
      <c r="G12" s="109"/>
      <c r="H12" s="88"/>
      <c r="I12" s="88"/>
      <c r="K12" s="88"/>
      <c r="L12" s="108"/>
      <c r="M12" s="108"/>
      <c r="N12" s="108"/>
      <c r="O12" s="88"/>
      <c r="P12" s="88"/>
      <c r="Q12" s="88"/>
      <c r="R12" s="88"/>
      <c r="S12" s="88"/>
      <c r="T12" s="88"/>
      <c r="U12" s="88"/>
      <c r="V12" s="88"/>
    </row>
    <row r="13" spans="1:23" ht="15" customHeight="1" x14ac:dyDescent="0.25">
      <c r="A13" s="91">
        <v>1.0032000000000001</v>
      </c>
      <c r="B13" s="91">
        <v>1</v>
      </c>
      <c r="C13" s="91">
        <v>11</v>
      </c>
      <c r="D13" s="88"/>
      <c r="F13" s="88"/>
      <c r="G13" s="88"/>
      <c r="H13" s="88"/>
      <c r="I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3" ht="15" customHeight="1" x14ac:dyDescent="0.25">
      <c r="A14" s="91">
        <v>1.00892</v>
      </c>
      <c r="B14" s="91">
        <v>1</v>
      </c>
      <c r="C14" s="91">
        <v>12</v>
      </c>
      <c r="D14" s="88"/>
      <c r="F14" s="88"/>
      <c r="G14" s="88"/>
      <c r="H14" s="88"/>
      <c r="I14" s="88"/>
      <c r="K14" s="88"/>
      <c r="L14" s="88"/>
      <c r="M14" s="84"/>
      <c r="N14" s="88"/>
      <c r="O14" s="88"/>
      <c r="P14" s="88"/>
      <c r="Q14" s="88"/>
      <c r="R14" s="88"/>
      <c r="S14" s="84"/>
      <c r="T14" s="88"/>
      <c r="U14" s="88"/>
      <c r="V14" s="88"/>
      <c r="W14" s="88"/>
    </row>
    <row r="15" spans="1:23" ht="15" customHeight="1" x14ac:dyDescent="0.25">
      <c r="A15" s="91">
        <v>1.0301</v>
      </c>
      <c r="B15" s="91">
        <v>1</v>
      </c>
      <c r="C15" s="91">
        <v>13</v>
      </c>
      <c r="D15" s="88"/>
      <c r="F15" s="88"/>
      <c r="G15" s="88"/>
      <c r="H15" s="88"/>
      <c r="I15" s="88"/>
      <c r="K15" s="88"/>
      <c r="L15" s="88"/>
      <c r="M15" s="84"/>
      <c r="N15" s="88"/>
      <c r="O15" s="88"/>
      <c r="P15" s="88"/>
      <c r="Q15" s="88"/>
      <c r="R15" s="88"/>
      <c r="S15" s="84"/>
      <c r="T15" s="88"/>
      <c r="U15" s="88"/>
      <c r="V15" s="88"/>
      <c r="W15" s="88"/>
    </row>
    <row r="16" spans="1:23" ht="15" customHeight="1" x14ac:dyDescent="0.25">
      <c r="A16" s="91">
        <v>1.0472900000000001</v>
      </c>
      <c r="B16" s="91">
        <v>1</v>
      </c>
      <c r="C16" s="91">
        <v>14</v>
      </c>
      <c r="D16" s="88"/>
      <c r="F16" s="88"/>
      <c r="G16" s="88"/>
      <c r="H16" s="88"/>
      <c r="I16" s="88"/>
      <c r="K16" s="88"/>
      <c r="L16" s="88"/>
      <c r="M16" s="88"/>
      <c r="N16" s="88"/>
      <c r="O16" s="88"/>
      <c r="P16" s="84"/>
      <c r="Q16" s="84"/>
      <c r="R16" s="84"/>
      <c r="S16" s="88"/>
      <c r="T16" s="88"/>
      <c r="U16" s="88"/>
      <c r="V16" s="88"/>
      <c r="W16" s="88"/>
    </row>
    <row r="17" spans="1:23" ht="15" customHeight="1" x14ac:dyDescent="0.25">
      <c r="A17" s="91">
        <v>1.0710900000000001</v>
      </c>
      <c r="B17" s="91">
        <v>1</v>
      </c>
      <c r="C17" s="91">
        <v>15</v>
      </c>
      <c r="D17" s="88"/>
      <c r="F17" s="88"/>
      <c r="G17" s="88"/>
      <c r="H17" s="88"/>
      <c r="I17" s="88"/>
      <c r="K17" s="88"/>
      <c r="L17" s="88"/>
      <c r="M17" s="88"/>
      <c r="N17" s="88"/>
      <c r="O17" s="88"/>
      <c r="P17" s="84"/>
      <c r="Q17" s="84"/>
      <c r="R17" s="84"/>
      <c r="S17" s="88"/>
      <c r="T17" s="88"/>
      <c r="U17" s="88"/>
      <c r="V17" s="88"/>
      <c r="W17" s="88"/>
    </row>
    <row r="18" spans="1:23" ht="15" customHeight="1" x14ac:dyDescent="0.25">
      <c r="A18" s="91">
        <v>1.0916300000000001</v>
      </c>
      <c r="B18" s="91">
        <v>2</v>
      </c>
      <c r="C18" s="91">
        <v>16</v>
      </c>
      <c r="D18" s="88"/>
      <c r="F18" s="88"/>
      <c r="G18" s="88"/>
      <c r="H18" s="88"/>
      <c r="I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</row>
    <row r="19" spans="1:23" ht="15" customHeight="1" x14ac:dyDescent="0.25">
      <c r="A19" s="91">
        <v>1.09911</v>
      </c>
      <c r="B19" s="91">
        <v>1</v>
      </c>
      <c r="C19" s="91">
        <v>17</v>
      </c>
      <c r="D19" s="88"/>
      <c r="F19" s="88"/>
      <c r="G19" s="88"/>
      <c r="H19" s="88"/>
      <c r="I19" s="88"/>
      <c r="K19" s="88"/>
      <c r="L19" s="88"/>
      <c r="M19" s="88"/>
      <c r="N19" s="88"/>
      <c r="O19" s="84"/>
      <c r="P19" s="84"/>
      <c r="Q19" s="84"/>
      <c r="R19" s="84"/>
      <c r="S19" s="88"/>
      <c r="T19" s="88"/>
      <c r="U19" s="88"/>
      <c r="V19" s="88"/>
      <c r="W19" s="88"/>
    </row>
    <row r="20" spans="1:23" ht="15" customHeight="1" x14ac:dyDescent="0.25">
      <c r="A20" s="91">
        <v>1.1195900000000001</v>
      </c>
      <c r="B20" s="91">
        <v>1</v>
      </c>
      <c r="C20" s="91">
        <v>18</v>
      </c>
      <c r="D20" s="88"/>
      <c r="F20" s="88"/>
      <c r="G20" s="88"/>
      <c r="H20" s="88"/>
      <c r="I20" s="88"/>
      <c r="K20" s="88"/>
      <c r="L20" s="88"/>
      <c r="M20" s="88"/>
      <c r="N20" s="88"/>
      <c r="O20" s="84"/>
      <c r="P20" s="84"/>
      <c r="Q20" s="84"/>
      <c r="R20" s="84"/>
      <c r="S20" s="88"/>
      <c r="T20" s="88"/>
      <c r="U20" s="88"/>
      <c r="V20" s="88"/>
      <c r="W20" s="88"/>
    </row>
    <row r="21" spans="1:23" ht="15" customHeight="1" x14ac:dyDescent="0.25">
      <c r="A21" s="91">
        <v>1.1511100000000001</v>
      </c>
      <c r="B21" s="91">
        <v>1</v>
      </c>
      <c r="C21" s="91">
        <v>19</v>
      </c>
      <c r="D21" s="88"/>
      <c r="F21" s="88"/>
      <c r="G21" s="88"/>
      <c r="H21" s="88"/>
      <c r="I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</row>
    <row r="22" spans="1:23" ht="15" customHeight="1" x14ac:dyDescent="0.25">
      <c r="A22" s="91">
        <v>1.16337</v>
      </c>
      <c r="B22" s="91">
        <v>2</v>
      </c>
      <c r="C22" s="91">
        <v>20</v>
      </c>
      <c r="D22" s="88"/>
      <c r="F22" s="88"/>
      <c r="G22" s="88"/>
      <c r="H22" s="88"/>
      <c r="I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</row>
    <row r="23" spans="1:23" ht="15" customHeight="1" x14ac:dyDescent="0.25">
      <c r="A23" s="91">
        <v>1.1653800000000001</v>
      </c>
      <c r="B23" s="91">
        <v>1</v>
      </c>
      <c r="C23" s="91">
        <v>21</v>
      </c>
      <c r="D23" s="88"/>
      <c r="F23" s="88"/>
      <c r="G23" s="88"/>
      <c r="H23" s="88"/>
      <c r="I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</row>
    <row r="24" spans="1:23" ht="15" customHeight="1" x14ac:dyDescent="0.25">
      <c r="A24" s="91">
        <v>1.16568</v>
      </c>
      <c r="B24" s="91">
        <v>1</v>
      </c>
      <c r="C24" s="91">
        <v>22</v>
      </c>
      <c r="D24" s="88"/>
      <c r="F24" s="88"/>
      <c r="G24" s="88"/>
      <c r="H24" s="88"/>
      <c r="I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</row>
    <row r="25" spans="1:23" ht="15" customHeight="1" x14ac:dyDescent="0.25">
      <c r="A25" s="91">
        <v>1.19563</v>
      </c>
      <c r="B25" s="91">
        <v>1</v>
      </c>
      <c r="C25" s="91">
        <v>23</v>
      </c>
      <c r="D25" s="88"/>
      <c r="F25" s="88"/>
      <c r="G25" s="88"/>
      <c r="H25" s="88"/>
      <c r="I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</row>
    <row r="26" spans="1:23" ht="15" customHeight="1" x14ac:dyDescent="0.25">
      <c r="A26" s="91">
        <v>1.2020200000000001</v>
      </c>
      <c r="B26" s="91">
        <v>1</v>
      </c>
      <c r="C26" s="91">
        <v>24</v>
      </c>
      <c r="D26" s="88"/>
      <c r="F26" s="88"/>
      <c r="G26" s="88"/>
      <c r="H26" s="88"/>
      <c r="I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</row>
    <row r="27" spans="1:23" ht="15" customHeight="1" x14ac:dyDescent="0.25">
      <c r="A27" s="91">
        <v>1.2312099999999999</v>
      </c>
      <c r="B27" s="91">
        <v>1</v>
      </c>
      <c r="C27" s="91">
        <v>25</v>
      </c>
      <c r="D27" s="88"/>
      <c r="F27" s="88"/>
      <c r="G27" s="88"/>
      <c r="H27" s="88"/>
      <c r="I27" s="88"/>
      <c r="K27" s="88"/>
      <c r="L27" s="88"/>
      <c r="M27" s="88"/>
      <c r="N27" s="88"/>
      <c r="O27" s="88"/>
      <c r="P27" s="88"/>
      <c r="Q27" s="84"/>
      <c r="R27" s="84"/>
      <c r="S27" s="84"/>
      <c r="T27" s="88"/>
      <c r="U27" s="88"/>
      <c r="V27" s="88"/>
      <c r="W27" s="88"/>
    </row>
    <row r="28" spans="1:23" ht="15" customHeight="1" x14ac:dyDescent="0.25">
      <c r="A28" s="91">
        <v>1.25841</v>
      </c>
      <c r="B28" s="91">
        <v>2</v>
      </c>
      <c r="C28" s="91">
        <v>26</v>
      </c>
      <c r="D28" s="88"/>
      <c r="F28" s="88"/>
      <c r="G28" s="88"/>
      <c r="H28" s="88"/>
      <c r="I28" s="88"/>
      <c r="K28" s="88"/>
      <c r="L28" s="88"/>
      <c r="M28" s="88"/>
      <c r="N28" s="88"/>
      <c r="O28" s="88"/>
      <c r="P28" s="88"/>
      <c r="Q28" s="84"/>
      <c r="R28" s="84"/>
      <c r="S28" s="84"/>
      <c r="T28" s="88"/>
      <c r="U28" s="88"/>
      <c r="V28" s="88"/>
      <c r="W28" s="88"/>
    </row>
    <row r="29" spans="1:23" ht="15" customHeight="1" x14ac:dyDescent="0.25">
      <c r="A29" s="91">
        <v>1.2785299999999999</v>
      </c>
      <c r="B29" s="91">
        <v>1</v>
      </c>
      <c r="C29" s="91">
        <v>27</v>
      </c>
      <c r="D29" s="88"/>
      <c r="F29" s="88"/>
      <c r="G29" s="88"/>
      <c r="H29" s="88"/>
      <c r="I29" s="88"/>
      <c r="K29" s="88"/>
      <c r="L29" s="88"/>
      <c r="M29" s="88"/>
      <c r="N29" s="88"/>
      <c r="O29" s="88"/>
      <c r="P29" s="88"/>
      <c r="Q29" s="84"/>
      <c r="R29" s="84"/>
      <c r="S29" s="84"/>
      <c r="T29" s="88"/>
      <c r="U29" s="88"/>
      <c r="V29" s="88"/>
      <c r="W29" s="88"/>
    </row>
    <row r="30" spans="1:23" ht="15" customHeight="1" x14ac:dyDescent="0.25">
      <c r="A30" s="91">
        <v>1.28857</v>
      </c>
      <c r="B30" s="91">
        <v>1</v>
      </c>
      <c r="C30" s="91">
        <v>28</v>
      </c>
      <c r="D30" s="88"/>
      <c r="F30" s="88"/>
      <c r="G30" s="88"/>
      <c r="H30" s="88"/>
      <c r="I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</row>
    <row r="31" spans="1:23" ht="15" customHeight="1" x14ac:dyDescent="0.25">
      <c r="A31" s="91">
        <v>1.31524</v>
      </c>
      <c r="B31" s="91">
        <v>1</v>
      </c>
      <c r="C31" s="91">
        <v>29</v>
      </c>
      <c r="D31" s="88"/>
      <c r="F31" s="88"/>
      <c r="G31" s="88"/>
      <c r="H31" s="88"/>
      <c r="I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3" ht="15" customHeight="1" x14ac:dyDescent="0.25">
      <c r="A32" s="91">
        <v>1.33144</v>
      </c>
      <c r="B32" s="91">
        <v>1</v>
      </c>
      <c r="C32" s="91">
        <v>30</v>
      </c>
      <c r="D32" s="88"/>
      <c r="F32" s="88"/>
      <c r="G32" s="88"/>
      <c r="H32" s="88"/>
      <c r="I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25">
      <c r="A33" s="91">
        <v>1.35405</v>
      </c>
      <c r="B33" s="91">
        <v>1</v>
      </c>
      <c r="C33" s="91">
        <v>31</v>
      </c>
      <c r="D33" s="88"/>
      <c r="F33" s="88"/>
      <c r="G33" s="88"/>
      <c r="H33" s="88"/>
      <c r="I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25">
      <c r="A34" s="91">
        <v>1.38235</v>
      </c>
      <c r="B34" s="91">
        <v>1</v>
      </c>
      <c r="C34" s="91">
        <v>32</v>
      </c>
      <c r="D34" s="88"/>
      <c r="F34" s="88"/>
      <c r="G34" s="88"/>
      <c r="H34" s="88"/>
      <c r="I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25">
      <c r="A35" s="91">
        <v>1.39706</v>
      </c>
      <c r="B35" s="91">
        <v>1</v>
      </c>
      <c r="C35" s="91">
        <v>33</v>
      </c>
      <c r="D35" s="88"/>
      <c r="F35" s="88"/>
      <c r="G35" s="88"/>
      <c r="H35" s="88"/>
      <c r="I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25">
      <c r="A36" s="91">
        <v>1.43075</v>
      </c>
      <c r="B36" s="91">
        <v>1</v>
      </c>
      <c r="C36" s="91">
        <v>34</v>
      </c>
      <c r="D36" s="88"/>
      <c r="F36" s="88"/>
      <c r="G36" s="88"/>
      <c r="H36" s="88"/>
      <c r="I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25">
      <c r="A37" s="91">
        <v>1.43868</v>
      </c>
      <c r="B37" s="91">
        <v>1</v>
      </c>
      <c r="C37" s="91">
        <v>35</v>
      </c>
      <c r="D37" s="88"/>
      <c r="F37" s="88"/>
      <c r="G37" s="88"/>
      <c r="H37" s="88"/>
      <c r="I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25">
      <c r="A38" s="91">
        <v>1.4408700000000001</v>
      </c>
      <c r="B38" s="91">
        <v>1</v>
      </c>
      <c r="C38" s="91">
        <v>36</v>
      </c>
      <c r="D38" s="88"/>
      <c r="F38" s="88"/>
      <c r="G38" s="88"/>
      <c r="H38" s="88"/>
      <c r="I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25">
      <c r="A39" s="91">
        <v>1.4523900000000001</v>
      </c>
      <c r="B39" s="91">
        <v>1</v>
      </c>
      <c r="C39" s="91">
        <v>37</v>
      </c>
      <c r="D39" s="88"/>
      <c r="F39" s="88"/>
      <c r="G39" s="88"/>
      <c r="H39" s="88"/>
      <c r="I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25">
      <c r="A40" s="91">
        <v>1.46665</v>
      </c>
      <c r="B40" s="91">
        <v>1</v>
      </c>
      <c r="C40" s="91">
        <v>38</v>
      </c>
      <c r="D40" s="88"/>
      <c r="F40" s="88"/>
      <c r="G40" s="88"/>
      <c r="H40" s="88"/>
      <c r="I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25">
      <c r="A41" s="91">
        <v>1.4887300000000001</v>
      </c>
      <c r="B41" s="91">
        <v>1</v>
      </c>
      <c r="C41" s="91">
        <v>39</v>
      </c>
      <c r="D41" s="88"/>
      <c r="F41" s="88"/>
      <c r="G41" s="88"/>
      <c r="H41" s="88"/>
      <c r="I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25">
      <c r="A42" s="91">
        <v>1.49274</v>
      </c>
      <c r="B42" s="91">
        <v>2</v>
      </c>
      <c r="C42" s="91">
        <v>40</v>
      </c>
      <c r="D42" s="88"/>
      <c r="F42" s="88"/>
      <c r="G42" s="88"/>
      <c r="H42" s="88"/>
      <c r="I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25">
      <c r="A43" s="91">
        <v>1.5667199999999999</v>
      </c>
      <c r="B43" s="91">
        <v>1</v>
      </c>
      <c r="C43" s="91">
        <v>41</v>
      </c>
      <c r="D43" s="88"/>
      <c r="F43" s="88"/>
      <c r="G43" s="88"/>
      <c r="H43" s="88"/>
      <c r="I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25">
      <c r="A44" s="91">
        <v>1.5833200000000001</v>
      </c>
      <c r="B44" s="91">
        <v>2</v>
      </c>
      <c r="C44" s="91">
        <v>42</v>
      </c>
      <c r="D44" s="88"/>
      <c r="F44" s="88"/>
      <c r="G44" s="88"/>
      <c r="H44" s="88"/>
      <c r="I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25">
      <c r="A45" s="91">
        <v>1.5901099999999999</v>
      </c>
      <c r="B45" s="91">
        <v>2</v>
      </c>
      <c r="C45" s="91">
        <v>43</v>
      </c>
      <c r="D45" s="88"/>
      <c r="F45" s="88"/>
      <c r="G45" s="88"/>
      <c r="H45" s="88"/>
      <c r="I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25">
      <c r="A46" s="91">
        <v>1.59293</v>
      </c>
      <c r="B46" s="91">
        <v>1</v>
      </c>
      <c r="C46" s="91">
        <v>44</v>
      </c>
      <c r="D46" s="88"/>
      <c r="F46" s="88"/>
      <c r="G46" s="88"/>
      <c r="H46" s="88"/>
      <c r="I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25">
      <c r="A47" s="91">
        <v>1.6012599999999999</v>
      </c>
      <c r="B47" s="91">
        <v>1</v>
      </c>
      <c r="C47" s="91">
        <v>45</v>
      </c>
      <c r="D47" s="88"/>
      <c r="F47" s="88"/>
      <c r="G47" s="88"/>
      <c r="H47" s="88"/>
      <c r="I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25">
      <c r="A48" s="91">
        <v>1.60833</v>
      </c>
      <c r="B48" s="91">
        <v>1</v>
      </c>
      <c r="C48" s="91">
        <v>46</v>
      </c>
      <c r="D48" s="88"/>
      <c r="F48" s="88"/>
      <c r="G48" s="88"/>
      <c r="H48" s="88"/>
      <c r="I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25">
      <c r="A49" s="91">
        <v>1.60971</v>
      </c>
      <c r="B49" s="91">
        <v>1</v>
      </c>
      <c r="C49" s="91">
        <v>47</v>
      </c>
      <c r="D49" s="88"/>
      <c r="F49" s="88"/>
      <c r="G49" s="88"/>
      <c r="H49" s="88"/>
      <c r="I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25">
      <c r="A50" s="91">
        <v>1.6140699999999999</v>
      </c>
      <c r="B50" s="91">
        <v>1</v>
      </c>
      <c r="C50" s="91">
        <v>48</v>
      </c>
      <c r="D50" s="88"/>
      <c r="F50" s="88"/>
      <c r="G50" s="88"/>
      <c r="H50" s="88"/>
      <c r="I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5" customHeight="1" x14ac:dyDescent="0.25">
      <c r="A51" s="91">
        <v>1.6327499999999999</v>
      </c>
      <c r="B51" s="91">
        <v>1</v>
      </c>
      <c r="C51" s="91">
        <v>49</v>
      </c>
      <c r="D51" s="88"/>
      <c r="F51" s="88"/>
      <c r="G51" s="88"/>
      <c r="H51" s="88"/>
      <c r="I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5" customHeight="1" x14ac:dyDescent="0.25">
      <c r="A52" s="91">
        <v>1.63781</v>
      </c>
      <c r="B52" s="91">
        <v>2</v>
      </c>
      <c r="C52" s="91">
        <v>50</v>
      </c>
      <c r="D52" s="88"/>
      <c r="F52" s="88"/>
      <c r="G52" s="88"/>
      <c r="H52" s="88"/>
      <c r="I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5" customHeight="1" x14ac:dyDescent="0.25">
      <c r="A53" s="91">
        <v>1.63835</v>
      </c>
      <c r="B53" s="91">
        <v>1</v>
      </c>
      <c r="C53" s="91">
        <v>51</v>
      </c>
      <c r="D53" s="88"/>
      <c r="F53" s="88"/>
      <c r="G53" s="88"/>
      <c r="H53" s="88"/>
      <c r="I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15" customHeight="1" x14ac:dyDescent="0.25">
      <c r="A54" s="91">
        <v>1.64323</v>
      </c>
      <c r="B54" s="91">
        <v>1</v>
      </c>
      <c r="C54" s="91">
        <v>52</v>
      </c>
      <c r="D54" s="88"/>
      <c r="F54" s="88"/>
      <c r="G54" s="88"/>
      <c r="H54" s="88"/>
      <c r="I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t="15" customHeight="1" x14ac:dyDescent="0.25">
      <c r="A55" s="91">
        <v>1.6846699999999999</v>
      </c>
      <c r="B55" s="91">
        <v>1</v>
      </c>
      <c r="C55" s="91">
        <v>53</v>
      </c>
      <c r="D55" s="88"/>
      <c r="F55" s="88"/>
      <c r="G55" s="88"/>
      <c r="H55" s="88"/>
      <c r="I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ht="15" customHeight="1" x14ac:dyDescent="0.25">
      <c r="A56" s="91">
        <v>1.7030099999999999</v>
      </c>
      <c r="B56" s="91">
        <v>1</v>
      </c>
      <c r="C56" s="91">
        <v>54</v>
      </c>
      <c r="D56" s="88"/>
      <c r="F56" s="88"/>
      <c r="G56" s="88"/>
      <c r="H56" s="88"/>
      <c r="I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</row>
    <row r="57" spans="1:22" ht="15" customHeight="1" x14ac:dyDescent="0.25">
      <c r="A57" s="91">
        <v>1.72692</v>
      </c>
      <c r="B57" s="91">
        <v>2</v>
      </c>
      <c r="C57" s="91">
        <v>55</v>
      </c>
      <c r="D57" s="88"/>
      <c r="F57" s="88"/>
      <c r="G57" s="88"/>
      <c r="H57" s="88"/>
      <c r="I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</row>
    <row r="58" spans="1:22" ht="15" customHeight="1" x14ac:dyDescent="0.25">
      <c r="A58" s="91">
        <v>1.7513700000000001</v>
      </c>
      <c r="B58" s="91">
        <v>2</v>
      </c>
      <c r="C58" s="91">
        <v>56</v>
      </c>
    </row>
    <row r="59" spans="1:22" ht="15" customHeight="1" x14ac:dyDescent="0.25">
      <c r="A59" s="91">
        <v>1.7760800000000001</v>
      </c>
      <c r="B59" s="91">
        <v>1</v>
      </c>
      <c r="C59" s="91">
        <v>57</v>
      </c>
    </row>
    <row r="60" spans="1:22" ht="15" customHeight="1" x14ac:dyDescent="0.25">
      <c r="A60" s="91">
        <v>1.79559</v>
      </c>
      <c r="B60" s="91">
        <v>1</v>
      </c>
      <c r="C60" s="91">
        <v>58</v>
      </c>
    </row>
    <row r="61" spans="1:22" ht="15" customHeight="1" x14ac:dyDescent="0.25">
      <c r="A61" s="91">
        <v>1.79654</v>
      </c>
      <c r="B61" s="91">
        <v>1</v>
      </c>
      <c r="C61" s="91">
        <v>59</v>
      </c>
    </row>
    <row r="62" spans="1:22" ht="15" customHeight="1" x14ac:dyDescent="0.25">
      <c r="A62" s="91">
        <v>1.8041400000000001</v>
      </c>
      <c r="B62" s="91">
        <v>1</v>
      </c>
      <c r="C62" s="91">
        <v>60</v>
      </c>
    </row>
    <row r="63" spans="1:22" ht="15" customHeight="1" x14ac:dyDescent="0.25">
      <c r="A63" s="91">
        <v>1.80463</v>
      </c>
      <c r="B63" s="91">
        <v>1</v>
      </c>
      <c r="C63" s="91">
        <v>61</v>
      </c>
    </row>
    <row r="64" spans="1:22" ht="15" customHeight="1" x14ac:dyDescent="0.25">
      <c r="A64" s="91">
        <v>1.8061400000000001</v>
      </c>
      <c r="B64" s="91">
        <v>1</v>
      </c>
      <c r="C64" s="91">
        <v>62</v>
      </c>
    </row>
    <row r="65" spans="1:3" ht="15" customHeight="1" x14ac:dyDescent="0.25">
      <c r="A65" s="91">
        <v>1.83894</v>
      </c>
      <c r="B65" s="91">
        <v>1</v>
      </c>
      <c r="C65" s="91">
        <v>63</v>
      </c>
    </row>
    <row r="66" spans="1:3" ht="15" customHeight="1" x14ac:dyDescent="0.25">
      <c r="A66" s="91">
        <v>1.9047400000000001</v>
      </c>
      <c r="B66" s="91">
        <v>2</v>
      </c>
      <c r="C66" s="91">
        <v>64</v>
      </c>
    </row>
    <row r="67" spans="1:3" ht="15" customHeight="1" x14ac:dyDescent="0.25">
      <c r="A67" s="91">
        <v>1.91276</v>
      </c>
      <c r="B67" s="91">
        <v>2</v>
      </c>
      <c r="C67" s="91">
        <v>65</v>
      </c>
    </row>
    <row r="68" spans="1:3" ht="15" customHeight="1" x14ac:dyDescent="0.25">
      <c r="A68" s="91">
        <v>1.96417</v>
      </c>
      <c r="B68" s="91">
        <v>1</v>
      </c>
      <c r="C68" s="91">
        <v>66</v>
      </c>
    </row>
    <row r="69" spans="1:3" ht="15" customHeight="1" x14ac:dyDescent="0.25">
      <c r="A69" s="91">
        <v>1.98302</v>
      </c>
      <c r="B69" s="91">
        <v>1</v>
      </c>
      <c r="C69" s="91">
        <v>67</v>
      </c>
    </row>
    <row r="70" spans="1:3" ht="15" customHeight="1" x14ac:dyDescent="0.25">
      <c r="A70" s="91">
        <v>2.1029599999999999</v>
      </c>
      <c r="B70" s="91">
        <v>1</v>
      </c>
      <c r="C70" s="91">
        <v>68</v>
      </c>
    </row>
    <row r="71" spans="1:3" ht="15" customHeight="1" x14ac:dyDescent="0.25">
      <c r="A71" s="91">
        <v>2.1596799999999998</v>
      </c>
      <c r="B71" s="91">
        <v>1</v>
      </c>
      <c r="C71" s="91">
        <v>69</v>
      </c>
    </row>
    <row r="72" spans="1:3" ht="15" customHeight="1" x14ac:dyDescent="0.25">
      <c r="A72" s="91">
        <v>2.3263500000000001</v>
      </c>
      <c r="B72" s="91">
        <v>2</v>
      </c>
      <c r="C72" s="91">
        <v>70</v>
      </c>
    </row>
    <row r="73" spans="1:3" ht="15" customHeight="1" x14ac:dyDescent="0.25">
      <c r="A73" s="91">
        <v>2.4750100000000002</v>
      </c>
      <c r="B73" s="91">
        <v>2</v>
      </c>
      <c r="C73" s="91">
        <v>71</v>
      </c>
    </row>
    <row r="74" spans="1:3" ht="15" customHeight="1" x14ac:dyDescent="0.25">
      <c r="A74" s="91">
        <v>2.7407699999999999</v>
      </c>
      <c r="B74" s="91">
        <v>2</v>
      </c>
      <c r="C74" s="91">
        <v>72</v>
      </c>
    </row>
    <row r="75" spans="1:3" ht="15" customHeight="1" x14ac:dyDescent="0.25">
      <c r="A75" s="91">
        <v>2.7423299999999999</v>
      </c>
      <c r="B75" s="91">
        <v>2</v>
      </c>
      <c r="C75" s="91">
        <v>73</v>
      </c>
    </row>
    <row r="76" spans="1:3" ht="15" customHeight="1" x14ac:dyDescent="0.25">
      <c r="A76" s="91">
        <v>2.7600500000000001</v>
      </c>
      <c r="B76" s="91">
        <v>2</v>
      </c>
      <c r="C76" s="91">
        <v>74</v>
      </c>
    </row>
    <row r="77" spans="1:3" ht="15" customHeight="1" x14ac:dyDescent="0.25">
      <c r="A77" s="91">
        <v>2.7949199999999998</v>
      </c>
      <c r="B77" s="91">
        <v>2</v>
      </c>
      <c r="C77" s="91">
        <v>75</v>
      </c>
    </row>
    <row r="78" spans="1:3" ht="15" customHeight="1" x14ac:dyDescent="0.25">
      <c r="A78" s="91">
        <v>2.8339300000000001</v>
      </c>
      <c r="B78" s="91">
        <v>2</v>
      </c>
      <c r="C78" s="91">
        <v>76</v>
      </c>
    </row>
    <row r="79" spans="1:3" ht="15" customHeight="1" x14ac:dyDescent="0.25">
      <c r="A79" s="91">
        <v>2.8480599999999998</v>
      </c>
      <c r="B79" s="91">
        <v>1</v>
      </c>
      <c r="C79" s="91">
        <v>77</v>
      </c>
    </row>
    <row r="80" spans="1:3" ht="15" customHeight="1" x14ac:dyDescent="0.25">
      <c r="A80" s="91">
        <v>2.9357099999999998</v>
      </c>
      <c r="B80" s="91">
        <v>2</v>
      </c>
      <c r="C80" s="91">
        <v>78</v>
      </c>
    </row>
    <row r="81" spans="1:3" ht="15" customHeight="1" x14ac:dyDescent="0.25">
      <c r="A81" s="91">
        <v>2.9899100000000001</v>
      </c>
      <c r="B81" s="91">
        <v>1</v>
      </c>
      <c r="C81" s="91">
        <v>79</v>
      </c>
    </row>
    <row r="82" spans="1:3" ht="15" customHeight="1" x14ac:dyDescent="0.25">
      <c r="A82" s="91">
        <v>3.0167700000000002</v>
      </c>
      <c r="B82" s="91">
        <v>2</v>
      </c>
      <c r="C82" s="91">
        <v>80</v>
      </c>
    </row>
    <row r="83" spans="1:3" ht="15" customHeight="1" x14ac:dyDescent="0.25">
      <c r="A83" s="91">
        <v>3.0217100000000001</v>
      </c>
      <c r="B83" s="91">
        <v>2</v>
      </c>
      <c r="C83" s="91">
        <v>81</v>
      </c>
    </row>
    <row r="84" spans="1:3" ht="15" customHeight="1" x14ac:dyDescent="0.25">
      <c r="A84" s="91">
        <v>3.1695199999999999</v>
      </c>
      <c r="B84" s="91">
        <v>2</v>
      </c>
      <c r="C84" s="91">
        <v>82</v>
      </c>
    </row>
    <row r="85" spans="1:3" ht="15" customHeight="1" x14ac:dyDescent="0.25">
      <c r="A85" s="91">
        <v>3.1700400000000002</v>
      </c>
      <c r="B85" s="91">
        <v>2</v>
      </c>
      <c r="C85" s="91">
        <v>83</v>
      </c>
    </row>
    <row r="86" spans="1:3" ht="15" customHeight="1" x14ac:dyDescent="0.25">
      <c r="A86" s="91">
        <v>3.7054800000000001</v>
      </c>
      <c r="B86" s="91">
        <v>2</v>
      </c>
      <c r="C86" s="91">
        <v>84</v>
      </c>
    </row>
    <row r="87" spans="1:3" ht="15" customHeight="1" x14ac:dyDescent="0.25">
      <c r="A87" s="91">
        <v>3.7261500000000001</v>
      </c>
      <c r="B87" s="91">
        <v>2</v>
      </c>
      <c r="C87" s="91">
        <v>85</v>
      </c>
    </row>
    <row r="88" spans="1:3" ht="15" customHeight="1" x14ac:dyDescent="0.25">
      <c r="A88" s="91">
        <v>3.8111799999999998</v>
      </c>
      <c r="B88" s="91">
        <v>2</v>
      </c>
      <c r="C88" s="91">
        <v>86</v>
      </c>
    </row>
    <row r="89" spans="1:3" ht="15" customHeight="1" x14ac:dyDescent="0.25">
      <c r="A89" s="91">
        <v>3.81745</v>
      </c>
      <c r="B89" s="91">
        <v>2</v>
      </c>
      <c r="C89" s="91">
        <v>87</v>
      </c>
    </row>
    <row r="90" spans="1:3" ht="15" customHeight="1" x14ac:dyDescent="0.25">
      <c r="A90" s="91">
        <v>3.9186800000000002</v>
      </c>
      <c r="B90" s="91">
        <v>2</v>
      </c>
      <c r="C90" s="91">
        <v>88</v>
      </c>
    </row>
    <row r="91" spans="1:3" ht="15" customHeight="1" x14ac:dyDescent="0.25">
      <c r="A91" s="91">
        <v>3.99708</v>
      </c>
      <c r="B91" s="91">
        <v>2</v>
      </c>
      <c r="C91" s="91">
        <v>89</v>
      </c>
    </row>
    <row r="92" spans="1:3" ht="15" customHeight="1" x14ac:dyDescent="0.25">
      <c r="A92" s="91">
        <v>4.2461700000000002</v>
      </c>
      <c r="B92" s="91">
        <v>2</v>
      </c>
      <c r="C92" s="91">
        <v>90</v>
      </c>
    </row>
    <row r="93" spans="1:3" ht="15" customHeight="1" x14ac:dyDescent="0.25">
      <c r="A93" s="91">
        <v>4.3758400000000002</v>
      </c>
      <c r="B93" s="91">
        <v>2</v>
      </c>
      <c r="C93" s="91">
        <v>91</v>
      </c>
    </row>
    <row r="94" spans="1:3" ht="15" customHeight="1" x14ac:dyDescent="0.25">
      <c r="A94" s="91">
        <v>4.6064499999999997</v>
      </c>
      <c r="B94" s="91">
        <v>2</v>
      </c>
      <c r="C94" s="91">
        <v>92</v>
      </c>
    </row>
    <row r="95" spans="1:3" ht="15" customHeight="1" x14ac:dyDescent="0.25">
      <c r="A95" s="91">
        <v>4.6470500000000001</v>
      </c>
      <c r="B95" s="91">
        <v>2</v>
      </c>
      <c r="C95" s="91">
        <v>93</v>
      </c>
    </row>
    <row r="96" spans="1:3" ht="15" customHeight="1" x14ac:dyDescent="0.25">
      <c r="A96" s="91">
        <v>5.0537799999999997</v>
      </c>
      <c r="B96" s="91">
        <v>2</v>
      </c>
      <c r="C96" s="91">
        <v>94</v>
      </c>
    </row>
    <row r="97" spans="1:3" ht="15" customHeight="1" x14ac:dyDescent="0.25">
      <c r="A97" s="91">
        <v>5.10623</v>
      </c>
      <c r="B97" s="91">
        <v>2</v>
      </c>
      <c r="C97" s="91">
        <v>95</v>
      </c>
    </row>
    <row r="98" spans="1:3" ht="15" customHeight="1" x14ac:dyDescent="0.25">
      <c r="A98" s="91">
        <v>5.1539200000000003</v>
      </c>
      <c r="B98" s="91">
        <v>2</v>
      </c>
      <c r="C98" s="91">
        <v>96</v>
      </c>
    </row>
    <row r="99" spans="1:3" ht="15" customHeight="1" x14ac:dyDescent="0.25">
      <c r="A99" s="91">
        <v>5.2593199999999998</v>
      </c>
      <c r="B99" s="91">
        <v>2</v>
      </c>
      <c r="C99" s="91">
        <v>97</v>
      </c>
    </row>
    <row r="100" spans="1:3" ht="15" customHeight="1" x14ac:dyDescent="0.25">
      <c r="A100" s="91">
        <v>5.4249200000000002</v>
      </c>
      <c r="B100" s="91">
        <v>2</v>
      </c>
      <c r="C100" s="91">
        <v>98</v>
      </c>
    </row>
    <row r="101" spans="1:3" ht="15" customHeight="1" x14ac:dyDescent="0.25">
      <c r="A101" s="91">
        <v>5.4681600000000001</v>
      </c>
      <c r="B101" s="91">
        <v>2</v>
      </c>
      <c r="C101" s="91">
        <v>99</v>
      </c>
    </row>
    <row r="102" spans="1:3" ht="15" customHeight="1" x14ac:dyDescent="0.25">
      <c r="A102" s="91">
        <v>6.4695099999999996</v>
      </c>
      <c r="B102" s="91">
        <v>2</v>
      </c>
      <c r="C102" s="91">
        <v>100</v>
      </c>
    </row>
  </sheetData>
  <sortState xmlns:xlrd2="http://schemas.microsoft.com/office/spreadsheetml/2017/richdata2" ref="A3:B103">
    <sortCondition ref="A2:A103"/>
  </sortState>
  <mergeCells count="12">
    <mergeCell ref="M7:M8"/>
    <mergeCell ref="E11:G12"/>
    <mergeCell ref="L11:N12"/>
    <mergeCell ref="A1:A2"/>
    <mergeCell ref="B1:B2"/>
    <mergeCell ref="C1:C2"/>
    <mergeCell ref="H7:H8"/>
    <mergeCell ref="I7:I8"/>
    <mergeCell ref="N7:N8"/>
    <mergeCell ref="J7:J8"/>
    <mergeCell ref="K7:K8"/>
    <mergeCell ref="L7:L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2D76-3A8F-4FF4-B058-3B4B76E70F4E}">
  <sheetPr>
    <tabColor rgb="FF9F9FE3"/>
  </sheetPr>
  <dimension ref="A1:AD53"/>
  <sheetViews>
    <sheetView topLeftCell="A2" zoomScale="70" zoomScaleNormal="70" workbookViewId="0">
      <selection activeCell="A4" sqref="A4:B53"/>
    </sheetView>
  </sheetViews>
  <sheetFormatPr defaultRowHeight="15" x14ac:dyDescent="0.25"/>
  <cols>
    <col min="1" max="8" width="9.140625" style="1"/>
    <col min="9" max="9" width="9.140625" style="86"/>
    <col min="10" max="10" width="20" style="1" customWidth="1"/>
    <col min="11" max="21" width="9.140625" style="1"/>
    <col min="22" max="22" width="11.5703125" style="1" customWidth="1"/>
    <col min="23" max="23" width="11" style="1" customWidth="1"/>
    <col min="24" max="24" width="10.7109375" style="1" customWidth="1"/>
    <col min="25" max="26" width="9.140625" style="1"/>
    <col min="27" max="28" width="10.7109375" style="1" customWidth="1"/>
    <col min="29" max="29" width="11.42578125" style="1" customWidth="1"/>
    <col min="30" max="16384" width="9.140625" style="1"/>
  </cols>
  <sheetData>
    <row r="1" spans="1:30" ht="15" customHeight="1" x14ac:dyDescent="0.25">
      <c r="A1" s="127" t="s">
        <v>106</v>
      </c>
      <c r="B1" s="127"/>
      <c r="C1" s="127"/>
      <c r="D1" s="146"/>
    </row>
    <row r="2" spans="1:30" ht="15" customHeight="1" x14ac:dyDescent="0.25">
      <c r="A2" s="127"/>
      <c r="B2" s="127"/>
      <c r="C2" s="127"/>
      <c r="D2" s="146"/>
    </row>
    <row r="3" spans="1:30" x14ac:dyDescent="0.25">
      <c r="A3" s="127"/>
      <c r="B3" s="127"/>
      <c r="C3" s="127"/>
      <c r="D3" s="146"/>
      <c r="E3" s="142" t="s">
        <v>88</v>
      </c>
      <c r="F3" s="142" t="s">
        <v>89</v>
      </c>
      <c r="G3" s="142"/>
      <c r="H3" s="142"/>
      <c r="T3" s="142" t="s">
        <v>88</v>
      </c>
      <c r="U3" s="142" t="s">
        <v>89</v>
      </c>
      <c r="V3" s="142" t="s">
        <v>90</v>
      </c>
      <c r="W3" s="142" t="s">
        <v>91</v>
      </c>
      <c r="X3" s="142" t="s">
        <v>92</v>
      </c>
      <c r="Z3" s="142" t="s">
        <v>94</v>
      </c>
      <c r="AA3" s="142" t="s">
        <v>95</v>
      </c>
      <c r="AB3" s="144"/>
    </row>
    <row r="4" spans="1:30" x14ac:dyDescent="0.25">
      <c r="A4" s="91">
        <v>1.1511100000000001</v>
      </c>
      <c r="B4" s="91">
        <v>3.0167700000000002</v>
      </c>
      <c r="E4" s="99">
        <f>_xlfn.RANK.AVG(A4,$A$4:$A$53,1)</f>
        <v>8</v>
      </c>
      <c r="F4" s="99">
        <f>_xlfn.RANK.AVG(B4,$B$4:$B$53,1)</f>
        <v>30</v>
      </c>
      <c r="G4" s="99">
        <f>E4-F4</f>
        <v>-22</v>
      </c>
      <c r="H4" s="99">
        <f>G4^2</f>
        <v>484</v>
      </c>
      <c r="J4" s="142" t="s">
        <v>93</v>
      </c>
      <c r="K4" s="99">
        <f>CORREL(A4:A53,B4:B53)</f>
        <v>5.4663471967464496E-2</v>
      </c>
      <c r="T4" s="99">
        <v>1</v>
      </c>
      <c r="U4" s="99">
        <v>50</v>
      </c>
      <c r="V4" s="99">
        <f>COUNTIF(U4:$U$53,"&gt;"&amp;U4)</f>
        <v>0</v>
      </c>
      <c r="W4" s="99">
        <f>COUNTIF(U4:$U$53,"&lt;"&amp;U4)</f>
        <v>49</v>
      </c>
      <c r="X4" s="99">
        <f>V4-W4</f>
        <v>-49</v>
      </c>
      <c r="Z4" s="99">
        <f>SUM(V4:V53)</f>
        <v>571</v>
      </c>
      <c r="AA4" s="99">
        <f>SUM(W4:W53)</f>
        <v>654</v>
      </c>
      <c r="AB4" s="86"/>
    </row>
    <row r="5" spans="1:30" x14ac:dyDescent="0.25">
      <c r="A5" s="91">
        <v>1.79654</v>
      </c>
      <c r="B5" s="91">
        <v>-0.17352000000000001</v>
      </c>
      <c r="E5" s="99">
        <f>_xlfn.RANK.AVG(A5,$A$4:$A$53,1)</f>
        <v>40</v>
      </c>
      <c r="F5" s="99">
        <f>_xlfn.RANK.AVG(B5,$B$4:$B$53,1)</f>
        <v>6</v>
      </c>
      <c r="G5" s="99">
        <f t="shared" ref="G5:G53" si="0">E5-F5</f>
        <v>34</v>
      </c>
      <c r="H5" s="99">
        <f t="shared" ref="H5:H53" si="1">G5^2</f>
        <v>1156</v>
      </c>
      <c r="T5" s="99">
        <v>2</v>
      </c>
      <c r="U5" s="99">
        <v>19</v>
      </c>
      <c r="V5" s="99">
        <f>COUNTIF(U5:$U$53,"&gt;"&amp;U5)</f>
        <v>30</v>
      </c>
      <c r="W5" s="99">
        <f>COUNTIF(U5:$U$53,"&lt;"&amp;U5)</f>
        <v>18</v>
      </c>
      <c r="X5" s="99">
        <f t="shared" ref="X5:X53" si="2">V5-W5</f>
        <v>12</v>
      </c>
      <c r="AC5" s="143" t="s">
        <v>96</v>
      </c>
    </row>
    <row r="6" spans="1:30" x14ac:dyDescent="0.25">
      <c r="A6" s="69">
        <v>2.8480599999999998</v>
      </c>
      <c r="B6" s="91">
        <v>3.1695199999999999</v>
      </c>
      <c r="E6" s="99">
        <f>_xlfn.RANK.AVG(A6,$A$4:$A$53,1)</f>
        <v>49</v>
      </c>
      <c r="F6" s="99">
        <f>_xlfn.RANK.AVG(B6,$B$4:$B$53,1)</f>
        <v>32</v>
      </c>
      <c r="G6" s="99">
        <f t="shared" si="0"/>
        <v>17</v>
      </c>
      <c r="H6" s="99">
        <f t="shared" si="1"/>
        <v>289</v>
      </c>
      <c r="J6" s="126" t="s">
        <v>97</v>
      </c>
      <c r="K6" s="109" t="s">
        <v>107</v>
      </c>
      <c r="L6" s="109"/>
      <c r="M6" s="109"/>
      <c r="N6" s="109"/>
      <c r="O6" s="109"/>
      <c r="P6" s="109"/>
      <c r="Q6" s="109"/>
      <c r="T6" s="99">
        <v>3</v>
      </c>
      <c r="U6" s="99">
        <v>22</v>
      </c>
      <c r="V6" s="99">
        <f>COUNTIF(U6:$U$53,"&gt;"&amp;U6)</f>
        <v>27</v>
      </c>
      <c r="W6" s="99">
        <f>COUNTIF(U6:$U$53,"&lt;"&amp;U6)</f>
        <v>20</v>
      </c>
      <c r="X6" s="99">
        <f t="shared" si="2"/>
        <v>7</v>
      </c>
    </row>
    <row r="7" spans="1:30" x14ac:dyDescent="0.25">
      <c r="A7" s="91">
        <v>1.6140699999999999</v>
      </c>
      <c r="B7" s="91">
        <v>2.3263500000000001</v>
      </c>
      <c r="E7" s="99">
        <f>_xlfn.RANK.AVG(A7,$A$4:$A$53,1)</f>
        <v>32</v>
      </c>
      <c r="F7" s="99">
        <f>_xlfn.RANK.AVG(B7,$B$4:$B$53,1)</f>
        <v>22</v>
      </c>
      <c r="G7" s="99">
        <f t="shared" si="0"/>
        <v>10</v>
      </c>
      <c r="H7" s="99">
        <f t="shared" si="1"/>
        <v>100</v>
      </c>
      <c r="J7" s="126"/>
      <c r="K7" s="109"/>
      <c r="L7" s="109"/>
      <c r="M7" s="109"/>
      <c r="N7" s="109"/>
      <c r="O7" s="109"/>
      <c r="P7" s="109"/>
      <c r="Q7" s="109"/>
      <c r="T7" s="99">
        <v>4</v>
      </c>
      <c r="U7" s="99">
        <v>14</v>
      </c>
      <c r="V7" s="99">
        <f>COUNTIF(U7:$U$53,"&gt;"&amp;U7)</f>
        <v>33</v>
      </c>
      <c r="W7" s="99">
        <f>COUNTIF(U7:$U$53,"&lt;"&amp;U7)</f>
        <v>13</v>
      </c>
      <c r="X7" s="99">
        <f t="shared" si="2"/>
        <v>20</v>
      </c>
    </row>
    <row r="8" spans="1:30" x14ac:dyDescent="0.25">
      <c r="A8" s="91">
        <v>1.31524</v>
      </c>
      <c r="B8" s="91">
        <v>1.91276</v>
      </c>
      <c r="E8" s="99">
        <f>_xlfn.RANK.AVG(A8,$A$4:$A$53,1)</f>
        <v>16</v>
      </c>
      <c r="F8" s="99">
        <f>_xlfn.RANK.AVG(B8,$B$4:$B$53,1)</f>
        <v>21</v>
      </c>
      <c r="G8" s="99">
        <f t="shared" si="0"/>
        <v>-5</v>
      </c>
      <c r="H8" s="99">
        <f t="shared" si="1"/>
        <v>25</v>
      </c>
      <c r="J8" s="126"/>
      <c r="K8" s="109"/>
      <c r="L8" s="109"/>
      <c r="M8" s="109"/>
      <c r="N8" s="109"/>
      <c r="O8" s="109"/>
      <c r="P8" s="109"/>
      <c r="Q8" s="109"/>
      <c r="T8" s="99">
        <v>5</v>
      </c>
      <c r="U8" s="99">
        <v>15</v>
      </c>
      <c r="V8" s="99">
        <f>COUNTIF(U8:$U$53,"&gt;"&amp;U8)</f>
        <v>32</v>
      </c>
      <c r="W8" s="99">
        <f>COUNTIF(U8:$U$53,"&lt;"&amp;U8)</f>
        <v>13</v>
      </c>
      <c r="X8" s="99">
        <f t="shared" si="2"/>
        <v>19</v>
      </c>
    </row>
    <row r="9" spans="1:30" x14ac:dyDescent="0.25">
      <c r="A9" s="91">
        <v>1.0032000000000001</v>
      </c>
      <c r="B9" s="91">
        <v>-0.43187900000000001</v>
      </c>
      <c r="E9" s="99">
        <f>_xlfn.RANK.AVG(A9,$A$4:$A$53,1)</f>
        <v>1</v>
      </c>
      <c r="F9" s="99">
        <f>_xlfn.RANK.AVG(B9,$B$4:$B$53,1)</f>
        <v>5</v>
      </c>
      <c r="G9" s="99">
        <f t="shared" si="0"/>
        <v>-4</v>
      </c>
      <c r="H9" s="99">
        <f t="shared" si="1"/>
        <v>16</v>
      </c>
      <c r="T9" s="99">
        <v>6</v>
      </c>
      <c r="U9" s="99">
        <v>27</v>
      </c>
      <c r="V9" s="99">
        <f>COUNTIF(U9:$U$53,"&gt;"&amp;U9)</f>
        <v>22</v>
      </c>
      <c r="W9" s="99">
        <f>COUNTIF(U9:$U$53,"&lt;"&amp;U9)</f>
        <v>22</v>
      </c>
      <c r="X9" s="99">
        <f t="shared" si="2"/>
        <v>0</v>
      </c>
    </row>
    <row r="10" spans="1:30" x14ac:dyDescent="0.25">
      <c r="A10" s="91">
        <v>1.0710900000000001</v>
      </c>
      <c r="B10" s="91">
        <v>3.9186800000000002</v>
      </c>
      <c r="E10" s="99">
        <f>_xlfn.RANK.AVG(A10,$A$4:$A$53,1)</f>
        <v>5</v>
      </c>
      <c r="F10" s="99">
        <f>_xlfn.RANK.AVG(B10,$B$4:$B$53,1)</f>
        <v>38</v>
      </c>
      <c r="G10" s="99">
        <f t="shared" si="0"/>
        <v>-33</v>
      </c>
      <c r="H10" s="99">
        <f t="shared" si="1"/>
        <v>1089</v>
      </c>
      <c r="J10" s="145" t="s">
        <v>29</v>
      </c>
      <c r="K10" s="99">
        <v>50</v>
      </c>
      <c r="T10" s="99">
        <v>7</v>
      </c>
      <c r="U10" s="99">
        <v>47</v>
      </c>
      <c r="V10" s="99">
        <f>COUNTIF(U10:$U$53,"&gt;"&amp;U10)</f>
        <v>2</v>
      </c>
      <c r="W10" s="99">
        <f>COUNTIF(U10:$U$53,"&lt;"&amp;U10)</f>
        <v>41</v>
      </c>
      <c r="X10" s="99">
        <f t="shared" si="2"/>
        <v>-39</v>
      </c>
    </row>
    <row r="11" spans="1:30" x14ac:dyDescent="0.25">
      <c r="A11" s="91">
        <v>1.0472900000000001</v>
      </c>
      <c r="B11" s="91">
        <v>2.7407699999999999</v>
      </c>
      <c r="E11" s="99">
        <f>_xlfn.RANK.AVG(A11,$A$4:$A$53,1)</f>
        <v>4</v>
      </c>
      <c r="F11" s="99">
        <f>_xlfn.RANK.AVG(B11,$B$4:$B$53,1)</f>
        <v>24</v>
      </c>
      <c r="G11" s="99">
        <f t="shared" si="0"/>
        <v>-20</v>
      </c>
      <c r="H11" s="99">
        <f t="shared" si="1"/>
        <v>400</v>
      </c>
      <c r="J11" s="141"/>
      <c r="T11" s="99">
        <v>8</v>
      </c>
      <c r="U11" s="99">
        <v>10</v>
      </c>
      <c r="V11" s="99">
        <f>COUNTIF(U11:$U$53,"&gt;"&amp;U11)</f>
        <v>33</v>
      </c>
      <c r="W11" s="99">
        <f>COUNTIF(U11:$U$53,"&lt;"&amp;U11)</f>
        <v>9</v>
      </c>
      <c r="X11" s="99">
        <f t="shared" si="2"/>
        <v>24</v>
      </c>
      <c r="AD11" s="1">
        <f>SUM(X4:X53)/(0.5*50*(50-1))</f>
        <v>-6.775510204081632E-2</v>
      </c>
    </row>
    <row r="12" spans="1:30" x14ac:dyDescent="0.25">
      <c r="A12" s="91">
        <v>1.4408700000000001</v>
      </c>
      <c r="B12" s="91">
        <v>5.4681600000000001</v>
      </c>
      <c r="E12" s="99">
        <f>_xlfn.RANK.AVG(A12,$A$4:$A$53,1)</f>
        <v>23</v>
      </c>
      <c r="F12" s="99">
        <f>_xlfn.RANK.AVG(B12,$B$4:$B$53,1)</f>
        <v>49</v>
      </c>
      <c r="G12" s="99">
        <f t="shared" si="0"/>
        <v>-26</v>
      </c>
      <c r="H12" s="99">
        <f t="shared" si="1"/>
        <v>676</v>
      </c>
      <c r="T12" s="99">
        <v>9</v>
      </c>
      <c r="U12" s="99">
        <v>6</v>
      </c>
      <c r="V12" s="99">
        <f>COUNTIF(U12:$U$53,"&gt;"&amp;U12)</f>
        <v>36</v>
      </c>
      <c r="W12" s="99">
        <f>COUNTIF(U12:$U$53,"&lt;"&amp;U12)</f>
        <v>5</v>
      </c>
      <c r="X12" s="99">
        <f t="shared" si="2"/>
        <v>31</v>
      </c>
    </row>
    <row r="13" spans="1:30" x14ac:dyDescent="0.25">
      <c r="A13" s="69">
        <v>2.1596799999999998</v>
      </c>
      <c r="B13" s="91">
        <v>5.1539200000000003</v>
      </c>
      <c r="E13" s="99">
        <f>_xlfn.RANK.AVG(A13,$A$4:$A$53,1)</f>
        <v>48</v>
      </c>
      <c r="F13" s="99">
        <f>_xlfn.RANK.AVG(B13,$B$4:$B$53,1)</f>
        <v>46</v>
      </c>
      <c r="G13" s="99">
        <f t="shared" si="0"/>
        <v>2</v>
      </c>
      <c r="H13" s="99">
        <f t="shared" si="1"/>
        <v>4</v>
      </c>
      <c r="J13" s="129"/>
      <c r="K13" s="133">
        <f>SUM(H4:H53)</f>
        <v>21054</v>
      </c>
      <c r="T13" s="99">
        <v>10</v>
      </c>
      <c r="U13" s="99">
        <v>9</v>
      </c>
      <c r="V13" s="99">
        <f>COUNTIF(U13:$U$53,"&gt;"&amp;U13)</f>
        <v>33</v>
      </c>
      <c r="W13" s="99">
        <f>COUNTIF(U13:$U$53,"&lt;"&amp;U13)</f>
        <v>7</v>
      </c>
      <c r="X13" s="99">
        <f t="shared" si="2"/>
        <v>26</v>
      </c>
      <c r="AC13" s="143" t="s">
        <v>98</v>
      </c>
    </row>
    <row r="14" spans="1:30" x14ac:dyDescent="0.25">
      <c r="A14" s="91">
        <v>1.98302</v>
      </c>
      <c r="B14" s="91">
        <v>1.16337</v>
      </c>
      <c r="E14" s="99">
        <f>_xlfn.RANK.AVG(A14,$A$4:$A$53,1)</f>
        <v>46</v>
      </c>
      <c r="F14" s="99">
        <f>_xlfn.RANK.AVG(B14,$B$4:$B$53,1)</f>
        <v>12</v>
      </c>
      <c r="G14" s="99">
        <f t="shared" si="0"/>
        <v>34</v>
      </c>
      <c r="H14" s="99">
        <f t="shared" si="1"/>
        <v>1156</v>
      </c>
      <c r="J14" s="130"/>
      <c r="K14" s="134"/>
      <c r="T14" s="99">
        <v>11</v>
      </c>
      <c r="U14" s="99">
        <v>33</v>
      </c>
      <c r="V14" s="99">
        <f>COUNTIF(U14:$U$53,"&gt;"&amp;U14)</f>
        <v>15</v>
      </c>
      <c r="W14" s="99">
        <f>COUNTIF(U14:$U$53,"&lt;"&amp;U14)</f>
        <v>24</v>
      </c>
      <c r="X14" s="99">
        <f t="shared" si="2"/>
        <v>-9</v>
      </c>
    </row>
    <row r="15" spans="1:30" x14ac:dyDescent="0.25">
      <c r="A15" s="91">
        <v>1.8041400000000001</v>
      </c>
      <c r="B15" s="91">
        <v>2.7423299999999999</v>
      </c>
      <c r="E15" s="99">
        <f>_xlfn.RANK.AVG(A15,$A$4:$A$53,1)</f>
        <v>41</v>
      </c>
      <c r="F15" s="99">
        <f>_xlfn.RANK.AVG(B15,$B$4:$B$53,1)</f>
        <v>25</v>
      </c>
      <c r="G15" s="99">
        <f t="shared" si="0"/>
        <v>16</v>
      </c>
      <c r="H15" s="99">
        <f t="shared" si="1"/>
        <v>256</v>
      </c>
      <c r="T15" s="99">
        <v>12</v>
      </c>
      <c r="U15" s="99">
        <v>45</v>
      </c>
      <c r="V15" s="99">
        <f>COUNTIF(U15:$U$53,"&gt;"&amp;U15)</f>
        <v>3</v>
      </c>
      <c r="W15" s="99">
        <f>COUNTIF(U15:$U$53,"&lt;"&amp;U15)</f>
        <v>35</v>
      </c>
      <c r="X15" s="99">
        <f t="shared" si="2"/>
        <v>-32</v>
      </c>
    </row>
    <row r="16" spans="1:30" x14ac:dyDescent="0.25">
      <c r="A16" s="91">
        <v>1.60971</v>
      </c>
      <c r="B16" s="91">
        <v>-3.0000000000000001E-3</v>
      </c>
      <c r="E16" s="99">
        <f>_xlfn.RANK.AVG(A16,$A$4:$A$53,1)</f>
        <v>31</v>
      </c>
      <c r="F16" s="99">
        <f>_xlfn.RANK.AVG(B16,$B$4:$B$53,1)</f>
        <v>8</v>
      </c>
      <c r="G16" s="99">
        <f t="shared" si="0"/>
        <v>23</v>
      </c>
      <c r="H16" s="99">
        <f t="shared" si="1"/>
        <v>529</v>
      </c>
      <c r="J16" s="142"/>
      <c r="K16" s="99">
        <f>1-(6*K13)/(K10*(K10^2-1))</f>
        <v>-1.0996398559423692E-2</v>
      </c>
      <c r="T16" s="99">
        <v>13</v>
      </c>
      <c r="U16" s="99">
        <v>26</v>
      </c>
      <c r="V16" s="99">
        <f>COUNTIF(U16:$U$53,"&gt;"&amp;U16)</f>
        <v>19</v>
      </c>
      <c r="W16" s="99">
        <f>COUNTIF(U16:$U$53,"&lt;"&amp;U16)</f>
        <v>18</v>
      </c>
      <c r="X16" s="99">
        <f t="shared" si="2"/>
        <v>1</v>
      </c>
    </row>
    <row r="17" spans="1:30" x14ac:dyDescent="0.25">
      <c r="A17" s="91">
        <v>1.35405</v>
      </c>
      <c r="B17" s="91">
        <v>1.63781</v>
      </c>
      <c r="E17" s="99">
        <f>_xlfn.RANK.AVG(A17,$A$4:$A$53,1)</f>
        <v>18</v>
      </c>
      <c r="F17" s="99">
        <f>_xlfn.RANK.AVG(B17,$B$4:$B$53,1)</f>
        <v>17</v>
      </c>
      <c r="G17" s="99">
        <f t="shared" si="0"/>
        <v>1</v>
      </c>
      <c r="H17" s="99">
        <f t="shared" si="1"/>
        <v>1</v>
      </c>
      <c r="J17" s="142"/>
      <c r="K17" s="99">
        <f>ABS(K16)</f>
        <v>1.0996398559423692E-2</v>
      </c>
      <c r="T17" s="99">
        <v>14</v>
      </c>
      <c r="U17" s="99">
        <v>16</v>
      </c>
      <c r="V17" s="99">
        <f>COUNTIF(U17:$U$53,"&gt;"&amp;U17)</f>
        <v>26</v>
      </c>
      <c r="W17" s="99">
        <f>COUNTIF(U17:$U$53,"&lt;"&amp;U17)</f>
        <v>10</v>
      </c>
      <c r="X17" s="99">
        <f t="shared" si="2"/>
        <v>16</v>
      </c>
    </row>
    <row r="18" spans="1:30" x14ac:dyDescent="0.25">
      <c r="A18" s="91">
        <v>1.43868</v>
      </c>
      <c r="B18" s="91">
        <v>3.81745</v>
      </c>
      <c r="E18" s="99">
        <f>_xlfn.RANK.AVG(A18,$A$4:$A$53,1)</f>
        <v>22</v>
      </c>
      <c r="F18" s="99">
        <f>_xlfn.RANK.AVG(B18,$B$4:$B$53,1)</f>
        <v>37</v>
      </c>
      <c r="G18" s="99">
        <f t="shared" si="0"/>
        <v>-15</v>
      </c>
      <c r="H18" s="99">
        <f t="shared" si="1"/>
        <v>225</v>
      </c>
      <c r="T18" s="99">
        <v>15</v>
      </c>
      <c r="U18" s="99">
        <v>46</v>
      </c>
      <c r="V18" s="99">
        <f>COUNTIF(U18:$U$53,"&gt;"&amp;U18)</f>
        <v>2</v>
      </c>
      <c r="W18" s="99">
        <f>COUNTIF(U18:$U$53,"&lt;"&amp;U18)</f>
        <v>33</v>
      </c>
      <c r="X18" s="99">
        <f t="shared" si="2"/>
        <v>-31</v>
      </c>
    </row>
    <row r="19" spans="1:30" x14ac:dyDescent="0.25">
      <c r="A19" s="91">
        <v>1.79559</v>
      </c>
      <c r="B19" s="91">
        <v>4.2461700000000002</v>
      </c>
      <c r="E19" s="99">
        <f>_xlfn.RANK.AVG(A19,$A$4:$A$53,1)</f>
        <v>39</v>
      </c>
      <c r="F19" s="99">
        <f>_xlfn.RANK.AVG(B19,$B$4:$B$53,1)</f>
        <v>40</v>
      </c>
      <c r="G19" s="99">
        <f t="shared" si="0"/>
        <v>-1</v>
      </c>
      <c r="H19" s="99">
        <f t="shared" si="1"/>
        <v>1</v>
      </c>
      <c r="J19" s="143" t="s">
        <v>99</v>
      </c>
      <c r="T19" s="99">
        <v>16</v>
      </c>
      <c r="U19" s="99">
        <v>28</v>
      </c>
      <c r="V19" s="99">
        <f>COUNTIF(U19:$U$53,"&gt;"&amp;U19)</f>
        <v>17</v>
      </c>
      <c r="W19" s="99">
        <f>COUNTIF(U19:$U$53,"&lt;"&amp;U19)</f>
        <v>17</v>
      </c>
      <c r="X19" s="99">
        <f t="shared" si="2"/>
        <v>0</v>
      </c>
      <c r="AA19" s="143" t="s">
        <v>100</v>
      </c>
      <c r="AD19" s="1">
        <f>SQRT((2*(2*K10+5))/(9*K10*(K10-1)))</f>
        <v>9.7590007294853329E-2</v>
      </c>
    </row>
    <row r="20" spans="1:30" x14ac:dyDescent="0.25">
      <c r="A20" s="91">
        <v>1.09911</v>
      </c>
      <c r="B20" s="91">
        <v>4.3758400000000002</v>
      </c>
      <c r="E20" s="99">
        <f>_xlfn.RANK.AVG(A20,$A$4:$A$53,1)</f>
        <v>6</v>
      </c>
      <c r="F20" s="99">
        <f>_xlfn.RANK.AVG(B20,$B$4:$B$53,1)</f>
        <v>41</v>
      </c>
      <c r="G20" s="99">
        <f t="shared" si="0"/>
        <v>-35</v>
      </c>
      <c r="H20" s="99">
        <f t="shared" si="1"/>
        <v>1225</v>
      </c>
      <c r="T20" s="99">
        <v>17</v>
      </c>
      <c r="U20" s="99">
        <v>24</v>
      </c>
      <c r="V20" s="99">
        <f>COUNTIF(U20:$U$53,"&gt;"&amp;U20)</f>
        <v>18</v>
      </c>
      <c r="W20" s="99">
        <f>COUNTIF(U20:$U$53,"&lt;"&amp;U20)</f>
        <v>15</v>
      </c>
      <c r="X20" s="99">
        <f t="shared" si="2"/>
        <v>3</v>
      </c>
    </row>
    <row r="21" spans="1:30" x14ac:dyDescent="0.25">
      <c r="A21" s="91">
        <v>1.4523900000000001</v>
      </c>
      <c r="B21" s="91">
        <v>5.0537799999999997</v>
      </c>
      <c r="E21" s="99">
        <f>_xlfn.RANK.AVG(A21,$A$4:$A$53,1)</f>
        <v>24</v>
      </c>
      <c r="F21" s="99">
        <f>_xlfn.RANK.AVG(B21,$B$4:$B$53,1)</f>
        <v>44</v>
      </c>
      <c r="G21" s="99">
        <f t="shared" si="0"/>
        <v>-20</v>
      </c>
      <c r="H21" s="99">
        <f t="shared" si="1"/>
        <v>400</v>
      </c>
      <c r="T21" s="99">
        <v>18</v>
      </c>
      <c r="U21" s="99">
        <v>41</v>
      </c>
      <c r="V21" s="99">
        <f>COUNTIF(U21:$U$53,"&gt;"&amp;U21)</f>
        <v>5</v>
      </c>
      <c r="W21" s="99">
        <f>COUNTIF(U21:$U$53,"&lt;"&amp;U21)</f>
        <v>27</v>
      </c>
      <c r="X21" s="99">
        <f t="shared" si="2"/>
        <v>-22</v>
      </c>
      <c r="AC21" s="142" t="s">
        <v>27</v>
      </c>
      <c r="AD21" s="99">
        <v>0.1</v>
      </c>
    </row>
    <row r="22" spans="1:30" x14ac:dyDescent="0.25">
      <c r="A22" s="91">
        <v>1.43075</v>
      </c>
      <c r="B22" s="91">
        <v>5.10623</v>
      </c>
      <c r="E22" s="99">
        <f>_xlfn.RANK.AVG(A22,$A$4:$A$53,1)</f>
        <v>21</v>
      </c>
      <c r="F22" s="99">
        <f>_xlfn.RANK.AVG(B22,$B$4:$B$53,1)</f>
        <v>45</v>
      </c>
      <c r="G22" s="99">
        <f t="shared" si="0"/>
        <v>-24</v>
      </c>
      <c r="H22" s="99">
        <f t="shared" si="1"/>
        <v>576</v>
      </c>
      <c r="T22" s="99">
        <v>19</v>
      </c>
      <c r="U22" s="99">
        <v>18</v>
      </c>
      <c r="V22" s="99">
        <f>COUNTIF(U22:$U$53,"&gt;"&amp;U22)</f>
        <v>20</v>
      </c>
      <c r="W22" s="99">
        <f>COUNTIF(U22:$U$53,"&lt;"&amp;U22)</f>
        <v>11</v>
      </c>
      <c r="X22" s="99">
        <f t="shared" si="2"/>
        <v>9</v>
      </c>
      <c r="AC22" s="142" t="s">
        <v>101</v>
      </c>
      <c r="AD22" s="99">
        <f>_xlfn.NORM.INV(0.9,0,AD19)</f>
        <v>0.12506662663022827</v>
      </c>
    </row>
    <row r="23" spans="1:30" x14ac:dyDescent="0.25">
      <c r="A23" s="91">
        <v>1.2312099999999999</v>
      </c>
      <c r="B23" s="91">
        <v>-1.6568700000000001</v>
      </c>
      <c r="E23" s="99">
        <f>_xlfn.RANK.AVG(A23,$A$4:$A$53,1)</f>
        <v>13</v>
      </c>
      <c r="F23" s="99">
        <f>_xlfn.RANK.AVG(B23,$B$4:$B$53,1)</f>
        <v>1</v>
      </c>
      <c r="G23" s="99">
        <f t="shared" si="0"/>
        <v>12</v>
      </c>
      <c r="H23" s="99">
        <f t="shared" si="1"/>
        <v>144</v>
      </c>
      <c r="T23" s="99">
        <v>20</v>
      </c>
      <c r="U23" s="99">
        <v>12</v>
      </c>
      <c r="V23" s="99">
        <f>COUNTIF(U23:$U$53,"&gt;"&amp;U23)</f>
        <v>22</v>
      </c>
      <c r="W23" s="99">
        <f>COUNTIF(U23:$U$53,"&lt;"&amp;U23)</f>
        <v>8</v>
      </c>
      <c r="X23" s="99">
        <f t="shared" si="2"/>
        <v>14</v>
      </c>
    </row>
    <row r="24" spans="1:30" x14ac:dyDescent="0.25">
      <c r="A24" s="91">
        <v>1.0301</v>
      </c>
      <c r="B24" s="91">
        <v>2.9357099999999998</v>
      </c>
      <c r="E24" s="99">
        <f>_xlfn.RANK.AVG(A24,$A$4:$A$53,1)</f>
        <v>3</v>
      </c>
      <c r="F24" s="99">
        <f>_xlfn.RANK.AVG(B24,$B$4:$B$53,1)</f>
        <v>29</v>
      </c>
      <c r="G24" s="99">
        <f t="shared" si="0"/>
        <v>-26</v>
      </c>
      <c r="H24" s="99">
        <f t="shared" si="1"/>
        <v>676</v>
      </c>
      <c r="J24" s="129"/>
      <c r="K24" s="133">
        <f>K17*SQRT((K10-2)/(1-K17^2))</f>
        <v>7.6189890630609367E-2</v>
      </c>
      <c r="T24" s="99">
        <v>21</v>
      </c>
      <c r="U24" s="99">
        <v>8</v>
      </c>
      <c r="V24" s="99">
        <f>COUNTIF(U24:$U$53,"&gt;"&amp;U24)</f>
        <v>23</v>
      </c>
      <c r="W24" s="99">
        <f>COUNTIF(U24:$U$53,"&lt;"&amp;U24)</f>
        <v>6</v>
      </c>
      <c r="X24" s="99">
        <f t="shared" si="2"/>
        <v>17</v>
      </c>
    </row>
    <row r="25" spans="1:30" x14ac:dyDescent="0.25">
      <c r="A25" s="91">
        <v>1.6012599999999999</v>
      </c>
      <c r="B25" s="91">
        <v>1.49274</v>
      </c>
      <c r="E25" s="99">
        <f>_xlfn.RANK.AVG(A25,$A$4:$A$53,1)</f>
        <v>29</v>
      </c>
      <c r="F25" s="99">
        <f>_xlfn.RANK.AVG(B25,$B$4:$B$53,1)</f>
        <v>14</v>
      </c>
      <c r="G25" s="99">
        <f t="shared" si="0"/>
        <v>15</v>
      </c>
      <c r="H25" s="99">
        <f t="shared" si="1"/>
        <v>225</v>
      </c>
      <c r="J25" s="147"/>
      <c r="K25" s="148"/>
      <c r="T25" s="99">
        <v>22</v>
      </c>
      <c r="U25" s="99">
        <v>40</v>
      </c>
      <c r="V25" s="99">
        <f>COUNTIF(U25:$U$53,"&gt;"&amp;U25)</f>
        <v>5</v>
      </c>
      <c r="W25" s="99">
        <f>COUNTIF(U25:$U$53,"&lt;"&amp;U25)</f>
        <v>23</v>
      </c>
      <c r="X25" s="99">
        <f t="shared" si="2"/>
        <v>-18</v>
      </c>
      <c r="AC25" s="143" t="s">
        <v>102</v>
      </c>
    </row>
    <row r="26" spans="1:30" x14ac:dyDescent="0.25">
      <c r="A26" s="69">
        <v>2.9899100000000001</v>
      </c>
      <c r="B26" s="91">
        <v>3.99708</v>
      </c>
      <c r="E26" s="99">
        <f>_xlfn.RANK.AVG(A26,$A$4:$A$53,1)</f>
        <v>50</v>
      </c>
      <c r="F26" s="99">
        <f>_xlfn.RANK.AVG(B26,$B$4:$B$53,1)</f>
        <v>39</v>
      </c>
      <c r="G26" s="99">
        <f t="shared" si="0"/>
        <v>11</v>
      </c>
      <c r="H26" s="99">
        <f t="shared" si="1"/>
        <v>121</v>
      </c>
      <c r="J26" s="130"/>
      <c r="K26" s="134"/>
      <c r="T26" s="99">
        <v>23</v>
      </c>
      <c r="U26" s="99">
        <v>32</v>
      </c>
      <c r="V26" s="99">
        <f>COUNTIF(U26:$U$53,"&gt;"&amp;U26)</f>
        <v>11</v>
      </c>
      <c r="W26" s="99">
        <f>COUNTIF(U26:$U$53,"&lt;"&amp;U26)</f>
        <v>16</v>
      </c>
      <c r="X26" s="99">
        <f t="shared" si="2"/>
        <v>-5</v>
      </c>
      <c r="AC26" s="143" t="s">
        <v>103</v>
      </c>
    </row>
    <row r="27" spans="1:30" x14ac:dyDescent="0.25">
      <c r="A27" s="91">
        <v>1.8061400000000001</v>
      </c>
      <c r="B27" s="91">
        <v>4.6470500000000001</v>
      </c>
      <c r="E27" s="99">
        <f>_xlfn.RANK.AVG(A27,$A$4:$A$53,1)</f>
        <v>43</v>
      </c>
      <c r="F27" s="99">
        <f>_xlfn.RANK.AVG(B27,$B$4:$B$53,1)</f>
        <v>43</v>
      </c>
      <c r="G27" s="99">
        <f t="shared" si="0"/>
        <v>0</v>
      </c>
      <c r="H27" s="99">
        <f t="shared" si="1"/>
        <v>0</v>
      </c>
      <c r="T27" s="99">
        <v>24</v>
      </c>
      <c r="U27" s="99">
        <v>48</v>
      </c>
      <c r="V27" s="99">
        <f>COUNTIF(U27:$U$53,"&gt;"&amp;U27)</f>
        <v>1</v>
      </c>
      <c r="W27" s="99">
        <f>COUNTIF(U27:$U$53,"&lt;"&amp;U27)</f>
        <v>25</v>
      </c>
      <c r="X27" s="99">
        <f t="shared" si="2"/>
        <v>-24</v>
      </c>
    </row>
    <row r="28" spans="1:30" x14ac:dyDescent="0.25">
      <c r="A28" s="91">
        <v>1.1653800000000001</v>
      </c>
      <c r="B28" s="91">
        <v>5.2593199999999998</v>
      </c>
      <c r="E28" s="99">
        <f>_xlfn.RANK.AVG(A28,$A$4:$A$53,1)</f>
        <v>9</v>
      </c>
      <c r="F28" s="99">
        <f>_xlfn.RANK.AVG(B28,$B$4:$B$53,1)</f>
        <v>47</v>
      </c>
      <c r="G28" s="99">
        <f t="shared" si="0"/>
        <v>-38</v>
      </c>
      <c r="H28" s="99">
        <f t="shared" si="1"/>
        <v>1444</v>
      </c>
      <c r="J28" s="129"/>
      <c r="K28" s="133">
        <f>_xlfn.T.INV(0.9,48)</f>
        <v>1.2994388786713924</v>
      </c>
      <c r="T28" s="99">
        <v>25</v>
      </c>
      <c r="U28" s="99">
        <v>35</v>
      </c>
      <c r="V28" s="99">
        <f>COUNTIF(U28:$U$53,"&gt;"&amp;U28)</f>
        <v>8</v>
      </c>
      <c r="W28" s="99">
        <f>COUNTIF(U28:$U$53,"&lt;"&amp;U28)</f>
        <v>17</v>
      </c>
      <c r="X28" s="99">
        <f t="shared" si="2"/>
        <v>-9</v>
      </c>
    </row>
    <row r="29" spans="1:30" x14ac:dyDescent="0.25">
      <c r="A29" s="91">
        <v>1.83894</v>
      </c>
      <c r="B29" s="91">
        <v>2.8339300000000001</v>
      </c>
      <c r="E29" s="99">
        <f>_xlfn.RANK.AVG(A29,$A$4:$A$53,1)</f>
        <v>44</v>
      </c>
      <c r="F29" s="99">
        <f>_xlfn.RANK.AVG(B29,$B$4:$B$53,1)</f>
        <v>28</v>
      </c>
      <c r="G29" s="99">
        <f t="shared" si="0"/>
        <v>16</v>
      </c>
      <c r="H29" s="99">
        <f t="shared" si="1"/>
        <v>256</v>
      </c>
      <c r="J29" s="130"/>
      <c r="K29" s="134"/>
      <c r="T29" s="99">
        <v>26</v>
      </c>
      <c r="U29" s="99">
        <v>4</v>
      </c>
      <c r="V29" s="99">
        <f>COUNTIF(U29:$U$53,"&gt;"&amp;U29)</f>
        <v>21</v>
      </c>
      <c r="W29" s="99">
        <f>COUNTIF(U29:$U$53,"&lt;"&amp;U29)</f>
        <v>3</v>
      </c>
      <c r="X29" s="99">
        <f t="shared" si="2"/>
        <v>18</v>
      </c>
    </row>
    <row r="30" spans="1:30" x14ac:dyDescent="0.25">
      <c r="A30" s="91">
        <v>1.38235</v>
      </c>
      <c r="B30" s="91">
        <v>1.0916300000000001</v>
      </c>
      <c r="E30" s="99">
        <f>_xlfn.RANK.AVG(A30,$A$4:$A$53,1)</f>
        <v>19</v>
      </c>
      <c r="F30" s="99">
        <f>_xlfn.RANK.AVG(B30,$B$4:$B$53,1)</f>
        <v>11</v>
      </c>
      <c r="G30" s="99">
        <f t="shared" si="0"/>
        <v>8</v>
      </c>
      <c r="H30" s="99">
        <f t="shared" si="1"/>
        <v>64</v>
      </c>
      <c r="T30" s="99">
        <v>27</v>
      </c>
      <c r="U30" s="99">
        <v>39</v>
      </c>
      <c r="V30" s="99">
        <f>COUNTIF(U30:$U$53,"&gt;"&amp;U30)</f>
        <v>4</v>
      </c>
      <c r="W30" s="99">
        <f>COUNTIF(U30:$U$53,"&lt;"&amp;U30)</f>
        <v>19</v>
      </c>
      <c r="X30" s="99">
        <f t="shared" si="2"/>
        <v>-15</v>
      </c>
    </row>
    <row r="31" spans="1:30" x14ac:dyDescent="0.25">
      <c r="A31" s="91">
        <v>1.16568</v>
      </c>
      <c r="B31" s="91">
        <v>-0.74036199999999996</v>
      </c>
      <c r="E31" s="99">
        <f>_xlfn.RANK.AVG(A31,$A$4:$A$53,1)</f>
        <v>10</v>
      </c>
      <c r="F31" s="99">
        <f>_xlfn.RANK.AVG(B31,$B$4:$B$53,1)</f>
        <v>2</v>
      </c>
      <c r="G31" s="99">
        <f t="shared" si="0"/>
        <v>8</v>
      </c>
      <c r="H31" s="99">
        <f t="shared" si="1"/>
        <v>64</v>
      </c>
      <c r="J31" s="143" t="s">
        <v>104</v>
      </c>
      <c r="T31" s="99">
        <v>28</v>
      </c>
      <c r="U31" s="99">
        <v>3</v>
      </c>
      <c r="V31" s="99">
        <f>COUNTIF(U31:$U$53,"&gt;"&amp;U31)</f>
        <v>20</v>
      </c>
      <c r="W31" s="99">
        <f>COUNTIF(U31:$U$53,"&lt;"&amp;U31)</f>
        <v>2</v>
      </c>
      <c r="X31" s="99">
        <f t="shared" si="2"/>
        <v>18</v>
      </c>
    </row>
    <row r="32" spans="1:30" x14ac:dyDescent="0.25">
      <c r="A32" s="91">
        <v>1.19563</v>
      </c>
      <c r="B32" s="91">
        <v>2.7600500000000001</v>
      </c>
      <c r="E32" s="99">
        <f>_xlfn.RANK.AVG(A32,$A$4:$A$53,1)</f>
        <v>11</v>
      </c>
      <c r="F32" s="99">
        <f>_xlfn.RANK.AVG(B32,$B$4:$B$53,1)</f>
        <v>26</v>
      </c>
      <c r="G32" s="99">
        <f t="shared" si="0"/>
        <v>-15</v>
      </c>
      <c r="H32" s="99">
        <f t="shared" si="1"/>
        <v>225</v>
      </c>
      <c r="J32" s="143" t="s">
        <v>105</v>
      </c>
      <c r="T32" s="99">
        <v>29</v>
      </c>
      <c r="U32" s="99">
        <v>43</v>
      </c>
      <c r="V32" s="99">
        <f>COUNTIF(U32:$U$53,"&gt;"&amp;U32)</f>
        <v>2</v>
      </c>
      <c r="W32" s="99">
        <f>COUNTIF(U32:$U$53,"&lt;"&amp;U32)</f>
        <v>19</v>
      </c>
      <c r="X32" s="99">
        <f t="shared" si="2"/>
        <v>-17</v>
      </c>
    </row>
    <row r="33" spans="1:24" x14ac:dyDescent="0.25">
      <c r="A33" s="91">
        <v>1.46665</v>
      </c>
      <c r="B33" s="91">
        <v>1.9047400000000001</v>
      </c>
      <c r="E33" s="99">
        <f>_xlfn.RANK.AVG(A33,$A$4:$A$53,1)</f>
        <v>25</v>
      </c>
      <c r="F33" s="99">
        <f>_xlfn.RANK.AVG(B33,$B$4:$B$53,1)</f>
        <v>20</v>
      </c>
      <c r="G33" s="99">
        <f t="shared" si="0"/>
        <v>5</v>
      </c>
      <c r="H33" s="99">
        <f t="shared" si="1"/>
        <v>25</v>
      </c>
      <c r="T33" s="99">
        <v>30</v>
      </c>
      <c r="U33" s="99">
        <v>2</v>
      </c>
      <c r="V33" s="99">
        <f>COUNTIF(U33:$U$53,"&gt;"&amp;U33)</f>
        <v>19</v>
      </c>
      <c r="W33" s="99">
        <f>COUNTIF(U33:$U$53,"&lt;"&amp;U33)</f>
        <v>1</v>
      </c>
      <c r="X33" s="99">
        <f t="shared" si="2"/>
        <v>18</v>
      </c>
    </row>
    <row r="34" spans="1:24" x14ac:dyDescent="0.25">
      <c r="A34" s="91">
        <v>1.59293</v>
      </c>
      <c r="B34" s="91">
        <v>3.0217100000000001</v>
      </c>
      <c r="E34" s="99">
        <f>_xlfn.RANK.AVG(A34,$A$4:$A$53,1)</f>
        <v>28</v>
      </c>
      <c r="F34" s="99">
        <f>_xlfn.RANK.AVG(B34,$B$4:$B$53,1)</f>
        <v>31</v>
      </c>
      <c r="G34" s="99">
        <f t="shared" si="0"/>
        <v>-3</v>
      </c>
      <c r="H34" s="99">
        <f t="shared" si="1"/>
        <v>9</v>
      </c>
      <c r="T34" s="99">
        <v>31</v>
      </c>
      <c r="U34" s="99">
        <v>49</v>
      </c>
      <c r="V34" s="99">
        <f>COUNTIF(U34:$U$53,"&gt;"&amp;U34)</f>
        <v>0</v>
      </c>
      <c r="W34" s="99">
        <f>COUNTIF(U34:$U$53,"&lt;"&amp;U34)</f>
        <v>19</v>
      </c>
      <c r="X34" s="99">
        <f t="shared" si="2"/>
        <v>-19</v>
      </c>
    </row>
    <row r="35" spans="1:24" x14ac:dyDescent="0.25">
      <c r="A35" s="91">
        <v>1.7760800000000001</v>
      </c>
      <c r="B35" s="91">
        <v>3.7261500000000001</v>
      </c>
      <c r="E35" s="99">
        <f>_xlfn.RANK.AVG(A35,$A$4:$A$53,1)</f>
        <v>38</v>
      </c>
      <c r="F35" s="99">
        <f>_xlfn.RANK.AVG(B35,$B$4:$B$53,1)</f>
        <v>35</v>
      </c>
      <c r="G35" s="99">
        <f t="shared" si="0"/>
        <v>3</v>
      </c>
      <c r="H35" s="99">
        <f t="shared" si="1"/>
        <v>9</v>
      </c>
      <c r="T35" s="99">
        <v>32</v>
      </c>
      <c r="U35" s="99">
        <v>38</v>
      </c>
      <c r="V35" s="99">
        <f>COUNTIF(U35:$U$53,"&gt;"&amp;U35)</f>
        <v>2</v>
      </c>
      <c r="W35" s="99">
        <f>COUNTIF(U35:$U$53,"&lt;"&amp;U35)</f>
        <v>16</v>
      </c>
      <c r="X35" s="99">
        <f t="shared" si="2"/>
        <v>-14</v>
      </c>
    </row>
    <row r="36" spans="1:24" x14ac:dyDescent="0.25">
      <c r="A36" s="91">
        <v>1.2785299999999999</v>
      </c>
      <c r="B36" s="91">
        <v>1.72692</v>
      </c>
      <c r="E36" s="99">
        <f>_xlfn.RANK.AVG(A36,$A$4:$A$53,1)</f>
        <v>14</v>
      </c>
      <c r="F36" s="99">
        <f>_xlfn.RANK.AVG(B36,$B$4:$B$53,1)</f>
        <v>18</v>
      </c>
      <c r="G36" s="99">
        <f t="shared" si="0"/>
        <v>-4</v>
      </c>
      <c r="H36" s="99">
        <f t="shared" si="1"/>
        <v>16</v>
      </c>
      <c r="T36" s="99">
        <v>33</v>
      </c>
      <c r="U36" s="99">
        <v>37</v>
      </c>
      <c r="V36" s="99">
        <f>COUNTIF(U36:$U$53,"&gt;"&amp;U36)</f>
        <v>2</v>
      </c>
      <c r="W36" s="99">
        <f>COUNTIF(U36:$U$53,"&lt;"&amp;U36)</f>
        <v>15</v>
      </c>
      <c r="X36" s="99">
        <f t="shared" si="2"/>
        <v>-13</v>
      </c>
    </row>
    <row r="37" spans="1:24" x14ac:dyDescent="0.25">
      <c r="A37" s="91">
        <v>1.64323</v>
      </c>
      <c r="B37" s="91">
        <v>3.8111799999999998</v>
      </c>
      <c r="E37" s="99">
        <f>_xlfn.RANK.AVG(A37,$A$4:$A$53,1)</f>
        <v>35</v>
      </c>
      <c r="F37" s="99">
        <f>_xlfn.RANK.AVG(B37,$B$4:$B$53,1)</f>
        <v>36</v>
      </c>
      <c r="G37" s="99">
        <f t="shared" si="0"/>
        <v>-1</v>
      </c>
      <c r="H37" s="99">
        <f t="shared" si="1"/>
        <v>1</v>
      </c>
      <c r="T37" s="99">
        <v>34</v>
      </c>
      <c r="U37" s="99">
        <v>11</v>
      </c>
      <c r="V37" s="99">
        <f>COUNTIF(U37:$U$53,"&gt;"&amp;U37)</f>
        <v>13</v>
      </c>
      <c r="W37" s="99">
        <f>COUNTIF(U37:$U$53,"&lt;"&amp;U37)</f>
        <v>3</v>
      </c>
      <c r="X37" s="99">
        <f t="shared" si="2"/>
        <v>10</v>
      </c>
    </row>
    <row r="38" spans="1:24" x14ac:dyDescent="0.25">
      <c r="A38" s="91">
        <v>1.33144</v>
      </c>
      <c r="B38" s="91">
        <v>0.27818100000000001</v>
      </c>
      <c r="E38" s="99">
        <f>_xlfn.RANK.AVG(A38,$A$4:$A$53,1)</f>
        <v>17</v>
      </c>
      <c r="F38" s="99">
        <f>_xlfn.RANK.AVG(B38,$B$4:$B$53,1)</f>
        <v>9</v>
      </c>
      <c r="G38" s="99">
        <f t="shared" si="0"/>
        <v>8</v>
      </c>
      <c r="H38" s="99">
        <f t="shared" si="1"/>
        <v>64</v>
      </c>
      <c r="T38" s="99">
        <v>35</v>
      </c>
      <c r="U38" s="99">
        <v>36</v>
      </c>
      <c r="V38" s="99">
        <f>COUNTIF(U38:$U$53,"&gt;"&amp;U38)</f>
        <v>2</v>
      </c>
      <c r="W38" s="99">
        <f>COUNTIF(U38:$U$53,"&lt;"&amp;U38)</f>
        <v>13</v>
      </c>
      <c r="X38" s="99">
        <f t="shared" si="2"/>
        <v>-11</v>
      </c>
    </row>
    <row r="39" spans="1:24" x14ac:dyDescent="0.25">
      <c r="A39" s="91">
        <v>1.39706</v>
      </c>
      <c r="B39" s="91">
        <v>5.4249200000000002</v>
      </c>
      <c r="E39" s="99">
        <f>_xlfn.RANK.AVG(A39,$A$4:$A$53,1)</f>
        <v>20</v>
      </c>
      <c r="F39" s="99">
        <f>_xlfn.RANK.AVG(B39,$B$4:$B$53,1)</f>
        <v>48</v>
      </c>
      <c r="G39" s="99">
        <f t="shared" si="0"/>
        <v>-28</v>
      </c>
      <c r="H39" s="99">
        <f t="shared" si="1"/>
        <v>784</v>
      </c>
      <c r="T39" s="99">
        <v>36</v>
      </c>
      <c r="U39" s="99">
        <v>31</v>
      </c>
      <c r="V39" s="99">
        <f>COUNTIF(U39:$U$53,"&gt;"&amp;U39)</f>
        <v>3</v>
      </c>
      <c r="W39" s="99">
        <f>COUNTIF(U39:$U$53,"&lt;"&amp;U39)</f>
        <v>11</v>
      </c>
      <c r="X39" s="99">
        <f t="shared" si="2"/>
        <v>-8</v>
      </c>
    </row>
    <row r="40" spans="1:24" x14ac:dyDescent="0.25">
      <c r="A40" s="91">
        <v>1.1195900000000001</v>
      </c>
      <c r="B40" s="91">
        <v>6.4695099999999996</v>
      </c>
      <c r="E40" s="99">
        <f>_xlfn.RANK.AVG(A40,$A$4:$A$53,1)</f>
        <v>7</v>
      </c>
      <c r="F40" s="99">
        <f>_xlfn.RANK.AVG(B40,$B$4:$B$53,1)</f>
        <v>50</v>
      </c>
      <c r="G40" s="99">
        <f t="shared" si="0"/>
        <v>-43</v>
      </c>
      <c r="H40" s="99">
        <f t="shared" si="1"/>
        <v>1849</v>
      </c>
      <c r="T40" s="99">
        <v>37</v>
      </c>
      <c r="U40" s="99">
        <v>44</v>
      </c>
      <c r="V40" s="99">
        <f>COUNTIF(U40:$U$53,"&gt;"&amp;U40)</f>
        <v>0</v>
      </c>
      <c r="W40" s="99">
        <f>COUNTIF(U40:$U$53,"&lt;"&amp;U40)</f>
        <v>13</v>
      </c>
      <c r="X40" s="99">
        <f t="shared" si="2"/>
        <v>-13</v>
      </c>
    </row>
    <row r="41" spans="1:24" x14ac:dyDescent="0.25">
      <c r="A41" s="91">
        <v>1.2020200000000001</v>
      </c>
      <c r="B41" s="91">
        <v>3.1700400000000002</v>
      </c>
      <c r="E41" s="99">
        <f>_xlfn.RANK.AVG(A41,$A$4:$A$53,1)</f>
        <v>12</v>
      </c>
      <c r="F41" s="99">
        <f>_xlfn.RANK.AVG(B41,$B$4:$B$53,1)</f>
        <v>33</v>
      </c>
      <c r="G41" s="99">
        <f t="shared" si="0"/>
        <v>-21</v>
      </c>
      <c r="H41" s="99">
        <f t="shared" si="1"/>
        <v>441</v>
      </c>
      <c r="T41" s="99">
        <v>38</v>
      </c>
      <c r="U41" s="99">
        <v>34</v>
      </c>
      <c r="V41" s="99">
        <f>COUNTIF(U41:$U$53,"&gt;"&amp;U41)</f>
        <v>1</v>
      </c>
      <c r="W41" s="99">
        <f>COUNTIF(U41:$U$53,"&lt;"&amp;U41)</f>
        <v>11</v>
      </c>
      <c r="X41" s="99">
        <f t="shared" si="2"/>
        <v>-10</v>
      </c>
    </row>
    <row r="42" spans="1:24" x14ac:dyDescent="0.25">
      <c r="A42" s="91">
        <v>1.96417</v>
      </c>
      <c r="B42" s="91">
        <v>1.5833200000000001</v>
      </c>
      <c r="E42" s="99">
        <f>_xlfn.RANK.AVG(A42,$A$4:$A$53,1)</f>
        <v>45</v>
      </c>
      <c r="F42" s="99">
        <f>_xlfn.RANK.AVG(B42,$B$4:$B$53,1)</f>
        <v>15</v>
      </c>
      <c r="G42" s="99">
        <f t="shared" si="0"/>
        <v>30</v>
      </c>
      <c r="H42" s="99">
        <f t="shared" si="1"/>
        <v>900</v>
      </c>
      <c r="T42" s="99">
        <v>39</v>
      </c>
      <c r="U42" s="99">
        <v>25</v>
      </c>
      <c r="V42" s="99">
        <f>COUNTIF(U42:$U$53,"&gt;"&amp;U42)</f>
        <v>3</v>
      </c>
      <c r="W42" s="99">
        <f>COUNTIF(U42:$U$53,"&lt;"&amp;U42)</f>
        <v>8</v>
      </c>
      <c r="X42" s="99">
        <f t="shared" si="2"/>
        <v>-5</v>
      </c>
    </row>
    <row r="43" spans="1:24" x14ac:dyDescent="0.25">
      <c r="A43" s="91">
        <v>1.6327499999999999</v>
      </c>
      <c r="B43" s="91">
        <v>2.7949199999999998</v>
      </c>
      <c r="E43" s="99">
        <f>_xlfn.RANK.AVG(A43,$A$4:$A$53,1)</f>
        <v>33</v>
      </c>
      <c r="F43" s="99">
        <f>_xlfn.RANK.AVG(B43,$B$4:$B$53,1)</f>
        <v>27</v>
      </c>
      <c r="G43" s="99">
        <f t="shared" si="0"/>
        <v>6</v>
      </c>
      <c r="H43" s="99">
        <f t="shared" si="1"/>
        <v>36</v>
      </c>
      <c r="T43" s="99">
        <v>40</v>
      </c>
      <c r="U43" s="99">
        <v>7</v>
      </c>
      <c r="V43" s="99">
        <f>COUNTIF(U43:$U$53,"&gt;"&amp;U43)</f>
        <v>8</v>
      </c>
      <c r="W43" s="99">
        <f>COUNTIF(U43:$U$53,"&lt;"&amp;U43)</f>
        <v>2</v>
      </c>
      <c r="X43" s="99">
        <f t="shared" si="2"/>
        <v>6</v>
      </c>
    </row>
    <row r="44" spans="1:24" x14ac:dyDescent="0.25">
      <c r="A44" s="91">
        <v>1.00892</v>
      </c>
      <c r="B44" s="91">
        <v>1.7513700000000001</v>
      </c>
      <c r="E44" s="99">
        <f>_xlfn.RANK.AVG(A44,$A$4:$A$53,1)</f>
        <v>2</v>
      </c>
      <c r="F44" s="99">
        <f>_xlfn.RANK.AVG(B44,$B$4:$B$53,1)</f>
        <v>19</v>
      </c>
      <c r="G44" s="99">
        <f t="shared" si="0"/>
        <v>-17</v>
      </c>
      <c r="H44" s="99">
        <f t="shared" si="1"/>
        <v>289</v>
      </c>
      <c r="T44" s="99">
        <v>41</v>
      </c>
      <c r="U44" s="99">
        <v>29</v>
      </c>
      <c r="V44" s="99">
        <f>COUNTIF(U44:$U$53,"&gt;"&amp;U44)</f>
        <v>2</v>
      </c>
      <c r="W44" s="99">
        <f>COUNTIF(U44:$U$53,"&lt;"&amp;U44)</f>
        <v>7</v>
      </c>
      <c r="X44" s="99">
        <f t="shared" si="2"/>
        <v>-5</v>
      </c>
    </row>
    <row r="45" spans="1:24" x14ac:dyDescent="0.25">
      <c r="A45" s="91">
        <v>1.80463</v>
      </c>
      <c r="B45" s="91">
        <v>1.25841</v>
      </c>
      <c r="E45" s="99">
        <f>_xlfn.RANK.AVG(A45,$A$4:$A$53,1)</f>
        <v>42</v>
      </c>
      <c r="F45" s="99">
        <f>_xlfn.RANK.AVG(B45,$B$4:$B$53,1)</f>
        <v>13</v>
      </c>
      <c r="G45" s="99">
        <f t="shared" si="0"/>
        <v>29</v>
      </c>
      <c r="H45" s="99">
        <f t="shared" si="1"/>
        <v>841</v>
      </c>
      <c r="T45" s="99">
        <v>42</v>
      </c>
      <c r="U45" s="99">
        <v>5</v>
      </c>
      <c r="V45" s="99">
        <f>COUNTIF(U45:$U$53,"&gt;"&amp;U45)</f>
        <v>7</v>
      </c>
      <c r="W45" s="99">
        <f>COUNTIF(U45:$U$53,"&lt;"&amp;U45)</f>
        <v>1</v>
      </c>
      <c r="X45" s="99">
        <f t="shared" si="2"/>
        <v>6</v>
      </c>
    </row>
    <row r="46" spans="1:24" x14ac:dyDescent="0.25">
      <c r="A46" s="91">
        <v>1.7030099999999999</v>
      </c>
      <c r="B46" s="91">
        <v>1.5901099999999999</v>
      </c>
      <c r="E46" s="99">
        <f>_xlfn.RANK.AVG(A46,$A$4:$A$53,1)</f>
        <v>37</v>
      </c>
      <c r="F46" s="99">
        <f>_xlfn.RANK.AVG(B46,$B$4:$B$53,1)</f>
        <v>16</v>
      </c>
      <c r="G46" s="99">
        <f t="shared" si="0"/>
        <v>21</v>
      </c>
      <c r="H46" s="99">
        <f t="shared" si="1"/>
        <v>441</v>
      </c>
      <c r="T46" s="99">
        <v>43</v>
      </c>
      <c r="U46" s="99">
        <v>13</v>
      </c>
      <c r="V46" s="99">
        <f>COUNTIF(U46:$U$53,"&gt;"&amp;U46)</f>
        <v>6</v>
      </c>
      <c r="W46" s="99">
        <f>COUNTIF(U46:$U$53,"&lt;"&amp;U46)</f>
        <v>1</v>
      </c>
      <c r="X46" s="99">
        <f t="shared" si="2"/>
        <v>5</v>
      </c>
    </row>
    <row r="47" spans="1:24" x14ac:dyDescent="0.25">
      <c r="A47" s="69">
        <v>2.1029599999999999</v>
      </c>
      <c r="B47" s="91">
        <v>-0.13830100000000001</v>
      </c>
      <c r="E47" s="99">
        <f>_xlfn.RANK.AVG(A47,$A$4:$A$53,1)</f>
        <v>47</v>
      </c>
      <c r="F47" s="99">
        <f>_xlfn.RANK.AVG(B47,$B$4:$B$53,1)</f>
        <v>7</v>
      </c>
      <c r="G47" s="99">
        <f t="shared" si="0"/>
        <v>40</v>
      </c>
      <c r="H47" s="99">
        <f t="shared" si="1"/>
        <v>1600</v>
      </c>
      <c r="T47" s="99">
        <v>44</v>
      </c>
      <c r="U47" s="99">
        <v>1</v>
      </c>
      <c r="V47" s="99">
        <f>COUNTIF(U47:$U$53,"&gt;"&amp;U47)</f>
        <v>6</v>
      </c>
      <c r="W47" s="99">
        <f>COUNTIF(U47:$U$53,"&lt;"&amp;U47)</f>
        <v>0</v>
      </c>
      <c r="X47" s="99">
        <f t="shared" si="2"/>
        <v>6</v>
      </c>
    </row>
    <row r="48" spans="1:24" x14ac:dyDescent="0.25">
      <c r="A48" s="91">
        <v>1.5667199999999999</v>
      </c>
      <c r="B48" s="91">
        <v>3.7054800000000001</v>
      </c>
      <c r="E48" s="99">
        <f>_xlfn.RANK.AVG(A48,$A$4:$A$53,1)</f>
        <v>27</v>
      </c>
      <c r="F48" s="99">
        <f>_xlfn.RANK.AVG(B48,$B$4:$B$53,1)</f>
        <v>34</v>
      </c>
      <c r="G48" s="99">
        <f t="shared" si="0"/>
        <v>-7</v>
      </c>
      <c r="H48" s="99">
        <f t="shared" si="1"/>
        <v>49</v>
      </c>
      <c r="T48" s="99">
        <v>45</v>
      </c>
      <c r="U48" s="99">
        <v>21</v>
      </c>
      <c r="V48" s="99">
        <f>COUNTIF(U48:$U$53,"&gt;"&amp;U48)</f>
        <v>3</v>
      </c>
      <c r="W48" s="99">
        <f>COUNTIF(U48:$U$53,"&lt;"&amp;U48)</f>
        <v>2</v>
      </c>
      <c r="X48" s="99">
        <f t="shared" si="2"/>
        <v>1</v>
      </c>
    </row>
    <row r="49" spans="1:24" x14ac:dyDescent="0.25">
      <c r="A49" s="91">
        <v>1.63835</v>
      </c>
      <c r="B49" s="91">
        <v>-0.60269700000000004</v>
      </c>
      <c r="E49" s="99">
        <f>_xlfn.RANK.AVG(A49,$A$4:$A$53,1)</f>
        <v>34</v>
      </c>
      <c r="F49" s="99">
        <f>_xlfn.RANK.AVG(B49,$B$4:$B$53,1)</f>
        <v>4</v>
      </c>
      <c r="G49" s="99">
        <f t="shared" si="0"/>
        <v>30</v>
      </c>
      <c r="H49" s="99">
        <f t="shared" si="1"/>
        <v>900</v>
      </c>
      <c r="T49" s="99">
        <v>46</v>
      </c>
      <c r="U49" s="99">
        <v>42</v>
      </c>
      <c r="V49" s="99">
        <f>COUNTIF(U49:$U$53,"&gt;"&amp;U49)</f>
        <v>0</v>
      </c>
      <c r="W49" s="99">
        <f>COUNTIF(U49:$U$53,"&lt;"&amp;U49)</f>
        <v>4</v>
      </c>
      <c r="X49" s="99">
        <f t="shared" si="2"/>
        <v>-4</v>
      </c>
    </row>
    <row r="50" spans="1:24" x14ac:dyDescent="0.25">
      <c r="A50" s="91">
        <v>1.60833</v>
      </c>
      <c r="B50" s="91">
        <v>4.6064499999999997</v>
      </c>
      <c r="E50" s="99">
        <f>_xlfn.RANK.AVG(A50,$A$4:$A$53,1)</f>
        <v>30</v>
      </c>
      <c r="F50" s="99">
        <f>_xlfn.RANK.AVG(B50,$B$4:$B$53,1)</f>
        <v>42</v>
      </c>
      <c r="G50" s="99">
        <f t="shared" si="0"/>
        <v>-12</v>
      </c>
      <c r="H50" s="99">
        <f t="shared" si="1"/>
        <v>144</v>
      </c>
      <c r="T50" s="99">
        <v>47</v>
      </c>
      <c r="U50" s="99">
        <v>17</v>
      </c>
      <c r="V50" s="99">
        <f>COUNTIF(U50:$U$53,"&gt;"&amp;U50)</f>
        <v>3</v>
      </c>
      <c r="W50" s="99">
        <f>COUNTIF(U50:$U$53,"&lt;"&amp;U50)</f>
        <v>0</v>
      </c>
      <c r="X50" s="99">
        <f t="shared" si="2"/>
        <v>3</v>
      </c>
    </row>
    <row r="51" spans="1:24" x14ac:dyDescent="0.25">
      <c r="A51" s="91">
        <v>1.28857</v>
      </c>
      <c r="B51" s="91">
        <v>-0.73702800000000002</v>
      </c>
      <c r="E51" s="99">
        <f>_xlfn.RANK.AVG(A51,$A$4:$A$53,1)</f>
        <v>15</v>
      </c>
      <c r="F51" s="99">
        <f>_xlfn.RANK.AVG(B51,$B$4:$B$53,1)</f>
        <v>3</v>
      </c>
      <c r="G51" s="99">
        <f t="shared" si="0"/>
        <v>12</v>
      </c>
      <c r="H51" s="99">
        <f t="shared" si="1"/>
        <v>144</v>
      </c>
      <c r="T51" s="99">
        <v>48</v>
      </c>
      <c r="U51" s="99">
        <v>30</v>
      </c>
      <c r="V51" s="99">
        <f>COUNTIF(U51:$U$53,"&gt;"&amp;U51)</f>
        <v>0</v>
      </c>
      <c r="W51" s="99">
        <f>COUNTIF(U51:$U$53,"&lt;"&amp;U51)</f>
        <v>2</v>
      </c>
      <c r="X51" s="99">
        <f t="shared" si="2"/>
        <v>-2</v>
      </c>
    </row>
    <row r="52" spans="1:24" x14ac:dyDescent="0.25">
      <c r="A52" s="91">
        <v>1.6846699999999999</v>
      </c>
      <c r="B52" s="91">
        <v>0.42441400000000001</v>
      </c>
      <c r="E52" s="99">
        <f>_xlfn.RANK.AVG(A52,$A$4:$A$53,1)</f>
        <v>36</v>
      </c>
      <c r="F52" s="99">
        <f>_xlfn.RANK.AVG(B52,$B$4:$B$53,1)</f>
        <v>10</v>
      </c>
      <c r="G52" s="99">
        <f t="shared" si="0"/>
        <v>26</v>
      </c>
      <c r="H52" s="99">
        <f t="shared" si="1"/>
        <v>676</v>
      </c>
      <c r="T52" s="99">
        <v>49</v>
      </c>
      <c r="U52" s="99">
        <v>20</v>
      </c>
      <c r="V52" s="99">
        <f>COUNTIF(U52:$U$53,"&gt;"&amp;U52)</f>
        <v>1</v>
      </c>
      <c r="W52" s="99">
        <f>COUNTIF(U52:$U$53,"&lt;"&amp;U52)</f>
        <v>0</v>
      </c>
      <c r="X52" s="99">
        <f t="shared" si="2"/>
        <v>1</v>
      </c>
    </row>
    <row r="53" spans="1:24" x14ac:dyDescent="0.25">
      <c r="A53" s="91">
        <v>1.4887300000000001</v>
      </c>
      <c r="B53" s="91">
        <v>2.4750100000000002</v>
      </c>
      <c r="E53" s="99">
        <f>_xlfn.RANK.AVG(A53,$A$4:$A$53,1)</f>
        <v>26</v>
      </c>
      <c r="F53" s="99">
        <f>_xlfn.RANK.AVG(B53,$B$4:$B$53,1)</f>
        <v>23</v>
      </c>
      <c r="G53" s="99">
        <f t="shared" si="0"/>
        <v>3</v>
      </c>
      <c r="H53" s="99">
        <f t="shared" si="1"/>
        <v>9</v>
      </c>
      <c r="T53" s="99">
        <v>50</v>
      </c>
      <c r="U53" s="99">
        <v>23</v>
      </c>
      <c r="V53" s="99">
        <f>COUNTIF(U53:$U$53,"&gt;"&amp;U53)</f>
        <v>0</v>
      </c>
      <c r="W53" s="99">
        <f>COUNTIF(U53:$U$53,"&lt;"&amp;U53)</f>
        <v>0</v>
      </c>
      <c r="X53" s="99">
        <f t="shared" si="2"/>
        <v>0</v>
      </c>
    </row>
  </sheetData>
  <mergeCells count="9">
    <mergeCell ref="J28:J29"/>
    <mergeCell ref="K28:K29"/>
    <mergeCell ref="K24:K26"/>
    <mergeCell ref="J24:J26"/>
    <mergeCell ref="A1:C3"/>
    <mergeCell ref="J6:J8"/>
    <mergeCell ref="K6:Q8"/>
    <mergeCell ref="J13:J14"/>
    <mergeCell ref="K13:K1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9FF2-AF80-47DC-8571-B36D24C48515}">
  <dimension ref="A1:W52"/>
  <sheetViews>
    <sheetView tabSelected="1" zoomScale="55" zoomScaleNormal="55" workbookViewId="0">
      <selection activeCell="Q24" sqref="Q24"/>
    </sheetView>
  </sheetViews>
  <sheetFormatPr defaultRowHeight="15" x14ac:dyDescent="0.25"/>
  <cols>
    <col min="1" max="3" width="9.140625" style="1"/>
    <col min="4" max="4" width="12.140625" style="1" customWidth="1"/>
    <col min="5" max="16" width="9.140625" style="1"/>
    <col min="17" max="17" width="13.85546875" style="1" customWidth="1"/>
    <col min="18" max="16384" width="9.140625" style="1"/>
  </cols>
  <sheetData>
    <row r="1" spans="1:23" x14ac:dyDescent="0.25">
      <c r="A1" s="1" t="s">
        <v>108</v>
      </c>
      <c r="B1" s="1">
        <f>AVERAGE(B3:B52)</f>
        <v>1.5424106000000009</v>
      </c>
      <c r="C1" s="1">
        <f>AVERAGE(C3:C52)</f>
        <v>2.5221319599999994</v>
      </c>
      <c r="D1" s="149">
        <f>SUM(D3:D52)</f>
        <v>2.1421374229512034</v>
      </c>
      <c r="E1" s="149">
        <f t="shared" ref="E1:F1" si="0">SUM(E3:E52)</f>
        <v>8.2526706408819983</v>
      </c>
      <c r="F1" s="149">
        <f t="shared" si="0"/>
        <v>186.08257986986391</v>
      </c>
    </row>
    <row r="2" spans="1:23" x14ac:dyDescent="0.25">
      <c r="B2" s="1" t="s">
        <v>0</v>
      </c>
      <c r="C2" s="1" t="s">
        <v>1</v>
      </c>
      <c r="D2" s="1" t="s">
        <v>109</v>
      </c>
      <c r="E2" s="1" t="s">
        <v>110</v>
      </c>
      <c r="F2" s="1" t="s">
        <v>111</v>
      </c>
    </row>
    <row r="3" spans="1:23" x14ac:dyDescent="0.25">
      <c r="B3" s="91">
        <v>1.1511100000000001</v>
      </c>
      <c r="C3" s="91">
        <v>3.0167700000000002</v>
      </c>
      <c r="D3" s="1">
        <f>(B3-$B$1)*(C3-$C$1)</f>
        <v>-0.19355216183482468</v>
      </c>
      <c r="E3" s="1">
        <f>(B3-$B$1)^2</f>
        <v>0.15311615956036062</v>
      </c>
      <c r="F3" s="1">
        <f>(C3-$C$1)^2</f>
        <v>0.24466679061504237</v>
      </c>
      <c r="H3" s="98" t="s">
        <v>112</v>
      </c>
      <c r="R3" s="91">
        <v>3.0167700000000002</v>
      </c>
      <c r="S3" s="91">
        <v>1.1511100000000001</v>
      </c>
      <c r="T3" s="1">
        <f>$I$13+$I$12*B3</f>
        <v>3.0167700000000002</v>
      </c>
      <c r="V3" s="91">
        <v>3.0167700000000002</v>
      </c>
      <c r="W3" s="1">
        <f>$I$37+$I$36*V3</f>
        <v>1.5481047528704106</v>
      </c>
    </row>
    <row r="4" spans="1:23" x14ac:dyDescent="0.25">
      <c r="B4" s="91">
        <v>1.79654</v>
      </c>
      <c r="C4" s="91">
        <v>-0.17352000000000001</v>
      </c>
      <c r="D4" s="1">
        <f t="shared" ref="D4:D52" si="1">(B4-$B$1)*(C4-$C$1)</f>
        <v>-0.68504441520362158</v>
      </c>
      <c r="E4" s="1">
        <f t="shared" ref="E4:E52" si="2">(B4-$B$1)^2</f>
        <v>6.4581751944359583E-2</v>
      </c>
      <c r="F4" s="1">
        <f t="shared" ref="F4:F52" si="3">(C4-$C$1)^2</f>
        <v>7.266539489451838</v>
      </c>
      <c r="R4" s="91">
        <v>-0.17352000000000001</v>
      </c>
      <c r="S4" s="91">
        <v>1.79654</v>
      </c>
      <c r="T4" s="1">
        <f t="shared" ref="T4:T52" si="4">$I$13+$I$12*B4</f>
        <v>2.2008902641723531</v>
      </c>
      <c r="V4" s="91">
        <v>-0.17352000000000001</v>
      </c>
      <c r="W4" s="1">
        <f t="shared" ref="W4:W52" si="5">$I$37+$I$36*V4</f>
        <v>1.5113789099470893</v>
      </c>
    </row>
    <row r="5" spans="1:23" x14ac:dyDescent="0.25">
      <c r="B5" s="69">
        <v>2.8480599999999998</v>
      </c>
      <c r="C5" s="91">
        <v>3.1695199999999999</v>
      </c>
      <c r="D5" s="1">
        <f t="shared" si="1"/>
        <v>0.84526180599317602</v>
      </c>
      <c r="E5" s="1">
        <f t="shared" si="2"/>
        <v>1.7047203557203572</v>
      </c>
      <c r="F5" s="1">
        <f t="shared" si="3"/>
        <v>0.41911127433504225</v>
      </c>
      <c r="H5" s="1" t="s">
        <v>113</v>
      </c>
      <c r="R5" s="91">
        <v>3.1695199999999999</v>
      </c>
      <c r="S5" s="69">
        <v>2.8480599999999998</v>
      </c>
      <c r="T5" s="1">
        <f t="shared" si="4"/>
        <v>0.87167739861375271</v>
      </c>
      <c r="V5" s="91">
        <v>3.1695199999999999</v>
      </c>
      <c r="W5" s="1">
        <f t="shared" si="5"/>
        <v>1.5498631737370205</v>
      </c>
    </row>
    <row r="6" spans="1:23" x14ac:dyDescent="0.25">
      <c r="B6" s="91">
        <v>1.6140699999999999</v>
      </c>
      <c r="C6" s="91">
        <v>2.3263500000000001</v>
      </c>
      <c r="D6" s="1">
        <f t="shared" si="1"/>
        <v>-1.4029617784423758E-2</v>
      </c>
      <c r="E6" s="1">
        <f t="shared" si="2"/>
        <v>5.1350696083598624E-3</v>
      </c>
      <c r="F6" s="1">
        <f t="shared" si="3"/>
        <v>3.8330575861441306E-2</v>
      </c>
      <c r="R6" s="91">
        <v>2.3263500000000001</v>
      </c>
      <c r="S6" s="91">
        <v>1.6140699999999999</v>
      </c>
      <c r="T6" s="1">
        <f t="shared" si="4"/>
        <v>2.4315482369912043</v>
      </c>
      <c r="V6" s="91">
        <v>2.3263500000000001</v>
      </c>
      <c r="W6" s="1">
        <f t="shared" si="5"/>
        <v>1.5401568056709023</v>
      </c>
    </row>
    <row r="7" spans="1:23" x14ac:dyDescent="0.25">
      <c r="B7" s="91">
        <v>1.31524</v>
      </c>
      <c r="C7" s="91">
        <v>1.91276</v>
      </c>
      <c r="D7" s="1">
        <f t="shared" si="1"/>
        <v>0.13843139377637639</v>
      </c>
      <c r="E7" s="1">
        <f t="shared" si="2"/>
        <v>5.1606481504360403E-2</v>
      </c>
      <c r="F7" s="1">
        <f t="shared" si="3"/>
        <v>0.37133418563424087</v>
      </c>
      <c r="H7" s="1" t="s">
        <v>114</v>
      </c>
      <c r="R7" s="91">
        <v>1.91276</v>
      </c>
      <c r="S7" s="91">
        <v>1.31524</v>
      </c>
      <c r="T7" s="1">
        <f t="shared" si="4"/>
        <v>2.809295384563173</v>
      </c>
      <c r="V7" s="91">
        <v>1.91276</v>
      </c>
      <c r="W7" s="1">
        <f t="shared" si="5"/>
        <v>1.5353956581342656</v>
      </c>
    </row>
    <row r="8" spans="1:23" x14ac:dyDescent="0.25">
      <c r="B8" s="91">
        <v>1.0032000000000001</v>
      </c>
      <c r="C8" s="91">
        <v>-0.43187900000000001</v>
      </c>
      <c r="D8" s="1">
        <f t="shared" si="1"/>
        <v>1.5928340221481778</v>
      </c>
      <c r="E8" s="1">
        <f t="shared" si="2"/>
        <v>0.29074807115236084</v>
      </c>
      <c r="F8" s="1">
        <f t="shared" si="3"/>
        <v>8.7261807518001167</v>
      </c>
      <c r="R8" s="91">
        <v>-0.43187900000000001</v>
      </c>
      <c r="S8" s="91">
        <v>1.0032000000000001</v>
      </c>
      <c r="T8" s="1">
        <f t="shared" si="4"/>
        <v>3.203741122703109</v>
      </c>
      <c r="V8" s="91">
        <v>-0.43187900000000001</v>
      </c>
      <c r="W8" s="1">
        <f t="shared" si="5"/>
        <v>1.5084047439459338</v>
      </c>
    </row>
    <row r="9" spans="1:23" x14ac:dyDescent="0.25">
      <c r="B9" s="91">
        <v>1.0710900000000001</v>
      </c>
      <c r="C9" s="91">
        <v>3.9186800000000002</v>
      </c>
      <c r="D9" s="1">
        <f t="shared" si="1"/>
        <v>-0.65822186014162543</v>
      </c>
      <c r="E9" s="1">
        <f t="shared" si="2"/>
        <v>0.22214310798436071</v>
      </c>
      <c r="F9" s="1">
        <f t="shared" si="3"/>
        <v>1.9503464280278437</v>
      </c>
      <c r="R9" s="91">
        <v>3.9186800000000002</v>
      </c>
      <c r="S9" s="91">
        <v>1.0710900000000001</v>
      </c>
      <c r="T9" s="1">
        <f t="shared" si="4"/>
        <v>3.1179222496024801</v>
      </c>
      <c r="V9" s="91">
        <v>3.9186800000000002</v>
      </c>
      <c r="W9" s="1">
        <f t="shared" si="5"/>
        <v>1.5584873215368868</v>
      </c>
    </row>
    <row r="10" spans="1:23" x14ac:dyDescent="0.25">
      <c r="B10" s="91">
        <v>1.0472900000000001</v>
      </c>
      <c r="C10" s="91">
        <v>2.7407699999999999</v>
      </c>
      <c r="D10" s="1">
        <f t="shared" si="1"/>
        <v>-0.10825219754762444</v>
      </c>
      <c r="E10" s="1">
        <f t="shared" si="2"/>
        <v>0.24514440854436079</v>
      </c>
      <c r="F10" s="1">
        <f t="shared" si="3"/>
        <v>4.7802592535041835E-2</v>
      </c>
      <c r="R10" s="91">
        <v>2.7407699999999999</v>
      </c>
      <c r="S10" s="91">
        <v>1.0472900000000001</v>
      </c>
      <c r="T10" s="1">
        <f t="shared" si="4"/>
        <v>3.1480075225409827</v>
      </c>
      <c r="V10" s="91">
        <v>2.7407699999999999</v>
      </c>
      <c r="W10" s="1">
        <f t="shared" si="5"/>
        <v>1.5449275079657665</v>
      </c>
    </row>
    <row r="11" spans="1:23" x14ac:dyDescent="0.25">
      <c r="B11" s="91">
        <v>1.4408700000000001</v>
      </c>
      <c r="C11" s="91">
        <v>5.4681600000000001</v>
      </c>
      <c r="D11" s="1">
        <f t="shared" si="1"/>
        <v>-0.2991414547984263</v>
      </c>
      <c r="E11" s="1">
        <f t="shared" si="2"/>
        <v>1.0310493448360153E-2</v>
      </c>
      <c r="F11" s="1">
        <f t="shared" si="3"/>
        <v>8.6790812124662455</v>
      </c>
      <c r="R11" s="91">
        <v>5.4681600000000001</v>
      </c>
      <c r="S11" s="91">
        <v>1.4408700000000001</v>
      </c>
      <c r="T11" s="1">
        <f t="shared" si="4"/>
        <v>2.6504881224092172</v>
      </c>
      <c r="V11" s="91">
        <v>5.4681600000000001</v>
      </c>
      <c r="W11" s="1">
        <f t="shared" si="5"/>
        <v>1.5763245586196686</v>
      </c>
    </row>
    <row r="12" spans="1:23" x14ac:dyDescent="0.25">
      <c r="B12" s="69">
        <v>2.1596799999999998</v>
      </c>
      <c r="C12" s="91">
        <v>5.1539200000000003</v>
      </c>
      <c r="D12" s="1">
        <f t="shared" si="1"/>
        <v>1.6245222243779738</v>
      </c>
      <c r="E12" s="1">
        <f t="shared" si="2"/>
        <v>0.38102151217635871</v>
      </c>
      <c r="F12" s="1">
        <f t="shared" si="3"/>
        <v>6.9263082874870463</v>
      </c>
      <c r="H12" s="1" t="s">
        <v>115</v>
      </c>
      <c r="I12" s="1">
        <f>D3/E3</f>
        <v>-1.2640870982564294</v>
      </c>
      <c r="R12" s="91">
        <v>5.1539200000000003</v>
      </c>
      <c r="S12" s="69">
        <v>2.1596799999999998</v>
      </c>
      <c r="T12" s="1">
        <f t="shared" si="4"/>
        <v>1.7418496753115136</v>
      </c>
      <c r="V12" s="91">
        <v>5.1539200000000003</v>
      </c>
      <c r="W12" s="1">
        <f t="shared" si="5"/>
        <v>1.5727071041311347</v>
      </c>
    </row>
    <row r="13" spans="1:23" x14ac:dyDescent="0.25">
      <c r="B13" s="91">
        <v>1.98302</v>
      </c>
      <c r="C13" s="91">
        <v>1.16337</v>
      </c>
      <c r="D13" s="1">
        <f t="shared" si="1"/>
        <v>-0.59868329193842262</v>
      </c>
      <c r="E13" s="1">
        <f t="shared" si="2"/>
        <v>0.19413664336835926</v>
      </c>
      <c r="F13" s="1">
        <f t="shared" si="3"/>
        <v>1.8462340639430399</v>
      </c>
      <c r="H13" s="1" t="s">
        <v>27</v>
      </c>
      <c r="I13" s="1">
        <f>C1-I12*B1</f>
        <v>4.471873299673959</v>
      </c>
      <c r="R13" s="91">
        <v>1.16337</v>
      </c>
      <c r="S13" s="91">
        <v>1.98302</v>
      </c>
      <c r="T13" s="1">
        <f t="shared" si="4"/>
        <v>1.9651633020894943</v>
      </c>
      <c r="V13" s="91">
        <v>1.16337</v>
      </c>
      <c r="W13" s="1">
        <f t="shared" si="5"/>
        <v>1.5267688626303122</v>
      </c>
    </row>
    <row r="14" spans="1:23" x14ac:dyDescent="0.25">
      <c r="B14" s="91">
        <v>1.8041400000000001</v>
      </c>
      <c r="C14" s="91">
        <v>2.7423299999999999</v>
      </c>
      <c r="D14" s="1">
        <f t="shared" si="1"/>
        <v>5.7632300890375972E-2</v>
      </c>
      <c r="E14" s="1">
        <f t="shared" si="2"/>
        <v>6.8502278824359594E-2</v>
      </c>
      <c r="F14" s="1">
        <f t="shared" si="3"/>
        <v>4.848717681984184E-2</v>
      </c>
      <c r="R14" s="91">
        <v>2.7423299999999999</v>
      </c>
      <c r="S14" s="91">
        <v>1.8041400000000001</v>
      </c>
      <c r="T14" s="1">
        <f t="shared" si="4"/>
        <v>2.1912832022256041</v>
      </c>
      <c r="V14" s="91">
        <v>2.7423299999999999</v>
      </c>
      <c r="W14" s="1">
        <f t="shared" si="5"/>
        <v>1.5449454663065318</v>
      </c>
    </row>
    <row r="15" spans="1:23" x14ac:dyDescent="0.25">
      <c r="B15" s="91">
        <v>1.60971</v>
      </c>
      <c r="C15" s="91">
        <v>-3.0000000000000001E-3</v>
      </c>
      <c r="D15" s="1">
        <f t="shared" si="1"/>
        <v>-0.16993986582882176</v>
      </c>
      <c r="E15" s="1">
        <f t="shared" si="2"/>
        <v>4.5292092403598815E-3</v>
      </c>
      <c r="F15" s="1">
        <f t="shared" si="3"/>
        <v>6.3762914154134389</v>
      </c>
      <c r="R15" s="91">
        <v>-3.0000000000000001E-3</v>
      </c>
      <c r="S15" s="91">
        <v>1.60971</v>
      </c>
      <c r="T15" s="1">
        <f t="shared" si="4"/>
        <v>2.4370596567396019</v>
      </c>
      <c r="V15" s="91">
        <v>-3.0000000000000001E-3</v>
      </c>
      <c r="W15" s="1">
        <f t="shared" si="5"/>
        <v>1.513341894733828</v>
      </c>
    </row>
    <row r="16" spans="1:23" x14ac:dyDescent="0.25">
      <c r="B16" s="91">
        <v>1.35405</v>
      </c>
      <c r="C16" s="91">
        <v>1.63781</v>
      </c>
      <c r="D16" s="1">
        <f t="shared" si="1"/>
        <v>0.16657141497877667</v>
      </c>
      <c r="E16" s="1">
        <f t="shared" si="2"/>
        <v>3.5479715632360333E-2</v>
      </c>
      <c r="F16" s="1">
        <f t="shared" si="3"/>
        <v>0.7820253289382405</v>
      </c>
      <c r="R16" s="91">
        <v>1.63781</v>
      </c>
      <c r="S16" s="91">
        <v>1.35405</v>
      </c>
      <c r="T16" s="1">
        <f t="shared" si="4"/>
        <v>2.7602361642798408</v>
      </c>
      <c r="V16" s="91">
        <v>1.63781</v>
      </c>
      <c r="W16" s="1">
        <f t="shared" si="5"/>
        <v>1.5322305005743675</v>
      </c>
    </row>
    <row r="17" spans="2:23" x14ac:dyDescent="0.25">
      <c r="B17" s="91">
        <v>1.43868</v>
      </c>
      <c r="C17" s="91">
        <v>3.81745</v>
      </c>
      <c r="D17" s="1">
        <f t="shared" si="1"/>
        <v>-0.13436411748002522</v>
      </c>
      <c r="E17" s="1">
        <f t="shared" si="2"/>
        <v>1.0760037376360186E-2</v>
      </c>
      <c r="F17" s="1">
        <f t="shared" si="3"/>
        <v>1.6778488247494432</v>
      </c>
      <c r="R17" s="91">
        <v>3.81745</v>
      </c>
      <c r="S17" s="91">
        <v>1.43868</v>
      </c>
      <c r="T17" s="1">
        <f t="shared" si="4"/>
        <v>2.6532564731543991</v>
      </c>
      <c r="V17" s="91">
        <v>3.81745</v>
      </c>
      <c r="W17" s="1">
        <f t="shared" si="5"/>
        <v>1.5573219863858103</v>
      </c>
    </row>
    <row r="18" spans="2:23" x14ac:dyDescent="0.25">
      <c r="B18" s="91">
        <v>1.79559</v>
      </c>
      <c r="C18" s="91">
        <v>4.2461700000000002</v>
      </c>
      <c r="D18" s="1">
        <f t="shared" si="1"/>
        <v>0.43649091654437477</v>
      </c>
      <c r="E18" s="1">
        <f t="shared" si="2"/>
        <v>6.4099808584359583E-2</v>
      </c>
      <c r="F18" s="1">
        <f t="shared" si="3"/>
        <v>2.9723071633670446</v>
      </c>
      <c r="R18" s="91">
        <v>4.2461700000000002</v>
      </c>
      <c r="S18" s="91">
        <v>1.79559</v>
      </c>
      <c r="T18" s="1">
        <f t="shared" si="4"/>
        <v>2.2020911469156967</v>
      </c>
      <c r="V18" s="91">
        <v>4.2461700000000002</v>
      </c>
      <c r="W18" s="1">
        <f t="shared" si="5"/>
        <v>1.5622573068043573</v>
      </c>
    </row>
    <row r="19" spans="2:23" x14ac:dyDescent="0.25">
      <c r="B19" s="91">
        <v>1.09911</v>
      </c>
      <c r="C19" s="91">
        <v>4.3758400000000002</v>
      </c>
      <c r="D19" s="1">
        <f t="shared" si="1"/>
        <v>-0.82174988635682589</v>
      </c>
      <c r="E19" s="1">
        <f t="shared" si="2"/>
        <v>0.19651542196036073</v>
      </c>
      <c r="F19" s="1">
        <f t="shared" si="3"/>
        <v>3.4362334975606443</v>
      </c>
      <c r="R19" s="91">
        <v>4.3758400000000002</v>
      </c>
      <c r="S19" s="91">
        <v>1.09911</v>
      </c>
      <c r="T19" s="1">
        <f t="shared" si="4"/>
        <v>3.0825025291093349</v>
      </c>
      <c r="V19" s="91">
        <v>4.3758400000000002</v>
      </c>
      <c r="W19" s="1">
        <f t="shared" si="5"/>
        <v>1.563750036321695</v>
      </c>
    </row>
    <row r="20" spans="2:23" x14ac:dyDescent="0.25">
      <c r="B20" s="91">
        <v>1.4523900000000001</v>
      </c>
      <c r="C20" s="91">
        <v>5.0537799999999997</v>
      </c>
      <c r="D20" s="1">
        <f t="shared" si="1"/>
        <v>-0.227900475549626</v>
      </c>
      <c r="E20" s="1">
        <f t="shared" si="2"/>
        <v>8.1037084243601402E-3</v>
      </c>
      <c r="F20" s="1">
        <f t="shared" si="3"/>
        <v>6.4092417984358434</v>
      </c>
      <c r="R20" s="91">
        <v>5.0537799999999997</v>
      </c>
      <c r="S20" s="91">
        <v>1.4523900000000001</v>
      </c>
      <c r="T20" s="1">
        <f t="shared" si="4"/>
        <v>2.6359258390373035</v>
      </c>
      <c r="V20" s="91">
        <v>5.0537799999999997</v>
      </c>
      <c r="W20" s="1">
        <f t="shared" si="5"/>
        <v>1.5715543167950803</v>
      </c>
    </row>
    <row r="21" spans="2:23" x14ac:dyDescent="0.25">
      <c r="B21" s="91">
        <v>1.43075</v>
      </c>
      <c r="C21" s="91">
        <v>5.10623</v>
      </c>
      <c r="D21" s="1">
        <f t="shared" si="1"/>
        <v>-0.28854193760522634</v>
      </c>
      <c r="E21" s="1">
        <f t="shared" si="2"/>
        <v>1.2468089592360197E-2</v>
      </c>
      <c r="F21" s="1">
        <f t="shared" si="3"/>
        <v>6.6775626803318451</v>
      </c>
      <c r="R21" s="91">
        <v>5.10623</v>
      </c>
      <c r="S21" s="91">
        <v>1.43075</v>
      </c>
      <c r="T21" s="1">
        <f t="shared" si="4"/>
        <v>2.6632806838435727</v>
      </c>
      <c r="V21" s="91">
        <v>5.10623</v>
      </c>
      <c r="W21" s="1">
        <f t="shared" si="5"/>
        <v>1.5721581084445315</v>
      </c>
    </row>
    <row r="22" spans="2:23" x14ac:dyDescent="0.25">
      <c r="B22" s="91">
        <v>1.2312099999999999</v>
      </c>
      <c r="C22" s="91">
        <v>-1.6568700000000001</v>
      </c>
      <c r="D22" s="1">
        <f t="shared" si="1"/>
        <v>1.3005079173531797</v>
      </c>
      <c r="E22" s="1">
        <f t="shared" si="2"/>
        <v>9.6845813440360584E-2</v>
      </c>
      <c r="F22" s="1">
        <f t="shared" si="3"/>
        <v>17.464057381683833</v>
      </c>
      <c r="R22" s="91">
        <v>-1.6568700000000001</v>
      </c>
      <c r="S22" s="91">
        <v>1.2312099999999999</v>
      </c>
      <c r="T22" s="1">
        <f t="shared" si="4"/>
        <v>2.9155166234296606</v>
      </c>
      <c r="V22" s="91">
        <v>-1.6568700000000001</v>
      </c>
      <c r="W22" s="1">
        <f t="shared" si="5"/>
        <v>1.4943029453481631</v>
      </c>
    </row>
    <row r="23" spans="2:23" x14ac:dyDescent="0.25">
      <c r="B23" s="91">
        <v>1.0301</v>
      </c>
      <c r="C23" s="91">
        <v>2.9357099999999998</v>
      </c>
      <c r="D23" s="1">
        <f t="shared" si="1"/>
        <v>-0.21188041381922457</v>
      </c>
      <c r="E23" s="1">
        <f t="shared" si="2"/>
        <v>0.26246215087236086</v>
      </c>
      <c r="F23" s="1">
        <f t="shared" si="3"/>
        <v>0.17104679517024196</v>
      </c>
      <c r="R23" s="91">
        <v>2.9357099999999998</v>
      </c>
      <c r="S23" s="91">
        <v>1.0301</v>
      </c>
      <c r="T23" s="1">
        <f t="shared" si="4"/>
        <v>3.1697371797600109</v>
      </c>
      <c r="V23" s="91">
        <v>2.9357099999999998</v>
      </c>
      <c r="W23" s="1">
        <f t="shared" si="5"/>
        <v>1.5471716098560249</v>
      </c>
    </row>
    <row r="24" spans="2:23" x14ac:dyDescent="0.25">
      <c r="B24" s="91">
        <v>1.6012599999999999</v>
      </c>
      <c r="C24" s="91">
        <v>1.49274</v>
      </c>
      <c r="D24" s="1">
        <f t="shared" si="1"/>
        <v>-6.0579099210822988E-2</v>
      </c>
      <c r="E24" s="1">
        <f t="shared" si="2"/>
        <v>3.4632518803598884E-3</v>
      </c>
      <c r="F24" s="1">
        <f t="shared" si="3"/>
        <v>1.0596478073126405</v>
      </c>
      <c r="R24" s="91">
        <v>1.49274</v>
      </c>
      <c r="S24" s="91">
        <v>1.6012599999999999</v>
      </c>
      <c r="T24" s="1">
        <f t="shared" si="4"/>
        <v>2.4477411927198691</v>
      </c>
      <c r="V24" s="91">
        <v>1.49274</v>
      </c>
      <c r="W24" s="1">
        <f t="shared" si="5"/>
        <v>1.5305604900007563</v>
      </c>
    </row>
    <row r="25" spans="2:23" x14ac:dyDescent="0.25">
      <c r="B25" s="69">
        <v>2.9899100000000001</v>
      </c>
      <c r="C25" s="91">
        <v>3.99708</v>
      </c>
      <c r="D25" s="1">
        <f t="shared" si="1"/>
        <v>2.1349864029311756</v>
      </c>
      <c r="E25" s="1">
        <f t="shared" si="2"/>
        <v>2.0952545130003579</v>
      </c>
      <c r="F25" s="1">
        <f t="shared" si="3"/>
        <v>2.1754717206998433</v>
      </c>
      <c r="R25" s="91">
        <v>3.99708</v>
      </c>
      <c r="S25" s="69">
        <v>2.9899100000000001</v>
      </c>
      <c r="T25" s="1">
        <f t="shared" si="4"/>
        <v>0.69236664372607803</v>
      </c>
      <c r="V25" s="91">
        <v>3.99708</v>
      </c>
      <c r="W25" s="1">
        <f t="shared" si="5"/>
        <v>1.5593898432779161</v>
      </c>
    </row>
    <row r="26" spans="2:23" x14ac:dyDescent="0.25">
      <c r="B26" s="91">
        <v>1.8061400000000001</v>
      </c>
      <c r="C26" s="91">
        <v>4.6470500000000001</v>
      </c>
      <c r="D26" s="1">
        <f t="shared" si="1"/>
        <v>0.56040335973837452</v>
      </c>
      <c r="E26" s="1">
        <f t="shared" si="2"/>
        <v>6.9553196424359587E-2</v>
      </c>
      <c r="F26" s="1">
        <f t="shared" si="3"/>
        <v>4.5152766767174448</v>
      </c>
      <c r="R26" s="91">
        <v>4.6470500000000001</v>
      </c>
      <c r="S26" s="91">
        <v>1.8061400000000001</v>
      </c>
      <c r="T26" s="1">
        <f t="shared" si="4"/>
        <v>2.1887550280290915</v>
      </c>
      <c r="V26" s="91">
        <v>4.6470500000000001</v>
      </c>
      <c r="W26" s="1">
        <f t="shared" si="5"/>
        <v>1.5668721399107837</v>
      </c>
    </row>
    <row r="27" spans="2:23" x14ac:dyDescent="0.25">
      <c r="B27" s="91">
        <v>1.1653800000000001</v>
      </c>
      <c r="C27" s="91">
        <v>5.2593199999999998</v>
      </c>
      <c r="D27" s="1">
        <f t="shared" si="1"/>
        <v>-1.0320036490340263</v>
      </c>
      <c r="E27" s="1">
        <f t="shared" si="2"/>
        <v>0.14215207333636057</v>
      </c>
      <c r="F27" s="1">
        <f t="shared" si="3"/>
        <v>7.4921983663190437</v>
      </c>
      <c r="R27" s="91">
        <v>5.2593199999999998</v>
      </c>
      <c r="S27" s="91">
        <v>1.1653800000000001</v>
      </c>
      <c r="T27" s="1">
        <f t="shared" si="4"/>
        <v>2.9987314771078815</v>
      </c>
      <c r="V27" s="91">
        <v>5.2593199999999998</v>
      </c>
      <c r="W27" s="1">
        <f t="shared" si="5"/>
        <v>1.5739204433084879</v>
      </c>
    </row>
    <row r="28" spans="2:23" x14ac:dyDescent="0.25">
      <c r="B28" s="91">
        <v>1.83894</v>
      </c>
      <c r="C28" s="91">
        <v>2.8339300000000001</v>
      </c>
      <c r="D28" s="1">
        <f t="shared" si="1"/>
        <v>9.2457285722375937E-2</v>
      </c>
      <c r="E28" s="1">
        <f t="shared" si="2"/>
        <v>8.7929685064359511E-2</v>
      </c>
      <c r="F28" s="1">
        <f t="shared" si="3"/>
        <v>9.7218017747842014E-2</v>
      </c>
      <c r="R28" s="91">
        <v>2.8339300000000001</v>
      </c>
      <c r="S28" s="91">
        <v>1.83894</v>
      </c>
      <c r="T28" s="1">
        <f t="shared" si="4"/>
        <v>2.1472929712062805</v>
      </c>
      <c r="V28" s="91">
        <v>2.8339300000000001</v>
      </c>
      <c r="W28" s="1">
        <f t="shared" si="5"/>
        <v>1.5459999432386529</v>
      </c>
    </row>
    <row r="29" spans="2:23" x14ac:dyDescent="0.25">
      <c r="B29" s="91">
        <v>1.38235</v>
      </c>
      <c r="C29" s="91">
        <v>1.0916300000000001</v>
      </c>
      <c r="D29" s="1">
        <f t="shared" si="1"/>
        <v>0.22896700201877715</v>
      </c>
      <c r="E29" s="1">
        <f t="shared" si="2"/>
        <v>2.5619395672360285E-2</v>
      </c>
      <c r="F29" s="1">
        <f t="shared" si="3"/>
        <v>2.0463358575638395</v>
      </c>
      <c r="R29" s="91">
        <v>1.0916300000000001</v>
      </c>
      <c r="S29" s="91">
        <v>1.38235</v>
      </c>
      <c r="T29" s="1">
        <f t="shared" si="4"/>
        <v>2.7244624993991837</v>
      </c>
      <c r="V29" s="91">
        <v>1.0916300000000001</v>
      </c>
      <c r="W29" s="1">
        <f t="shared" si="5"/>
        <v>1.5259430091902426</v>
      </c>
    </row>
    <row r="30" spans="2:23" x14ac:dyDescent="0.25">
      <c r="B30" s="91">
        <v>1.16568</v>
      </c>
      <c r="C30" s="91">
        <v>-0.74036199999999996</v>
      </c>
      <c r="D30" s="1">
        <f t="shared" si="1"/>
        <v>1.2290813070471784</v>
      </c>
      <c r="E30" s="1">
        <f t="shared" si="2"/>
        <v>0.1419259449763606</v>
      </c>
      <c r="F30" s="1">
        <f t="shared" si="3"/>
        <v>10.643866839036479</v>
      </c>
      <c r="R30" s="91">
        <v>-0.74036199999999996</v>
      </c>
      <c r="S30" s="91">
        <v>1.16568</v>
      </c>
      <c r="T30" s="1">
        <f t="shared" si="4"/>
        <v>2.998352250978404</v>
      </c>
      <c r="V30" s="91">
        <v>-0.74036199999999996</v>
      </c>
      <c r="W30" s="1">
        <f t="shared" si="5"/>
        <v>1.5048535626418784</v>
      </c>
    </row>
    <row r="31" spans="2:23" x14ac:dyDescent="0.25">
      <c r="B31" s="91">
        <v>1.19563</v>
      </c>
      <c r="C31" s="91">
        <v>2.7600500000000001</v>
      </c>
      <c r="D31" s="1">
        <f t="shared" si="1"/>
        <v>-8.2505360662024463E-2</v>
      </c>
      <c r="E31" s="1">
        <f t="shared" si="2"/>
        <v>0.12025678453636061</v>
      </c>
      <c r="F31" s="1">
        <f t="shared" si="3"/>
        <v>5.6604993757441942E-2</v>
      </c>
      <c r="R31" s="91">
        <v>2.7600500000000001</v>
      </c>
      <c r="S31" s="91">
        <v>1.19563</v>
      </c>
      <c r="T31" s="1">
        <f t="shared" si="4"/>
        <v>2.9604928423856243</v>
      </c>
      <c r="V31" s="91">
        <v>2.7600500000000001</v>
      </c>
      <c r="W31" s="1">
        <f t="shared" si="5"/>
        <v>1.5451494546388156</v>
      </c>
    </row>
    <row r="32" spans="2:23" x14ac:dyDescent="0.25">
      <c r="B32" s="91">
        <v>1.46665</v>
      </c>
      <c r="C32" s="91">
        <v>1.9047400000000001</v>
      </c>
      <c r="D32" s="1">
        <f t="shared" si="1"/>
        <v>4.6773985324776467E-2</v>
      </c>
      <c r="E32" s="1">
        <f t="shared" si="2"/>
        <v>5.7396685123601281E-3</v>
      </c>
      <c r="F32" s="1">
        <f t="shared" si="3"/>
        <v>0.3811728322726407</v>
      </c>
      <c r="R32" s="91">
        <v>1.9047400000000001</v>
      </c>
      <c r="S32" s="91">
        <v>1.46665</v>
      </c>
      <c r="T32" s="1">
        <f t="shared" si="4"/>
        <v>2.6178999570161667</v>
      </c>
      <c r="V32" s="91">
        <v>1.9047400000000001</v>
      </c>
      <c r="W32" s="1">
        <f t="shared" si="5"/>
        <v>1.5353033338439206</v>
      </c>
    </row>
    <row r="33" spans="2:23" x14ac:dyDescent="0.25">
      <c r="B33" s="91">
        <v>1.59293</v>
      </c>
      <c r="C33" s="91">
        <v>3.0217100000000001</v>
      </c>
      <c r="D33" s="1">
        <f t="shared" si="1"/>
        <v>2.523838283397559E-2</v>
      </c>
      <c r="E33" s="1">
        <f t="shared" si="2"/>
        <v>2.5522097763599092E-3</v>
      </c>
      <c r="F33" s="1">
        <f t="shared" si="3"/>
        <v>0.24957821805024233</v>
      </c>
      <c r="R33" s="91">
        <v>3.0217100000000001</v>
      </c>
      <c r="S33" s="91">
        <v>1.59293</v>
      </c>
      <c r="T33" s="1">
        <f t="shared" si="4"/>
        <v>2.4582710382483448</v>
      </c>
      <c r="V33" s="91">
        <v>3.0217100000000001</v>
      </c>
      <c r="W33" s="1">
        <f t="shared" si="5"/>
        <v>1.5481616209495008</v>
      </c>
    </row>
    <row r="34" spans="2:23" x14ac:dyDescent="0.25">
      <c r="B34" s="91">
        <v>1.7760800000000001</v>
      </c>
      <c r="C34" s="91">
        <v>3.7261500000000001</v>
      </c>
      <c r="D34" s="1">
        <f t="shared" si="1"/>
        <v>0.28134217299597525</v>
      </c>
      <c r="E34" s="1">
        <f t="shared" si="2"/>
        <v>5.4601388496359649E-2</v>
      </c>
      <c r="F34" s="1">
        <f t="shared" si="3"/>
        <v>1.4496594406454433</v>
      </c>
      <c r="H34" s="1" t="s">
        <v>116</v>
      </c>
      <c r="R34" s="91">
        <v>3.7261500000000001</v>
      </c>
      <c r="S34" s="91">
        <v>1.7760800000000001</v>
      </c>
      <c r="T34" s="1">
        <f t="shared" si="4"/>
        <v>2.2267534862026799</v>
      </c>
      <c r="V34" s="91">
        <v>3.7261500000000001</v>
      </c>
      <c r="W34" s="1">
        <f t="shared" si="5"/>
        <v>1.5562709629807596</v>
      </c>
    </row>
    <row r="35" spans="2:23" x14ac:dyDescent="0.25">
      <c r="B35" s="91">
        <v>1.2785299999999999</v>
      </c>
      <c r="C35" s="91">
        <v>1.72692</v>
      </c>
      <c r="D35" s="1">
        <f t="shared" si="1"/>
        <v>0.20984100913197656</v>
      </c>
      <c r="E35" s="1">
        <f t="shared" si="2"/>
        <v>6.9632971056360474E-2</v>
      </c>
      <c r="F35" s="1">
        <f t="shared" si="3"/>
        <v>0.63236206132704065</v>
      </c>
      <c r="R35" s="91">
        <v>1.72692</v>
      </c>
      <c r="S35" s="91">
        <v>1.2785299999999999</v>
      </c>
      <c r="T35" s="1">
        <f t="shared" si="4"/>
        <v>2.8557000219401663</v>
      </c>
      <c r="V35" s="91">
        <v>1.72692</v>
      </c>
      <c r="W35" s="1">
        <f t="shared" si="5"/>
        <v>1.5332563132318053</v>
      </c>
    </row>
    <row r="36" spans="2:23" x14ac:dyDescent="0.25">
      <c r="B36" s="91">
        <v>1.64323</v>
      </c>
      <c r="C36" s="91">
        <v>3.8111799999999998</v>
      </c>
      <c r="D36" s="1">
        <f t="shared" si="1"/>
        <v>0.1299610499639749</v>
      </c>
      <c r="E36" s="1">
        <f t="shared" si="2"/>
        <v>1.0164551416359822E-2</v>
      </c>
      <c r="F36" s="1">
        <f t="shared" si="3"/>
        <v>1.6616448494278426</v>
      </c>
      <c r="H36" s="1" t="s">
        <v>115</v>
      </c>
      <c r="I36" s="1">
        <f>D1/F1</f>
        <v>1.1511756900883997E-2</v>
      </c>
      <c r="R36" s="91">
        <v>3.8111799999999998</v>
      </c>
      <c r="S36" s="91">
        <v>1.64323</v>
      </c>
      <c r="T36" s="1">
        <f t="shared" si="4"/>
        <v>2.3946874572060466</v>
      </c>
      <c r="V36" s="91">
        <v>3.8111799999999998</v>
      </c>
      <c r="W36" s="1">
        <f t="shared" si="5"/>
        <v>1.5572498076700418</v>
      </c>
    </row>
    <row r="37" spans="2:23" x14ac:dyDescent="0.25">
      <c r="B37" s="91">
        <v>1.33144</v>
      </c>
      <c r="C37" s="91">
        <v>0.27818100000000001</v>
      </c>
      <c r="D37" s="1">
        <f t="shared" si="1"/>
        <v>0.47340768040177789</v>
      </c>
      <c r="E37" s="1">
        <f t="shared" si="2"/>
        <v>4.4508594064360377E-2</v>
      </c>
      <c r="F37" s="1">
        <f t="shared" si="3"/>
        <v>5.0353159108849193</v>
      </c>
      <c r="H37" s="1" t="s">
        <v>27</v>
      </c>
      <c r="I37" s="1">
        <f>B1-I36*C1</f>
        <v>1.5133764300045307</v>
      </c>
      <c r="R37" s="91">
        <v>0.27818100000000001</v>
      </c>
      <c r="S37" s="91">
        <v>1.33144</v>
      </c>
      <c r="T37" s="1">
        <f t="shared" si="4"/>
        <v>2.7888171735714185</v>
      </c>
      <c r="V37" s="91">
        <v>0.27818100000000001</v>
      </c>
      <c r="W37" s="1">
        <f t="shared" si="5"/>
        <v>1.5165787820509755</v>
      </c>
    </row>
    <row r="38" spans="2:23" x14ac:dyDescent="0.25">
      <c r="B38" s="91">
        <v>1.39706</v>
      </c>
      <c r="C38" s="91">
        <v>5.4249200000000002</v>
      </c>
      <c r="D38" s="1">
        <f t="shared" si="1"/>
        <v>-0.42192198328682667</v>
      </c>
      <c r="E38" s="1">
        <f t="shared" si="2"/>
        <v>2.1126796920360257E-2</v>
      </c>
      <c r="F38" s="1">
        <f t="shared" si="3"/>
        <v>8.4261784051670467</v>
      </c>
      <c r="R38" s="91">
        <v>5.4249200000000002</v>
      </c>
      <c r="S38" s="91">
        <v>1.39706</v>
      </c>
      <c r="T38" s="1">
        <f t="shared" si="4"/>
        <v>2.7058677781838316</v>
      </c>
      <c r="V38" s="91">
        <v>5.4249200000000002</v>
      </c>
      <c r="W38" s="1">
        <f t="shared" si="5"/>
        <v>1.5758267902512744</v>
      </c>
    </row>
    <row r="39" spans="2:23" x14ac:dyDescent="0.25">
      <c r="B39" s="91">
        <v>1.1195900000000001</v>
      </c>
      <c r="C39" s="91">
        <v>6.4695099999999996</v>
      </c>
      <c r="D39" s="1">
        <f t="shared" si="1"/>
        <v>-1.6690327512996272</v>
      </c>
      <c r="E39" s="1">
        <f t="shared" si="2"/>
        <v>0.17877725978436065</v>
      </c>
      <c r="F39" s="1">
        <f t="shared" si="3"/>
        <v>15.581793390674244</v>
      </c>
      <c r="R39" s="91">
        <v>6.4695099999999996</v>
      </c>
      <c r="S39" s="91">
        <v>1.1195900000000001</v>
      </c>
      <c r="T39" s="1">
        <f t="shared" si="4"/>
        <v>3.0566140253370433</v>
      </c>
      <c r="V39" s="91">
        <v>6.4695099999999996</v>
      </c>
      <c r="W39" s="1">
        <f t="shared" si="5"/>
        <v>1.5878518563923687</v>
      </c>
    </row>
    <row r="40" spans="2:23" x14ac:dyDescent="0.25">
      <c r="B40" s="91">
        <v>1.2020200000000001</v>
      </c>
      <c r="C40" s="91">
        <v>3.1700400000000002</v>
      </c>
      <c r="D40" s="1">
        <f t="shared" si="1"/>
        <v>-0.22054180648042476</v>
      </c>
      <c r="E40" s="1">
        <f t="shared" si="2"/>
        <v>0.11586576056836052</v>
      </c>
      <c r="F40" s="1">
        <f t="shared" si="3"/>
        <v>0.41978482829664265</v>
      </c>
      <c r="R40" s="91">
        <v>3.1700400000000002</v>
      </c>
      <c r="S40" s="91">
        <v>1.2020200000000001</v>
      </c>
      <c r="T40" s="1">
        <f t="shared" si="4"/>
        <v>2.9524153258277659</v>
      </c>
      <c r="V40" s="91">
        <v>3.1700400000000002</v>
      </c>
      <c r="W40" s="1">
        <f t="shared" si="5"/>
        <v>1.5498691598506089</v>
      </c>
    </row>
    <row r="41" spans="2:23" x14ac:dyDescent="0.25">
      <c r="B41" s="91">
        <v>1.96417</v>
      </c>
      <c r="C41" s="91">
        <v>1.5833200000000001</v>
      </c>
      <c r="D41" s="1">
        <f t="shared" si="1"/>
        <v>-0.39595276896242287</v>
      </c>
      <c r="E41" s="1">
        <f t="shared" si="2"/>
        <v>0.17788099148835926</v>
      </c>
      <c r="F41" s="1">
        <f t="shared" si="3"/>
        <v>0.88136789623904033</v>
      </c>
      <c r="R41" s="91">
        <v>1.5833200000000001</v>
      </c>
      <c r="S41" s="91">
        <v>1.96417</v>
      </c>
      <c r="T41" s="1">
        <f t="shared" si="4"/>
        <v>1.988991343891628</v>
      </c>
      <c r="V41" s="91">
        <v>1.5833200000000001</v>
      </c>
      <c r="W41" s="1">
        <f t="shared" si="5"/>
        <v>1.5316032249408384</v>
      </c>
    </row>
    <row r="42" spans="2:23" x14ac:dyDescent="0.25">
      <c r="B42" s="91">
        <v>1.6327499999999999</v>
      </c>
      <c r="C42" s="91">
        <v>2.7949199999999998</v>
      </c>
      <c r="D42" s="1">
        <f t="shared" si="1"/>
        <v>2.4643507860775786E-2</v>
      </c>
      <c r="E42" s="1">
        <f t="shared" si="2"/>
        <v>8.1612071923598314E-3</v>
      </c>
      <c r="F42" s="1">
        <f t="shared" si="3"/>
        <v>7.4413314767041841E-2</v>
      </c>
      <c r="R42" s="91">
        <v>2.7949199999999998</v>
      </c>
      <c r="S42" s="91">
        <v>1.6327499999999999</v>
      </c>
      <c r="T42" s="1">
        <f t="shared" si="4"/>
        <v>2.4079350899957741</v>
      </c>
      <c r="V42" s="91">
        <v>2.7949199999999998</v>
      </c>
      <c r="W42" s="1">
        <f t="shared" si="5"/>
        <v>1.5455508696019493</v>
      </c>
    </row>
    <row r="43" spans="2:23" x14ac:dyDescent="0.25">
      <c r="B43" s="91">
        <v>1.00892</v>
      </c>
      <c r="C43" s="91">
        <v>1.7513700000000001</v>
      </c>
      <c r="D43" s="1">
        <f t="shared" si="1"/>
        <v>0.41119426049757624</v>
      </c>
      <c r="E43" s="1">
        <f t="shared" si="2"/>
        <v>0.28461222028836086</v>
      </c>
      <c r="F43" s="1">
        <f t="shared" si="3"/>
        <v>0.59407399898304047</v>
      </c>
      <c r="R43" s="91">
        <v>1.7513700000000001</v>
      </c>
      <c r="S43" s="91">
        <v>1.00892</v>
      </c>
      <c r="T43" s="1">
        <f t="shared" si="4"/>
        <v>3.1965105445010824</v>
      </c>
      <c r="V43" s="91">
        <v>1.7513700000000001</v>
      </c>
      <c r="W43" s="1">
        <f t="shared" si="5"/>
        <v>1.533537775688032</v>
      </c>
    </row>
    <row r="44" spans="2:23" x14ac:dyDescent="0.25">
      <c r="B44" s="91">
        <v>1.80463</v>
      </c>
      <c r="C44" s="91">
        <v>1.25841</v>
      </c>
      <c r="D44" s="1">
        <f t="shared" si="1"/>
        <v>-0.33137241411802271</v>
      </c>
      <c r="E44" s="1">
        <f t="shared" si="2"/>
        <v>6.8759013736359537E-2</v>
      </c>
      <c r="F44" s="1">
        <f t="shared" si="3"/>
        <v>1.5969931921862399</v>
      </c>
      <c r="R44" s="91">
        <v>1.25841</v>
      </c>
      <c r="S44" s="91">
        <v>1.80463</v>
      </c>
      <c r="T44" s="1">
        <f t="shared" si="4"/>
        <v>2.1906637995474587</v>
      </c>
      <c r="V44" s="91">
        <v>1.25841</v>
      </c>
      <c r="W44" s="1">
        <f t="shared" si="5"/>
        <v>1.5278629400061721</v>
      </c>
    </row>
    <row r="45" spans="2:23" x14ac:dyDescent="0.25">
      <c r="B45" s="91">
        <v>1.7030099999999999</v>
      </c>
      <c r="C45" s="91">
        <v>1.5901099999999999</v>
      </c>
      <c r="D45" s="1">
        <f t="shared" si="1"/>
        <v>-0.14968216756282304</v>
      </c>
      <c r="E45" s="1">
        <f t="shared" si="2"/>
        <v>2.5792167280359699E-2</v>
      </c>
      <c r="F45" s="1">
        <f t="shared" si="3"/>
        <v>0.86866493392224065</v>
      </c>
      <c r="R45" s="91">
        <v>1.5901099999999999</v>
      </c>
      <c r="S45" s="91">
        <v>1.7030099999999999</v>
      </c>
      <c r="T45" s="1">
        <f t="shared" si="4"/>
        <v>2.3191203304722774</v>
      </c>
      <c r="V45" s="91">
        <v>1.5901099999999999</v>
      </c>
      <c r="W45" s="1">
        <f t="shared" si="5"/>
        <v>1.5316813897701953</v>
      </c>
    </row>
    <row r="46" spans="2:23" x14ac:dyDescent="0.25">
      <c r="B46" s="69">
        <v>2.1029599999999999</v>
      </c>
      <c r="C46" s="91">
        <v>-0.13830100000000001</v>
      </c>
      <c r="D46" s="1">
        <f t="shared" si="1"/>
        <v>-1.4913040994682214</v>
      </c>
      <c r="E46" s="1">
        <f t="shared" si="2"/>
        <v>0.314215629840359</v>
      </c>
      <c r="F46" s="1">
        <f t="shared" si="3"/>
        <v>7.07790353465436</v>
      </c>
      <c r="R46" s="91">
        <v>-0.13830100000000001</v>
      </c>
      <c r="S46" s="69">
        <v>2.1029599999999999</v>
      </c>
      <c r="T46" s="1">
        <f t="shared" si="4"/>
        <v>1.8135486955246183</v>
      </c>
      <c r="V46" s="91">
        <v>-0.13830100000000001</v>
      </c>
      <c r="W46" s="1">
        <f t="shared" si="5"/>
        <v>1.5117843425133815</v>
      </c>
    </row>
    <row r="47" spans="2:23" x14ac:dyDescent="0.25">
      <c r="B47" s="91">
        <v>1.5667199999999999</v>
      </c>
      <c r="C47" s="91">
        <v>3.7054800000000001</v>
      </c>
      <c r="D47" s="1">
        <f t="shared" si="1"/>
        <v>2.8766480843574877E-2</v>
      </c>
      <c r="E47" s="1">
        <f t="shared" si="2"/>
        <v>5.9094692835995322E-4</v>
      </c>
      <c r="F47" s="1">
        <f t="shared" si="3"/>
        <v>1.4003125837718433</v>
      </c>
      <c r="R47" s="91">
        <v>3.7054800000000001</v>
      </c>
      <c r="S47" s="91">
        <v>1.5667199999999999</v>
      </c>
      <c r="T47" s="1">
        <f t="shared" si="4"/>
        <v>2.4914027610936458</v>
      </c>
      <c r="V47" s="91">
        <v>3.7054800000000001</v>
      </c>
      <c r="W47" s="1">
        <f t="shared" si="5"/>
        <v>1.5560330149656183</v>
      </c>
    </row>
    <row r="48" spans="2:23" x14ac:dyDescent="0.25">
      <c r="B48" s="91">
        <v>1.63835</v>
      </c>
      <c r="C48" s="91">
        <v>-0.60269700000000004</v>
      </c>
      <c r="D48" s="1">
        <f t="shared" si="1"/>
        <v>-0.29979421552502117</v>
      </c>
      <c r="E48" s="1">
        <f t="shared" si="2"/>
        <v>9.204368472359831E-3</v>
      </c>
      <c r="F48" s="1">
        <f t="shared" si="3"/>
        <v>9.7645560292546776</v>
      </c>
      <c r="R48" s="91">
        <v>-0.60269700000000004</v>
      </c>
      <c r="S48" s="91">
        <v>1.63835</v>
      </c>
      <c r="T48" s="1">
        <f t="shared" si="4"/>
        <v>2.4008562022455378</v>
      </c>
      <c r="V48" s="91">
        <v>-0.60269700000000004</v>
      </c>
      <c r="W48" s="1">
        <f t="shared" si="5"/>
        <v>1.5064383286556386</v>
      </c>
    </row>
    <row r="49" spans="2:23" x14ac:dyDescent="0.25">
      <c r="B49" s="91">
        <v>1.60833</v>
      </c>
      <c r="C49" s="91">
        <v>4.6064499999999997</v>
      </c>
      <c r="D49" s="1">
        <f t="shared" si="1"/>
        <v>0.13739699460597432</v>
      </c>
      <c r="E49" s="1">
        <f t="shared" si="2"/>
        <v>4.3453672963598925E-3</v>
      </c>
      <c r="F49" s="1">
        <f t="shared" si="3"/>
        <v>4.3443816918694429</v>
      </c>
      <c r="R49" s="91">
        <v>4.6064499999999997</v>
      </c>
      <c r="S49" s="91">
        <v>1.60833</v>
      </c>
      <c r="T49" s="1">
        <f t="shared" si="4"/>
        <v>2.4388040969351956</v>
      </c>
      <c r="V49" s="91">
        <v>4.6064499999999997</v>
      </c>
      <c r="W49" s="1">
        <f t="shared" si="5"/>
        <v>1.5664047625806079</v>
      </c>
    </row>
    <row r="50" spans="2:23" x14ac:dyDescent="0.25">
      <c r="B50" s="91">
        <v>1.28857</v>
      </c>
      <c r="C50" s="91">
        <v>-0.73702800000000002</v>
      </c>
      <c r="D50" s="1">
        <f t="shared" si="1"/>
        <v>0.82730711974237869</v>
      </c>
      <c r="E50" s="1">
        <f t="shared" si="2"/>
        <v>6.4435050208360434E-2</v>
      </c>
      <c r="F50" s="1">
        <f t="shared" si="3"/>
        <v>10.622123644867198</v>
      </c>
      <c r="R50" s="91">
        <v>-0.73702800000000002</v>
      </c>
      <c r="S50" s="91">
        <v>1.28857</v>
      </c>
      <c r="T50" s="1">
        <f t="shared" si="4"/>
        <v>2.8430085874736717</v>
      </c>
      <c r="V50" s="91">
        <v>-0.73702800000000002</v>
      </c>
      <c r="W50" s="1">
        <f t="shared" si="5"/>
        <v>1.5048919428393859</v>
      </c>
    </row>
    <row r="51" spans="2:23" x14ac:dyDescent="0.25">
      <c r="B51" s="91">
        <v>1.6846699999999999</v>
      </c>
      <c r="C51" s="91">
        <v>0.42441400000000001</v>
      </c>
      <c r="D51" s="1">
        <f t="shared" si="1"/>
        <v>-0.29842009835882188</v>
      </c>
      <c r="E51" s="1">
        <f t="shared" si="2"/>
        <v>2.0237736888359725E-2</v>
      </c>
      <c r="F51" s="1">
        <f t="shared" si="3"/>
        <v>4.4004206397065584</v>
      </c>
      <c r="R51" s="91">
        <v>0.42441400000000001</v>
      </c>
      <c r="S51" s="91">
        <v>1.6846699999999999</v>
      </c>
      <c r="T51" s="1">
        <f t="shared" si="4"/>
        <v>2.3423036878543</v>
      </c>
      <c r="V51" s="91">
        <v>0.42441400000000001</v>
      </c>
      <c r="W51" s="1">
        <f t="shared" si="5"/>
        <v>1.5182621807978625</v>
      </c>
    </row>
    <row r="52" spans="2:23" x14ac:dyDescent="0.25">
      <c r="B52" s="91">
        <v>1.4887300000000001</v>
      </c>
      <c r="C52" s="91">
        <v>2.4750100000000002</v>
      </c>
      <c r="D52" s="1">
        <f t="shared" si="1"/>
        <v>2.5295350859759944E-3</v>
      </c>
      <c r="E52" s="1">
        <f t="shared" si="2"/>
        <v>2.8816068163600799E-3</v>
      </c>
      <c r="F52" s="1">
        <f t="shared" si="3"/>
        <v>2.2204791142415286E-3</v>
      </c>
      <c r="R52" s="91">
        <v>2.4750100000000002</v>
      </c>
      <c r="S52" s="91">
        <v>1.4887300000000001</v>
      </c>
      <c r="T52" s="1">
        <f t="shared" si="4"/>
        <v>2.589988913886665</v>
      </c>
      <c r="V52" s="91">
        <v>2.4750100000000002</v>
      </c>
      <c r="W52" s="1">
        <f t="shared" si="5"/>
        <v>1.5418681434517876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4-1</vt:lpstr>
      <vt:lpstr>4-2</vt:lpstr>
      <vt:lpstr>4-3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Зименкова</dc:creator>
  <cp:lastModifiedBy>Софья Зименкова</cp:lastModifiedBy>
  <dcterms:created xsi:type="dcterms:W3CDTF">2023-10-17T10:57:25Z</dcterms:created>
  <dcterms:modified xsi:type="dcterms:W3CDTF">2023-12-06T09:34:21Z</dcterms:modified>
</cp:coreProperties>
</file>