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A756789-5290-4F0B-9550-4232049C025B}" xr6:coauthVersionLast="47" xr6:coauthVersionMax="47" xr10:uidLastSave="{00000000-0000-0000-0000-000000000000}"/>
  <bookViews>
    <workbookView xWindow="-110" yWindow="-110" windowWidth="19420" windowHeight="10420" firstSheet="2" activeTab="7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.1" sheetId="4" r:id="rId4"/>
    <sheet name="Задание 4.2" sheetId="5" r:id="rId5"/>
    <sheet name="Задание 4.3" sheetId="6" r:id="rId6"/>
    <sheet name="Задание 5" sheetId="7" r:id="rId7"/>
    <sheet name="Задание 6" sheetId="9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5" l="1"/>
  <c r="J2" i="3"/>
  <c r="J4" i="3"/>
  <c r="L11" i="3"/>
  <c r="D6" i="9"/>
  <c r="E14" i="9" s="1"/>
  <c r="AB20" i="7"/>
  <c r="AB17" i="7"/>
  <c r="AB9" i="7"/>
  <c r="Y3" i="7"/>
  <c r="X3" i="7"/>
  <c r="W2" i="7"/>
  <c r="V5" i="7"/>
  <c r="V2" i="7"/>
  <c r="U4" i="7"/>
  <c r="U3" i="7"/>
  <c r="U2" i="7"/>
  <c r="J21" i="7"/>
  <c r="J13" i="7"/>
  <c r="J2" i="7"/>
  <c r="F2" i="7"/>
  <c r="D2" i="7"/>
  <c r="I4" i="6"/>
  <c r="I9" i="6"/>
  <c r="J4" i="6"/>
  <c r="L5" i="5"/>
  <c r="T13" i="5"/>
  <c r="Q8" i="5"/>
  <c r="L7" i="5"/>
  <c r="K5" i="5"/>
  <c r="J5" i="5"/>
  <c r="M15" i="3"/>
  <c r="G4" i="3"/>
  <c r="D4" i="3"/>
  <c r="E15" i="3" s="1"/>
  <c r="G3" i="3"/>
  <c r="D3" i="3"/>
  <c r="D11" i="3" s="1"/>
  <c r="G2" i="3"/>
  <c r="D2" i="3"/>
  <c r="E33" i="2"/>
  <c r="F34" i="2" s="1"/>
  <c r="E32" i="2"/>
  <c r="E30" i="2"/>
  <c r="E29" i="2"/>
  <c r="E24" i="2"/>
  <c r="E15" i="2"/>
  <c r="I14" i="2"/>
  <c r="F30" i="2" s="1"/>
  <c r="I13" i="2"/>
  <c r="L5" i="1"/>
  <c r="G6" i="9"/>
  <c r="F6" i="9"/>
  <c r="E6" i="9"/>
  <c r="E11" i="9" s="1"/>
  <c r="C6" i="9"/>
  <c r="O4" i="6"/>
  <c r="F3" i="6"/>
  <c r="L23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D6" i="3" l="1"/>
  <c r="D12" i="3" s="1"/>
  <c r="L12" i="3" s="1"/>
  <c r="E34" i="2"/>
  <c r="E12" i="2"/>
  <c r="E22" i="2"/>
  <c r="F25" i="2" s="1"/>
  <c r="E13" i="2"/>
  <c r="I55" i="9"/>
  <c r="I9" i="9"/>
  <c r="H13" i="9"/>
  <c r="I16" i="9"/>
  <c r="H20" i="9"/>
  <c r="I23" i="9"/>
  <c r="I27" i="9"/>
  <c r="I31" i="9"/>
  <c r="I35" i="9"/>
  <c r="I39" i="9"/>
  <c r="I43" i="9"/>
  <c r="I47" i="9"/>
  <c r="I51" i="9"/>
  <c r="H6" i="9"/>
  <c r="H10" i="9"/>
  <c r="I13" i="9"/>
  <c r="H17" i="9"/>
  <c r="I20" i="9"/>
  <c r="H24" i="9"/>
  <c r="H28" i="9"/>
  <c r="H32" i="9"/>
  <c r="H36" i="9"/>
  <c r="H40" i="9"/>
  <c r="H44" i="9"/>
  <c r="H48" i="9"/>
  <c r="H52" i="9"/>
  <c r="I52" i="9"/>
  <c r="H8" i="9"/>
  <c r="I11" i="9"/>
  <c r="H15" i="9"/>
  <c r="E19" i="9"/>
  <c r="E22" i="9" s="1"/>
  <c r="H22" i="9"/>
  <c r="H26" i="9"/>
  <c r="H30" i="9"/>
  <c r="H34" i="9"/>
  <c r="H38" i="9"/>
  <c r="H42" i="9"/>
  <c r="H46" i="9"/>
  <c r="H50" i="9"/>
  <c r="I6" i="9"/>
  <c r="I10" i="9"/>
  <c r="I17" i="9"/>
  <c r="H21" i="9"/>
  <c r="I24" i="9"/>
  <c r="I28" i="9"/>
  <c r="I32" i="9"/>
  <c r="I36" i="9"/>
  <c r="I40" i="9"/>
  <c r="I44" i="9"/>
  <c r="I48" i="9"/>
  <c r="H7" i="9"/>
  <c r="H14" i="9"/>
  <c r="H18" i="9"/>
  <c r="I21" i="9"/>
  <c r="H25" i="9"/>
  <c r="H29" i="9"/>
  <c r="H33" i="9"/>
  <c r="H37" i="9"/>
  <c r="H41" i="9"/>
  <c r="H45" i="9"/>
  <c r="H49" i="9"/>
  <c r="H53" i="9"/>
  <c r="I7" i="9"/>
  <c r="H11" i="9"/>
  <c r="I14" i="9"/>
  <c r="I18" i="9"/>
  <c r="I25" i="9"/>
  <c r="I29" i="9"/>
  <c r="I33" i="9"/>
  <c r="I37" i="9"/>
  <c r="I41" i="9"/>
  <c r="I45" i="9"/>
  <c r="I49" i="9"/>
  <c r="I53" i="9"/>
  <c r="H54" i="9"/>
  <c r="I8" i="9"/>
  <c r="H12" i="9"/>
  <c r="I15" i="9"/>
  <c r="H19" i="9"/>
  <c r="I22" i="9"/>
  <c r="I26" i="9"/>
  <c r="I30" i="9"/>
  <c r="I34" i="9"/>
  <c r="I38" i="9"/>
  <c r="I42" i="9"/>
  <c r="I46" i="9"/>
  <c r="I50" i="9"/>
  <c r="I54" i="9"/>
  <c r="H9" i="9"/>
  <c r="I12" i="9"/>
  <c r="H16" i="9"/>
  <c r="I19" i="9"/>
  <c r="H23" i="9"/>
  <c r="H27" i="9"/>
  <c r="H31" i="9"/>
  <c r="H35" i="9"/>
  <c r="H39" i="9"/>
  <c r="H43" i="9"/>
  <c r="H47" i="9"/>
  <c r="H51" i="9"/>
  <c r="H55" i="9"/>
  <c r="N12" i="3" l="1"/>
  <c r="D13" i="3"/>
  <c r="L13" i="3" s="1"/>
  <c r="N13" i="3" s="1"/>
  <c r="E11" i="3"/>
  <c r="F11" i="3" s="1"/>
  <c r="E16" i="2"/>
  <c r="F16" i="2"/>
  <c r="E25" i="2"/>
  <c r="V3" i="7"/>
  <c r="V4" i="7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E12" i="3" l="1"/>
  <c r="M12" i="3" s="1"/>
  <c r="D14" i="3"/>
  <c r="M11" i="3"/>
  <c r="O11" i="3" l="1"/>
  <c r="P11" i="3" s="1"/>
  <c r="D15" i="3"/>
  <c r="F15" i="3" s="1"/>
  <c r="G11" i="3" a="1"/>
  <c r="G11" i="3" s="1"/>
  <c r="G16" i="3" s="1"/>
  <c r="O12" i="3"/>
  <c r="P12" i="3" s="1"/>
  <c r="S12" i="3" s="1"/>
  <c r="F12" i="3"/>
  <c r="E13" i="3"/>
  <c r="E14" i="3" s="1"/>
  <c r="L14" i="3"/>
  <c r="N14" i="3" s="1"/>
  <c r="M13" i="3"/>
  <c r="O13" i="3" s="1"/>
  <c r="P13" i="3" s="1"/>
  <c r="S13" i="3" s="1"/>
  <c r="F13" i="3"/>
  <c r="P4" i="6"/>
  <c r="S11" i="3" l="1"/>
  <c r="L15" i="3"/>
  <c r="N15" i="3" s="1"/>
  <c r="P15" i="3" s="1"/>
  <c r="Q15" i="3" s="1"/>
  <c r="Q12" i="3"/>
  <c r="M14" i="3"/>
  <c r="O14" i="3" s="1"/>
  <c r="P14" i="3" s="1"/>
  <c r="S14" i="3" s="1"/>
  <c r="F14" i="3"/>
  <c r="W3" i="7"/>
  <c r="W4" i="7"/>
  <c r="W5" i="7"/>
  <c r="W6" i="7"/>
  <c r="W10" i="7"/>
  <c r="W11" i="7"/>
  <c r="W12" i="7"/>
  <c r="W13" i="7"/>
  <c r="W14" i="7"/>
  <c r="W15" i="7"/>
  <c r="W16" i="7"/>
  <c r="W17" i="7"/>
  <c r="W18" i="7"/>
  <c r="W23" i="7"/>
  <c r="W24" i="7"/>
  <c r="W25" i="7"/>
  <c r="W26" i="7"/>
  <c r="W27" i="7"/>
  <c r="W28" i="7"/>
  <c r="W29" i="7"/>
  <c r="W30" i="7"/>
  <c r="W35" i="7"/>
  <c r="W36" i="7"/>
  <c r="W37" i="7"/>
  <c r="W38" i="7"/>
  <c r="W39" i="7"/>
  <c r="W40" i="7"/>
  <c r="W41" i="7"/>
  <c r="W42" i="7"/>
  <c r="W46" i="7"/>
  <c r="W47" i="7"/>
  <c r="W48" i="7"/>
  <c r="W49" i="7"/>
  <c r="W50" i="7"/>
  <c r="W51" i="7"/>
  <c r="J24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2" i="7"/>
  <c r="D3" i="7"/>
  <c r="F3" i="7" s="1"/>
  <c r="G3" i="7" s="1"/>
  <c r="D4" i="7"/>
  <c r="F4" i="7" s="1"/>
  <c r="G4" i="7" s="1"/>
  <c r="D5" i="7"/>
  <c r="F5" i="7" s="1"/>
  <c r="G5" i="7" s="1"/>
  <c r="D6" i="7"/>
  <c r="F6" i="7" s="1"/>
  <c r="G6" i="7" s="1"/>
  <c r="D7" i="7"/>
  <c r="F7" i="7" s="1"/>
  <c r="G7" i="7" s="1"/>
  <c r="D8" i="7"/>
  <c r="F8" i="7" s="1"/>
  <c r="G8" i="7" s="1"/>
  <c r="D9" i="7"/>
  <c r="F9" i="7" s="1"/>
  <c r="G9" i="7" s="1"/>
  <c r="D10" i="7"/>
  <c r="F10" i="7" s="1"/>
  <c r="G10" i="7" s="1"/>
  <c r="D11" i="7"/>
  <c r="F11" i="7" s="1"/>
  <c r="G11" i="7" s="1"/>
  <c r="D12" i="7"/>
  <c r="F12" i="7" s="1"/>
  <c r="G12" i="7" s="1"/>
  <c r="D13" i="7"/>
  <c r="F13" i="7" s="1"/>
  <c r="G13" i="7" s="1"/>
  <c r="D14" i="7"/>
  <c r="F14" i="7" s="1"/>
  <c r="G14" i="7" s="1"/>
  <c r="D15" i="7"/>
  <c r="F15" i="7" s="1"/>
  <c r="G15" i="7" s="1"/>
  <c r="D16" i="7"/>
  <c r="F16" i="7" s="1"/>
  <c r="G16" i="7" s="1"/>
  <c r="D17" i="7"/>
  <c r="F17" i="7" s="1"/>
  <c r="G17" i="7" s="1"/>
  <c r="D18" i="7"/>
  <c r="F18" i="7" s="1"/>
  <c r="G18" i="7" s="1"/>
  <c r="D19" i="7"/>
  <c r="F19" i="7" s="1"/>
  <c r="G19" i="7" s="1"/>
  <c r="D20" i="7"/>
  <c r="F20" i="7" s="1"/>
  <c r="G20" i="7" s="1"/>
  <c r="D21" i="7"/>
  <c r="F21" i="7" s="1"/>
  <c r="G21" i="7" s="1"/>
  <c r="D22" i="7"/>
  <c r="F22" i="7" s="1"/>
  <c r="G22" i="7" s="1"/>
  <c r="D23" i="7"/>
  <c r="F23" i="7" s="1"/>
  <c r="G23" i="7" s="1"/>
  <c r="D24" i="7"/>
  <c r="F24" i="7" s="1"/>
  <c r="G24" i="7" s="1"/>
  <c r="D25" i="7"/>
  <c r="F25" i="7" s="1"/>
  <c r="G25" i="7" s="1"/>
  <c r="D26" i="7"/>
  <c r="F26" i="7" s="1"/>
  <c r="G26" i="7" s="1"/>
  <c r="D27" i="7"/>
  <c r="F27" i="7" s="1"/>
  <c r="G27" i="7" s="1"/>
  <c r="D28" i="7"/>
  <c r="F28" i="7" s="1"/>
  <c r="G28" i="7" s="1"/>
  <c r="D29" i="7"/>
  <c r="F29" i="7" s="1"/>
  <c r="G29" i="7" s="1"/>
  <c r="D30" i="7"/>
  <c r="F30" i="7" s="1"/>
  <c r="G30" i="7" s="1"/>
  <c r="D31" i="7"/>
  <c r="F31" i="7" s="1"/>
  <c r="G31" i="7" s="1"/>
  <c r="D32" i="7"/>
  <c r="F32" i="7" s="1"/>
  <c r="G32" i="7" s="1"/>
  <c r="D33" i="7"/>
  <c r="F33" i="7" s="1"/>
  <c r="G33" i="7" s="1"/>
  <c r="D34" i="7"/>
  <c r="F34" i="7" s="1"/>
  <c r="G34" i="7" s="1"/>
  <c r="D35" i="7"/>
  <c r="F35" i="7" s="1"/>
  <c r="G35" i="7" s="1"/>
  <c r="D36" i="7"/>
  <c r="F36" i="7" s="1"/>
  <c r="G36" i="7" s="1"/>
  <c r="D37" i="7"/>
  <c r="F37" i="7" s="1"/>
  <c r="G37" i="7" s="1"/>
  <c r="D38" i="7"/>
  <c r="F38" i="7" s="1"/>
  <c r="G38" i="7" s="1"/>
  <c r="D39" i="7"/>
  <c r="F39" i="7" s="1"/>
  <c r="G39" i="7" s="1"/>
  <c r="D40" i="7"/>
  <c r="F40" i="7" s="1"/>
  <c r="G40" i="7" s="1"/>
  <c r="D41" i="7"/>
  <c r="F41" i="7" s="1"/>
  <c r="G41" i="7" s="1"/>
  <c r="D42" i="7"/>
  <c r="F42" i="7" s="1"/>
  <c r="G42" i="7" s="1"/>
  <c r="D43" i="7"/>
  <c r="F43" i="7" s="1"/>
  <c r="G43" i="7" s="1"/>
  <c r="D44" i="7"/>
  <c r="F44" i="7" s="1"/>
  <c r="G44" i="7" s="1"/>
  <c r="D45" i="7"/>
  <c r="F45" i="7" s="1"/>
  <c r="G45" i="7" s="1"/>
  <c r="D46" i="7"/>
  <c r="F46" i="7" s="1"/>
  <c r="G46" i="7" s="1"/>
  <c r="D47" i="7"/>
  <c r="F47" i="7" s="1"/>
  <c r="G47" i="7" s="1"/>
  <c r="D48" i="7"/>
  <c r="F48" i="7" s="1"/>
  <c r="G48" i="7" s="1"/>
  <c r="D49" i="7"/>
  <c r="F49" i="7" s="1"/>
  <c r="G49" i="7" s="1"/>
  <c r="D50" i="7"/>
  <c r="F50" i="7" s="1"/>
  <c r="G50" i="7" s="1"/>
  <c r="D51" i="7"/>
  <c r="F51" i="7" s="1"/>
  <c r="G51" i="7" s="1"/>
  <c r="G2" i="7"/>
  <c r="P7" i="3" l="1"/>
  <c r="Q11" i="3"/>
  <c r="Q13" i="3"/>
  <c r="Q14" i="3"/>
  <c r="J10" i="7"/>
  <c r="J14" i="7" s="1"/>
  <c r="W34" i="7"/>
  <c r="W22" i="7"/>
  <c r="W43" i="7"/>
  <c r="W31" i="7"/>
  <c r="W19" i="7"/>
  <c r="W7" i="7"/>
  <c r="W45" i="7"/>
  <c r="W33" i="7"/>
  <c r="W21" i="7"/>
  <c r="W9" i="7"/>
  <c r="W8" i="7"/>
  <c r="W44" i="7"/>
  <c r="W20" i="7"/>
  <c r="W32" i="7"/>
  <c r="N4" i="6"/>
  <c r="J9" i="6"/>
  <c r="C104" i="6"/>
  <c r="F4" i="6"/>
  <c r="S15" i="3" l="1"/>
  <c r="Q17" i="3"/>
  <c r="Q21" i="3" s="1"/>
  <c r="H13" i="3"/>
  <c r="I13" i="3" s="1"/>
  <c r="H15" i="3"/>
  <c r="I15" i="3" s="1"/>
  <c r="H14" i="3"/>
  <c r="I14" i="3" s="1"/>
  <c r="H12" i="3"/>
  <c r="I12" i="3" s="1"/>
  <c r="H11" i="3"/>
  <c r="M4" i="6"/>
  <c r="Q4" i="6" s="1"/>
  <c r="R4" i="6" s="1"/>
  <c r="S4" i="6" s="1"/>
  <c r="F5" i="6"/>
  <c r="H16" i="3" l="1"/>
  <c r="J11" i="3"/>
  <c r="J12" i="3" s="1"/>
  <c r="J13" i="3" s="1"/>
  <c r="J14" i="3" s="1"/>
  <c r="J15" i="3" s="1"/>
  <c r="I11" i="3"/>
  <c r="K6" i="5"/>
  <c r="N6" i="5" s="1"/>
  <c r="K7" i="5"/>
  <c r="N7" i="5" s="1"/>
  <c r="K8" i="5"/>
  <c r="N8" i="5" s="1"/>
  <c r="K9" i="5"/>
  <c r="N9" i="5" s="1"/>
  <c r="K10" i="5"/>
  <c r="N10" i="5" s="1"/>
  <c r="K11" i="5"/>
  <c r="N11" i="5" s="1"/>
  <c r="K12" i="5"/>
  <c r="N12" i="5" s="1"/>
  <c r="K13" i="5"/>
  <c r="N13" i="5" s="1"/>
  <c r="K14" i="5"/>
  <c r="N14" i="5" s="1"/>
  <c r="K15" i="5"/>
  <c r="N15" i="5" s="1"/>
  <c r="K16" i="5"/>
  <c r="N16" i="5" s="1"/>
  <c r="K17" i="5"/>
  <c r="N17" i="5" s="1"/>
  <c r="K18" i="5"/>
  <c r="N18" i="5" s="1"/>
  <c r="K19" i="5"/>
  <c r="N19" i="5" s="1"/>
  <c r="K20" i="5"/>
  <c r="N20" i="5" s="1"/>
  <c r="K21" i="5"/>
  <c r="N21" i="5" s="1"/>
  <c r="K22" i="5"/>
  <c r="N22" i="5" s="1"/>
  <c r="K23" i="5"/>
  <c r="N23" i="5" s="1"/>
  <c r="K24" i="5"/>
  <c r="N24" i="5" s="1"/>
  <c r="K25" i="5"/>
  <c r="N25" i="5" s="1"/>
  <c r="K26" i="5"/>
  <c r="N26" i="5" s="1"/>
  <c r="K27" i="5"/>
  <c r="N27" i="5" s="1"/>
  <c r="K28" i="5"/>
  <c r="N28" i="5" s="1"/>
  <c r="K29" i="5"/>
  <c r="N29" i="5" s="1"/>
  <c r="K30" i="5"/>
  <c r="N30" i="5" s="1"/>
  <c r="K31" i="5"/>
  <c r="N31" i="5" s="1"/>
  <c r="K32" i="5"/>
  <c r="N32" i="5" s="1"/>
  <c r="K33" i="5"/>
  <c r="N33" i="5" s="1"/>
  <c r="K34" i="5"/>
  <c r="N34" i="5" s="1"/>
  <c r="K35" i="5"/>
  <c r="N35" i="5" s="1"/>
  <c r="K36" i="5"/>
  <c r="N36" i="5" s="1"/>
  <c r="K37" i="5"/>
  <c r="N37" i="5" s="1"/>
  <c r="K38" i="5"/>
  <c r="N38" i="5" s="1"/>
  <c r="K39" i="5"/>
  <c r="N39" i="5" s="1"/>
  <c r="K40" i="5"/>
  <c r="N40" i="5" s="1"/>
  <c r="K41" i="5"/>
  <c r="N41" i="5" s="1"/>
  <c r="K42" i="5"/>
  <c r="N42" i="5" s="1"/>
  <c r="K43" i="5"/>
  <c r="N43" i="5" s="1"/>
  <c r="K44" i="5"/>
  <c r="N44" i="5" s="1"/>
  <c r="K45" i="5"/>
  <c r="N45" i="5" s="1"/>
  <c r="K46" i="5"/>
  <c r="N46" i="5" s="1"/>
  <c r="K47" i="5"/>
  <c r="N47" i="5" s="1"/>
  <c r="K48" i="5"/>
  <c r="N48" i="5" s="1"/>
  <c r="K49" i="5"/>
  <c r="N49" i="5" s="1"/>
  <c r="K50" i="5"/>
  <c r="N50" i="5" s="1"/>
  <c r="K51" i="5"/>
  <c r="N51" i="5" s="1"/>
  <c r="K52" i="5"/>
  <c r="N52" i="5" s="1"/>
  <c r="K53" i="5"/>
  <c r="N53" i="5" s="1"/>
  <c r="K54" i="5"/>
  <c r="N54" i="5" s="1"/>
  <c r="N5" i="5"/>
  <c r="N56" i="5" s="1"/>
  <c r="J6" i="5"/>
  <c r="M6" i="5" s="1"/>
  <c r="J7" i="5"/>
  <c r="M7" i="5" s="1"/>
  <c r="J8" i="5"/>
  <c r="M8" i="5" s="1"/>
  <c r="J9" i="5"/>
  <c r="M9" i="5" s="1"/>
  <c r="J10" i="5"/>
  <c r="M10" i="5" s="1"/>
  <c r="J11" i="5"/>
  <c r="M11" i="5" s="1"/>
  <c r="J12" i="5"/>
  <c r="M12" i="5" s="1"/>
  <c r="J13" i="5"/>
  <c r="M13" i="5" s="1"/>
  <c r="J14" i="5"/>
  <c r="M14" i="5" s="1"/>
  <c r="J15" i="5"/>
  <c r="M15" i="5" s="1"/>
  <c r="J16" i="5"/>
  <c r="M16" i="5" s="1"/>
  <c r="J17" i="5"/>
  <c r="M17" i="5" s="1"/>
  <c r="J18" i="5"/>
  <c r="M18" i="5" s="1"/>
  <c r="J19" i="5"/>
  <c r="M19" i="5" s="1"/>
  <c r="J20" i="5"/>
  <c r="M20" i="5" s="1"/>
  <c r="J21" i="5"/>
  <c r="M21" i="5" s="1"/>
  <c r="J22" i="5"/>
  <c r="M22" i="5" s="1"/>
  <c r="J23" i="5"/>
  <c r="M23" i="5" s="1"/>
  <c r="J24" i="5"/>
  <c r="M24" i="5" s="1"/>
  <c r="J25" i="5"/>
  <c r="M25" i="5" s="1"/>
  <c r="J26" i="5"/>
  <c r="M26" i="5" s="1"/>
  <c r="J27" i="5"/>
  <c r="M27" i="5" s="1"/>
  <c r="J28" i="5"/>
  <c r="M28" i="5" s="1"/>
  <c r="J29" i="5"/>
  <c r="M29" i="5" s="1"/>
  <c r="J30" i="5"/>
  <c r="M30" i="5" s="1"/>
  <c r="J31" i="5"/>
  <c r="M31" i="5" s="1"/>
  <c r="J32" i="5"/>
  <c r="M32" i="5" s="1"/>
  <c r="J33" i="5"/>
  <c r="M33" i="5" s="1"/>
  <c r="J34" i="5"/>
  <c r="M34" i="5" s="1"/>
  <c r="J35" i="5"/>
  <c r="M35" i="5" s="1"/>
  <c r="J36" i="5"/>
  <c r="M36" i="5" s="1"/>
  <c r="J37" i="5"/>
  <c r="M37" i="5" s="1"/>
  <c r="J38" i="5"/>
  <c r="M38" i="5" s="1"/>
  <c r="J39" i="5"/>
  <c r="M39" i="5" s="1"/>
  <c r="J40" i="5"/>
  <c r="M40" i="5" s="1"/>
  <c r="J41" i="5"/>
  <c r="M41" i="5" s="1"/>
  <c r="J42" i="5"/>
  <c r="M42" i="5" s="1"/>
  <c r="J43" i="5"/>
  <c r="M43" i="5" s="1"/>
  <c r="J44" i="5"/>
  <c r="M44" i="5" s="1"/>
  <c r="J45" i="5"/>
  <c r="M45" i="5" s="1"/>
  <c r="J46" i="5"/>
  <c r="M46" i="5" s="1"/>
  <c r="J47" i="5"/>
  <c r="M47" i="5" s="1"/>
  <c r="J48" i="5"/>
  <c r="M48" i="5" s="1"/>
  <c r="J49" i="5"/>
  <c r="M49" i="5" s="1"/>
  <c r="J50" i="5"/>
  <c r="M50" i="5" s="1"/>
  <c r="J51" i="5"/>
  <c r="M51" i="5" s="1"/>
  <c r="J52" i="5"/>
  <c r="M52" i="5" s="1"/>
  <c r="J53" i="5"/>
  <c r="M53" i="5" s="1"/>
  <c r="J54" i="5"/>
  <c r="M54" i="5" s="1"/>
  <c r="M5" i="5"/>
  <c r="M56" i="5" l="1"/>
  <c r="Q6" i="5" s="1"/>
  <c r="S13" i="5" s="1"/>
  <c r="N4" i="4"/>
  <c r="B5" i="4"/>
  <c r="B6" i="4" s="1"/>
  <c r="B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4" i="4"/>
  <c r="P15" i="5" l="1"/>
  <c r="J18" i="4"/>
  <c r="J8" i="4"/>
  <c r="J15" i="4"/>
  <c r="J27" i="4"/>
  <c r="J32" i="4"/>
  <c r="J22" i="4"/>
  <c r="J6" i="4"/>
  <c r="J51" i="4"/>
  <c r="J53" i="4"/>
  <c r="J13" i="4"/>
  <c r="J26" i="4"/>
  <c r="J16" i="4"/>
  <c r="J52" i="4"/>
  <c r="J12" i="4"/>
  <c r="J42" i="4"/>
  <c r="H9" i="4"/>
  <c r="K9" i="4" s="1"/>
  <c r="H10" i="4"/>
  <c r="K10" i="4" s="1"/>
  <c r="H22" i="4"/>
  <c r="K22" i="4" s="1"/>
  <c r="H34" i="4"/>
  <c r="K34" i="4" s="1"/>
  <c r="H46" i="4"/>
  <c r="K46" i="4" s="1"/>
  <c r="H23" i="4"/>
  <c r="K23" i="4" s="1"/>
  <c r="H13" i="4"/>
  <c r="K13" i="4" s="1"/>
  <c r="H25" i="4"/>
  <c r="K25" i="4" s="1"/>
  <c r="H37" i="4"/>
  <c r="K37" i="4" s="1"/>
  <c r="H49" i="4"/>
  <c r="K49" i="4" s="1"/>
  <c r="H11" i="4"/>
  <c r="K11" i="4" s="1"/>
  <c r="H15" i="4"/>
  <c r="K15" i="4" s="1"/>
  <c r="H27" i="4"/>
  <c r="K27" i="4" s="1"/>
  <c r="H39" i="4"/>
  <c r="K39" i="4" s="1"/>
  <c r="H51" i="4"/>
  <c r="K51" i="4" s="1"/>
  <c r="H19" i="4"/>
  <c r="K19" i="4" s="1"/>
  <c r="H43" i="4"/>
  <c r="K43" i="4" s="1"/>
  <c r="H35" i="4"/>
  <c r="K35" i="4" s="1"/>
  <c r="H30" i="4"/>
  <c r="K30" i="4" s="1"/>
  <c r="H6" i="4"/>
  <c r="K6" i="4" s="1"/>
  <c r="H18" i="4"/>
  <c r="K18" i="4" s="1"/>
  <c r="H42" i="4"/>
  <c r="K42" i="4" s="1"/>
  <c r="H4" i="4"/>
  <c r="K4" i="4" s="1"/>
  <c r="H7" i="4"/>
  <c r="K7" i="4" s="1"/>
  <c r="H31" i="4"/>
  <c r="K31" i="4" s="1"/>
  <c r="H47" i="4"/>
  <c r="K47" i="4" s="1"/>
  <c r="H8" i="4"/>
  <c r="K8" i="4" s="1"/>
  <c r="H20" i="4"/>
  <c r="K20" i="4" s="1"/>
  <c r="H32" i="4"/>
  <c r="K32" i="4" s="1"/>
  <c r="H44" i="4"/>
  <c r="K44" i="4" s="1"/>
  <c r="H53" i="4"/>
  <c r="K53" i="4" s="1"/>
  <c r="H41" i="4"/>
  <c r="K41" i="4" s="1"/>
  <c r="H29" i="4"/>
  <c r="K29" i="4" s="1"/>
  <c r="H17" i="4"/>
  <c r="K17" i="4" s="1"/>
  <c r="H5" i="4"/>
  <c r="K5" i="4" s="1"/>
  <c r="H52" i="4"/>
  <c r="K52" i="4" s="1"/>
  <c r="H40" i="4"/>
  <c r="K40" i="4" s="1"/>
  <c r="H28" i="4"/>
  <c r="K28" i="4" s="1"/>
  <c r="H16" i="4"/>
  <c r="K16" i="4" s="1"/>
  <c r="H50" i="4"/>
  <c r="K50" i="4" s="1"/>
  <c r="H38" i="4"/>
  <c r="K38" i="4" s="1"/>
  <c r="H26" i="4"/>
  <c r="K26" i="4" s="1"/>
  <c r="H14" i="4"/>
  <c r="K14" i="4" s="1"/>
  <c r="H48" i="4"/>
  <c r="K48" i="4" s="1"/>
  <c r="H36" i="4"/>
  <c r="K36" i="4" s="1"/>
  <c r="H24" i="4"/>
  <c r="K24" i="4" s="1"/>
  <c r="H12" i="4"/>
  <c r="K12" i="4" s="1"/>
  <c r="H45" i="4"/>
  <c r="K45" i="4" s="1"/>
  <c r="H33" i="4"/>
  <c r="K33" i="4" s="1"/>
  <c r="H21" i="4"/>
  <c r="K21" i="4" s="1"/>
  <c r="J29" i="4" l="1"/>
  <c r="J9" i="4"/>
  <c r="J33" i="4"/>
  <c r="J20" i="4"/>
  <c r="J35" i="4"/>
  <c r="J24" i="4"/>
  <c r="J30" i="4"/>
  <c r="J23" i="4"/>
  <c r="J41" i="4"/>
  <c r="J28" i="4"/>
  <c r="J5" i="4"/>
  <c r="J48" i="4"/>
  <c r="J38" i="4"/>
  <c r="J31" i="4"/>
  <c r="J49" i="4"/>
  <c r="J36" i="4"/>
  <c r="J34" i="4"/>
  <c r="J46" i="4"/>
  <c r="J39" i="4"/>
  <c r="J50" i="4"/>
  <c r="J25" i="4"/>
  <c r="J10" i="4"/>
  <c r="J44" i="4"/>
  <c r="J21" i="4"/>
  <c r="J19" i="4"/>
  <c r="J4" i="4"/>
  <c r="J47" i="4"/>
  <c r="J37" i="4"/>
  <c r="J17" i="4"/>
  <c r="J11" i="4"/>
  <c r="J40" i="4"/>
  <c r="J45" i="4"/>
  <c r="J14" i="4"/>
  <c r="J7" i="4"/>
  <c r="J43" i="4"/>
  <c r="J56" i="4" l="1"/>
  <c r="K56" i="4"/>
  <c r="N7" i="4" l="1"/>
  <c r="M10" i="4" s="1"/>
  <c r="P18" i="1" l="1"/>
  <c r="Q18" i="1"/>
  <c r="N11" i="1"/>
  <c r="H11" i="1"/>
  <c r="H10" i="1"/>
  <c r="R4" i="1"/>
  <c r="R5" i="1"/>
  <c r="K4" i="1"/>
  <c r="K5" i="1"/>
  <c r="Q5" i="1" s="1"/>
  <c r="H12" i="1" l="1"/>
  <c r="H14" i="1" s="1"/>
  <c r="Q4" i="1"/>
  <c r="O11" i="1"/>
  <c r="N12" i="1" l="1"/>
  <c r="O12" i="1"/>
  <c r="P12" i="1"/>
  <c r="P11" i="1"/>
  <c r="N13" i="1" l="1"/>
  <c r="O13" i="1"/>
  <c r="P13" i="1"/>
  <c r="N14" i="1" l="1"/>
  <c r="O14" i="1"/>
  <c r="P14" i="1"/>
  <c r="N15" i="1" l="1"/>
  <c r="O15" i="1" s="1"/>
  <c r="N16" i="1"/>
  <c r="P15" i="1"/>
  <c r="O16" i="1" l="1"/>
  <c r="N17" i="1" l="1"/>
  <c r="Q11" i="1" s="1" a="1"/>
  <c r="Q13" i="1" s="1"/>
  <c r="R13" i="1" s="1"/>
  <c r="S13" i="1" s="1"/>
  <c r="P16" i="1"/>
  <c r="O17" i="1"/>
  <c r="P17" i="1"/>
  <c r="Q14" i="1" l="1"/>
  <c r="R14" i="1" s="1"/>
  <c r="S14" i="1" s="1"/>
  <c r="Q11" i="1"/>
  <c r="R11" i="1" s="1"/>
  <c r="T11" i="1" s="1"/>
  <c r="Q17" i="1"/>
  <c r="R17" i="1" s="1"/>
  <c r="S17" i="1" s="1"/>
  <c r="Q15" i="1"/>
  <c r="R15" i="1" s="1"/>
  <c r="S15" i="1" s="1"/>
  <c r="Q16" i="1"/>
  <c r="R16" i="1" s="1"/>
  <c r="S16" i="1" s="1"/>
  <c r="Q12" i="1"/>
  <c r="R12" i="1" s="1"/>
  <c r="S12" i="1" s="1"/>
  <c r="S11" i="1" l="1"/>
  <c r="S20" i="1" s="1"/>
  <c r="T12" i="1"/>
  <c r="R18" i="1"/>
  <c r="S19" i="1"/>
  <c r="T13" i="1" l="1"/>
  <c r="K3" i="1"/>
  <c r="T14" i="1" l="1"/>
  <c r="T15" i="1" l="1"/>
  <c r="T16" i="1" l="1"/>
  <c r="T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<sst xmlns="http://schemas.openxmlformats.org/spreadsheetml/2006/main" count="192" uniqueCount="165">
  <si>
    <t>X</t>
  </si>
  <si>
    <t>Y</t>
  </si>
  <si>
    <t>Вариант 4</t>
  </si>
  <si>
    <t>выборочное среднее</t>
  </si>
  <si>
    <t>выборочная дисперсия</t>
  </si>
  <si>
    <t>среднеквадратическое отклонение</t>
  </si>
  <si>
    <t>Задание 1</t>
  </si>
  <si>
    <t>Интервальный вариационный ряд</t>
  </si>
  <si>
    <t>мин. значение</t>
  </si>
  <si>
    <t>кол-во интервалов</t>
  </si>
  <si>
    <t>длина интервала</t>
  </si>
  <si>
    <t>Интервалы</t>
  </si>
  <si>
    <t>ni</t>
  </si>
  <si>
    <t>неиспр</t>
  </si>
  <si>
    <t>испр</t>
  </si>
  <si>
    <t>макс. значение</t>
  </si>
  <si>
    <t>размах выборки</t>
  </si>
  <si>
    <t>середина
интервала</t>
  </si>
  <si>
    <t>xi</t>
  </si>
  <si>
    <t>частоты</t>
  </si>
  <si>
    <t>значения</t>
  </si>
  <si>
    <t>V выборки</t>
  </si>
  <si>
    <t>h</t>
  </si>
  <si>
    <t>Задание 2</t>
  </si>
  <si>
    <t>отсносительные 
частоты</t>
  </si>
  <si>
    <t>wi</t>
  </si>
  <si>
    <t>wi / h</t>
  </si>
  <si>
    <t>накопленные частоты</t>
  </si>
  <si>
    <t>wk</t>
  </si>
  <si>
    <t>плотность 
относительных частот</t>
  </si>
  <si>
    <t>выб. Ср.</t>
  </si>
  <si>
    <t>дисп. (испр.)</t>
  </si>
  <si>
    <t>ср. кв. откл.</t>
  </si>
  <si>
    <t>Вывод:</t>
  </si>
  <si>
    <t>H0</t>
  </si>
  <si>
    <t>k</t>
  </si>
  <si>
    <t>Упоряд.</t>
  </si>
  <si>
    <t>k-1/n</t>
  </si>
  <si>
    <t>k/n</t>
  </si>
  <si>
    <t>F0</t>
  </si>
  <si>
    <t>Теор. ф. распр.</t>
  </si>
  <si>
    <t>F0-(k-1)/n</t>
  </si>
  <si>
    <t>k/n-F0</t>
  </si>
  <si>
    <t>a</t>
  </si>
  <si>
    <t>1-a</t>
  </si>
  <si>
    <t>максимумы</t>
  </si>
  <si>
    <t>z (по таблице)</t>
  </si>
  <si>
    <t>Dn</t>
  </si>
  <si>
    <t>Гипотеза не проитворечит опытным данным и её следует принять</t>
  </si>
  <si>
    <t>проверить критерий Колмогорова (критерий согласия) для второй выборки, уровень значимости=0,1</t>
  </si>
  <si>
    <t>проверить критерий Колмогорова-Смирнова (критерий однородности) для обеих выборок, уровень значимости=0,1</t>
  </si>
  <si>
    <t>Гипотеза</t>
  </si>
  <si>
    <t>1я уп. выб.</t>
  </si>
  <si>
    <t>2я уп. выб.</t>
  </si>
  <si>
    <t>n</t>
  </si>
  <si>
    <t>F0(x)</t>
  </si>
  <si>
    <t>z</t>
  </si>
  <si>
    <t>m</t>
  </si>
  <si>
    <t>(k-1)/n</t>
  </si>
  <si>
    <t xml:space="preserve"> k/n - F0(x)</t>
  </si>
  <si>
    <t>(k-1)/n - F0(х)</t>
  </si>
  <si>
    <t>Проверка</t>
  </si>
  <si>
    <t>посчитать статистику критерия Вилкоксона</t>
  </si>
  <si>
    <t>H0 - выборка распределена по нормальному закону</t>
  </si>
  <si>
    <t>Перемешанные выборки</t>
  </si>
  <si>
    <t>Номер выборки</t>
  </si>
  <si>
    <t>R1</t>
  </si>
  <si>
    <t>R2</t>
  </si>
  <si>
    <t>w1</t>
  </si>
  <si>
    <t>w2</t>
  </si>
  <si>
    <t>Проверяем правильность вычислений:</t>
  </si>
  <si>
    <t>Выборочное среднее статистики</t>
  </si>
  <si>
    <t>U</t>
  </si>
  <si>
    <t>Коэф. корреляции</t>
  </si>
  <si>
    <t>Коэф. Спирмена</t>
  </si>
  <si>
    <t>, где</t>
  </si>
  <si>
    <t>Ранги 1</t>
  </si>
  <si>
    <t>Ранги 2</t>
  </si>
  <si>
    <t>Оценка критерия</t>
  </si>
  <si>
    <t>H0 - X и Y - независимые СВ</t>
  </si>
  <si>
    <t>Оценка критерия &lt; Критического значения</t>
  </si>
  <si>
    <t>Следовательно гипотеза H0 не противоречит опытным данным и её следует принять</t>
  </si>
  <si>
    <t>Коэффициент ранговой корреляции  Кэндела</t>
  </si>
  <si>
    <t>S согл. пары</t>
  </si>
  <si>
    <t>R инверсии</t>
  </si>
  <si>
    <t>Сумма S</t>
  </si>
  <si>
    <t>Сумма R</t>
  </si>
  <si>
    <t>баллы di</t>
  </si>
  <si>
    <t>U(1-a)</t>
  </si>
  <si>
    <t>|Zb|</t>
  </si>
  <si>
    <t>M(U)</t>
  </si>
  <si>
    <t>DU</t>
  </si>
  <si>
    <t>Zb</t>
  </si>
  <si>
    <t>|Zb| &lt; U(1-a)</t>
  </si>
  <si>
    <t>Гипотеза противоречит опытным данным и её следует отклонить.</t>
  </si>
  <si>
    <t>H0 - Выборки однородны</t>
  </si>
  <si>
    <t>Коэф. Кэндела соответствует квантилю нормального распределения с параметрами:</t>
  </si>
  <si>
    <t>Крит. знач</t>
  </si>
  <si>
    <t>Оценка критерия &lt; Крит. значения</t>
  </si>
  <si>
    <t xml:space="preserve">Следовательно H0 не протеворечит опытным данным и её следует принять </t>
  </si>
  <si>
    <t>b</t>
  </si>
  <si>
    <t>Построить линейную регрессию Х на Y, Y на X, где X – первая выборка (столбик), Y – вторая выборка (столбик).</t>
  </si>
  <si>
    <t>выборочное среднее X</t>
  </si>
  <si>
    <t>выборочное среднее Y</t>
  </si>
  <si>
    <t>коэфф. коррел. Пирсона (P)</t>
  </si>
  <si>
    <t>σ X</t>
  </si>
  <si>
    <t>σ Y</t>
  </si>
  <si>
    <t>Y на X</t>
  </si>
  <si>
    <t>X на Y</t>
  </si>
  <si>
    <t>Y на X:</t>
  </si>
  <si>
    <t>a = P*(σ Y / σ X)</t>
  </si>
  <si>
    <t>b = Ȳ - a*X̄</t>
  </si>
  <si>
    <t>X на Y:</t>
  </si>
  <si>
    <t>a = P*(σ X / σ Y)</t>
  </si>
  <si>
    <t>b = X̄- a*Ȳ</t>
  </si>
  <si>
    <t>формулы:</t>
  </si>
  <si>
    <t>доверительный интервал для МО при неизвестной дисперсии.</t>
  </si>
  <si>
    <t>это квантиль распределения функции Стьюдента с n-1 степенью свободы.</t>
  </si>
  <si>
    <t>доверительный интервал для МО при известной дисперсии. u - квантиль нормального распрелеления.</t>
  </si>
  <si>
    <t>квантиль уровня p — значение, которое заданная случайная величина не превышает с вероятностью p.</t>
  </si>
  <si>
    <t>доверительный интервал для дисперсии.</t>
  </si>
  <si>
    <t>значения            и            находятся по таблицам хи-квадрат распределения с n-1 степенью свободы, в таблице нужно искать       и            .</t>
  </si>
  <si>
    <t>1) Доверительные интервалы для МО при неизвестной дисперсии</t>
  </si>
  <si>
    <t>s</t>
  </si>
  <si>
    <t>(по формуле)</t>
  </si>
  <si>
    <t>Уровень доверия (b)</t>
  </si>
  <si>
    <t>Квантиль стьюдента</t>
  </si>
  <si>
    <t>(1-a/2, количество степеней свободы = 49)</t>
  </si>
  <si>
    <t>1-a/2</t>
  </si>
  <si>
    <t>Выборочное среднее</t>
  </si>
  <si>
    <t>Доверительный интервал для МО</t>
  </si>
  <si>
    <t>если вероятность (уровень доверия) b, то а = 1-b, а квантили ищутся для 1-а/2.</t>
  </si>
  <si>
    <t>2) Доверительные интервалы при известной дисперсии для математического ожидания</t>
  </si>
  <si>
    <t>Выборочная дисперсия</t>
  </si>
  <si>
    <t>(это значение нам дано)</t>
  </si>
  <si>
    <t>Квантиль нормального распределения (вернет значение, при котором 95% данных лежат слева от этой точки в стандартном нормальном распределении).</t>
  </si>
  <si>
    <t>3) Доверительный интервал для дисперсии при неизвестном МО</t>
  </si>
  <si>
    <t>xи-квадрат квантиль</t>
  </si>
  <si>
    <t>Исправленная выборочная дисперсия</t>
  </si>
  <si>
    <t>(s^2)</t>
  </si>
  <si>
    <t>Доверительный интервал для дисперсии</t>
  </si>
  <si>
    <t>число элементов (n)</t>
  </si>
  <si>
    <t>степени свободы</t>
  </si>
  <si>
    <t>минимальный</t>
  </si>
  <si>
    <t>уровень значимости</t>
  </si>
  <si>
    <t>максимальный</t>
  </si>
  <si>
    <t>ср. кв. отклонение</t>
  </si>
  <si>
    <t>критическое значение</t>
  </si>
  <si>
    <t>число промежутков</t>
  </si>
  <si>
    <t>объем выборки</t>
  </si>
  <si>
    <t>шаг</t>
  </si>
  <si>
    <t>номер
промежутка</t>
  </si>
  <si>
    <t>начало промежутка</t>
  </si>
  <si>
    <t>конец промежутка</t>
  </si>
  <si>
    <t>середина промежутка</t>
  </si>
  <si>
    <t>абсолютная частота (n_k)</t>
  </si>
  <si>
    <t>относительная частота</t>
  </si>
  <si>
    <t>плотность относ. част.</t>
  </si>
  <si>
    <t>накопленная частота</t>
  </si>
  <si>
    <t>нормированные координаты интервалов</t>
  </si>
  <si>
    <t>значение функции Лапласа на границах</t>
  </si>
  <si>
    <t>вероятность попадания в интервал (p_k)</t>
  </si>
  <si>
    <t>сумма</t>
  </si>
  <si>
    <t>гипотеза: генеральная совокупность для выборки распределена нормально</t>
  </si>
  <si>
    <t>хи-квадрат меньше критического значения?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</si>
</sst>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2" fontId="0" fillId="0" borderId="0" xfId="0" applyNumberFormat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Fill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0" xfId="0" applyFont="1"/>
    <xf numFmtId="16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6" fillId="0" borderId="14" xfId="0" applyFont="1" applyBorder="1" applyAlignment="1">
      <alignment vertical="center"/>
    </xf>
    <xf numFmtId="165" fontId="6" fillId="0" borderId="14" xfId="0" applyNumberFormat="1" applyFont="1" applyBorder="1" applyAlignment="1">
      <alignment vertical="center"/>
    </xf>
    <xf numFmtId="0" fontId="8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vertical="center"/>
    </xf>
    <xf numFmtId="0" fontId="6" fillId="0" borderId="8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6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6" fillId="0" borderId="0" xfId="0" applyFont="1" applyAlignment="1">
      <alignment vertical="center" wrapText="1"/>
    </xf>
    <xf numFmtId="0" fontId="1" fillId="0" borderId="2" xfId="0" applyFont="1" applyBorder="1"/>
    <xf numFmtId="0" fontId="1" fillId="0" borderId="15" xfId="0" applyFont="1" applyBorder="1"/>
    <xf numFmtId="0" fontId="1" fillId="0" borderId="14" xfId="0" applyFont="1" applyBorder="1"/>
    <xf numFmtId="164" fontId="1" fillId="0" borderId="14" xfId="0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layout>
        <c:manualLayout>
          <c:xMode val="edge"/>
          <c:yMode val="edge"/>
          <c:x val="0.38554155730533685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1'!$P$11:$P$17</c:f>
              <c:numCache>
                <c:formatCode>General</c:formatCode>
                <c:ptCount val="7"/>
                <c:pt idx="0">
                  <c:v>1.1579100000000002</c:v>
                </c:pt>
                <c:pt idx="1">
                  <c:v>1.43011</c:v>
                </c:pt>
                <c:pt idx="2">
                  <c:v>1.7023100000000002</c:v>
                </c:pt>
                <c:pt idx="3">
                  <c:v>1.9745100000000002</c:v>
                </c:pt>
                <c:pt idx="4">
                  <c:v>2.2467100000000002</c:v>
                </c:pt>
                <c:pt idx="5">
                  <c:v>2.51891</c:v>
                </c:pt>
                <c:pt idx="6">
                  <c:v>2.7911099999999998</c:v>
                </c:pt>
              </c:numCache>
            </c:numRef>
          </c:cat>
          <c:val>
            <c:numRef>
              <c:f>'Задание 1'!$R$11:$R$17</c:f>
              <c:numCache>
                <c:formatCode>General</c:formatCode>
                <c:ptCount val="7"/>
                <c:pt idx="0">
                  <c:v>0.2</c:v>
                </c:pt>
                <c:pt idx="1">
                  <c:v>0.16</c:v>
                </c:pt>
                <c:pt idx="2">
                  <c:v>0.08</c:v>
                </c:pt>
                <c:pt idx="3">
                  <c:v>0.18</c:v>
                </c:pt>
                <c:pt idx="4">
                  <c:v>0.06</c:v>
                </c:pt>
                <c:pt idx="5">
                  <c:v>0.12</c:v>
                </c:pt>
                <c:pt idx="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BD-40BF-BC1D-88896C6B4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154512"/>
        <c:axId val="1355840704"/>
      </c:lineChart>
      <c:catAx>
        <c:axId val="150715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5840704"/>
        <c:crosses val="autoZero"/>
        <c:auto val="1"/>
        <c:lblAlgn val="ctr"/>
        <c:lblOffset val="100"/>
        <c:noMultiLvlLbl val="0"/>
      </c:catAx>
      <c:valAx>
        <c:axId val="135584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15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9050">
              <a:solidFill>
                <a:schemeClr val="accent1"/>
              </a:solidFill>
            </a:ln>
            <a:effectLst/>
          </c:spPr>
          <c:invertIfNegative val="0"/>
          <c:cat>
            <c:multiLvlStrRef>
              <c:f>'Задание 1'!$N$11:$O$17</c:f>
              <c:multiLvlStrCache>
                <c:ptCount val="7"/>
                <c:lvl>
                  <c:pt idx="0">
                    <c:v>1.29401</c:v>
                  </c:pt>
                  <c:pt idx="1">
                    <c:v>1.56621</c:v>
                  </c:pt>
                  <c:pt idx="2">
                    <c:v>1.83841</c:v>
                  </c:pt>
                  <c:pt idx="3">
                    <c:v>2.11061</c:v>
                  </c:pt>
                  <c:pt idx="4">
                    <c:v>2.38281</c:v>
                  </c:pt>
                  <c:pt idx="5">
                    <c:v>2.65501</c:v>
                  </c:pt>
                  <c:pt idx="6">
                    <c:v>2.92721</c:v>
                  </c:pt>
                </c:lvl>
                <c:lvl>
                  <c:pt idx="0">
                    <c:v>1.02181</c:v>
                  </c:pt>
                  <c:pt idx="1">
                    <c:v>1.29401</c:v>
                  </c:pt>
                  <c:pt idx="2">
                    <c:v>1.56621</c:v>
                  </c:pt>
                  <c:pt idx="3">
                    <c:v>1.83841</c:v>
                  </c:pt>
                  <c:pt idx="4">
                    <c:v>2.11061</c:v>
                  </c:pt>
                  <c:pt idx="5">
                    <c:v>2.38281</c:v>
                  </c:pt>
                  <c:pt idx="6">
                    <c:v>2.65501</c:v>
                  </c:pt>
                </c:lvl>
              </c:multiLvlStrCache>
            </c:multiLvlStrRef>
          </c:cat>
          <c:val>
            <c:numRef>
              <c:f>'Задание 1'!$S$11:$S$17</c:f>
              <c:numCache>
                <c:formatCode>General</c:formatCode>
                <c:ptCount val="7"/>
                <c:pt idx="0">
                  <c:v>0.73475385745775168</c:v>
                </c:pt>
                <c:pt idx="1">
                  <c:v>0.58780308596620134</c:v>
                </c:pt>
                <c:pt idx="2">
                  <c:v>0.29390154298310067</c:v>
                </c:pt>
                <c:pt idx="3">
                  <c:v>0.66127847171197651</c:v>
                </c:pt>
                <c:pt idx="4">
                  <c:v>0.22042615723732548</c:v>
                </c:pt>
                <c:pt idx="5">
                  <c:v>0.44085231447465095</c:v>
                </c:pt>
                <c:pt idx="6">
                  <c:v>0.73475385745775168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D-43A5-8677-E5F14037B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Величина </a:t>
            </a:r>
            <a:r>
              <a:rPr lang="en-US"/>
              <a:t>Y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'Задание 3'!$D$11:$E$15</c:f>
              <c:multiLvlStrCache>
                <c:ptCount val="5"/>
                <c:lvl>
                  <c:pt idx="0">
                    <c:v>1,23096</c:v>
                  </c:pt>
                  <c:pt idx="1">
                    <c:v>3,97794</c:v>
                  </c:pt>
                  <c:pt idx="2">
                    <c:v>6,72493</c:v>
                  </c:pt>
                  <c:pt idx="3">
                    <c:v>9,47191</c:v>
                  </c:pt>
                  <c:pt idx="4">
                    <c:v>12,21890</c:v>
                  </c:pt>
                </c:lvl>
                <c:lvl>
                  <c:pt idx="0">
                    <c:v>-1,51603</c:v>
                  </c:pt>
                  <c:pt idx="1">
                    <c:v>1,23096</c:v>
                  </c:pt>
                  <c:pt idx="2">
                    <c:v>3,97794</c:v>
                  </c:pt>
                  <c:pt idx="3">
                    <c:v>6,72493</c:v>
                  </c:pt>
                  <c:pt idx="4">
                    <c:v>9,47191</c:v>
                  </c:pt>
                </c:lvl>
              </c:multiLvlStrCache>
            </c:multiLvlStrRef>
          </c:cat>
          <c:val>
            <c:numRef>
              <c:f>'Задание 3'!$I$11:$I$15</c:f>
              <c:numCache>
                <c:formatCode>General</c:formatCode>
                <c:ptCount val="5"/>
                <c:pt idx="0">
                  <c:v>5.8245655420158672E-2</c:v>
                </c:pt>
                <c:pt idx="1">
                  <c:v>0.10921060391279751</c:v>
                </c:pt>
                <c:pt idx="2">
                  <c:v>0.11649131084031734</c:v>
                </c:pt>
                <c:pt idx="3">
                  <c:v>5.8245655420158672E-2</c:v>
                </c:pt>
                <c:pt idx="4">
                  <c:v>2.1842120782559503E-2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79-4229-967F-8BDE5B26D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Нормированное нормальное распределение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noFill/>
            <a:ln w="15875">
              <a:solidFill>
                <a:schemeClr val="accent2"/>
              </a:solidFill>
            </a:ln>
            <a:effectLst/>
          </c:spPr>
          <c:invertIfNegative val="0"/>
          <c:cat>
            <c:multiLvlStrRef>
              <c:f>'Задание 3'!$L$11:$M$15</c:f>
              <c:multiLvlStrCache>
                <c:ptCount val="5"/>
                <c:lvl>
                  <c:pt idx="0">
                    <c:v>-1,064728135</c:v>
                  </c:pt>
                  <c:pt idx="1">
                    <c:v>-0,169638138</c:v>
                  </c:pt>
                  <c:pt idx="2">
                    <c:v>0,725451858</c:v>
                  </c:pt>
                  <c:pt idx="3">
                    <c:v>1,620541855</c:v>
                  </c:pt>
                  <c:pt idx="4">
                    <c:v>2,515631851</c:v>
                  </c:pt>
                </c:lvl>
                <c:lvl>
                  <c:pt idx="0">
                    <c:v>-1,959818131</c:v>
                  </c:pt>
                  <c:pt idx="1">
                    <c:v>-1,064728135</c:v>
                  </c:pt>
                  <c:pt idx="2">
                    <c:v>-0,169638138</c:v>
                  </c:pt>
                  <c:pt idx="3">
                    <c:v>0,725451858</c:v>
                  </c:pt>
                  <c:pt idx="4">
                    <c:v>1,620541855</c:v>
                  </c:pt>
                </c:lvl>
              </c:multiLvlStrCache>
            </c:multiLvlStrRef>
          </c:cat>
          <c:val>
            <c:numRef>
              <c:f>'Задание 3'!$P$11:$P$15</c:f>
              <c:numCache>
                <c:formatCode>General</c:formatCode>
                <c:ptCount val="5"/>
                <c:pt idx="0">
                  <c:v>0.14349948723257083</c:v>
                </c:pt>
                <c:pt idx="1">
                  <c:v>0.28914787640260714</c:v>
                </c:pt>
                <c:pt idx="2">
                  <c:v>0.33326520196324749</c:v>
                </c:pt>
                <c:pt idx="3">
                  <c:v>0.18152946889286958</c:v>
                </c:pt>
                <c:pt idx="4">
                  <c:v>5.2557965508704951E-2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7D-47CA-BB9C-932ADC68B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737246400"/>
        <c:axId val="737248480"/>
      </c:barChart>
      <c:catAx>
        <c:axId val="73724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8480"/>
        <c:crosses val="autoZero"/>
        <c:auto val="1"/>
        <c:lblAlgn val="ctr"/>
        <c:lblOffset val="100"/>
        <c:noMultiLvlLbl val="0"/>
      </c:catAx>
      <c:valAx>
        <c:axId val="73724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724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= 2,12177 + 0,25958x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6'!$A$6:$A$55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6'!$B$6:$B$55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FE-4CEA-9405-61CE6360D529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6'!$A$6:$A$55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6'!$H$6:$H$55</c:f>
              <c:numCache>
                <c:formatCode>General</c:formatCode>
                <c:ptCount val="50"/>
                <c:pt idx="0">
                  <c:v>4.5710418207769292</c:v>
                </c:pt>
                <c:pt idx="1">
                  <c:v>4.4236394279448588</c:v>
                </c:pt>
                <c:pt idx="2">
                  <c:v>4.3715132338172733</c:v>
                </c:pt>
                <c:pt idx="3">
                  <c:v>5.0529747272297501</c:v>
                </c:pt>
                <c:pt idx="4">
                  <c:v>4.0334106910546961</c:v>
                </c:pt>
                <c:pt idx="5">
                  <c:v>4.4297456366984616</c:v>
                </c:pt>
                <c:pt idx="6">
                  <c:v>4.3608750522667812</c:v>
                </c:pt>
                <c:pt idx="7">
                  <c:v>4.0325958135116871</c:v>
                </c:pt>
                <c:pt idx="8">
                  <c:v>3.7904070439707631</c:v>
                </c:pt>
                <c:pt idx="9">
                  <c:v>3.627556901144791</c:v>
                </c:pt>
                <c:pt idx="10">
                  <c:v>5.0968258846815697</c:v>
                </c:pt>
                <c:pt idx="11">
                  <c:v>4.6247610557276069</c:v>
                </c:pt>
                <c:pt idx="12">
                  <c:v>4.0268379425209746</c:v>
                </c:pt>
                <c:pt idx="13">
                  <c:v>5.017782763009687</c:v>
                </c:pt>
                <c:pt idx="14">
                  <c:v>4.4648211898409524</c:v>
                </c:pt>
                <c:pt idx="15">
                  <c:v>4.5947628165069414</c:v>
                </c:pt>
                <c:pt idx="16">
                  <c:v>5.0283940804653549</c:v>
                </c:pt>
                <c:pt idx="17">
                  <c:v>4.5484491170295458</c:v>
                </c:pt>
                <c:pt idx="18">
                  <c:v>3.854809233963306</c:v>
                </c:pt>
                <c:pt idx="19">
                  <c:v>4.637503591372683</c:v>
                </c:pt>
                <c:pt idx="20">
                  <c:v>3.9713367226136072</c:v>
                </c:pt>
                <c:pt idx="21">
                  <c:v>5.1300925887725457</c:v>
                </c:pt>
                <c:pt idx="22">
                  <c:v>5.1176545128688131</c:v>
                </c:pt>
                <c:pt idx="23">
                  <c:v>4.3229608597711708</c:v>
                </c:pt>
                <c:pt idx="24">
                  <c:v>4.9295342115112843</c:v>
                </c:pt>
                <c:pt idx="25">
                  <c:v>3.6906517051892092</c:v>
                </c:pt>
                <c:pt idx="26">
                  <c:v>5.1289822061864667</c:v>
                </c:pt>
                <c:pt idx="27">
                  <c:v>3.7820164916872514</c:v>
                </c:pt>
                <c:pt idx="28">
                  <c:v>4.3803336116179761</c:v>
                </c:pt>
                <c:pt idx="29">
                  <c:v>4.4081648138561329</c:v>
                </c:pt>
                <c:pt idx="30">
                  <c:v>3.7185903638066646</c:v>
                </c:pt>
                <c:pt idx="31">
                  <c:v>3.7326044666067659</c:v>
                </c:pt>
                <c:pt idx="32">
                  <c:v>5.0162067361133174</c:v>
                </c:pt>
                <c:pt idx="33">
                  <c:v>4.0696414002746391</c:v>
                </c:pt>
                <c:pt idx="34">
                  <c:v>5.0757286155460815</c:v>
                </c:pt>
                <c:pt idx="35">
                  <c:v>3.8189367126743567</c:v>
                </c:pt>
                <c:pt idx="36">
                  <c:v>4.1888015702177386</c:v>
                </c:pt>
                <c:pt idx="37">
                  <c:v>5.1240302580404888</c:v>
                </c:pt>
                <c:pt idx="38">
                  <c:v>3.6107757965777685</c:v>
                </c:pt>
                <c:pt idx="39">
                  <c:v>4.8332980691517369</c:v>
                </c:pt>
                <c:pt idx="40">
                  <c:v>5.0741704980462616</c:v>
                </c:pt>
                <c:pt idx="41">
                  <c:v>3.829216706293856</c:v>
                </c:pt>
                <c:pt idx="42">
                  <c:v>5.001127024218512</c:v>
                </c:pt>
                <c:pt idx="43">
                  <c:v>5.1685709272594691</c:v>
                </c:pt>
                <c:pt idx="44">
                  <c:v>5.3170040058629731</c:v>
                </c:pt>
                <c:pt idx="45">
                  <c:v>4.7727374447190938</c:v>
                </c:pt>
                <c:pt idx="46">
                  <c:v>4.9408439954323882</c:v>
                </c:pt>
                <c:pt idx="47">
                  <c:v>3.6664113369592579</c:v>
                </c:pt>
                <c:pt idx="48">
                  <c:v>5.1357340486856851</c:v>
                </c:pt>
                <c:pt idx="49">
                  <c:v>4.21949827590384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FE-4CEA-9405-61CE6360D5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= 1,51337 + 0,01151y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'Задание 6'!$B$6:$B$55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xVal>
          <c:yVal>
            <c:numRef>
              <c:f>'Задание 6'!$A$6:$A$55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E-45A3-8DC2-351995D99F6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'Задание 6'!$B$6:$B$55</c:f>
              <c:numCache>
                <c:formatCode>General</c:formatCode>
                <c:ptCount val="50"/>
                <c:pt idx="0">
                  <c:v>5.1363300000000001</c:v>
                </c:pt>
                <c:pt idx="1">
                  <c:v>6.6862700000000004</c:v>
                </c:pt>
                <c:pt idx="2">
                  <c:v>0.29131499999999999</c:v>
                </c:pt>
                <c:pt idx="3">
                  <c:v>5.1470700000000003</c:v>
                </c:pt>
                <c:pt idx="4">
                  <c:v>5.0792099999999998</c:v>
                </c:pt>
                <c:pt idx="5">
                  <c:v>0.57628599999999996</c:v>
                </c:pt>
                <c:pt idx="6">
                  <c:v>10.639849999999999</c:v>
                </c:pt>
                <c:pt idx="7">
                  <c:v>8.4246800000000004</c:v>
                </c:pt>
                <c:pt idx="8">
                  <c:v>2.1817000000000002</c:v>
                </c:pt>
                <c:pt idx="9">
                  <c:v>2.8486600000000002</c:v>
                </c:pt>
                <c:pt idx="10">
                  <c:v>2.0169899999999998</c:v>
                </c:pt>
                <c:pt idx="11">
                  <c:v>1.13697</c:v>
                </c:pt>
                <c:pt idx="12">
                  <c:v>5.2546600000000003</c:v>
                </c:pt>
                <c:pt idx="13">
                  <c:v>4.67936</c:v>
                </c:pt>
                <c:pt idx="14">
                  <c:v>5.5770600000000004</c:v>
                </c:pt>
                <c:pt idx="15">
                  <c:v>7.05016</c:v>
                </c:pt>
                <c:pt idx="16">
                  <c:v>8.7911699999999993</c:v>
                </c:pt>
                <c:pt idx="17">
                  <c:v>10.263999999999999</c:v>
                </c:pt>
                <c:pt idx="18">
                  <c:v>1.1330499999999999</c:v>
                </c:pt>
                <c:pt idx="19">
                  <c:v>2.1659299999999999</c:v>
                </c:pt>
                <c:pt idx="20">
                  <c:v>4.09626</c:v>
                </c:pt>
                <c:pt idx="21">
                  <c:v>2.3341400000000001</c:v>
                </c:pt>
                <c:pt idx="22">
                  <c:v>9.4604800000000004</c:v>
                </c:pt>
                <c:pt idx="23">
                  <c:v>6.3081500000000004</c:v>
                </c:pt>
                <c:pt idx="24">
                  <c:v>4.0541200000000002</c:v>
                </c:pt>
                <c:pt idx="25">
                  <c:v>2.7465700000000002</c:v>
                </c:pt>
                <c:pt idx="26">
                  <c:v>2.3625500000000001</c:v>
                </c:pt>
                <c:pt idx="27">
                  <c:v>-1.51603</c:v>
                </c:pt>
                <c:pt idx="28">
                  <c:v>7.6174799999999996</c:v>
                </c:pt>
                <c:pt idx="29">
                  <c:v>0.29575800000000002</c:v>
                </c:pt>
                <c:pt idx="30">
                  <c:v>7.3238899999999996</c:v>
                </c:pt>
                <c:pt idx="31">
                  <c:v>2.8535900000000001</c:v>
                </c:pt>
                <c:pt idx="32">
                  <c:v>2.7207699999999999</c:v>
                </c:pt>
                <c:pt idx="33">
                  <c:v>6.1454000000000004</c:v>
                </c:pt>
                <c:pt idx="34">
                  <c:v>1.12967</c:v>
                </c:pt>
                <c:pt idx="35">
                  <c:v>0.73295500000000002</c:v>
                </c:pt>
                <c:pt idx="36">
                  <c:v>2.0230700000000001</c:v>
                </c:pt>
                <c:pt idx="37">
                  <c:v>4.7182700000000004</c:v>
                </c:pt>
                <c:pt idx="38">
                  <c:v>3.2783500000000001</c:v>
                </c:pt>
                <c:pt idx="39">
                  <c:v>7.3078500000000002</c:v>
                </c:pt>
                <c:pt idx="40">
                  <c:v>1.7641899999999999</c:v>
                </c:pt>
                <c:pt idx="41">
                  <c:v>4.7862799999999996</c:v>
                </c:pt>
                <c:pt idx="42">
                  <c:v>9.3262300000000007</c:v>
                </c:pt>
                <c:pt idx="43">
                  <c:v>2.7852100000000002</c:v>
                </c:pt>
                <c:pt idx="44">
                  <c:v>12.2189</c:v>
                </c:pt>
                <c:pt idx="45">
                  <c:v>2.7725499999999998</c:v>
                </c:pt>
                <c:pt idx="46">
                  <c:v>4.7862299999999998</c:v>
                </c:pt>
                <c:pt idx="47">
                  <c:v>5.0236499999999999</c:v>
                </c:pt>
                <c:pt idx="48">
                  <c:v>2.9275000000000002</c:v>
                </c:pt>
                <c:pt idx="49">
                  <c:v>6.2996100000000004</c:v>
                </c:pt>
              </c:numCache>
            </c:numRef>
          </c:xVal>
          <c:yVal>
            <c:numRef>
              <c:f>'Задание 6'!$I$6:$I$55</c:f>
              <c:numCache>
                <c:formatCode>General</c:formatCode>
                <c:ptCount val="50"/>
                <c:pt idx="0">
                  <c:v>7.6330820290699606</c:v>
                </c:pt>
                <c:pt idx="1">
                  <c:v>2.7720436040639473</c:v>
                </c:pt>
                <c:pt idx="2">
                  <c:v>1.0530251557529464</c:v>
                </c:pt>
                <c:pt idx="3">
                  <c:v>23.526272984327516</c:v>
                </c:pt>
                <c:pt idx="4">
                  <c:v>-10.096925807617968</c:v>
                </c:pt>
                <c:pt idx="5">
                  <c:v>2.9734142522066036</c:v>
                </c:pt>
                <c:pt idx="6">
                  <c:v>0.70219903756334512</c:v>
                </c:pt>
                <c:pt idx="7">
                  <c:v>-10.123798852024752</c:v>
                </c:pt>
                <c:pt idx="8">
                  <c:v>-18.110703896263693</c:v>
                </c:pt>
                <c:pt idx="9">
                  <c:v>-23.481178463095365</c:v>
                </c:pt>
                <c:pt idx="10">
                  <c:v>24.972397143228577</c:v>
                </c:pt>
                <c:pt idx="11">
                  <c:v>9.404635802655319</c:v>
                </c:pt>
                <c:pt idx="12">
                  <c:v>-10.313682011953968</c:v>
                </c:pt>
                <c:pt idx="13">
                  <c:v>22.365711835771016</c:v>
                </c:pt>
                <c:pt idx="14">
                  <c:v>4.1301363944192806</c:v>
                </c:pt>
                <c:pt idx="15">
                  <c:v>8.4153533986694971</c:v>
                </c:pt>
                <c:pt idx="16">
                  <c:v>22.715652029419733</c:v>
                </c:pt>
                <c:pt idx="17">
                  <c:v>6.8880194901875109</c:v>
                </c:pt>
                <c:pt idx="18">
                  <c:v>-15.986847463587274</c:v>
                </c:pt>
                <c:pt idx="19">
                  <c:v>9.8248593432140705</c:v>
                </c:pt>
                <c:pt idx="20">
                  <c:v>-12.144002113417887</c:v>
                </c:pt>
                <c:pt idx="21">
                  <c:v>26.069467033021805</c:v>
                </c:pt>
                <c:pt idx="22">
                  <c:v>25.659283970593059</c:v>
                </c:pt>
                <c:pt idx="23">
                  <c:v>-0.54813579780260735</c:v>
                </c:pt>
                <c:pt idx="24">
                  <c:v>19.455449718970943</c:v>
                </c:pt>
                <c:pt idx="25">
                  <c:v>-21.400437024741915</c:v>
                </c:pt>
                <c:pt idx="26">
                  <c:v>26.032848818665311</c:v>
                </c:pt>
                <c:pt idx="27">
                  <c:v>-18.387407661199433</c:v>
                </c:pt>
                <c:pt idx="28">
                  <c:v>1.3439037133427978</c:v>
                </c:pt>
                <c:pt idx="29">
                  <c:v>2.2617215376974085</c:v>
                </c:pt>
                <c:pt idx="30">
                  <c:v>-20.479075502223775</c:v>
                </c:pt>
                <c:pt idx="31">
                  <c:v>-20.016918200063238</c:v>
                </c:pt>
                <c:pt idx="32">
                  <c:v>22.313737596039221</c:v>
                </c:pt>
                <c:pt idx="33">
                  <c:v>-8.9021089101473354</c:v>
                </c:pt>
                <c:pt idx="34">
                  <c:v>24.276651070455266</c:v>
                </c:pt>
                <c:pt idx="35">
                  <c:v>-17.169852033846137</c:v>
                </c:pt>
                <c:pt idx="36">
                  <c:v>-4.9724429549714273</c:v>
                </c:pt>
                <c:pt idx="37">
                  <c:v>25.869543394962584</c:v>
                </c:pt>
                <c:pt idx="38">
                  <c:v>-24.034585992966839</c:v>
                </c:pt>
                <c:pt idx="39">
                  <c:v>16.281772705348381</c:v>
                </c:pt>
                <c:pt idx="40">
                  <c:v>24.225267447084061</c:v>
                </c:pt>
                <c:pt idx="41">
                  <c:v>-16.830838242868303</c:v>
                </c:pt>
                <c:pt idx="42">
                  <c:v>21.816438620423664</c:v>
                </c:pt>
                <c:pt idx="43">
                  <c:v>27.338406283746302</c:v>
                </c:pt>
                <c:pt idx="44">
                  <c:v>32.233434680304185</c:v>
                </c:pt>
                <c:pt idx="45">
                  <c:v>14.284603482018198</c:v>
                </c:pt>
                <c:pt idx="46">
                  <c:v>19.828423950682609</c:v>
                </c:pt>
                <c:pt idx="47">
                  <c:v>-22.199836268798506</c:v>
                </c:pt>
                <c:pt idx="48">
                  <c:v>26.255511186607198</c:v>
                </c:pt>
                <c:pt idx="49">
                  <c:v>-3.9601265129226579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CE-45A3-8DC2-351995D99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6417647"/>
        <c:axId val="1206418063"/>
      </c:scatterChart>
      <c:valAx>
        <c:axId val="120641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8063"/>
        <c:crosses val="autoZero"/>
        <c:crossBetween val="midCat"/>
      </c:valAx>
      <c:valAx>
        <c:axId val="12064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641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6'!$A$6:$A$57</c:f>
              <c:numCache>
                <c:formatCode>General</c:formatCode>
                <c:ptCount val="52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6'!$H$6:$H$55</c:f>
              <c:numCache>
                <c:formatCode>General</c:formatCode>
                <c:ptCount val="50"/>
                <c:pt idx="0">
                  <c:v>4.5710418207769292</c:v>
                </c:pt>
                <c:pt idx="1">
                  <c:v>4.4236394279448588</c:v>
                </c:pt>
                <c:pt idx="2">
                  <c:v>4.3715132338172733</c:v>
                </c:pt>
                <c:pt idx="3">
                  <c:v>5.0529747272297501</c:v>
                </c:pt>
                <c:pt idx="4">
                  <c:v>4.0334106910546961</c:v>
                </c:pt>
                <c:pt idx="5">
                  <c:v>4.4297456366984616</c:v>
                </c:pt>
                <c:pt idx="6">
                  <c:v>4.3608750522667812</c:v>
                </c:pt>
                <c:pt idx="7">
                  <c:v>4.0325958135116871</c:v>
                </c:pt>
                <c:pt idx="8">
                  <c:v>3.7904070439707631</c:v>
                </c:pt>
                <c:pt idx="9">
                  <c:v>3.627556901144791</c:v>
                </c:pt>
                <c:pt idx="10">
                  <c:v>5.0968258846815697</c:v>
                </c:pt>
                <c:pt idx="11">
                  <c:v>4.6247610557276069</c:v>
                </c:pt>
                <c:pt idx="12">
                  <c:v>4.0268379425209746</c:v>
                </c:pt>
                <c:pt idx="13">
                  <c:v>5.017782763009687</c:v>
                </c:pt>
                <c:pt idx="14">
                  <c:v>4.4648211898409524</c:v>
                </c:pt>
                <c:pt idx="15">
                  <c:v>4.5947628165069414</c:v>
                </c:pt>
                <c:pt idx="16">
                  <c:v>5.0283940804653549</c:v>
                </c:pt>
                <c:pt idx="17">
                  <c:v>4.5484491170295458</c:v>
                </c:pt>
                <c:pt idx="18">
                  <c:v>3.854809233963306</c:v>
                </c:pt>
                <c:pt idx="19">
                  <c:v>4.637503591372683</c:v>
                </c:pt>
                <c:pt idx="20">
                  <c:v>3.9713367226136072</c:v>
                </c:pt>
                <c:pt idx="21">
                  <c:v>5.1300925887725457</c:v>
                </c:pt>
                <c:pt idx="22">
                  <c:v>5.1176545128688131</c:v>
                </c:pt>
                <c:pt idx="23">
                  <c:v>4.3229608597711708</c:v>
                </c:pt>
                <c:pt idx="24">
                  <c:v>4.9295342115112843</c:v>
                </c:pt>
                <c:pt idx="25">
                  <c:v>3.6906517051892092</c:v>
                </c:pt>
                <c:pt idx="26">
                  <c:v>5.1289822061864667</c:v>
                </c:pt>
                <c:pt idx="27">
                  <c:v>3.7820164916872514</c:v>
                </c:pt>
                <c:pt idx="28">
                  <c:v>4.3803336116179761</c:v>
                </c:pt>
                <c:pt idx="29">
                  <c:v>4.4081648138561329</c:v>
                </c:pt>
                <c:pt idx="30">
                  <c:v>3.7185903638066646</c:v>
                </c:pt>
                <c:pt idx="31">
                  <c:v>3.7326044666067659</c:v>
                </c:pt>
                <c:pt idx="32">
                  <c:v>5.0162067361133174</c:v>
                </c:pt>
                <c:pt idx="33">
                  <c:v>4.0696414002746391</c:v>
                </c:pt>
                <c:pt idx="34">
                  <c:v>5.0757286155460815</c:v>
                </c:pt>
                <c:pt idx="35">
                  <c:v>3.8189367126743567</c:v>
                </c:pt>
                <c:pt idx="36">
                  <c:v>4.1888015702177386</c:v>
                </c:pt>
                <c:pt idx="37">
                  <c:v>5.1240302580404888</c:v>
                </c:pt>
                <c:pt idx="38">
                  <c:v>3.6107757965777685</c:v>
                </c:pt>
                <c:pt idx="39">
                  <c:v>4.8332980691517369</c:v>
                </c:pt>
                <c:pt idx="40">
                  <c:v>5.0741704980462616</c:v>
                </c:pt>
                <c:pt idx="41">
                  <c:v>3.829216706293856</c:v>
                </c:pt>
                <c:pt idx="42">
                  <c:v>5.001127024218512</c:v>
                </c:pt>
                <c:pt idx="43">
                  <c:v>5.1685709272594691</c:v>
                </c:pt>
                <c:pt idx="44">
                  <c:v>5.3170040058629731</c:v>
                </c:pt>
                <c:pt idx="45">
                  <c:v>4.7727374447190938</c:v>
                </c:pt>
                <c:pt idx="46">
                  <c:v>4.9408439954323882</c:v>
                </c:pt>
                <c:pt idx="47">
                  <c:v>3.6664113369592579</c:v>
                </c:pt>
                <c:pt idx="48">
                  <c:v>5.1357340486856851</c:v>
                </c:pt>
                <c:pt idx="49">
                  <c:v>4.21949827590384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23-40BC-B8F4-FEB59ED29DB1}"/>
            </c:ext>
          </c:extLst>
        </c:ser>
        <c:ser>
          <c:idx val="1"/>
          <c:order val="1"/>
          <c:tx>
            <c:strRef>
              <c:f>'Задание 6'!$A$6:$A$55</c:f>
              <c:strCache>
                <c:ptCount val="50"/>
                <c:pt idx="0">
                  <c:v>1,85485</c:v>
                </c:pt>
                <c:pt idx="1">
                  <c:v>2,019459</c:v>
                </c:pt>
                <c:pt idx="2">
                  <c:v>2,07767</c:v>
                </c:pt>
                <c:pt idx="3">
                  <c:v>1,31666</c:v>
                </c:pt>
                <c:pt idx="4">
                  <c:v>2,45524</c:v>
                </c:pt>
                <c:pt idx="5">
                  <c:v>2,01264</c:v>
                </c:pt>
                <c:pt idx="6">
                  <c:v>2,08955</c:v>
                </c:pt>
                <c:pt idx="7">
                  <c:v>2,45615</c:v>
                </c:pt>
                <c:pt idx="8">
                  <c:v>2,72661</c:v>
                </c:pt>
                <c:pt idx="9">
                  <c:v>2,90847</c:v>
                </c:pt>
                <c:pt idx="10">
                  <c:v>1,26769</c:v>
                </c:pt>
                <c:pt idx="11">
                  <c:v>1,79486</c:v>
                </c:pt>
                <c:pt idx="12">
                  <c:v>2,46258</c:v>
                </c:pt>
                <c:pt idx="13">
                  <c:v>1,35596</c:v>
                </c:pt>
                <c:pt idx="14">
                  <c:v>1,97347</c:v>
                </c:pt>
                <c:pt idx="15">
                  <c:v>1,82836</c:v>
                </c:pt>
                <c:pt idx="16">
                  <c:v>1,34411</c:v>
                </c:pt>
                <c:pt idx="17">
                  <c:v>1,88008</c:v>
                </c:pt>
                <c:pt idx="18">
                  <c:v>2,65469</c:v>
                </c:pt>
                <c:pt idx="19">
                  <c:v>1,78063</c:v>
                </c:pt>
                <c:pt idx="20">
                  <c:v>2,52456</c:v>
                </c:pt>
                <c:pt idx="21">
                  <c:v>1,23054</c:v>
                </c:pt>
                <c:pt idx="22">
                  <c:v>1,24443</c:v>
                </c:pt>
                <c:pt idx="23">
                  <c:v>2,13189</c:v>
                </c:pt>
                <c:pt idx="24">
                  <c:v>1,45451</c:v>
                </c:pt>
                <c:pt idx="25">
                  <c:v>2,83801</c:v>
                </c:pt>
                <c:pt idx="26">
                  <c:v>1,23178</c:v>
                </c:pt>
                <c:pt idx="27">
                  <c:v>2,73598</c:v>
                </c:pt>
                <c:pt idx="28">
                  <c:v>2,06782</c:v>
                </c:pt>
                <c:pt idx="29">
                  <c:v>2,03674</c:v>
                </c:pt>
                <c:pt idx="30">
                  <c:v>2,80681</c:v>
                </c:pt>
                <c:pt idx="31">
                  <c:v>2,79116</c:v>
                </c:pt>
                <c:pt idx="32">
                  <c:v>1,35772</c:v>
                </c:pt>
                <c:pt idx="33">
                  <c:v>2,41478</c:v>
                </c:pt>
                <c:pt idx="34">
                  <c:v>1,29125</c:v>
                </c:pt>
                <c:pt idx="35">
                  <c:v>2,69475</c:v>
                </c:pt>
                <c:pt idx="36">
                  <c:v>2,28171</c:v>
                </c:pt>
                <c:pt idx="37">
                  <c:v>1,23731</c:v>
                </c:pt>
                <c:pt idx="38">
                  <c:v>2,92721</c:v>
                </c:pt>
                <c:pt idx="39">
                  <c:v>1,56198</c:v>
                </c:pt>
                <c:pt idx="40">
                  <c:v>1,29299</c:v>
                </c:pt>
                <c:pt idx="41">
                  <c:v>2,68327</c:v>
                </c:pt>
                <c:pt idx="42">
                  <c:v>1,37456</c:v>
                </c:pt>
                <c:pt idx="43">
                  <c:v>1,18757</c:v>
                </c:pt>
                <c:pt idx="44">
                  <c:v>1,02181</c:v>
                </c:pt>
                <c:pt idx="45">
                  <c:v>1,62961</c:v>
                </c:pt>
                <c:pt idx="46">
                  <c:v>1,44188</c:v>
                </c:pt>
                <c:pt idx="47">
                  <c:v>2,86508</c:v>
                </c:pt>
                <c:pt idx="48">
                  <c:v>1,22424</c:v>
                </c:pt>
                <c:pt idx="49">
                  <c:v>2,24743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6'!$A$6:$A$55</c:f>
              <c:numCache>
                <c:formatCode>General</c:formatCode>
                <c:ptCount val="50"/>
                <c:pt idx="0">
                  <c:v>1.8548500000000001</c:v>
                </c:pt>
                <c:pt idx="1">
                  <c:v>2.0194589999999999</c:v>
                </c:pt>
                <c:pt idx="2">
                  <c:v>2.0776699999999999</c:v>
                </c:pt>
                <c:pt idx="3">
                  <c:v>1.3166599999999999</c:v>
                </c:pt>
                <c:pt idx="4">
                  <c:v>2.4552399999999999</c:v>
                </c:pt>
                <c:pt idx="5">
                  <c:v>2.0126400000000002</c:v>
                </c:pt>
                <c:pt idx="6">
                  <c:v>2.08955</c:v>
                </c:pt>
                <c:pt idx="7">
                  <c:v>2.4561500000000001</c:v>
                </c:pt>
                <c:pt idx="8">
                  <c:v>2.72661</c:v>
                </c:pt>
                <c:pt idx="9">
                  <c:v>2.9084699999999999</c:v>
                </c:pt>
                <c:pt idx="10">
                  <c:v>1.26769</c:v>
                </c:pt>
                <c:pt idx="11">
                  <c:v>1.7948599999999999</c:v>
                </c:pt>
                <c:pt idx="12">
                  <c:v>2.46258</c:v>
                </c:pt>
                <c:pt idx="13">
                  <c:v>1.3559600000000001</c:v>
                </c:pt>
                <c:pt idx="14">
                  <c:v>1.9734700000000001</c:v>
                </c:pt>
                <c:pt idx="15">
                  <c:v>1.82836</c:v>
                </c:pt>
                <c:pt idx="16">
                  <c:v>1.3441099999999999</c:v>
                </c:pt>
                <c:pt idx="17">
                  <c:v>1.88008</c:v>
                </c:pt>
                <c:pt idx="18">
                  <c:v>2.65469</c:v>
                </c:pt>
                <c:pt idx="19">
                  <c:v>1.7806299999999999</c:v>
                </c:pt>
                <c:pt idx="20">
                  <c:v>2.5245600000000001</c:v>
                </c:pt>
                <c:pt idx="21">
                  <c:v>1.23054</c:v>
                </c:pt>
                <c:pt idx="22">
                  <c:v>1.2444299999999999</c:v>
                </c:pt>
                <c:pt idx="23">
                  <c:v>2.1318899999999998</c:v>
                </c:pt>
                <c:pt idx="24">
                  <c:v>1.45451</c:v>
                </c:pt>
                <c:pt idx="25">
                  <c:v>2.8380100000000001</c:v>
                </c:pt>
                <c:pt idx="26">
                  <c:v>1.2317800000000001</c:v>
                </c:pt>
                <c:pt idx="27">
                  <c:v>2.7359800000000001</c:v>
                </c:pt>
                <c:pt idx="28">
                  <c:v>2.0678200000000002</c:v>
                </c:pt>
                <c:pt idx="29">
                  <c:v>2.03674</c:v>
                </c:pt>
                <c:pt idx="30">
                  <c:v>2.80681</c:v>
                </c:pt>
                <c:pt idx="31">
                  <c:v>2.7911600000000001</c:v>
                </c:pt>
                <c:pt idx="32">
                  <c:v>1.35772</c:v>
                </c:pt>
                <c:pt idx="33">
                  <c:v>2.4147799999999999</c:v>
                </c:pt>
                <c:pt idx="34">
                  <c:v>1.29125</c:v>
                </c:pt>
                <c:pt idx="35">
                  <c:v>2.69475</c:v>
                </c:pt>
                <c:pt idx="36">
                  <c:v>2.2817099999999999</c:v>
                </c:pt>
                <c:pt idx="37">
                  <c:v>1.2373099999999999</c:v>
                </c:pt>
                <c:pt idx="38">
                  <c:v>2.9272100000000001</c:v>
                </c:pt>
                <c:pt idx="39">
                  <c:v>1.5619799999999999</c:v>
                </c:pt>
                <c:pt idx="40">
                  <c:v>1.2929900000000001</c:v>
                </c:pt>
                <c:pt idx="41">
                  <c:v>2.6832699999999998</c:v>
                </c:pt>
                <c:pt idx="42">
                  <c:v>1.37456</c:v>
                </c:pt>
                <c:pt idx="43">
                  <c:v>1.18757</c:v>
                </c:pt>
                <c:pt idx="44">
                  <c:v>1.0218100000000001</c:v>
                </c:pt>
                <c:pt idx="45">
                  <c:v>1.62961</c:v>
                </c:pt>
                <c:pt idx="46">
                  <c:v>1.4418800000000001</c:v>
                </c:pt>
                <c:pt idx="47">
                  <c:v>2.8650799999999998</c:v>
                </c:pt>
                <c:pt idx="48">
                  <c:v>1.22424</c:v>
                </c:pt>
                <c:pt idx="49">
                  <c:v>2.24743</c:v>
                </c:pt>
              </c:numCache>
            </c:numRef>
          </c:xVal>
          <c:yVal>
            <c:numRef>
              <c:f>'Задание 6'!$I$6:$I$55</c:f>
              <c:numCache>
                <c:formatCode>General</c:formatCode>
                <c:ptCount val="50"/>
                <c:pt idx="0">
                  <c:v>7.6330820290699606</c:v>
                </c:pt>
                <c:pt idx="1">
                  <c:v>2.7720436040639473</c:v>
                </c:pt>
                <c:pt idx="2">
                  <c:v>1.0530251557529464</c:v>
                </c:pt>
                <c:pt idx="3">
                  <c:v>23.526272984327516</c:v>
                </c:pt>
                <c:pt idx="4">
                  <c:v>-10.096925807617968</c:v>
                </c:pt>
                <c:pt idx="5">
                  <c:v>2.9734142522066036</c:v>
                </c:pt>
                <c:pt idx="6">
                  <c:v>0.70219903756334512</c:v>
                </c:pt>
                <c:pt idx="7">
                  <c:v>-10.123798852024752</c:v>
                </c:pt>
                <c:pt idx="8">
                  <c:v>-18.110703896263693</c:v>
                </c:pt>
                <c:pt idx="9">
                  <c:v>-23.481178463095365</c:v>
                </c:pt>
                <c:pt idx="10">
                  <c:v>24.972397143228577</c:v>
                </c:pt>
                <c:pt idx="11">
                  <c:v>9.404635802655319</c:v>
                </c:pt>
                <c:pt idx="12">
                  <c:v>-10.313682011953968</c:v>
                </c:pt>
                <c:pt idx="13">
                  <c:v>22.365711835771016</c:v>
                </c:pt>
                <c:pt idx="14">
                  <c:v>4.1301363944192806</c:v>
                </c:pt>
                <c:pt idx="15">
                  <c:v>8.4153533986694971</c:v>
                </c:pt>
                <c:pt idx="16">
                  <c:v>22.715652029419733</c:v>
                </c:pt>
                <c:pt idx="17">
                  <c:v>6.8880194901875109</c:v>
                </c:pt>
                <c:pt idx="18">
                  <c:v>-15.986847463587274</c:v>
                </c:pt>
                <c:pt idx="19">
                  <c:v>9.8248593432140705</c:v>
                </c:pt>
                <c:pt idx="20">
                  <c:v>-12.144002113417887</c:v>
                </c:pt>
                <c:pt idx="21">
                  <c:v>26.069467033021805</c:v>
                </c:pt>
                <c:pt idx="22">
                  <c:v>25.659283970593059</c:v>
                </c:pt>
                <c:pt idx="23">
                  <c:v>-0.54813579780260735</c:v>
                </c:pt>
                <c:pt idx="24">
                  <c:v>19.455449718970943</c:v>
                </c:pt>
                <c:pt idx="25">
                  <c:v>-21.400437024741915</c:v>
                </c:pt>
                <c:pt idx="26">
                  <c:v>26.032848818665311</c:v>
                </c:pt>
                <c:pt idx="27">
                  <c:v>-18.387407661199433</c:v>
                </c:pt>
                <c:pt idx="28">
                  <c:v>1.3439037133427978</c:v>
                </c:pt>
                <c:pt idx="29">
                  <c:v>2.2617215376974085</c:v>
                </c:pt>
                <c:pt idx="30">
                  <c:v>-20.479075502223775</c:v>
                </c:pt>
                <c:pt idx="31">
                  <c:v>-20.016918200063238</c:v>
                </c:pt>
                <c:pt idx="32">
                  <c:v>22.313737596039221</c:v>
                </c:pt>
                <c:pt idx="33">
                  <c:v>-8.9021089101473354</c:v>
                </c:pt>
                <c:pt idx="34">
                  <c:v>24.276651070455266</c:v>
                </c:pt>
                <c:pt idx="35">
                  <c:v>-17.169852033846137</c:v>
                </c:pt>
                <c:pt idx="36">
                  <c:v>-4.9724429549714273</c:v>
                </c:pt>
                <c:pt idx="37">
                  <c:v>25.869543394962584</c:v>
                </c:pt>
                <c:pt idx="38">
                  <c:v>-24.034585992966839</c:v>
                </c:pt>
                <c:pt idx="39">
                  <c:v>16.281772705348381</c:v>
                </c:pt>
                <c:pt idx="40">
                  <c:v>24.225267447084061</c:v>
                </c:pt>
                <c:pt idx="41">
                  <c:v>-16.830838242868303</c:v>
                </c:pt>
                <c:pt idx="42">
                  <c:v>21.816438620423664</c:v>
                </c:pt>
                <c:pt idx="43">
                  <c:v>27.338406283746302</c:v>
                </c:pt>
                <c:pt idx="44">
                  <c:v>32.233434680304185</c:v>
                </c:pt>
                <c:pt idx="45">
                  <c:v>14.284603482018198</c:v>
                </c:pt>
                <c:pt idx="46">
                  <c:v>19.828423950682609</c:v>
                </c:pt>
                <c:pt idx="47">
                  <c:v>-22.199836268798506</c:v>
                </c:pt>
                <c:pt idx="48">
                  <c:v>26.255511186607198</c:v>
                </c:pt>
                <c:pt idx="49">
                  <c:v>-3.9601265129226579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23-40BC-B8F4-FEB59ED29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573887"/>
        <c:axId val="1213574303"/>
      </c:scatterChart>
      <c:valAx>
        <c:axId val="1213573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4303"/>
        <c:crosses val="autoZero"/>
        <c:crossBetween val="midCat"/>
      </c:valAx>
      <c:valAx>
        <c:axId val="1213574303"/>
        <c:scaling>
          <c:orientation val="minMax"/>
          <c:max val="6"/>
          <c:min val="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73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5" Type="http://schemas.openxmlformats.org/officeDocument/2006/relationships/image" Target="../media/image3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41767</xdr:colOff>
      <xdr:row>7</xdr:row>
      <xdr:rowOff>176168</xdr:rowOff>
    </xdr:from>
    <xdr:to>
      <xdr:col>28</xdr:col>
      <xdr:colOff>325648</xdr:colOff>
      <xdr:row>19</xdr:row>
      <xdr:rowOff>160684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22</xdr:row>
      <xdr:rowOff>0</xdr:rowOff>
    </xdr:from>
    <xdr:to>
      <xdr:col>27</xdr:col>
      <xdr:colOff>589920</xdr:colOff>
      <xdr:row>37</xdr:row>
      <xdr:rowOff>138174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39A409D-9157-45B9-BF41-882A50F35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51685</xdr:colOff>
      <xdr:row>4</xdr:row>
      <xdr:rowOff>163688</xdr:rowOff>
    </xdr:from>
    <xdr:ext cx="4614825" cy="58451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5E60C72-40B1-41B7-917E-5768305FB79C}"/>
                </a:ext>
              </a:extLst>
            </xdr:cNvPr>
            <xdr:cNvSpPr txBox="1"/>
          </xdr:nvSpPr>
          <xdr:spPr>
            <a:xfrm>
              <a:off x="2318635" y="1516238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20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20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𝑢</m:t>
                    </m:r>
                    <m:f>
                      <m:fPr>
                        <m:ctrlPr>
                          <a:rPr lang="ru-RU" sz="20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20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5E60C72-40B1-41B7-917E-5768305FB79C}"/>
                </a:ext>
              </a:extLst>
            </xdr:cNvPr>
            <xdr:cNvSpPr txBox="1"/>
          </xdr:nvSpPr>
          <xdr:spPr>
            <a:xfrm>
              <a:off x="2318635" y="1516238"/>
              <a:ext cx="4614825" cy="584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</a:t>
              </a:r>
              <a:r>
                <a:rPr lang="en-US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𝑛≤𝑎≤𝑥 ̅+</a:t>
              </a:r>
              <a:r>
                <a:rPr lang="en-US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𝑢 𝑠</a:t>
              </a:r>
              <a:r>
                <a:rPr lang="ru-RU" sz="20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/√</a:t>
              </a:r>
              <a:r>
                <a:rPr lang="ru-RU" sz="20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𝑛</a:t>
              </a:r>
              <a:endParaRPr lang="ru-RU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121354</xdr:colOff>
      <xdr:row>2</xdr:row>
      <xdr:rowOff>121354</xdr:rowOff>
    </xdr:from>
    <xdr:ext cx="4471320" cy="54643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4D98AB-1187-4134-A103-2E03EA9E88B2}"/>
                </a:ext>
              </a:extLst>
            </xdr:cNvPr>
            <xdr:cNvSpPr txBox="1"/>
          </xdr:nvSpPr>
          <xdr:spPr>
            <a:xfrm>
              <a:off x="2388304" y="515054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≤</m:t>
                    </m:r>
                    <m:acc>
                      <m:accPr>
                        <m:chr m:val="̅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</m:rad>
                      </m:den>
                    </m:f>
                    <m:sSub>
                      <m:sSub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94D98AB-1187-4134-A103-2E03EA9E88B2}"/>
                </a:ext>
              </a:extLst>
            </xdr:cNvPr>
            <xdr:cNvSpPr txBox="1"/>
          </xdr:nvSpPr>
          <xdr:spPr>
            <a:xfrm>
              <a:off x="2388304" y="515054"/>
              <a:ext cx="4471320" cy="546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𝑥 ̅−𝑠/√𝑛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(𝑛−1)≤𝑎≤𝑥 ̅+𝑠/√𝑛 𝑡_(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 (𝑛−1)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206021</xdr:colOff>
      <xdr:row>2</xdr:row>
      <xdr:rowOff>22577</xdr:rowOff>
    </xdr:from>
    <xdr:ext cx="2672645" cy="7562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47B321-BC77-4E7C-BE48-33CA33AA13CD}"/>
                </a:ext>
              </a:extLst>
            </xdr:cNvPr>
            <xdr:cNvSpPr txBox="1"/>
          </xdr:nvSpPr>
          <xdr:spPr>
            <a:xfrm>
              <a:off x="8822971" y="416277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den>
                    </m:f>
                    <m:nary>
                      <m:naryPr>
                        <m:chr m:val="∑"/>
                        <m:limLoc m:val="undOvr"/>
                        <m:grow m:val="on"/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sz="18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ru-RU" sz="18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  <m:r>
                                  <a:rPr lang="ru-RU" sz="180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acc>
                                  <m:accPr>
                                    <m:chr m:val="̅"/>
                                    <m:ctrlP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ru-RU" sz="1800" i="1">
                                        <a:solidFill>
                                          <a:sysClr val="windowText" lastClr="00000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</m:d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747B321-BC77-4E7C-BE48-33CA33AA13CD}"/>
                </a:ext>
              </a:extLst>
            </xdr:cNvPr>
            <xdr:cNvSpPr txBox="1"/>
          </xdr:nvSpPr>
          <xdr:spPr>
            <a:xfrm>
              <a:off x="8822971" y="416277"/>
              <a:ext cx="2672645" cy="756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𝑠^2=1/(𝑛−1) ∑129_(𝑖=1)^𝑛▒(𝑥_𝑖−𝑥 ̅ )^2 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1124729</xdr:colOff>
      <xdr:row>2</xdr:row>
      <xdr:rowOff>105561</xdr:rowOff>
    </xdr:from>
    <xdr:ext cx="882742" cy="3565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51FAB3-B3B3-4F57-86F9-DFD3970150F8}"/>
                </a:ext>
              </a:extLst>
            </xdr:cNvPr>
            <xdr:cNvSpPr txBox="1"/>
          </xdr:nvSpPr>
          <xdr:spPr>
            <a:xfrm>
              <a:off x="13056379" y="499261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ctrlP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ru-RU" sz="16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num>
                          <m:den>
                            <m:r>
                              <a:rPr lang="ru-RU" sz="16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d>
                      <m:dPr>
                        <m:ctrlP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ru-RU" sz="16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3E51FAB3-B3B3-4F57-86F9-DFD3970150F8}"/>
                </a:ext>
              </a:extLst>
            </xdr:cNvPr>
            <xdr:cNvSpPr txBox="1"/>
          </xdr:nvSpPr>
          <xdr:spPr>
            <a:xfrm>
              <a:off x="13056379" y="499261"/>
              <a:ext cx="882742" cy="3565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6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𝑡_(𝑎/2) (𝑛−1)</a:t>
              </a:r>
              <a:endParaRPr lang="ru-RU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695103</xdr:colOff>
      <xdr:row>6</xdr:row>
      <xdr:rowOff>156201</xdr:rowOff>
    </xdr:from>
    <xdr:ext cx="405687" cy="19133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3C3E873-85CA-4CF6-B279-634D5CD614D9}"/>
                </a:ext>
              </a:extLst>
            </xdr:cNvPr>
            <xdr:cNvSpPr txBox="1"/>
          </xdr:nvSpPr>
          <xdr:spPr>
            <a:xfrm>
              <a:off x="9312053" y="3089901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3C3E873-85CA-4CF6-B279-634D5CD614D9}"/>
                </a:ext>
              </a:extLst>
            </xdr:cNvPr>
            <xdr:cNvSpPr txBox="1"/>
          </xdr:nvSpPr>
          <xdr:spPr>
            <a:xfrm>
              <a:off x="9312053" y="3089901"/>
              <a:ext cx="405687" cy="1913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1229783</xdr:colOff>
      <xdr:row>6</xdr:row>
      <xdr:rowOff>151883</xdr:rowOff>
    </xdr:from>
    <xdr:ext cx="405687" cy="1961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7CCD26-E753-4F14-96D9-B0EF576B3544}"/>
                </a:ext>
              </a:extLst>
            </xdr:cNvPr>
            <xdr:cNvSpPr txBox="1"/>
          </xdr:nvSpPr>
          <xdr:spPr>
            <a:xfrm>
              <a:off x="9846733" y="3085583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20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  <m:sup>
                        <m:r>
                          <a:rPr lang="ru-RU" sz="12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d>
                      <m:dPr>
                        <m:ctrlP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ru-RU" sz="12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𝛼</m:t>
                        </m:r>
                      </m:e>
                    </m:d>
                  </m:oMath>
                </m:oMathPara>
              </a14:m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837CCD26-E753-4F14-96D9-B0EF576B3544}"/>
                </a:ext>
              </a:extLst>
            </xdr:cNvPr>
            <xdr:cNvSpPr txBox="1"/>
          </xdr:nvSpPr>
          <xdr:spPr>
            <a:xfrm>
              <a:off x="9846733" y="3085583"/>
              <a:ext cx="405687" cy="1961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2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2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</a:t>
              </a:r>
              <a:endParaRPr lang="ru-RU" sz="12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2433595</xdr:colOff>
      <xdr:row>6</xdr:row>
      <xdr:rowOff>527751</xdr:rowOff>
    </xdr:from>
    <xdr:ext cx="113941" cy="2887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E09477C-51E8-46DE-B17A-B75C038B07A7}"/>
                </a:ext>
              </a:extLst>
            </xdr:cNvPr>
            <xdr:cNvSpPr txBox="1"/>
          </xdr:nvSpPr>
          <xdr:spPr>
            <a:xfrm>
              <a:off x="11050545" y="3461451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num>
                      <m:den>
                        <m:r>
                          <a:rPr lang="ru-RU" sz="110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E09477C-51E8-46DE-B17A-B75C038B07A7}"/>
                </a:ext>
              </a:extLst>
            </xdr:cNvPr>
            <xdr:cNvSpPr txBox="1"/>
          </xdr:nvSpPr>
          <xdr:spPr>
            <a:xfrm>
              <a:off x="11050545" y="3461451"/>
              <a:ext cx="113941" cy="2887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/</a:t>
              </a:r>
              <a:r>
                <a:rPr lang="ru-RU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endParaRPr lang="ru-RU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2712353</xdr:colOff>
      <xdr:row>6</xdr:row>
      <xdr:rowOff>548422</xdr:rowOff>
    </xdr:from>
    <xdr:ext cx="369268" cy="26661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5202D78-1855-4322-B9B6-239A4931482B}"/>
                </a:ext>
              </a:extLst>
            </xdr:cNvPr>
            <xdr:cNvSpPr txBox="1"/>
          </xdr:nvSpPr>
          <xdr:spPr>
            <a:xfrm>
              <a:off x="11329303" y="3482122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14:m>
                <m:oMath xmlns:m="http://schemas.openxmlformats.org/officeDocument/2006/math">
                  <m:r>
                    <a:rPr lang="ru-RU" sz="130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ru-RU" sz="130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300" b="0" i="1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𝑎</m:t>
                      </m:r>
                    </m:num>
                    <m:den>
                      <m:r>
                        <a:rPr lang="ru-RU" sz="1300" i="0">
                          <a:solidFill>
                            <a:sysClr val="windowText" lastClr="000000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5202D78-1855-4322-B9B6-239A4931482B}"/>
                </a:ext>
              </a:extLst>
            </xdr:cNvPr>
            <xdr:cNvSpPr txBox="1"/>
          </xdr:nvSpPr>
          <xdr:spPr>
            <a:xfrm>
              <a:off x="11329303" y="3482122"/>
              <a:ext cx="369268" cy="2666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1 </a:t>
              </a:r>
              <a:r>
                <a:rPr lang="ru-RU" sz="13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ru-RU" sz="130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𝑎</a:t>
              </a:r>
              <a:r>
                <a:rPr lang="ru-RU" sz="13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/</a:t>
              </a:r>
              <a:r>
                <a:rPr lang="ru-RU" sz="130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endParaRPr lang="ru-RU" sz="13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0</xdr:colOff>
      <xdr:row>2</xdr:row>
      <xdr:rowOff>0</xdr:rowOff>
    </xdr:from>
    <xdr:to>
      <xdr:col>25</xdr:col>
      <xdr:colOff>120651</xdr:colOff>
      <xdr:row>16</xdr:row>
      <xdr:rowOff>237565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6AC7B205-587A-4E46-8D01-E11E44927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393700"/>
          <a:ext cx="8045451" cy="539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26</xdr:col>
      <xdr:colOff>254000</xdr:colOff>
      <xdr:row>50</xdr:row>
      <xdr:rowOff>121646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EB987C6-DF1F-4CD8-B3CC-DBD2BE139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6350000"/>
          <a:ext cx="8788400" cy="6447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51686</xdr:colOff>
      <xdr:row>6</xdr:row>
      <xdr:rowOff>129805</xdr:rowOff>
    </xdr:from>
    <xdr:ext cx="4607441" cy="6267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41A173E-F1A1-40E6-BFE1-900E901B6022}"/>
                </a:ext>
              </a:extLst>
            </xdr:cNvPr>
            <xdr:cNvSpPr txBox="1"/>
          </xdr:nvSpPr>
          <xdr:spPr>
            <a:xfrm>
              <a:off x="2318636" y="3063505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r>
                      <a:rPr lang="ru-RU" sz="180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ru-RU" sz="180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&lt;</m:t>
                    </m:r>
                    <m:f>
                      <m:fPr>
                        <m:ctrlPr>
                          <a:rPr lang="ru-RU" sz="18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Sup>
                          <m:sSubSup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m:rPr>
                                <m:sty m:val="p"/>
                              </m:rPr>
                              <a:rPr lang="el-GR" sz="18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  <m:sup>
                            <m:r>
                              <a:rPr lang="ru-RU" sz="180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d>
                          <m:dPr>
                            <m:ctrlP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sz="18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</m:den>
                    </m:f>
                  </m:oMath>
                </m:oMathPara>
              </a14:m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241A173E-F1A1-40E6-BFE1-900E901B6022}"/>
                </a:ext>
              </a:extLst>
            </xdr:cNvPr>
            <xdr:cNvSpPr txBox="1"/>
          </xdr:nvSpPr>
          <xdr:spPr>
            <a:xfrm>
              <a:off x="2318636" y="3063505"/>
              <a:ext cx="4607441" cy="6267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((𝑛−1) </a:t>
              </a:r>
              <a:r>
                <a:rPr lang="en-US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𝑠</a:t>
              </a:r>
              <a:r>
                <a:rPr lang="ru-RU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 (𝛼) )&lt;𝑎&lt;((𝑛−1) 𝑠^2)/(</a:t>
              </a:r>
              <a:r>
                <a:rPr lang="el-GR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χ</a:t>
              </a:r>
              <a:r>
                <a:rPr lang="ru-RU" sz="180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ru-RU" sz="18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𝑙^2 (𝛼) )</a:t>
              </a:r>
              <a:endParaRPr lang="ru-RU" sz="18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244443</xdr:colOff>
      <xdr:row>7</xdr:row>
      <xdr:rowOff>180922</xdr:rowOff>
    </xdr:from>
    <xdr:ext cx="792268" cy="37253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EAEACEE-088E-49B9-ABF5-602B95E42F92}"/>
                </a:ext>
              </a:extLst>
            </xdr:cNvPr>
            <xdr:cNvSpPr txBox="1"/>
          </xdr:nvSpPr>
          <xdr:spPr>
            <a:xfrm>
              <a:off x="16212576" y="1484789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 b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𝒏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 b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𝟐</m:t>
                            </m:r>
                          </m:sup>
                        </m:sSup>
                      </m:num>
                      <m:den>
                        <m:r>
                          <a:rPr lang="ru-RU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𝒏</m:t>
                        </m:r>
                        <m:sSub>
                          <m:sSubPr>
                            <m:ctrlP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𝒑</m:t>
                            </m:r>
                          </m:e>
                          <m:sub>
                            <m:r>
                              <a:rPr lang="ru-RU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𝒌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 b="1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EAEACEE-088E-49B9-ABF5-602B95E42F92}"/>
                </a:ext>
              </a:extLst>
            </xdr:cNvPr>
            <xdr:cNvSpPr txBox="1"/>
          </xdr:nvSpPr>
          <xdr:spPr>
            <a:xfrm>
              <a:off x="16212576" y="1484789"/>
              <a:ext cx="792268" cy="3725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((𝒏_𝒌−𝒏𝒑_𝒌 )^𝟐)/(𝒏𝒑_𝒌 )</a:t>
              </a:r>
              <a:endParaRPr lang="ru-RU" sz="1100" b="1"/>
            </a:p>
          </xdr:txBody>
        </xdr:sp>
      </mc:Fallback>
    </mc:AlternateContent>
    <xdr:clientData/>
  </xdr:oneCellAnchor>
  <xdr:oneCellAnchor>
    <xdr:from>
      <xdr:col>15</xdr:col>
      <xdr:colOff>69850</xdr:colOff>
      <xdr:row>16</xdr:row>
      <xdr:rowOff>15875</xdr:rowOff>
    </xdr:from>
    <xdr:ext cx="1329659" cy="4596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F8F44D-FF95-4AA5-AEF4-983AC87A516E}"/>
                </a:ext>
              </a:extLst>
            </xdr:cNvPr>
            <xdr:cNvSpPr txBox="1"/>
          </xdr:nvSpPr>
          <xdr:spPr>
            <a:xfrm>
              <a:off x="1436370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𝜒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  <m:sup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ru-RU" sz="11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𝑟</m:t>
                        </m:r>
                      </m:sup>
                      <m:e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‍</m:t>
                        </m:r>
                      </m:e>
                    </m:nary>
                    <m:f>
                      <m:f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ru-RU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p>
                          <m:sSup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</m:t>
                            </m:r>
                          </m:e>
                          <m:sup>
                            <m:r>
                              <a:rPr lang="ru-RU" sz="110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EAF8F44D-FF95-4AA5-AEF4-983AC87A516E}"/>
                </a:ext>
              </a:extLst>
            </xdr:cNvPr>
            <xdr:cNvSpPr txBox="1"/>
          </xdr:nvSpPr>
          <xdr:spPr>
            <a:xfrm>
              <a:off x="14363700" y="3038475"/>
              <a:ext cx="1329659" cy="4596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𝜒_𝐵^2=∑1_(𝑘=1)^𝑟▒‍  ((𝑛_𝑘−𝑛𝑝_𝑘 )^2)/(𝑛𝑝_𝑘 )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2</xdr:col>
      <xdr:colOff>0</xdr:colOff>
      <xdr:row>23</xdr:row>
      <xdr:rowOff>0</xdr:rowOff>
    </xdr:from>
    <xdr:to>
      <xdr:col>5</xdr:col>
      <xdr:colOff>1212084</xdr:colOff>
      <xdr:row>38</xdr:row>
      <xdr:rowOff>109497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4ABD8BD-ECA9-48F9-A82C-443D659E2E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24</xdr:row>
      <xdr:rowOff>0</xdr:rowOff>
    </xdr:from>
    <xdr:to>
      <xdr:col>11</xdr:col>
      <xdr:colOff>97693</xdr:colOff>
      <xdr:row>39</xdr:row>
      <xdr:rowOff>109497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5E3143B-4FF9-4D1A-A396-057DCC32A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54</xdr:row>
      <xdr:rowOff>12700</xdr:rowOff>
    </xdr:from>
    <xdr:to>
      <xdr:col>9</xdr:col>
      <xdr:colOff>450850</xdr:colOff>
      <xdr:row>55</xdr:row>
      <xdr:rowOff>6350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0100" y="9772650"/>
          <a:ext cx="1968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146050</xdr:colOff>
      <xdr:row>5</xdr:row>
      <xdr:rowOff>82550</xdr:rowOff>
    </xdr:from>
    <xdr:to>
      <xdr:col>18</xdr:col>
      <xdr:colOff>279400</xdr:colOff>
      <xdr:row>7</xdr:row>
      <xdr:rowOff>82550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0550" y="819150"/>
          <a:ext cx="257175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158750</xdr:colOff>
      <xdr:row>4</xdr:row>
      <xdr:rowOff>0</xdr:rowOff>
    </xdr:from>
    <xdr:to>
      <xdr:col>15</xdr:col>
      <xdr:colOff>425450</xdr:colOff>
      <xdr:row>4</xdr:row>
      <xdr:rowOff>177800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93250" y="552450"/>
          <a:ext cx="8763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233980</xdr:colOff>
      <xdr:row>7</xdr:row>
      <xdr:rowOff>169332</xdr:rowOff>
    </xdr:from>
    <xdr:to>
      <xdr:col>13</xdr:col>
      <xdr:colOff>209550</xdr:colOff>
      <xdr:row>8</xdr:row>
      <xdr:rowOff>171449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3513" y="1473199"/>
          <a:ext cx="1000037" cy="188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3</xdr:row>
      <xdr:rowOff>6350</xdr:rowOff>
    </xdr:from>
    <xdr:to>
      <xdr:col>6</xdr:col>
      <xdr:colOff>539750</xdr:colOff>
      <xdr:row>6</xdr:row>
      <xdr:rowOff>158750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2800" y="571500"/>
          <a:ext cx="347345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298450</xdr:colOff>
      <xdr:row>3</xdr:row>
      <xdr:rowOff>6350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38100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298450</xdr:colOff>
      <xdr:row>3</xdr:row>
      <xdr:rowOff>6350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1350" y="38100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31750</xdr:colOff>
      <xdr:row>5</xdr:row>
      <xdr:rowOff>0</xdr:rowOff>
    </xdr:from>
    <xdr:to>
      <xdr:col>15</xdr:col>
      <xdr:colOff>330200</xdr:colOff>
      <xdr:row>6</xdr:row>
      <xdr:rowOff>6350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2650" y="933450"/>
          <a:ext cx="2984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</xdr:row>
      <xdr:rowOff>120650</xdr:rowOff>
    </xdr:from>
    <xdr:to>
      <xdr:col>15</xdr:col>
      <xdr:colOff>401019</xdr:colOff>
      <xdr:row>8</xdr:row>
      <xdr:rowOff>44450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1238250"/>
          <a:ext cx="401019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565150</xdr:colOff>
      <xdr:row>11</xdr:row>
      <xdr:rowOff>69850</xdr:rowOff>
    </xdr:from>
    <xdr:to>
      <xdr:col>17</xdr:col>
      <xdr:colOff>171450</xdr:colOff>
      <xdr:row>13</xdr:row>
      <xdr:rowOff>76200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6450" y="2108200"/>
          <a:ext cx="143510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254000</xdr:colOff>
      <xdr:row>1</xdr:row>
      <xdr:rowOff>6350</xdr:rowOff>
    </xdr:from>
    <xdr:to>
      <xdr:col>6</xdr:col>
      <xdr:colOff>215900</xdr:colOff>
      <xdr:row>1</xdr:row>
      <xdr:rowOff>184150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90500"/>
          <a:ext cx="1181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449049</xdr:colOff>
      <xdr:row>1</xdr:row>
      <xdr:rowOff>89089</xdr:rowOff>
    </xdr:from>
    <xdr:to>
      <xdr:col>10</xdr:col>
      <xdr:colOff>312383</xdr:colOff>
      <xdr:row>1</xdr:row>
      <xdr:rowOff>430188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0467" y="269164"/>
          <a:ext cx="1683035" cy="341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445542</xdr:colOff>
      <xdr:row>1</xdr:row>
      <xdr:rowOff>486959</xdr:rowOff>
    </xdr:from>
    <xdr:to>
      <xdr:col>10</xdr:col>
      <xdr:colOff>397776</xdr:colOff>
      <xdr:row>2</xdr:row>
      <xdr:rowOff>164626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6960" y="667034"/>
          <a:ext cx="1771935" cy="341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127000</xdr:colOff>
      <xdr:row>6</xdr:row>
      <xdr:rowOff>114300</xdr:rowOff>
    </xdr:from>
    <xdr:to>
      <xdr:col>9</xdr:col>
      <xdr:colOff>381000</xdr:colOff>
      <xdr:row>7</xdr:row>
      <xdr:rowOff>107950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1950" y="1981200"/>
          <a:ext cx="8636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488950</xdr:colOff>
      <xdr:row>1</xdr:row>
      <xdr:rowOff>190500</xdr:rowOff>
    </xdr:from>
    <xdr:to>
      <xdr:col>19</xdr:col>
      <xdr:colOff>279400</xdr:colOff>
      <xdr:row>1</xdr:row>
      <xdr:rowOff>571500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37950" y="374650"/>
          <a:ext cx="10096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1</xdr:row>
      <xdr:rowOff>273050</xdr:rowOff>
    </xdr:from>
    <xdr:to>
      <xdr:col>17</xdr:col>
      <xdr:colOff>157988</xdr:colOff>
      <xdr:row>1</xdr:row>
      <xdr:rowOff>582588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86950" y="457200"/>
          <a:ext cx="1320038" cy="3095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88900</xdr:colOff>
      <xdr:row>2</xdr:row>
      <xdr:rowOff>133350</xdr:rowOff>
    </xdr:from>
    <xdr:to>
      <xdr:col>11</xdr:col>
      <xdr:colOff>279400</xdr:colOff>
      <xdr:row>5</xdr:row>
      <xdr:rowOff>50800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501650"/>
          <a:ext cx="1409700" cy="46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17</xdr:col>
      <xdr:colOff>184150</xdr:colOff>
      <xdr:row>3</xdr:row>
      <xdr:rowOff>177800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552450"/>
          <a:ext cx="26225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133350</xdr:colOff>
      <xdr:row>0</xdr:row>
      <xdr:rowOff>177800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3335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44450</xdr:colOff>
      <xdr:row>0</xdr:row>
      <xdr:rowOff>0</xdr:rowOff>
    </xdr:from>
    <xdr:to>
      <xdr:col>6</xdr:col>
      <xdr:colOff>200978</xdr:colOff>
      <xdr:row>1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050" y="0"/>
          <a:ext cx="156528" cy="184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996950</xdr:colOff>
      <xdr:row>8</xdr:row>
      <xdr:rowOff>76200</xdr:rowOff>
    </xdr:from>
    <xdr:to>
      <xdr:col>8</xdr:col>
      <xdr:colOff>1346200</xdr:colOff>
      <xdr:row>10</xdr:row>
      <xdr:rowOff>129409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3750" y="1549400"/>
          <a:ext cx="349250" cy="421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1162050</xdr:colOff>
      <xdr:row>11</xdr:row>
      <xdr:rowOff>127000</xdr:rowOff>
    </xdr:from>
    <xdr:to>
      <xdr:col>8</xdr:col>
      <xdr:colOff>1308100</xdr:colOff>
      <xdr:row>13</xdr:row>
      <xdr:rowOff>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152650"/>
          <a:ext cx="1460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355600</xdr:colOff>
      <xdr:row>15</xdr:row>
      <xdr:rowOff>69850</xdr:rowOff>
    </xdr:from>
    <xdr:to>
      <xdr:col>16</xdr:col>
      <xdr:colOff>361950</xdr:colOff>
      <xdr:row>18</xdr:row>
      <xdr:rowOff>57150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2400" y="2832100"/>
          <a:ext cx="56705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501650</xdr:colOff>
      <xdr:row>23</xdr:row>
      <xdr:rowOff>0</xdr:rowOff>
    </xdr:from>
    <xdr:to>
      <xdr:col>8</xdr:col>
      <xdr:colOff>1327150</xdr:colOff>
      <xdr:row>24</xdr:row>
      <xdr:rowOff>88900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450" y="4235450"/>
          <a:ext cx="825500" cy="27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552450</xdr:colOff>
      <xdr:row>19</xdr:row>
      <xdr:rowOff>12700</xdr:rowOff>
    </xdr:from>
    <xdr:to>
      <xdr:col>8</xdr:col>
      <xdr:colOff>1193800</xdr:colOff>
      <xdr:row>22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3511550"/>
          <a:ext cx="641350" cy="53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1130300</xdr:colOff>
      <xdr:row>13</xdr:row>
      <xdr:rowOff>6350</xdr:rowOff>
    </xdr:from>
    <xdr:to>
      <xdr:col>8</xdr:col>
      <xdr:colOff>1333500</xdr:colOff>
      <xdr:row>14</xdr:row>
      <xdr:rowOff>0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7100" y="2400300"/>
          <a:ext cx="203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76200</xdr:colOff>
      <xdr:row>2</xdr:row>
      <xdr:rowOff>177800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27400" y="368300"/>
          <a:ext cx="762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103909</xdr:colOff>
      <xdr:row>3</xdr:row>
      <xdr:rowOff>150092</xdr:rowOff>
    </xdr:from>
    <xdr:to>
      <xdr:col>28</xdr:col>
      <xdr:colOff>357909</xdr:colOff>
      <xdr:row>6</xdr:row>
      <xdr:rowOff>150756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86727" y="715819"/>
          <a:ext cx="1477818" cy="554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463550</xdr:colOff>
      <xdr:row>8</xdr:row>
      <xdr:rowOff>0</xdr:rowOff>
    </xdr:from>
    <xdr:to>
      <xdr:col>26</xdr:col>
      <xdr:colOff>546100</xdr:colOff>
      <xdr:row>9</xdr:row>
      <xdr:rowOff>25400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5850" y="1485900"/>
          <a:ext cx="82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114300</xdr:colOff>
      <xdr:row>11</xdr:row>
      <xdr:rowOff>25400</xdr:rowOff>
    </xdr:from>
    <xdr:to>
      <xdr:col>28</xdr:col>
      <xdr:colOff>463550</xdr:colOff>
      <xdr:row>14</xdr:row>
      <xdr:rowOff>78831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6600" y="2063750"/>
          <a:ext cx="1568450" cy="605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25400</xdr:colOff>
      <xdr:row>15</xdr:row>
      <xdr:rowOff>69850</xdr:rowOff>
    </xdr:from>
    <xdr:to>
      <xdr:col>26</xdr:col>
      <xdr:colOff>749300</xdr:colOff>
      <xdr:row>17</xdr:row>
      <xdr:rowOff>109048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0" y="2844800"/>
          <a:ext cx="723900" cy="4074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631030</xdr:colOff>
      <xdr:row>6</xdr:row>
      <xdr:rowOff>6595</xdr:rowOff>
    </xdr:from>
    <xdr:to>
      <xdr:col>17</xdr:col>
      <xdr:colOff>123030</xdr:colOff>
      <xdr:row>21</xdr:row>
      <xdr:rowOff>70888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5A974C-5081-491F-AA64-34CB97611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23</xdr:row>
      <xdr:rowOff>0</xdr:rowOff>
    </xdr:from>
    <xdr:to>
      <xdr:col>17</xdr:col>
      <xdr:colOff>127000</xdr:colOff>
      <xdr:row>38</xdr:row>
      <xdr:rowOff>64293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B257878-DE6A-4ED0-A942-9DD26EFFEE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33130</xdr:colOff>
      <xdr:row>40</xdr:row>
      <xdr:rowOff>22639</xdr:rowOff>
    </xdr:from>
    <xdr:to>
      <xdr:col>17</xdr:col>
      <xdr:colOff>160130</xdr:colOff>
      <xdr:row>55</xdr:row>
      <xdr:rowOff>73991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ED1B0C9-5C62-4C55-8A82-7758AA55BE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076;&#1072;&#1095;&#1082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-1"/>
      <sheetName val="4-2"/>
      <sheetName val="4-3"/>
      <sheetName val="5"/>
      <sheetName val="6"/>
    </sheetNames>
    <sheetDataSet>
      <sheetData sheetId="0" refreshError="1"/>
      <sheetData sheetId="1" refreshError="1"/>
      <sheetData sheetId="2">
        <row r="11">
          <cell r="D11">
            <v>-1.6568700000000001</v>
          </cell>
          <cell r="E11">
            <v>-0.30247333333333359</v>
          </cell>
          <cell r="I11">
            <v>7.3833613490877872E-2</v>
          </cell>
          <cell r="L11">
            <v>-2.1444590405876625</v>
          </cell>
          <cell r="M11">
            <v>-1.4494490348074476</v>
          </cell>
          <cell r="P11">
            <v>7.3606111689107662E-2</v>
          </cell>
        </row>
        <row r="12">
          <cell r="D12">
            <v>-0.30247333333333359</v>
          </cell>
          <cell r="E12">
            <v>1.0519233333333329</v>
          </cell>
          <cell r="I12">
            <v>7.3833613490877872E-2</v>
          </cell>
          <cell r="L12">
            <v>-1.4494490348074476</v>
          </cell>
          <cell r="M12">
            <v>-0.75443902902723348</v>
          </cell>
          <cell r="P12">
            <v>0.15168671001202255</v>
          </cell>
        </row>
        <row r="13">
          <cell r="D13">
            <v>1.0519233333333329</v>
          </cell>
          <cell r="E13">
            <v>2.4063199999999991</v>
          </cell>
          <cell r="I13">
            <v>0.17720067237810688</v>
          </cell>
          <cell r="L13">
            <v>-0.75443902902723348</v>
          </cell>
          <cell r="M13">
            <v>-5.9429023247019284E-2</v>
          </cell>
          <cell r="P13">
            <v>0.25101237664776532</v>
          </cell>
        </row>
        <row r="14">
          <cell r="D14">
            <v>2.4063199999999991</v>
          </cell>
          <cell r="E14">
            <v>3.7607166666666654</v>
          </cell>
          <cell r="I14">
            <v>0.19196739507628247</v>
          </cell>
          <cell r="L14">
            <v>-5.9429023247019284E-2</v>
          </cell>
          <cell r="M14">
            <v>0.63558098253319495</v>
          </cell>
          <cell r="P14">
            <v>0.26117001763272563</v>
          </cell>
        </row>
        <row r="15">
          <cell r="D15">
            <v>3.7607166666666654</v>
          </cell>
          <cell r="E15">
            <v>5.1151133333333316</v>
          </cell>
          <cell r="I15">
            <v>0.14766722698175574</v>
          </cell>
          <cell r="L15">
            <v>0.63558098253319495</v>
          </cell>
          <cell r="M15">
            <v>1.3305909883134091</v>
          </cell>
          <cell r="P15">
            <v>0.17086296935610923</v>
          </cell>
        </row>
        <row r="16">
          <cell r="D16">
            <v>5.1151133333333316</v>
          </cell>
          <cell r="E16">
            <v>6.4695099999999979</v>
          </cell>
          <cell r="I16">
            <v>7.3833613490877872E-2</v>
          </cell>
          <cell r="L16">
            <v>1.3305909883134091</v>
          </cell>
          <cell r="M16">
            <v>2.0256009940936233</v>
          </cell>
          <cell r="P16">
            <v>9.1661814662269636E-2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>
        <row r="6">
          <cell r="A6">
            <v>1.1511100000000001</v>
          </cell>
          <cell r="B6">
            <v>3.0167700000000002</v>
          </cell>
          <cell r="H6">
            <v>2.420562456579991</v>
          </cell>
          <cell r="I6">
            <v>-31.469256441361654</v>
          </cell>
        </row>
        <row r="7">
          <cell r="A7">
            <v>1.79654</v>
          </cell>
          <cell r="B7">
            <v>-0.17352000000000001</v>
          </cell>
          <cell r="H7">
            <v>2.5880960729158105</v>
          </cell>
          <cell r="I7">
            <v>24.597771863452618</v>
          </cell>
        </row>
        <row r="8">
          <cell r="A8">
            <v>2.8480599999999998</v>
          </cell>
          <cell r="B8">
            <v>3.1695199999999999</v>
          </cell>
          <cell r="H8">
            <v>2.8610380623638383</v>
          </cell>
          <cell r="I8">
            <v>115.94090993121874</v>
          </cell>
        </row>
        <row r="9">
          <cell r="A9">
            <v>1.6140699999999999</v>
          </cell>
          <cell r="B9">
            <v>2.3263500000000001</v>
          </cell>
          <cell r="H9">
            <v>2.5407325184284186</v>
          </cell>
          <cell r="I9">
            <v>8.7470201866178421</v>
          </cell>
        </row>
        <row r="10">
          <cell r="A10">
            <v>1.31524</v>
          </cell>
          <cell r="B10">
            <v>1.91276</v>
          </cell>
          <cell r="H10">
            <v>2.4631655157021237</v>
          </cell>
          <cell r="I10">
            <v>-17.211658629563068</v>
          </cell>
        </row>
        <row r="11">
          <cell r="A11">
            <v>1.0032000000000001</v>
          </cell>
          <cell r="B11">
            <v>-0.43187900000000001</v>
          </cell>
          <cell r="H11">
            <v>2.3821696065540685</v>
          </cell>
          <cell r="I11">
            <v>-44.317859940680066</v>
          </cell>
        </row>
        <row r="12">
          <cell r="A12">
            <v>1.0710900000000001</v>
          </cell>
          <cell r="B12">
            <v>3.9186800000000002</v>
          </cell>
          <cell r="H12">
            <v>2.3997917456133608</v>
          </cell>
          <cell r="I12">
            <v>-38.420410873215204</v>
          </cell>
        </row>
        <row r="13">
          <cell r="A13">
            <v>1.0472900000000001</v>
          </cell>
          <cell r="B13">
            <v>2.7407699999999999</v>
          </cell>
          <cell r="H13">
            <v>2.3936140035363076</v>
          </cell>
          <cell r="I13">
            <v>-40.487862453796495</v>
          </cell>
        </row>
        <row r="14">
          <cell r="A14">
            <v>1.4408700000000001</v>
          </cell>
          <cell r="B14">
            <v>5.4681600000000001</v>
          </cell>
          <cell r="H14">
            <v>2.4957751685231404</v>
          </cell>
          <cell r="I14">
            <v>-6.2984677863518392</v>
          </cell>
        </row>
        <row r="15">
          <cell r="A15">
            <v>2.1596799999999998</v>
          </cell>
          <cell r="B15">
            <v>5.1539200000000003</v>
          </cell>
          <cell r="H15">
            <v>2.6823559576998912</v>
          </cell>
          <cell r="I15">
            <v>56.142913332876475</v>
          </cell>
        </row>
        <row r="16">
          <cell r="A16">
            <v>1.98302</v>
          </cell>
          <cell r="B16">
            <v>1.16337</v>
          </cell>
          <cell r="H16">
            <v>2.6365004990724863</v>
          </cell>
          <cell r="I16">
            <v>40.796863071301289</v>
          </cell>
        </row>
        <row r="17">
          <cell r="A17">
            <v>1.8041400000000001</v>
          </cell>
          <cell r="B17">
            <v>2.7423299999999999</v>
          </cell>
          <cell r="H17">
            <v>2.5900687972765501</v>
          </cell>
          <cell r="I17">
            <v>25.257966485823115</v>
          </cell>
        </row>
        <row r="18">
          <cell r="A18">
            <v>1.60971</v>
          </cell>
          <cell r="B18">
            <v>-3.0000000000000001E-3</v>
          </cell>
          <cell r="H18">
            <v>2.5396007976109418</v>
          </cell>
          <cell r="I18">
            <v>8.3682769558895131</v>
          </cell>
        </row>
        <row r="19">
          <cell r="A19">
            <v>1.35405</v>
          </cell>
          <cell r="B19">
            <v>1.63781</v>
          </cell>
          <cell r="H19">
            <v>2.4732393883916375</v>
          </cell>
          <cell r="I19">
            <v>-13.840322669800056</v>
          </cell>
        </row>
        <row r="20">
          <cell r="A20">
            <v>1.43868</v>
          </cell>
          <cell r="B20">
            <v>3.81745</v>
          </cell>
          <cell r="H20">
            <v>2.4952067124244532</v>
          </cell>
          <cell r="I20">
            <v>-6.488708078850717</v>
          </cell>
        </row>
        <row r="21">
          <cell r="A21">
            <v>1.79559</v>
          </cell>
          <cell r="B21">
            <v>4.2461700000000002</v>
          </cell>
          <cell r="H21">
            <v>2.5878494823707179</v>
          </cell>
          <cell r="I21">
            <v>24.515247535656304</v>
          </cell>
        </row>
        <row r="22">
          <cell r="A22">
            <v>1.09911</v>
          </cell>
          <cell r="B22">
            <v>4.3758400000000002</v>
          </cell>
          <cell r="H22">
            <v>2.4070648688486145</v>
          </cell>
          <cell r="I22">
            <v>-35.986377541791356</v>
          </cell>
        </row>
        <row r="23">
          <cell r="A23">
            <v>1.4523900000000001</v>
          </cell>
          <cell r="B23">
            <v>5.0537799999999997</v>
          </cell>
          <cell r="H23">
            <v>2.4987654033436302</v>
          </cell>
          <cell r="I23">
            <v>-5.2977517271797225</v>
          </cell>
        </row>
        <row r="24">
          <cell r="A24">
            <v>1.43075</v>
          </cell>
          <cell r="B24">
            <v>5.10623</v>
          </cell>
          <cell r="H24">
            <v>2.4931483302954183</v>
          </cell>
          <cell r="I24">
            <v>-7.1775690466662461</v>
          </cell>
        </row>
        <row r="25">
          <cell r="A25">
            <v>1.2312099999999999</v>
          </cell>
          <cell r="B25">
            <v>-1.6568700000000001</v>
          </cell>
          <cell r="H25">
            <v>2.4413539330662077</v>
          </cell>
          <cell r="I25">
            <v>-24.511152592430534</v>
          </cell>
        </row>
        <row r="26">
          <cell r="A26">
            <v>1.0301</v>
          </cell>
          <cell r="B26">
            <v>2.9357099999999998</v>
          </cell>
          <cell r="H26">
            <v>2.3891520125151082</v>
          </cell>
          <cell r="I26">
            <v>-41.9811184483424</v>
          </cell>
        </row>
        <row r="27">
          <cell r="A27">
            <v>1.6012599999999999</v>
          </cell>
          <cell r="B27">
            <v>1.49274</v>
          </cell>
          <cell r="H27">
            <v>2.5374074396045936</v>
          </cell>
          <cell r="I27">
            <v>7.6342447770696804</v>
          </cell>
        </row>
        <row r="28">
          <cell r="A28">
            <v>2.9899100000000001</v>
          </cell>
          <cell r="B28">
            <v>3.99708</v>
          </cell>
          <cell r="H28">
            <v>2.8978579242810651</v>
          </cell>
          <cell r="I28">
            <v>128.26309508691017</v>
          </cell>
        </row>
        <row r="29">
          <cell r="A29">
            <v>1.8061400000000001</v>
          </cell>
          <cell r="B29">
            <v>4.6470500000000001</v>
          </cell>
          <cell r="H29">
            <v>2.5905879352662184</v>
          </cell>
          <cell r="I29">
            <v>25.431701912762719</v>
          </cell>
        </row>
        <row r="30">
          <cell r="A30">
            <v>1.1653800000000001</v>
          </cell>
          <cell r="B30">
            <v>5.2593199999999998</v>
          </cell>
          <cell r="H30">
            <v>2.4242665061362745</v>
          </cell>
          <cell r="I30">
            <v>-30.22965417014758</v>
          </cell>
        </row>
        <row r="31">
          <cell r="A31">
            <v>1.83894</v>
          </cell>
          <cell r="B31">
            <v>2.8339300000000001</v>
          </cell>
          <cell r="H31">
            <v>2.599101798296779</v>
          </cell>
          <cell r="I31">
            <v>28.280962914572218</v>
          </cell>
        </row>
        <row r="32">
          <cell r="A32">
            <v>1.38235</v>
          </cell>
          <cell r="B32">
            <v>1.0916300000000001</v>
          </cell>
          <cell r="H32">
            <v>2.4805851909454448</v>
          </cell>
          <cell r="I32">
            <v>-11.381966378604661</v>
          </cell>
        </row>
        <row r="33">
          <cell r="A33">
            <v>1.16568</v>
          </cell>
          <cell r="B33">
            <v>-0.74036199999999996</v>
          </cell>
          <cell r="H33">
            <v>2.4243443768347248</v>
          </cell>
          <cell r="I33">
            <v>-30.203593856106647</v>
          </cell>
        </row>
        <row r="34">
          <cell r="A34">
            <v>1.19563</v>
          </cell>
          <cell r="B34">
            <v>2.7600500000000001</v>
          </cell>
          <cell r="H34">
            <v>2.4321184682300085</v>
          </cell>
          <cell r="I34">
            <v>-27.601905837686083</v>
          </cell>
        </row>
        <row r="35">
          <cell r="A35">
            <v>1.46665</v>
          </cell>
          <cell r="B35">
            <v>1.9047400000000001</v>
          </cell>
          <cell r="H35">
            <v>2.5024668572099653</v>
          </cell>
          <cell r="I35">
            <v>-4.0590181331003521</v>
          </cell>
        </row>
        <row r="36">
          <cell r="A36">
            <v>1.59293</v>
          </cell>
          <cell r="B36">
            <v>3.0217100000000001</v>
          </cell>
          <cell r="H36">
            <v>2.5352452298776242</v>
          </cell>
          <cell r="I36">
            <v>6.9106367238662347</v>
          </cell>
        </row>
        <row r="37">
          <cell r="A37">
            <v>1.7760800000000001</v>
          </cell>
          <cell r="B37">
            <v>3.7261500000000001</v>
          </cell>
          <cell r="H37">
            <v>2.5827852912815032</v>
          </cell>
          <cell r="I37">
            <v>22.820458445860474</v>
          </cell>
        </row>
        <row r="38">
          <cell r="A38">
            <v>1.2785299999999999</v>
          </cell>
          <cell r="B38">
            <v>1.72692</v>
          </cell>
          <cell r="H38">
            <v>2.4536367379017614</v>
          </cell>
          <cell r="I38">
            <v>-20.4005723910395</v>
          </cell>
        </row>
        <row r="39">
          <cell r="A39">
            <v>1.64323</v>
          </cell>
          <cell r="B39">
            <v>3.8111799999999998</v>
          </cell>
          <cell r="H39">
            <v>2.5483015503177837</v>
          </cell>
          <cell r="I39">
            <v>11.280082711397274</v>
          </cell>
        </row>
        <row r="40">
          <cell r="A40">
            <v>1.33144</v>
          </cell>
          <cell r="B40">
            <v>0.27818100000000001</v>
          </cell>
          <cell r="H40">
            <v>2.4673705334184373</v>
          </cell>
          <cell r="I40">
            <v>-15.804401671352277</v>
          </cell>
        </row>
        <row r="41">
          <cell r="A41">
            <v>1.39706</v>
          </cell>
          <cell r="B41">
            <v>5.4249200000000002</v>
          </cell>
          <cell r="H41">
            <v>2.484403450859455</v>
          </cell>
          <cell r="I41">
            <v>-10.104142313463873</v>
          </cell>
        </row>
        <row r="42">
          <cell r="A42">
            <v>1.1195900000000001</v>
          </cell>
          <cell r="B42">
            <v>6.4695099999999996</v>
          </cell>
          <cell r="H42">
            <v>2.4123808418628183</v>
          </cell>
          <cell r="I42">
            <v>-34.207326769929807</v>
          </cell>
        </row>
        <row r="43">
          <cell r="A43">
            <v>1.2020200000000001</v>
          </cell>
          <cell r="B43">
            <v>3.1700400000000002</v>
          </cell>
          <cell r="H43">
            <v>2.4337771141069986</v>
          </cell>
          <cell r="I43">
            <v>-27.046821148614036</v>
          </cell>
        </row>
        <row r="44">
          <cell r="A44">
            <v>1.96417</v>
          </cell>
          <cell r="B44">
            <v>1.5833200000000001</v>
          </cell>
          <cell r="H44">
            <v>2.6316076235198622</v>
          </cell>
          <cell r="I44">
            <v>39.159406672395519</v>
          </cell>
        </row>
        <row r="45">
          <cell r="A45">
            <v>1.6327499999999999</v>
          </cell>
          <cell r="B45">
            <v>2.7949199999999998</v>
          </cell>
          <cell r="H45">
            <v>2.5455812672519214</v>
          </cell>
          <cell r="I45">
            <v>10.369709074233747</v>
          </cell>
        </row>
        <row r="46">
          <cell r="A46">
            <v>1.00892</v>
          </cell>
          <cell r="B46">
            <v>1.7513700000000001</v>
          </cell>
          <cell r="H46">
            <v>2.3836543412045197</v>
          </cell>
          <cell r="I46">
            <v>-43.820976619632802</v>
          </cell>
        </row>
        <row r="47">
          <cell r="A47">
            <v>1.80463</v>
          </cell>
          <cell r="B47">
            <v>1.25841</v>
          </cell>
          <cell r="H47">
            <v>2.5901959860840185</v>
          </cell>
          <cell r="I47">
            <v>25.300531665423307</v>
          </cell>
        </row>
        <row r="48">
          <cell r="A48">
            <v>1.7030099999999999</v>
          </cell>
          <cell r="B48">
            <v>1.5901099999999999</v>
          </cell>
          <cell r="H48">
            <v>2.5638185848289705</v>
          </cell>
          <cell r="I48">
            <v>16.473034622622031</v>
          </cell>
        </row>
        <row r="49">
          <cell r="A49">
            <v>2.1029599999999999</v>
          </cell>
          <cell r="B49">
            <v>-0.13830100000000001</v>
          </cell>
          <cell r="H49">
            <v>2.6676332043128967</v>
          </cell>
          <cell r="I49">
            <v>51.215776624869321</v>
          </cell>
        </row>
        <row r="50">
          <cell r="A50">
            <v>1.5667199999999999</v>
          </cell>
          <cell r="B50">
            <v>3.7054800000000001</v>
          </cell>
          <cell r="H50">
            <v>2.5284419265230209</v>
          </cell>
          <cell r="I50">
            <v>4.6338339538227196</v>
          </cell>
        </row>
        <row r="51">
          <cell r="A51">
            <v>1.63835</v>
          </cell>
          <cell r="B51">
            <v>-0.60269700000000004</v>
          </cell>
          <cell r="H51">
            <v>2.5470348536229928</v>
          </cell>
          <cell r="I51">
            <v>10.856168269664641</v>
          </cell>
        </row>
        <row r="52">
          <cell r="A52">
            <v>1.60833</v>
          </cell>
          <cell r="B52">
            <v>4.6064499999999997</v>
          </cell>
          <cell r="H52">
            <v>2.5392425923980708</v>
          </cell>
          <cell r="I52">
            <v>8.2483995113011908</v>
          </cell>
        </row>
        <row r="53">
          <cell r="A53">
            <v>1.28857</v>
          </cell>
          <cell r="B53">
            <v>-0.73702800000000002</v>
          </cell>
          <cell r="H53">
            <v>2.4562428106098961</v>
          </cell>
          <cell r="I53">
            <v>-19.528420547802686</v>
          </cell>
        </row>
        <row r="54">
          <cell r="A54">
            <v>1.6846699999999999</v>
          </cell>
          <cell r="B54">
            <v>0.42441400000000001</v>
          </cell>
          <cell r="H54">
            <v>2.5590580894637114</v>
          </cell>
          <cell r="I54">
            <v>14.879880757585861</v>
          </cell>
        </row>
        <row r="55">
          <cell r="A55">
            <v>1.4887300000000001</v>
          </cell>
          <cell r="B55">
            <v>2.4750100000000002</v>
          </cell>
          <cell r="H55">
            <v>2.508198140615904</v>
          </cell>
          <cell r="I55">
            <v>-2.1409790196871166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"/>
  <sheetViews>
    <sheetView topLeftCell="A8" zoomScale="62" zoomScaleNormal="100" workbookViewId="0">
      <selection activeCell="N25" sqref="N25"/>
    </sheetView>
  </sheetViews>
  <sheetFormatPr defaultRowHeight="14.5" x14ac:dyDescent="0.35"/>
  <cols>
    <col min="16" max="16" width="9.90625" customWidth="1"/>
    <col min="18" max="18" width="15.54296875" customWidth="1"/>
    <col min="19" max="19" width="13.81640625" customWidth="1"/>
    <col min="20" max="20" width="13.453125" customWidth="1"/>
  </cols>
  <sheetData>
    <row r="1" spans="1:20" x14ac:dyDescent="0.35">
      <c r="A1" t="s">
        <v>2</v>
      </c>
    </row>
    <row r="2" spans="1:20" x14ac:dyDescent="0.35">
      <c r="A2" t="s">
        <v>0</v>
      </c>
      <c r="B2" t="s">
        <v>1</v>
      </c>
      <c r="E2" t="s">
        <v>6</v>
      </c>
    </row>
    <row r="3" spans="1:20" x14ac:dyDescent="0.35">
      <c r="A3">
        <v>1.8548500000000001</v>
      </c>
      <c r="B3">
        <v>5.1363300000000001</v>
      </c>
      <c r="C3" s="2"/>
      <c r="D3" s="1"/>
      <c r="F3" t="s">
        <v>3</v>
      </c>
      <c r="K3" s="1">
        <f>AVERAGE(A3:A52)</f>
        <v>1.9617821799999995</v>
      </c>
    </row>
    <row r="4" spans="1:20" x14ac:dyDescent="0.35">
      <c r="A4">
        <v>2.0194589999999999</v>
      </c>
      <c r="B4">
        <v>6.6862700000000004</v>
      </c>
      <c r="C4" s="2"/>
      <c r="D4" s="1"/>
      <c r="F4" t="s">
        <v>4</v>
      </c>
      <c r="J4" t="s">
        <v>13</v>
      </c>
      <c r="K4">
        <f>_xlfn.VAR.P(A3:A52)</f>
        <v>0.34687698089406838</v>
      </c>
      <c r="M4" t="s">
        <v>5</v>
      </c>
      <c r="Q4">
        <f>SQRT(K4)</f>
        <v>0.5889626311524937</v>
      </c>
      <c r="R4">
        <f>_xlfn.STDEV.P(A3:A52)</f>
        <v>0.5889626311524937</v>
      </c>
    </row>
    <row r="5" spans="1:20" x14ac:dyDescent="0.35">
      <c r="A5">
        <v>2.0776699999999999</v>
      </c>
      <c r="B5">
        <v>0.29131499999999999</v>
      </c>
      <c r="C5" s="2"/>
      <c r="D5" s="1"/>
      <c r="J5" t="s">
        <v>14</v>
      </c>
      <c r="K5">
        <f>_xlfn.VAR.S(A3:A52)</f>
        <v>0.35395610295313129</v>
      </c>
      <c r="L5">
        <f>K4*(P18/(P18-1))</f>
        <v>0.35395610295313101</v>
      </c>
      <c r="Q5">
        <f>SQRT(K5)</f>
        <v>0.59494210050485696</v>
      </c>
      <c r="R5">
        <f>_xlfn.STDEV.S(A3:A52)</f>
        <v>0.59494210050485696</v>
      </c>
    </row>
    <row r="6" spans="1:20" x14ac:dyDescent="0.35">
      <c r="A6">
        <v>1.3166599999999999</v>
      </c>
      <c r="B6">
        <v>5.1470700000000003</v>
      </c>
      <c r="C6" s="2"/>
      <c r="D6" s="1"/>
    </row>
    <row r="7" spans="1:20" x14ac:dyDescent="0.35">
      <c r="A7">
        <v>2.4552399999999999</v>
      </c>
      <c r="B7">
        <v>5.0792099999999998</v>
      </c>
      <c r="C7" s="2"/>
      <c r="D7" s="1"/>
    </row>
    <row r="8" spans="1:20" x14ac:dyDescent="0.35">
      <c r="A8">
        <v>2.0126400000000002</v>
      </c>
      <c r="B8">
        <v>0.57628599999999996</v>
      </c>
      <c r="C8" s="2"/>
      <c r="D8" s="1"/>
      <c r="E8" t="s">
        <v>23</v>
      </c>
    </row>
    <row r="9" spans="1:20" ht="43.5" x14ac:dyDescent="0.35">
      <c r="A9">
        <v>2.08955</v>
      </c>
      <c r="B9">
        <v>10.639849999999999</v>
      </c>
      <c r="C9" s="2"/>
      <c r="D9" s="1"/>
      <c r="F9" t="s">
        <v>7</v>
      </c>
      <c r="K9">
        <v>1.0218100000000001</v>
      </c>
      <c r="M9" s="5"/>
      <c r="N9" s="5"/>
      <c r="O9" s="5"/>
      <c r="P9" s="6" t="s">
        <v>17</v>
      </c>
      <c r="Q9" s="5" t="s">
        <v>19</v>
      </c>
      <c r="R9" s="6" t="s">
        <v>24</v>
      </c>
      <c r="S9" s="6" t="s">
        <v>29</v>
      </c>
      <c r="T9" s="6" t="s">
        <v>27</v>
      </c>
    </row>
    <row r="10" spans="1:20" x14ac:dyDescent="0.35">
      <c r="A10">
        <v>2.4561500000000001</v>
      </c>
      <c r="B10">
        <v>8.4246800000000004</v>
      </c>
      <c r="C10" s="2"/>
      <c r="D10" s="1"/>
      <c r="E10" s="1"/>
      <c r="F10" s="1" t="s">
        <v>8</v>
      </c>
      <c r="H10">
        <f>MIN(K9:K58)</f>
        <v>1.0218100000000001</v>
      </c>
      <c r="K10">
        <v>1.18757</v>
      </c>
      <c r="M10" s="7"/>
      <c r="N10" s="14" t="s">
        <v>11</v>
      </c>
      <c r="O10" s="14"/>
      <c r="P10" s="5" t="s">
        <v>18</v>
      </c>
      <c r="Q10" s="5" t="s">
        <v>12</v>
      </c>
      <c r="R10" s="5" t="s">
        <v>25</v>
      </c>
      <c r="S10" s="5" t="s">
        <v>26</v>
      </c>
      <c r="T10" s="5" t="s">
        <v>28</v>
      </c>
    </row>
    <row r="11" spans="1:20" x14ac:dyDescent="0.35">
      <c r="A11">
        <v>2.72661</v>
      </c>
      <c r="B11">
        <v>2.1817000000000002</v>
      </c>
      <c r="C11" s="2"/>
      <c r="D11" s="1"/>
      <c r="E11" s="1"/>
      <c r="F11" s="1" t="s">
        <v>15</v>
      </c>
      <c r="H11">
        <f>MAX(K9:K58)</f>
        <v>2.9272100000000001</v>
      </c>
      <c r="K11">
        <v>1.22424</v>
      </c>
      <c r="M11" s="5">
        <v>1</v>
      </c>
      <c r="N11" s="5">
        <f>K9</f>
        <v>1.0218100000000001</v>
      </c>
      <c r="O11" s="5">
        <f>N11+H14</f>
        <v>1.2940100000000001</v>
      </c>
      <c r="P11" s="5">
        <f>AVERAGE(N11:O11)</f>
        <v>1.1579100000000002</v>
      </c>
      <c r="Q11" s="5">
        <f t="array" ref="Q11:Q17">FREQUENCY(K9:K58,N12:N17)</f>
        <v>10</v>
      </c>
      <c r="R11" s="5">
        <f>Q11/$Q$18</f>
        <v>0.2</v>
      </c>
      <c r="S11" s="5">
        <f>R11/$H$14</f>
        <v>0.73475385745775168</v>
      </c>
      <c r="T11" s="5">
        <f>R11</f>
        <v>0.2</v>
      </c>
    </row>
    <row r="12" spans="1:20" x14ac:dyDescent="0.35">
      <c r="A12">
        <v>2.9084699999999999</v>
      </c>
      <c r="B12">
        <v>2.8486600000000002</v>
      </c>
      <c r="C12" s="2"/>
      <c r="D12" s="1"/>
      <c r="E12" s="1"/>
      <c r="F12" t="s">
        <v>16</v>
      </c>
      <c r="H12">
        <f>H11-H10</f>
        <v>1.9054</v>
      </c>
      <c r="K12">
        <v>1.23054</v>
      </c>
      <c r="M12" s="5">
        <v>2</v>
      </c>
      <c r="N12" s="5">
        <f>O11</f>
        <v>1.2940100000000001</v>
      </c>
      <c r="O12" s="5">
        <f>N12+$H$14</f>
        <v>1.5662100000000001</v>
      </c>
      <c r="P12" s="5">
        <f t="shared" ref="P12:P17" si="0">AVERAGE(N12:O12)</f>
        <v>1.43011</v>
      </c>
      <c r="Q12" s="5">
        <v>8</v>
      </c>
      <c r="R12" s="5">
        <f t="shared" ref="R12:R17" si="1">Q12/$Q$18</f>
        <v>0.16</v>
      </c>
      <c r="S12" s="5">
        <f t="shared" ref="S12:S17" si="2">R12/$H$14</f>
        <v>0.58780308596620134</v>
      </c>
      <c r="T12" s="5">
        <f>T11+R12</f>
        <v>0.36</v>
      </c>
    </row>
    <row r="13" spans="1:20" x14ac:dyDescent="0.35">
      <c r="A13">
        <v>1.26769</v>
      </c>
      <c r="B13">
        <v>2.0169899999999998</v>
      </c>
      <c r="C13" s="2"/>
      <c r="D13" s="1"/>
      <c r="E13" s="1"/>
      <c r="F13" s="1" t="s">
        <v>9</v>
      </c>
      <c r="H13">
        <v>7</v>
      </c>
      <c r="K13">
        <v>1.2317800000000001</v>
      </c>
      <c r="M13" s="5">
        <v>3</v>
      </c>
      <c r="N13" s="5">
        <f t="shared" ref="N13:N17" si="3">O12</f>
        <v>1.5662100000000001</v>
      </c>
      <c r="O13" s="5">
        <f t="shared" ref="O13:O17" si="4">N13+$H$14</f>
        <v>1.8384100000000001</v>
      </c>
      <c r="P13" s="5">
        <f t="shared" si="0"/>
        <v>1.7023100000000002</v>
      </c>
      <c r="Q13" s="5">
        <v>4</v>
      </c>
      <c r="R13" s="5">
        <f t="shared" si="1"/>
        <v>0.08</v>
      </c>
      <c r="S13" s="5">
        <f t="shared" si="2"/>
        <v>0.29390154298310067</v>
      </c>
      <c r="T13" s="5">
        <f>T12+R13</f>
        <v>0.44</v>
      </c>
    </row>
    <row r="14" spans="1:20" x14ac:dyDescent="0.35">
      <c r="A14">
        <v>1.7948599999999999</v>
      </c>
      <c r="B14">
        <v>1.13697</v>
      </c>
      <c r="C14" s="2"/>
      <c r="D14" s="1"/>
      <c r="E14" s="1" t="s">
        <v>22</v>
      </c>
      <c r="F14" s="1" t="s">
        <v>10</v>
      </c>
      <c r="H14">
        <f>H12/H13</f>
        <v>0.2722</v>
      </c>
      <c r="K14">
        <v>1.2373099999999999</v>
      </c>
      <c r="M14" s="5">
        <v>4</v>
      </c>
      <c r="N14" s="5">
        <f t="shared" si="3"/>
        <v>1.8384100000000001</v>
      </c>
      <c r="O14" s="5">
        <f t="shared" si="4"/>
        <v>2.1106100000000003</v>
      </c>
      <c r="P14" s="5">
        <f t="shared" si="0"/>
        <v>1.9745100000000002</v>
      </c>
      <c r="Q14" s="5">
        <v>9</v>
      </c>
      <c r="R14" s="5">
        <f t="shared" si="1"/>
        <v>0.18</v>
      </c>
      <c r="S14" s="5">
        <f t="shared" si="2"/>
        <v>0.66127847171197651</v>
      </c>
      <c r="T14" s="5">
        <f t="shared" ref="T14:T17" si="5">T13+R14</f>
        <v>0.62</v>
      </c>
    </row>
    <row r="15" spans="1:20" x14ac:dyDescent="0.35">
      <c r="A15">
        <v>2.46258</v>
      </c>
      <c r="B15">
        <v>5.2546600000000003</v>
      </c>
      <c r="C15" s="2"/>
      <c r="D15" s="1"/>
      <c r="E15" s="1"/>
      <c r="F15" s="4"/>
      <c r="G15" s="4"/>
      <c r="K15">
        <v>1.2444299999999999</v>
      </c>
      <c r="M15" s="5">
        <v>5</v>
      </c>
      <c r="N15" s="5">
        <f t="shared" si="3"/>
        <v>2.1106100000000003</v>
      </c>
      <c r="O15" s="5">
        <f t="shared" si="4"/>
        <v>2.3828100000000001</v>
      </c>
      <c r="P15" s="5">
        <f t="shared" si="0"/>
        <v>2.2467100000000002</v>
      </c>
      <c r="Q15" s="5">
        <v>3</v>
      </c>
      <c r="R15" s="5">
        <f t="shared" si="1"/>
        <v>0.06</v>
      </c>
      <c r="S15" s="5">
        <f t="shared" si="2"/>
        <v>0.22042615723732548</v>
      </c>
      <c r="T15" s="5">
        <f t="shared" si="5"/>
        <v>0.67999999999999994</v>
      </c>
    </row>
    <row r="16" spans="1:20" x14ac:dyDescent="0.35">
      <c r="A16">
        <v>1.3559600000000001</v>
      </c>
      <c r="B16">
        <v>4.67936</v>
      </c>
      <c r="C16" s="2"/>
      <c r="D16" s="1"/>
      <c r="E16" s="1"/>
      <c r="K16">
        <v>1.26769</v>
      </c>
      <c r="M16" s="5">
        <v>6</v>
      </c>
      <c r="N16" s="5">
        <f t="shared" si="3"/>
        <v>2.3828100000000001</v>
      </c>
      <c r="O16" s="5">
        <f t="shared" si="4"/>
        <v>2.6550099999999999</v>
      </c>
      <c r="P16" s="5">
        <f t="shared" si="0"/>
        <v>2.51891</v>
      </c>
      <c r="Q16" s="5">
        <v>6</v>
      </c>
      <c r="R16" s="5">
        <f t="shared" si="1"/>
        <v>0.12</v>
      </c>
      <c r="S16" s="5">
        <f t="shared" si="2"/>
        <v>0.44085231447465095</v>
      </c>
      <c r="T16" s="5">
        <f t="shared" si="5"/>
        <v>0.79999999999999993</v>
      </c>
    </row>
    <row r="17" spans="1:20" x14ac:dyDescent="0.35">
      <c r="A17">
        <v>1.9734700000000001</v>
      </c>
      <c r="B17">
        <v>5.5770600000000004</v>
      </c>
      <c r="C17" s="2"/>
      <c r="D17" s="1"/>
      <c r="E17" s="1"/>
      <c r="F17" s="1"/>
      <c r="K17">
        <v>1.29125</v>
      </c>
      <c r="M17" s="5">
        <v>7</v>
      </c>
      <c r="N17" s="5">
        <f t="shared" si="3"/>
        <v>2.6550099999999999</v>
      </c>
      <c r="O17" s="5">
        <f t="shared" si="4"/>
        <v>2.9272099999999996</v>
      </c>
      <c r="P17" s="5">
        <f t="shared" si="0"/>
        <v>2.7911099999999998</v>
      </c>
      <c r="Q17" s="5">
        <v>10</v>
      </c>
      <c r="R17" s="5">
        <f t="shared" si="1"/>
        <v>0.2</v>
      </c>
      <c r="S17" s="5">
        <f t="shared" si="2"/>
        <v>0.73475385745775168</v>
      </c>
      <c r="T17" s="5">
        <f t="shared" si="5"/>
        <v>1</v>
      </c>
    </row>
    <row r="18" spans="1:20" x14ac:dyDescent="0.35">
      <c r="A18">
        <v>1.82836</v>
      </c>
      <c r="B18">
        <v>7.05016</v>
      </c>
      <c r="C18" s="2"/>
      <c r="D18" s="1"/>
      <c r="E18" s="1"/>
      <c r="F18" s="1"/>
      <c r="K18">
        <v>1.2929900000000001</v>
      </c>
      <c r="O18" t="s">
        <v>21</v>
      </c>
      <c r="P18">
        <f>COUNT(K9:K58)</f>
        <v>50</v>
      </c>
      <c r="Q18">
        <f>SUM(Q20:Q26)</f>
        <v>50</v>
      </c>
      <c r="R18">
        <f>SUM(R11:R17)</f>
        <v>1</v>
      </c>
    </row>
    <row r="19" spans="1:20" x14ac:dyDescent="0.35">
      <c r="A19">
        <v>1.3441099999999999</v>
      </c>
      <c r="B19">
        <v>8.7911699999999993</v>
      </c>
      <c r="C19" s="2"/>
      <c r="D19" s="1"/>
      <c r="E19" s="1"/>
      <c r="F19" s="1"/>
      <c r="K19">
        <v>1.3166599999999999</v>
      </c>
      <c r="Q19" t="s">
        <v>20</v>
      </c>
      <c r="S19">
        <f>MAX(S11:S17)</f>
        <v>0.73475385745775168</v>
      </c>
    </row>
    <row r="20" spans="1:20" x14ac:dyDescent="0.35">
      <c r="A20">
        <v>1.88008</v>
      </c>
      <c r="B20">
        <v>10.263999999999999</v>
      </c>
      <c r="C20" s="2"/>
      <c r="D20" s="1"/>
      <c r="E20" s="1"/>
      <c r="F20" s="1"/>
      <c r="K20">
        <v>1.3441099999999999</v>
      </c>
      <c r="Q20">
        <v>10</v>
      </c>
      <c r="S20">
        <f>MIN(S11:S17)</f>
        <v>0.22042615723732548</v>
      </c>
    </row>
    <row r="21" spans="1:20" x14ac:dyDescent="0.35">
      <c r="A21">
        <v>2.65469</v>
      </c>
      <c r="B21">
        <v>1.1330499999999999</v>
      </c>
      <c r="C21" s="2"/>
      <c r="D21" s="1"/>
      <c r="E21" s="1"/>
      <c r="F21" s="1"/>
      <c r="K21">
        <v>1.3559600000000001</v>
      </c>
      <c r="Q21">
        <v>8</v>
      </c>
    </row>
    <row r="22" spans="1:20" x14ac:dyDescent="0.35">
      <c r="A22">
        <v>1.7806299999999999</v>
      </c>
      <c r="B22">
        <v>2.1659299999999999</v>
      </c>
      <c r="C22" s="2"/>
      <c r="D22" s="1"/>
      <c r="E22" s="1"/>
      <c r="F22" s="1"/>
      <c r="K22">
        <v>1.35772</v>
      </c>
      <c r="Q22">
        <v>4</v>
      </c>
    </row>
    <row r="23" spans="1:20" x14ac:dyDescent="0.35">
      <c r="A23">
        <v>2.5245600000000001</v>
      </c>
      <c r="B23">
        <v>4.09626</v>
      </c>
      <c r="C23" s="2"/>
      <c r="D23" s="1"/>
      <c r="E23" s="1"/>
      <c r="F23" s="1"/>
      <c r="K23">
        <v>1.37456</v>
      </c>
      <c r="Q23">
        <v>9</v>
      </c>
    </row>
    <row r="24" spans="1:20" x14ac:dyDescent="0.35">
      <c r="A24">
        <v>1.23054</v>
      </c>
      <c r="B24">
        <v>2.3341400000000001</v>
      </c>
      <c r="C24" s="2"/>
      <c r="D24" s="1"/>
      <c r="E24" s="1"/>
      <c r="F24" s="1"/>
      <c r="K24">
        <v>1.4418800000000001</v>
      </c>
      <c r="Q24">
        <v>3</v>
      </c>
      <c r="T24" s="8"/>
    </row>
    <row r="25" spans="1:20" x14ac:dyDescent="0.35">
      <c r="A25">
        <v>1.2444299999999999</v>
      </c>
      <c r="B25">
        <v>9.4604800000000004</v>
      </c>
      <c r="C25" s="2"/>
      <c r="D25" s="1"/>
      <c r="E25" s="1"/>
      <c r="F25" s="1"/>
      <c r="K25">
        <v>1.45451</v>
      </c>
      <c r="Q25">
        <v>6</v>
      </c>
    </row>
    <row r="26" spans="1:20" x14ac:dyDescent="0.35">
      <c r="A26">
        <v>2.1318899999999998</v>
      </c>
      <c r="B26">
        <v>6.3081500000000004</v>
      </c>
      <c r="C26" s="2"/>
      <c r="D26" s="1"/>
      <c r="E26" s="1"/>
      <c r="F26" s="1"/>
      <c r="K26">
        <v>1.5619799999999999</v>
      </c>
      <c r="Q26">
        <v>10</v>
      </c>
    </row>
    <row r="27" spans="1:20" x14ac:dyDescent="0.35">
      <c r="A27">
        <v>1.45451</v>
      </c>
      <c r="B27">
        <v>4.0541200000000002</v>
      </c>
      <c r="C27" s="2"/>
      <c r="D27" s="1"/>
      <c r="E27" s="1"/>
      <c r="F27" s="1"/>
      <c r="K27">
        <v>1.62961</v>
      </c>
    </row>
    <row r="28" spans="1:20" x14ac:dyDescent="0.35">
      <c r="A28">
        <v>2.8380100000000001</v>
      </c>
      <c r="B28">
        <v>2.7465700000000002</v>
      </c>
      <c r="C28" s="2"/>
      <c r="D28" s="1"/>
      <c r="E28" s="1"/>
      <c r="F28" s="1"/>
      <c r="K28">
        <v>1.7806299999999999</v>
      </c>
    </row>
    <row r="29" spans="1:20" x14ac:dyDescent="0.35">
      <c r="A29">
        <v>1.2317800000000001</v>
      </c>
      <c r="B29">
        <v>2.3625500000000001</v>
      </c>
      <c r="C29" s="2"/>
      <c r="D29" s="1"/>
      <c r="E29" s="1"/>
      <c r="F29" s="1"/>
      <c r="K29">
        <v>1.7948599999999999</v>
      </c>
    </row>
    <row r="30" spans="1:20" x14ac:dyDescent="0.35">
      <c r="A30">
        <v>2.7359800000000001</v>
      </c>
      <c r="B30">
        <v>-1.51603</v>
      </c>
      <c r="C30" s="2"/>
      <c r="D30" s="1"/>
      <c r="E30" s="1"/>
      <c r="F30" s="1"/>
      <c r="K30">
        <v>1.82836</v>
      </c>
    </row>
    <row r="31" spans="1:20" x14ac:dyDescent="0.35">
      <c r="A31">
        <v>2.0678200000000002</v>
      </c>
      <c r="B31">
        <v>7.6174799999999996</v>
      </c>
      <c r="C31" s="2"/>
      <c r="D31" s="1"/>
      <c r="E31" s="1"/>
      <c r="F31" s="1"/>
      <c r="K31">
        <v>1.8548500000000001</v>
      </c>
    </row>
    <row r="32" spans="1:20" x14ac:dyDescent="0.35">
      <c r="A32">
        <v>2.03674</v>
      </c>
      <c r="B32">
        <v>0.29575800000000002</v>
      </c>
      <c r="C32" s="2"/>
      <c r="D32" s="1"/>
      <c r="E32" s="1"/>
      <c r="F32" s="1"/>
      <c r="K32">
        <v>1.88008</v>
      </c>
    </row>
    <row r="33" spans="1:11" x14ac:dyDescent="0.35">
      <c r="A33">
        <v>2.80681</v>
      </c>
      <c r="B33">
        <v>7.3238899999999996</v>
      </c>
      <c r="C33" s="2"/>
      <c r="D33" s="1"/>
      <c r="E33" s="1"/>
      <c r="F33" s="1"/>
      <c r="K33">
        <v>1.9734700000000001</v>
      </c>
    </row>
    <row r="34" spans="1:11" x14ac:dyDescent="0.35">
      <c r="A34">
        <v>2.7911600000000001</v>
      </c>
      <c r="B34">
        <v>2.8535900000000001</v>
      </c>
      <c r="C34" s="2"/>
      <c r="D34" s="1"/>
      <c r="E34" s="1"/>
      <c r="F34" s="1"/>
      <c r="K34">
        <v>2.0126400000000002</v>
      </c>
    </row>
    <row r="35" spans="1:11" x14ac:dyDescent="0.35">
      <c r="A35">
        <v>1.35772</v>
      </c>
      <c r="B35">
        <v>2.7207699999999999</v>
      </c>
      <c r="C35" s="2"/>
      <c r="D35" s="1"/>
      <c r="E35" s="1"/>
      <c r="F35" s="1"/>
      <c r="K35">
        <v>2.0194589999999999</v>
      </c>
    </row>
    <row r="36" spans="1:11" x14ac:dyDescent="0.35">
      <c r="A36">
        <v>2.4147799999999999</v>
      </c>
      <c r="B36">
        <v>6.1454000000000004</v>
      </c>
      <c r="C36" s="2"/>
      <c r="D36" s="1"/>
      <c r="E36" s="1"/>
      <c r="F36" s="1"/>
      <c r="K36">
        <v>2.03674</v>
      </c>
    </row>
    <row r="37" spans="1:11" x14ac:dyDescent="0.35">
      <c r="A37">
        <v>1.29125</v>
      </c>
      <c r="B37">
        <v>1.12967</v>
      </c>
      <c r="C37" s="2"/>
      <c r="D37" s="1"/>
      <c r="E37" s="1"/>
      <c r="F37" s="1"/>
      <c r="K37">
        <v>2.0678200000000002</v>
      </c>
    </row>
    <row r="38" spans="1:11" x14ac:dyDescent="0.35">
      <c r="A38">
        <v>2.69475</v>
      </c>
      <c r="B38">
        <v>0.73295500000000002</v>
      </c>
      <c r="C38" s="2"/>
      <c r="D38" s="1"/>
      <c r="E38" s="1"/>
      <c r="F38" s="1"/>
      <c r="K38">
        <v>2.0776699999999999</v>
      </c>
    </row>
    <row r="39" spans="1:11" x14ac:dyDescent="0.35">
      <c r="A39">
        <v>2.2817099999999999</v>
      </c>
      <c r="B39">
        <v>2.0230700000000001</v>
      </c>
      <c r="C39" s="2"/>
      <c r="D39" s="1"/>
      <c r="E39" s="1"/>
      <c r="F39" s="1"/>
      <c r="K39">
        <v>2.08955</v>
      </c>
    </row>
    <row r="40" spans="1:11" x14ac:dyDescent="0.35">
      <c r="A40">
        <v>1.2373099999999999</v>
      </c>
      <c r="B40">
        <v>4.7182700000000004</v>
      </c>
      <c r="C40" s="2"/>
      <c r="D40" s="1"/>
      <c r="E40" s="1"/>
      <c r="F40" s="1"/>
      <c r="K40">
        <v>2.1318899999999998</v>
      </c>
    </row>
    <row r="41" spans="1:11" x14ac:dyDescent="0.35">
      <c r="A41">
        <v>2.9272100000000001</v>
      </c>
      <c r="B41">
        <v>3.2783500000000001</v>
      </c>
      <c r="C41" s="2"/>
      <c r="D41" s="1"/>
      <c r="E41" s="1"/>
      <c r="F41" s="1"/>
      <c r="K41">
        <v>2.24743</v>
      </c>
    </row>
    <row r="42" spans="1:11" x14ac:dyDescent="0.35">
      <c r="A42">
        <v>1.5619799999999999</v>
      </c>
      <c r="B42">
        <v>7.3078500000000002</v>
      </c>
      <c r="C42" s="2"/>
      <c r="D42" s="1"/>
      <c r="E42" s="1"/>
      <c r="F42" s="1"/>
      <c r="K42">
        <v>2.2817099999999999</v>
      </c>
    </row>
    <row r="43" spans="1:11" x14ac:dyDescent="0.35">
      <c r="A43">
        <v>1.2929900000000001</v>
      </c>
      <c r="B43">
        <v>1.7641899999999999</v>
      </c>
      <c r="C43" s="2"/>
      <c r="D43" s="1"/>
      <c r="E43" s="1"/>
      <c r="F43" s="1"/>
      <c r="K43">
        <v>2.4147799999999999</v>
      </c>
    </row>
    <row r="44" spans="1:11" x14ac:dyDescent="0.35">
      <c r="A44">
        <v>2.6832699999999998</v>
      </c>
      <c r="B44">
        <v>4.7862799999999996</v>
      </c>
      <c r="C44" s="2"/>
      <c r="D44" s="1"/>
      <c r="E44" s="1"/>
      <c r="F44" s="1"/>
      <c r="K44">
        <v>2.4552399999999999</v>
      </c>
    </row>
    <row r="45" spans="1:11" x14ac:dyDescent="0.35">
      <c r="A45">
        <v>1.37456</v>
      </c>
      <c r="B45">
        <v>9.3262300000000007</v>
      </c>
      <c r="C45" s="2"/>
      <c r="D45" s="1"/>
      <c r="E45" s="1"/>
      <c r="F45" s="1"/>
      <c r="K45">
        <v>2.4561500000000001</v>
      </c>
    </row>
    <row r="46" spans="1:11" x14ac:dyDescent="0.35">
      <c r="A46">
        <v>1.18757</v>
      </c>
      <c r="B46">
        <v>2.7852100000000002</v>
      </c>
      <c r="C46" s="2"/>
      <c r="D46" s="1"/>
      <c r="E46" s="1"/>
      <c r="F46" s="1"/>
      <c r="K46">
        <v>2.46258</v>
      </c>
    </row>
    <row r="47" spans="1:11" x14ac:dyDescent="0.35">
      <c r="A47">
        <v>1.0218100000000001</v>
      </c>
      <c r="B47">
        <v>12.2189</v>
      </c>
      <c r="C47" s="2"/>
      <c r="D47" s="1"/>
      <c r="E47" s="1"/>
      <c r="F47" s="1"/>
      <c r="K47">
        <v>2.5245600000000001</v>
      </c>
    </row>
    <row r="48" spans="1:11" x14ac:dyDescent="0.35">
      <c r="A48">
        <v>1.62961</v>
      </c>
      <c r="B48">
        <v>2.7725499999999998</v>
      </c>
      <c r="C48" s="2"/>
      <c r="D48" s="1"/>
      <c r="E48" s="1"/>
      <c r="F48" s="1"/>
      <c r="K48">
        <v>2.65469</v>
      </c>
    </row>
    <row r="49" spans="1:11" x14ac:dyDescent="0.35">
      <c r="A49">
        <v>1.4418800000000001</v>
      </c>
      <c r="B49">
        <v>4.7862299999999998</v>
      </c>
      <c r="C49" s="3"/>
      <c r="D49" s="1"/>
      <c r="E49" s="1"/>
      <c r="F49" s="1"/>
      <c r="K49">
        <v>2.6832699999999998</v>
      </c>
    </row>
    <row r="50" spans="1:11" x14ac:dyDescent="0.35">
      <c r="A50">
        <v>2.8650799999999998</v>
      </c>
      <c r="B50">
        <v>5.0236499999999999</v>
      </c>
      <c r="C50" s="2"/>
      <c r="D50" s="1"/>
      <c r="E50" s="1"/>
      <c r="F50" s="1"/>
      <c r="K50">
        <v>2.69475</v>
      </c>
    </row>
    <row r="51" spans="1:11" x14ac:dyDescent="0.35">
      <c r="A51">
        <v>1.22424</v>
      </c>
      <c r="B51">
        <v>2.9275000000000002</v>
      </c>
      <c r="C51" s="2"/>
      <c r="D51" s="1"/>
      <c r="E51" s="1"/>
      <c r="F51" s="1"/>
      <c r="K51">
        <v>2.72661</v>
      </c>
    </row>
    <row r="52" spans="1:11" x14ac:dyDescent="0.35">
      <c r="A52">
        <v>2.24743</v>
      </c>
      <c r="B52">
        <v>6.2996100000000004</v>
      </c>
      <c r="C52" s="2"/>
      <c r="D52" s="1"/>
      <c r="E52" s="1"/>
      <c r="F52" s="1"/>
      <c r="K52">
        <v>2.7359800000000001</v>
      </c>
    </row>
    <row r="53" spans="1:11" x14ac:dyDescent="0.35">
      <c r="D53" s="1"/>
      <c r="K53">
        <v>2.7911600000000001</v>
      </c>
    </row>
    <row r="54" spans="1:11" x14ac:dyDescent="0.35">
      <c r="K54">
        <v>2.80681</v>
      </c>
    </row>
    <row r="55" spans="1:11" x14ac:dyDescent="0.35">
      <c r="K55">
        <v>2.8380100000000001</v>
      </c>
    </row>
    <row r="56" spans="1:11" x14ac:dyDescent="0.35">
      <c r="K56">
        <v>2.8650799999999998</v>
      </c>
    </row>
    <row r="57" spans="1:11" x14ac:dyDescent="0.35">
      <c r="K57">
        <v>2.9084699999999999</v>
      </c>
    </row>
    <row r="58" spans="1:11" x14ac:dyDescent="0.35">
      <c r="K58">
        <v>2.9272100000000001</v>
      </c>
    </row>
  </sheetData>
  <sortState xmlns:xlrd2="http://schemas.microsoft.com/office/spreadsheetml/2017/richdata2" ref="K9:K58">
    <sortCondition ref="K9"/>
  </sortState>
  <mergeCells count="1">
    <mergeCell ref="N10:O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A11" zoomScale="71" zoomScaleNormal="100" workbookViewId="0">
      <selection activeCell="G26" sqref="G26"/>
    </sheetView>
  </sheetViews>
  <sheetFormatPr defaultColWidth="10.81640625" defaultRowHeight="15.5" x14ac:dyDescent="0.35"/>
  <cols>
    <col min="1" max="3" width="10.81640625" style="38"/>
    <col min="4" max="4" width="67.1796875" style="38" customWidth="1"/>
    <col min="5" max="5" width="23.7265625" style="38" customWidth="1"/>
    <col min="6" max="6" width="47.453125" style="38" customWidth="1"/>
    <col min="7" max="7" width="43.54296875" style="38" customWidth="1"/>
    <col min="8" max="8" width="20.54296875" style="38" customWidth="1"/>
    <col min="9" max="16384" width="10.81640625" style="38"/>
  </cols>
  <sheetData>
    <row r="1" spans="1:13" s="38" customFormat="1" x14ac:dyDescent="0.35">
      <c r="A1" s="36">
        <v>1.8548500000000001</v>
      </c>
      <c r="B1" s="36">
        <v>5.1363300000000001</v>
      </c>
      <c r="C1" s="37"/>
      <c r="D1" s="38" t="s">
        <v>115</v>
      </c>
      <c r="H1" s="39"/>
    </row>
    <row r="2" spans="1:13" s="38" customFormat="1" x14ac:dyDescent="0.35">
      <c r="A2" s="36">
        <v>2.0194589999999999</v>
      </c>
      <c r="B2" s="36">
        <v>6.6862700000000004</v>
      </c>
      <c r="C2" s="37"/>
      <c r="H2" s="39"/>
    </row>
    <row r="3" spans="1:13" s="38" customFormat="1" ht="62" x14ac:dyDescent="0.35">
      <c r="A3" s="36">
        <v>2.0776699999999999</v>
      </c>
      <c r="B3" s="36">
        <v>0.29131499999999999</v>
      </c>
      <c r="C3" s="37"/>
      <c r="D3" s="40"/>
      <c r="E3" s="41" t="s">
        <v>116</v>
      </c>
      <c r="F3" s="42"/>
      <c r="G3" s="43" t="s">
        <v>117</v>
      </c>
      <c r="H3" s="44"/>
      <c r="M3" s="36"/>
    </row>
    <row r="4" spans="1:13" s="38" customFormat="1" x14ac:dyDescent="0.35">
      <c r="A4" s="36">
        <v>1.3166599999999999</v>
      </c>
      <c r="B4" s="36">
        <v>5.1470700000000003</v>
      </c>
      <c r="C4" s="37"/>
      <c r="D4" s="39"/>
      <c r="E4" s="39"/>
      <c r="F4" s="39"/>
      <c r="G4" s="39"/>
    </row>
    <row r="5" spans="1:13" s="38" customFormat="1" ht="109" customHeight="1" x14ac:dyDescent="0.35">
      <c r="A5" s="36">
        <v>2.4552399999999999</v>
      </c>
      <c r="B5" s="36">
        <v>5.0792099999999998</v>
      </c>
      <c r="C5" s="37"/>
      <c r="D5" s="45"/>
      <c r="E5" s="41" t="s">
        <v>118</v>
      </c>
      <c r="F5" s="46" t="s">
        <v>119</v>
      </c>
    </row>
    <row r="6" spans="1:13" s="38" customFormat="1" x14ac:dyDescent="0.35">
      <c r="A6" s="36">
        <v>2.0126400000000002</v>
      </c>
      <c r="B6" s="36">
        <v>0.57628599999999996</v>
      </c>
      <c r="C6" s="37"/>
    </row>
    <row r="7" spans="1:13" s="38" customFormat="1" ht="69" customHeight="1" x14ac:dyDescent="0.35">
      <c r="A7" s="36">
        <v>2.08955</v>
      </c>
      <c r="B7" s="36">
        <v>10.639849999999999</v>
      </c>
      <c r="C7" s="37"/>
      <c r="D7" s="47"/>
      <c r="E7" s="41" t="s">
        <v>120</v>
      </c>
      <c r="F7" s="48" t="s">
        <v>121</v>
      </c>
    </row>
    <row r="8" spans="1:13" s="38" customFormat="1" x14ac:dyDescent="0.35">
      <c r="A8" s="36">
        <v>2.4561500000000001</v>
      </c>
      <c r="B8" s="36">
        <v>8.4246800000000004</v>
      </c>
      <c r="C8" s="37"/>
    </row>
    <row r="9" spans="1:13" s="38" customFormat="1" ht="19" customHeight="1" x14ac:dyDescent="0.35">
      <c r="A9" s="36">
        <v>2.72661</v>
      </c>
      <c r="B9" s="36">
        <v>2.1817000000000002</v>
      </c>
      <c r="C9" s="37"/>
    </row>
    <row r="10" spans="1:13" s="38" customFormat="1" x14ac:dyDescent="0.35">
      <c r="A10" s="36">
        <v>2.9084699999999999</v>
      </c>
      <c r="B10" s="36">
        <v>2.8486600000000002</v>
      </c>
      <c r="C10" s="37"/>
      <c r="D10" s="49" t="s">
        <v>122</v>
      </c>
      <c r="E10" s="50"/>
      <c r="F10" s="51"/>
    </row>
    <row r="11" spans="1:13" s="38" customFormat="1" x14ac:dyDescent="0.35">
      <c r="A11" s="36">
        <v>1.26769</v>
      </c>
      <c r="B11" s="36">
        <v>2.0169899999999998</v>
      </c>
      <c r="C11" s="37"/>
      <c r="D11" s="52"/>
      <c r="E11" s="53"/>
      <c r="F11" s="54"/>
    </row>
    <row r="12" spans="1:13" s="38" customFormat="1" x14ac:dyDescent="0.35">
      <c r="A12" s="36">
        <v>1.7948599999999999</v>
      </c>
      <c r="B12" s="36">
        <v>1.13697</v>
      </c>
      <c r="C12" s="37"/>
      <c r="D12" s="55" t="s">
        <v>123</v>
      </c>
      <c r="E12" s="56">
        <f>SQRT(1/49 * SUM(B1:B50))</f>
        <v>2.1369650613590729</v>
      </c>
      <c r="F12" s="57" t="s">
        <v>124</v>
      </c>
      <c r="H12" s="58" t="s">
        <v>125</v>
      </c>
      <c r="I12" s="58">
        <v>0.95</v>
      </c>
    </row>
    <row r="13" spans="1:13" s="38" customFormat="1" x14ac:dyDescent="0.35">
      <c r="A13" s="36">
        <v>2.46258</v>
      </c>
      <c r="B13" s="36">
        <v>5.2546600000000003</v>
      </c>
      <c r="C13" s="37"/>
      <c r="D13" s="58" t="s">
        <v>126</v>
      </c>
      <c r="E13" s="58">
        <f>_xlfn.T.INV(I14, 49)</f>
        <v>2.0095752371292388</v>
      </c>
      <c r="F13" s="57" t="s">
        <v>127</v>
      </c>
      <c r="H13" s="58" t="s">
        <v>43</v>
      </c>
      <c r="I13" s="58">
        <f>1-I12</f>
        <v>5.0000000000000044E-2</v>
      </c>
    </row>
    <row r="14" spans="1:13" s="38" customFormat="1" x14ac:dyDescent="0.35">
      <c r="A14" s="36">
        <v>1.3559600000000001</v>
      </c>
      <c r="B14" s="36">
        <v>4.67936</v>
      </c>
      <c r="C14" s="37"/>
      <c r="D14" s="58" t="s">
        <v>54</v>
      </c>
      <c r="E14" s="58">
        <v>50</v>
      </c>
      <c r="F14" s="59"/>
      <c r="H14" s="58" t="s">
        <v>128</v>
      </c>
      <c r="I14" s="58">
        <f>1-I13/2</f>
        <v>0.97499999999999998</v>
      </c>
    </row>
    <row r="15" spans="1:13" s="38" customFormat="1" x14ac:dyDescent="0.35">
      <c r="A15" s="36">
        <v>1.9734700000000001</v>
      </c>
      <c r="B15" s="36">
        <v>5.5770600000000004</v>
      </c>
      <c r="C15" s="37"/>
      <c r="D15" s="58" t="s">
        <v>129</v>
      </c>
      <c r="E15" s="60">
        <f>SUM(A1:A50)/E14</f>
        <v>1.9617821799999995</v>
      </c>
      <c r="F15" s="61"/>
    </row>
    <row r="16" spans="1:13" s="38" customFormat="1" ht="15.65" customHeight="1" x14ac:dyDescent="0.35">
      <c r="A16" s="36">
        <v>1.82836</v>
      </c>
      <c r="B16" s="36">
        <v>7.05016</v>
      </c>
      <c r="C16" s="37"/>
      <c r="D16" s="62" t="s">
        <v>130</v>
      </c>
      <c r="E16" s="63">
        <f>E15-(E12/SQRT(E14))*E13</f>
        <v>1.3544634292575117</v>
      </c>
      <c r="F16" s="64">
        <f>E15+(E12/SQRT(E14))*E13</f>
        <v>2.5691009307424872</v>
      </c>
      <c r="H16" s="65" t="s">
        <v>131</v>
      </c>
      <c r="I16" s="65"/>
    </row>
    <row r="17" spans="1:13" s="38" customFormat="1" ht="26.15" customHeight="1" x14ac:dyDescent="0.35">
      <c r="A17" s="36">
        <v>1.3441099999999999</v>
      </c>
      <c r="B17" s="36">
        <v>8.7911699999999993</v>
      </c>
      <c r="C17" s="37"/>
      <c r="F17" s="66"/>
      <c r="H17" s="65"/>
      <c r="I17" s="65"/>
    </row>
    <row r="18" spans="1:13" s="38" customFormat="1" x14ac:dyDescent="0.35">
      <c r="A18" s="36">
        <v>1.88008</v>
      </c>
      <c r="B18" s="36">
        <v>10.263999999999999</v>
      </c>
      <c r="C18" s="37"/>
      <c r="F18" s="66"/>
      <c r="H18" s="65"/>
      <c r="I18" s="65"/>
    </row>
    <row r="19" spans="1:13" s="38" customFormat="1" x14ac:dyDescent="0.35">
      <c r="A19" s="36">
        <v>2.65469</v>
      </c>
      <c r="B19" s="36">
        <v>1.1330499999999999</v>
      </c>
      <c r="C19" s="37"/>
      <c r="D19" s="67" t="s">
        <v>132</v>
      </c>
      <c r="E19" s="50"/>
      <c r="F19" s="51"/>
    </row>
    <row r="20" spans="1:13" s="38" customFormat="1" x14ac:dyDescent="0.35">
      <c r="A20" s="36">
        <v>1.7806299999999999</v>
      </c>
      <c r="B20" s="36">
        <v>2.1659299999999999</v>
      </c>
      <c r="C20" s="37"/>
      <c r="D20" s="68"/>
      <c r="E20" s="53"/>
      <c r="F20" s="54"/>
      <c r="M20" s="36"/>
    </row>
    <row r="21" spans="1:13" s="38" customFormat="1" x14ac:dyDescent="0.35">
      <c r="A21" s="36">
        <v>2.5245600000000001</v>
      </c>
      <c r="B21" s="36">
        <v>4.09626</v>
      </c>
      <c r="C21" s="37"/>
      <c r="D21" s="58" t="s">
        <v>133</v>
      </c>
      <c r="E21" s="69">
        <v>4</v>
      </c>
      <c r="F21" s="70" t="s">
        <v>134</v>
      </c>
      <c r="M21" s="36"/>
    </row>
    <row r="22" spans="1:13" s="38" customFormat="1" ht="46.5" x14ac:dyDescent="0.35">
      <c r="A22" s="36">
        <v>1.23054</v>
      </c>
      <c r="B22" s="36">
        <v>2.3341400000000001</v>
      </c>
      <c r="C22" s="37"/>
      <c r="D22" s="71" t="s">
        <v>135</v>
      </c>
      <c r="E22" s="58">
        <f>_xlfn.NORM.S.INV(I14)</f>
        <v>1.9599639845400536</v>
      </c>
      <c r="F22" s="59"/>
    </row>
    <row r="23" spans="1:13" s="38" customFormat="1" x14ac:dyDescent="0.35">
      <c r="A23" s="36">
        <v>1.2444299999999999</v>
      </c>
      <c r="B23" s="36">
        <v>9.4604800000000004</v>
      </c>
      <c r="C23" s="37"/>
      <c r="D23" s="58" t="s">
        <v>54</v>
      </c>
      <c r="E23" s="58">
        <v>50</v>
      </c>
      <c r="F23" s="59"/>
    </row>
    <row r="24" spans="1:13" s="38" customFormat="1" x14ac:dyDescent="0.35">
      <c r="A24" s="36">
        <v>2.1318899999999998</v>
      </c>
      <c r="B24" s="36">
        <v>6.3081500000000004</v>
      </c>
      <c r="C24" s="37"/>
      <c r="D24" s="58" t="s">
        <v>129</v>
      </c>
      <c r="E24" s="60">
        <f>AVERAGE(A1:A50)</f>
        <v>1.9617821799999995</v>
      </c>
      <c r="F24" s="61"/>
    </row>
    <row r="25" spans="1:13" s="38" customFormat="1" x14ac:dyDescent="0.35">
      <c r="A25" s="36">
        <v>1.45451</v>
      </c>
      <c r="B25" s="36">
        <v>4.0541200000000002</v>
      </c>
      <c r="C25" s="37"/>
      <c r="D25" s="62" t="s">
        <v>130</v>
      </c>
      <c r="E25" s="63">
        <f>E24-E22*(SQRT(E21)/SQRT(E23))</f>
        <v>1.4074206502601285</v>
      </c>
      <c r="F25" s="64">
        <f>E24+E22*(SQRT(E21)/SQRT(E23))</f>
        <v>2.5161437097398704</v>
      </c>
    </row>
    <row r="26" spans="1:13" s="38" customFormat="1" x14ac:dyDescent="0.35">
      <c r="A26" s="36">
        <v>2.8380100000000001</v>
      </c>
      <c r="B26" s="36">
        <v>2.7465700000000002</v>
      </c>
      <c r="C26" s="37"/>
      <c r="F26" s="66"/>
    </row>
    <row r="27" spans="1:13" s="38" customFormat="1" x14ac:dyDescent="0.35">
      <c r="A27" s="36">
        <v>1.2317800000000001</v>
      </c>
      <c r="B27" s="36">
        <v>2.3625500000000001</v>
      </c>
      <c r="C27" s="37"/>
      <c r="D27" s="49" t="s">
        <v>136</v>
      </c>
      <c r="E27" s="50"/>
      <c r="F27" s="51"/>
    </row>
    <row r="28" spans="1:13" s="38" customFormat="1" x14ac:dyDescent="0.35">
      <c r="A28" s="36">
        <v>2.7359800000000001</v>
      </c>
      <c r="B28" s="36">
        <v>-1.51603</v>
      </c>
      <c r="C28" s="37"/>
      <c r="D28" s="52"/>
      <c r="E28" s="53"/>
      <c r="F28" s="54"/>
    </row>
    <row r="29" spans="1:13" s="38" customFormat="1" x14ac:dyDescent="0.35">
      <c r="A29" s="36">
        <v>2.0678200000000002</v>
      </c>
      <c r="B29" s="36">
        <v>7.6174799999999996</v>
      </c>
      <c r="C29" s="37"/>
      <c r="D29" s="55" t="s">
        <v>133</v>
      </c>
      <c r="E29" s="72">
        <f>_xlfn.VAR.P(A1:A50)</f>
        <v>0.34687698089406838</v>
      </c>
      <c r="F29" s="59"/>
    </row>
    <row r="30" spans="1:13" s="38" customFormat="1" x14ac:dyDescent="0.35">
      <c r="A30" s="36">
        <v>2.03674</v>
      </c>
      <c r="B30" s="36">
        <v>0.29575800000000002</v>
      </c>
      <c r="C30" s="37"/>
      <c r="D30" s="58" t="s">
        <v>137</v>
      </c>
      <c r="E30" s="58">
        <f>_xlfn.CHISQ.INV(I13/2, 49)</f>
        <v>31.55491646266713</v>
      </c>
      <c r="F30" s="73">
        <f>_xlfn.CHISQ.INV(I14, 49)</f>
        <v>70.22241356643454</v>
      </c>
    </row>
    <row r="31" spans="1:13" s="38" customFormat="1" x14ac:dyDescent="0.35">
      <c r="A31" s="36">
        <v>2.80681</v>
      </c>
      <c r="B31" s="36">
        <v>7.3238899999999996</v>
      </c>
      <c r="C31" s="37"/>
      <c r="D31" s="58" t="s">
        <v>54</v>
      </c>
      <c r="E31" s="55">
        <v>50</v>
      </c>
      <c r="F31" s="59"/>
    </row>
    <row r="32" spans="1:13" s="38" customFormat="1" x14ac:dyDescent="0.35">
      <c r="A32" s="36">
        <v>2.7911600000000001</v>
      </c>
      <c r="B32" s="36">
        <v>2.8535900000000001</v>
      </c>
      <c r="C32" s="37"/>
      <c r="D32" s="58" t="s">
        <v>129</v>
      </c>
      <c r="E32" s="60">
        <f>AVERAGE(A1:A50)</f>
        <v>1.9617821799999995</v>
      </c>
      <c r="F32" s="59"/>
    </row>
    <row r="33" spans="1:6" s="38" customFormat="1" x14ac:dyDescent="0.35">
      <c r="A33" s="36">
        <v>1.35772</v>
      </c>
      <c r="B33" s="36">
        <v>2.7207699999999999</v>
      </c>
      <c r="C33" s="37"/>
      <c r="D33" s="58" t="s">
        <v>138</v>
      </c>
      <c r="E33" s="58">
        <f>_xlfn.VAR.S(A1:A50)</f>
        <v>0.35395610295313129</v>
      </c>
      <c r="F33" s="74" t="s">
        <v>139</v>
      </c>
    </row>
    <row r="34" spans="1:6" s="38" customFormat="1" x14ac:dyDescent="0.35">
      <c r="A34" s="36">
        <v>2.4147799999999999</v>
      </c>
      <c r="B34" s="36">
        <v>6.1454000000000004</v>
      </c>
      <c r="C34" s="37"/>
      <c r="D34" s="62" t="s">
        <v>140</v>
      </c>
      <c r="E34" s="63">
        <f>((E31-1)*E33)/F30</f>
        <v>0.24698451909937744</v>
      </c>
      <c r="F34" s="64">
        <f>((E31-1)*E33)/E30</f>
        <v>0.54964015085329343</v>
      </c>
    </row>
    <row r="35" spans="1:6" s="38" customFormat="1" x14ac:dyDescent="0.35">
      <c r="A35" s="36">
        <v>1.29125</v>
      </c>
      <c r="B35" s="36">
        <v>1.12967</v>
      </c>
      <c r="C35" s="37"/>
    </row>
    <row r="36" spans="1:6" s="38" customFormat="1" x14ac:dyDescent="0.35">
      <c r="A36" s="36">
        <v>2.69475</v>
      </c>
      <c r="B36" s="36">
        <v>0.73295500000000002</v>
      </c>
      <c r="C36" s="37"/>
      <c r="D36" s="75"/>
    </row>
    <row r="37" spans="1:6" s="38" customFormat="1" x14ac:dyDescent="0.35">
      <c r="A37" s="36">
        <v>2.2817099999999999</v>
      </c>
      <c r="B37" s="36">
        <v>2.0230700000000001</v>
      </c>
      <c r="C37" s="37"/>
    </row>
    <row r="38" spans="1:6" s="38" customFormat="1" x14ac:dyDescent="0.35">
      <c r="A38" s="36">
        <v>1.2373099999999999</v>
      </c>
      <c r="B38" s="36">
        <v>4.7182700000000004</v>
      </c>
      <c r="C38" s="37"/>
    </row>
    <row r="39" spans="1:6" s="38" customFormat="1" x14ac:dyDescent="0.35">
      <c r="A39" s="36">
        <v>2.9272100000000001</v>
      </c>
      <c r="B39" s="36">
        <v>3.2783500000000001</v>
      </c>
      <c r="C39" s="37"/>
    </row>
    <row r="40" spans="1:6" s="38" customFormat="1" x14ac:dyDescent="0.35">
      <c r="A40" s="36">
        <v>1.5619799999999999</v>
      </c>
      <c r="B40" s="36">
        <v>7.3078500000000002</v>
      </c>
      <c r="C40" s="37"/>
    </row>
    <row r="41" spans="1:6" s="38" customFormat="1" x14ac:dyDescent="0.35">
      <c r="A41" s="36">
        <v>1.2929900000000001</v>
      </c>
      <c r="B41" s="36">
        <v>1.7641899999999999</v>
      </c>
      <c r="C41" s="37"/>
    </row>
    <row r="42" spans="1:6" s="38" customFormat="1" x14ac:dyDescent="0.35">
      <c r="A42" s="36">
        <v>2.6832699999999998</v>
      </c>
      <c r="B42" s="36">
        <v>4.7862799999999996</v>
      </c>
      <c r="C42" s="37"/>
    </row>
    <row r="43" spans="1:6" s="38" customFormat="1" x14ac:dyDescent="0.35">
      <c r="A43" s="36">
        <v>1.37456</v>
      </c>
      <c r="B43" s="36">
        <v>9.3262300000000007</v>
      </c>
      <c r="C43" s="37"/>
    </row>
    <row r="44" spans="1:6" s="38" customFormat="1" x14ac:dyDescent="0.35">
      <c r="A44" s="36">
        <v>1.18757</v>
      </c>
      <c r="B44" s="36">
        <v>2.7852100000000002</v>
      </c>
      <c r="C44" s="37"/>
    </row>
    <row r="45" spans="1:6" s="38" customFormat="1" x14ac:dyDescent="0.35">
      <c r="A45" s="36">
        <v>1.0218100000000001</v>
      </c>
      <c r="B45" s="36">
        <v>12.2189</v>
      </c>
      <c r="C45" s="37"/>
    </row>
    <row r="46" spans="1:6" s="38" customFormat="1" x14ac:dyDescent="0.35">
      <c r="A46" s="36">
        <v>1.62961</v>
      </c>
      <c r="B46" s="36">
        <v>2.7725499999999998</v>
      </c>
      <c r="C46" s="37"/>
    </row>
    <row r="47" spans="1:6" s="38" customFormat="1" x14ac:dyDescent="0.35">
      <c r="A47" s="36">
        <v>1.4418800000000001</v>
      </c>
      <c r="B47" s="36">
        <v>4.7862299999999998</v>
      </c>
      <c r="C47" s="37"/>
    </row>
    <row r="48" spans="1:6" s="38" customFormat="1" x14ac:dyDescent="0.35">
      <c r="A48" s="36">
        <v>2.8650799999999998</v>
      </c>
      <c r="B48" s="36">
        <v>5.0236499999999999</v>
      </c>
      <c r="C48" s="37"/>
    </row>
    <row r="49" spans="1:3" s="38" customFormat="1" x14ac:dyDescent="0.35">
      <c r="A49" s="36">
        <v>1.22424</v>
      </c>
      <c r="B49" s="36">
        <v>2.9275000000000002</v>
      </c>
      <c r="C49" s="37"/>
    </row>
    <row r="50" spans="1:3" s="38" customFormat="1" x14ac:dyDescent="0.35">
      <c r="A50" s="36">
        <v>2.24743</v>
      </c>
      <c r="B50" s="36">
        <v>6.2996100000000004</v>
      </c>
      <c r="C50" s="37"/>
    </row>
  </sheetData>
  <mergeCells count="4">
    <mergeCell ref="D10:D11"/>
    <mergeCell ref="H16:I18"/>
    <mergeCell ref="D19:D20"/>
    <mergeCell ref="D27:D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S51"/>
  <sheetViews>
    <sheetView topLeftCell="C1" zoomScale="75" zoomScaleNormal="70" workbookViewId="0">
      <selection activeCell="J3" sqref="J3"/>
    </sheetView>
  </sheetViews>
  <sheetFormatPr defaultColWidth="8.7265625" defaultRowHeight="14.5" x14ac:dyDescent="0.35"/>
  <cols>
    <col min="1" max="2" width="8.7265625" style="36"/>
    <col min="3" max="3" width="19.1796875" style="36" customWidth="1"/>
    <col min="4" max="4" width="12.453125" style="36" customWidth="1"/>
    <col min="5" max="5" width="12.1796875" style="36" customWidth="1"/>
    <col min="6" max="6" width="19.81640625" style="36" customWidth="1"/>
    <col min="7" max="7" width="13.453125" style="36" customWidth="1"/>
    <col min="8" max="8" width="14.81640625" style="36" customWidth="1"/>
    <col min="9" max="9" width="20.1796875" style="36" customWidth="1"/>
    <col min="10" max="10" width="12.81640625" style="36" customWidth="1"/>
    <col min="11" max="11" width="14.26953125" style="36" bestFit="1" customWidth="1"/>
    <col min="12" max="12" width="16.1796875" style="36" bestFit="1" customWidth="1"/>
    <col min="13" max="13" width="12.81640625" style="36" bestFit="1" customWidth="1"/>
    <col min="14" max="14" width="10" style="36" customWidth="1"/>
    <col min="15" max="15" width="10.1796875" style="36" customWidth="1"/>
    <col min="16" max="16" width="22.453125" style="36" customWidth="1"/>
    <col min="17" max="16384" width="8.7265625" style="36"/>
  </cols>
  <sheetData>
    <row r="2" spans="1:19" x14ac:dyDescent="0.35">
      <c r="A2">
        <v>6.6862700000000004</v>
      </c>
      <c r="C2" s="76" t="s">
        <v>141</v>
      </c>
      <c r="D2" s="76">
        <f>COUNTA(A2:A51)</f>
        <v>50</v>
      </c>
      <c r="F2" s="76" t="s">
        <v>3</v>
      </c>
      <c r="G2" s="76">
        <f>AVERAGE(A2:A51)</f>
        <v>4.4985528800000001</v>
      </c>
      <c r="I2" s="76" t="s">
        <v>142</v>
      </c>
      <c r="J2" s="76">
        <f>D5-2-1</f>
        <v>2</v>
      </c>
    </row>
    <row r="3" spans="1:19" x14ac:dyDescent="0.35">
      <c r="A3">
        <v>0.29131499999999999</v>
      </c>
      <c r="C3" s="77" t="s">
        <v>143</v>
      </c>
      <c r="D3" s="77">
        <f>MIN(A2:A51)</f>
        <v>-1.51603</v>
      </c>
      <c r="F3" s="77" t="s">
        <v>4</v>
      </c>
      <c r="G3" s="77">
        <f>_xlfn.VAR.S(A2:A51)</f>
        <v>9.4184510538264394</v>
      </c>
      <c r="I3" s="77" t="s">
        <v>144</v>
      </c>
      <c r="J3" s="77">
        <v>0.1</v>
      </c>
    </row>
    <row r="4" spans="1:19" x14ac:dyDescent="0.35">
      <c r="A4">
        <v>5.1470700000000003</v>
      </c>
      <c r="C4" s="77" t="s">
        <v>145</v>
      </c>
      <c r="D4" s="77">
        <f>MAX(A2:A51)</f>
        <v>12.2189</v>
      </c>
      <c r="F4" s="78" t="s">
        <v>146</v>
      </c>
      <c r="G4" s="78">
        <f>_xlfn.STDEV.S(A2:A51)</f>
        <v>3.0689495033034415</v>
      </c>
      <c r="I4" s="77" t="s">
        <v>147</v>
      </c>
      <c r="J4" s="77">
        <f>_xlfn.CHISQ.INV.RT(J3,J2)</f>
        <v>4.6051701859880909</v>
      </c>
    </row>
    <row r="5" spans="1:19" x14ac:dyDescent="0.35">
      <c r="A5">
        <v>5.0792099999999998</v>
      </c>
      <c r="C5" s="77" t="s">
        <v>148</v>
      </c>
      <c r="D5" s="77">
        <v>5</v>
      </c>
      <c r="I5" s="78" t="s">
        <v>149</v>
      </c>
      <c r="J5" s="78">
        <v>50</v>
      </c>
    </row>
    <row r="6" spans="1:19" x14ac:dyDescent="0.35">
      <c r="A6">
        <v>0.57628599999999996</v>
      </c>
      <c r="C6" s="78" t="s">
        <v>150</v>
      </c>
      <c r="D6" s="79">
        <f>(D4-D3)/(D5)</f>
        <v>2.7469860000000001</v>
      </c>
    </row>
    <row r="7" spans="1:19" x14ac:dyDescent="0.35">
      <c r="A7">
        <v>10.639849999999999</v>
      </c>
      <c r="P7" s="36">
        <f>SUM(P11:P15)</f>
        <v>1</v>
      </c>
    </row>
    <row r="8" spans="1:19" x14ac:dyDescent="0.35">
      <c r="A8">
        <v>8.4246800000000004</v>
      </c>
    </row>
    <row r="9" spans="1:19" ht="14.15" customHeight="1" x14ac:dyDescent="0.35">
      <c r="A9">
        <v>2.1817000000000002</v>
      </c>
      <c r="C9" s="24" t="s">
        <v>151</v>
      </c>
      <c r="D9" s="24" t="s">
        <v>152</v>
      </c>
      <c r="E9" s="24" t="s">
        <v>153</v>
      </c>
      <c r="F9" s="24" t="s">
        <v>154</v>
      </c>
      <c r="G9" s="24" t="s">
        <v>155</v>
      </c>
      <c r="H9" s="24" t="s">
        <v>156</v>
      </c>
      <c r="I9" s="24" t="s">
        <v>157</v>
      </c>
      <c r="J9" s="80" t="s">
        <v>158</v>
      </c>
      <c r="L9" s="81" t="s">
        <v>159</v>
      </c>
      <c r="M9" s="81"/>
      <c r="N9" s="81" t="s">
        <v>160</v>
      </c>
      <c r="O9" s="81"/>
      <c r="P9" s="82" t="s">
        <v>161</v>
      </c>
      <c r="Q9" s="81"/>
      <c r="R9" s="81"/>
    </row>
    <row r="10" spans="1:19" x14ac:dyDescent="0.35">
      <c r="A10">
        <v>2.8486600000000002</v>
      </c>
      <c r="C10" s="24"/>
      <c r="D10" s="24"/>
      <c r="E10" s="24"/>
      <c r="F10" s="24"/>
      <c r="G10" s="24"/>
      <c r="H10" s="24"/>
      <c r="I10" s="24"/>
      <c r="J10" s="80"/>
      <c r="L10" s="81"/>
      <c r="M10" s="81"/>
      <c r="N10" s="81"/>
      <c r="O10" s="81"/>
      <c r="P10" s="83"/>
      <c r="Q10" s="81"/>
      <c r="R10" s="81"/>
    </row>
    <row r="11" spans="1:19" x14ac:dyDescent="0.35">
      <c r="A11">
        <v>2.0169899999999998</v>
      </c>
      <c r="C11" s="84">
        <v>1</v>
      </c>
      <c r="D11" s="85">
        <f>D3</f>
        <v>-1.51603</v>
      </c>
      <c r="E11" s="86">
        <f>D12</f>
        <v>1.2309560000000002</v>
      </c>
      <c r="F11" s="87">
        <f t="shared" ref="F11:F14" si="0">(D11+E11)/2</f>
        <v>-0.14253699999999991</v>
      </c>
      <c r="G11" s="87" cm="1">
        <f t="array" ref="G11:G15">FREQUENCY(A2:A51,D12:D15)</f>
        <v>8</v>
      </c>
      <c r="H11" s="87">
        <f>G11/$G$16</f>
        <v>0.16</v>
      </c>
      <c r="I11" s="87">
        <f t="shared" ref="I11:I15" si="1">H11/$D$6</f>
        <v>5.8245655420158672E-2</v>
      </c>
      <c r="J11" s="88">
        <f>H11</f>
        <v>0.16</v>
      </c>
      <c r="L11" s="89">
        <f>(D11-$G$2)/$G$4</f>
        <v>-1.9598181310985585</v>
      </c>
      <c r="M11" s="89">
        <f>(E11-$G$2)/$G$4</f>
        <v>-1.0647281346541326</v>
      </c>
      <c r="N11" s="89">
        <v>0</v>
      </c>
      <c r="O11" s="89">
        <f>_xlfn.NORM.S.DIST(M11, TRUE)</f>
        <v>0.14349948723257083</v>
      </c>
      <c r="P11" s="89">
        <f>O11-N11</f>
        <v>0.14349948723257083</v>
      </c>
      <c r="Q11" s="90">
        <f t="shared" ref="Q11:Q15" si="2">POWER(G11-$D$2*P11,2)/($D$2*P11)</f>
        <v>9.4866862188443729E-2</v>
      </c>
      <c r="R11" s="90"/>
      <c r="S11" s="36">
        <f>P11*50</f>
        <v>7.174974361628542</v>
      </c>
    </row>
    <row r="12" spans="1:19" x14ac:dyDescent="0.35">
      <c r="A12">
        <v>1.13697</v>
      </c>
      <c r="C12" s="84">
        <v>2</v>
      </c>
      <c r="D12" s="85">
        <f t="shared" ref="D12:E15" si="3">D11+$D$6</f>
        <v>1.2309560000000002</v>
      </c>
      <c r="E12" s="86">
        <f t="shared" si="3"/>
        <v>3.9779420000000005</v>
      </c>
      <c r="F12" s="87">
        <f t="shared" si="0"/>
        <v>2.6044490000000002</v>
      </c>
      <c r="G12" s="87">
        <v>15</v>
      </c>
      <c r="H12" s="87">
        <f>G12/$G$16</f>
        <v>0.3</v>
      </c>
      <c r="I12" s="87">
        <f t="shared" si="1"/>
        <v>0.10921060391279751</v>
      </c>
      <c r="J12" s="88">
        <f>J11+H12</f>
        <v>0.45999999999999996</v>
      </c>
      <c r="L12" s="89">
        <f>(D12-$G$2)/$G$4</f>
        <v>-1.0647281346541326</v>
      </c>
      <c r="M12" s="89">
        <f t="shared" ref="L12:M15" si="4">(E12-$G$2)/$G$4</f>
        <v>-0.16963813820970658</v>
      </c>
      <c r="N12" s="89">
        <f t="shared" ref="N12:O15" si="5">_xlfn.NORM.S.DIST(L12, TRUE)</f>
        <v>0.14349948723257083</v>
      </c>
      <c r="O12" s="89">
        <f>_xlfn.NORM.S.DIST(M12, TRUE)</f>
        <v>0.43264736363517797</v>
      </c>
      <c r="P12" s="89">
        <f>O12-N12</f>
        <v>0.28914787640260714</v>
      </c>
      <c r="Q12" s="90">
        <f t="shared" si="2"/>
        <v>2.036476768190254E-2</v>
      </c>
      <c r="R12" s="90"/>
      <c r="S12" s="36">
        <f t="shared" ref="S12:S15" si="6">P12*50</f>
        <v>14.457393820130356</v>
      </c>
    </row>
    <row r="13" spans="1:19" x14ac:dyDescent="0.35">
      <c r="A13">
        <v>5.2546600000000003</v>
      </c>
      <c r="C13" s="84">
        <v>3</v>
      </c>
      <c r="D13" s="85">
        <f t="shared" si="3"/>
        <v>3.9779420000000005</v>
      </c>
      <c r="E13" s="86">
        <f t="shared" si="3"/>
        <v>6.7249280000000002</v>
      </c>
      <c r="F13" s="87">
        <f t="shared" si="0"/>
        <v>5.3514350000000004</v>
      </c>
      <c r="G13" s="87">
        <v>16</v>
      </c>
      <c r="H13" s="87">
        <f>G13/$G$16</f>
        <v>0.32</v>
      </c>
      <c r="I13" s="87">
        <f t="shared" si="1"/>
        <v>0.11649131084031734</v>
      </c>
      <c r="J13" s="88">
        <f t="shared" ref="J13:J15" si="7">J12+H13</f>
        <v>0.78</v>
      </c>
      <c r="L13" s="89">
        <f>(D13-$G$2)/$G$4</f>
        <v>-0.16963813820970658</v>
      </c>
      <c r="M13" s="89">
        <f t="shared" si="4"/>
        <v>0.72545185823471925</v>
      </c>
      <c r="N13" s="89">
        <f t="shared" si="5"/>
        <v>0.43264736363517797</v>
      </c>
      <c r="O13" s="89">
        <f t="shared" si="5"/>
        <v>0.76591256559842547</v>
      </c>
      <c r="P13" s="89">
        <f>O13-N13</f>
        <v>0.33326520196324749</v>
      </c>
      <c r="Q13" s="90">
        <f t="shared" si="2"/>
        <v>2.6400233521102958E-2</v>
      </c>
      <c r="R13" s="90"/>
      <c r="S13" s="36">
        <f t="shared" si="6"/>
        <v>16.663260098162375</v>
      </c>
    </row>
    <row r="14" spans="1:19" x14ac:dyDescent="0.35">
      <c r="A14">
        <v>4.67936</v>
      </c>
      <c r="C14" s="84">
        <v>4</v>
      </c>
      <c r="D14" s="85">
        <f t="shared" si="3"/>
        <v>6.7249280000000002</v>
      </c>
      <c r="E14" s="86">
        <f t="shared" si="3"/>
        <v>9.4719139999999999</v>
      </c>
      <c r="F14" s="87">
        <f t="shared" si="0"/>
        <v>8.0984210000000001</v>
      </c>
      <c r="G14" s="87">
        <v>8</v>
      </c>
      <c r="H14" s="87">
        <f>G14/$G$16</f>
        <v>0.16</v>
      </c>
      <c r="I14" s="87">
        <f t="shared" si="1"/>
        <v>5.8245655420158672E-2</v>
      </c>
      <c r="J14" s="88">
        <f t="shared" si="7"/>
        <v>0.94000000000000006</v>
      </c>
      <c r="L14" s="89">
        <f t="shared" si="4"/>
        <v>0.72545185823471925</v>
      </c>
      <c r="M14" s="89">
        <f t="shared" si="4"/>
        <v>1.620541854679145</v>
      </c>
      <c r="N14" s="89">
        <f t="shared" si="5"/>
        <v>0.76591256559842547</v>
      </c>
      <c r="O14" s="89">
        <f t="shared" si="5"/>
        <v>0.94744203449129505</v>
      </c>
      <c r="P14" s="89">
        <f t="shared" ref="P14:P15" si="8">O14-N14</f>
        <v>0.18152946889286958</v>
      </c>
      <c r="Q14" s="90">
        <f t="shared" si="2"/>
        <v>0.12767018865751942</v>
      </c>
      <c r="R14" s="90"/>
      <c r="S14" s="36">
        <f t="shared" si="6"/>
        <v>9.0764734446434794</v>
      </c>
    </row>
    <row r="15" spans="1:19" x14ac:dyDescent="0.35">
      <c r="A15">
        <v>5.5770600000000004</v>
      </c>
      <c r="C15" s="84">
        <v>5</v>
      </c>
      <c r="D15" s="85">
        <f t="shared" si="3"/>
        <v>9.4719139999999999</v>
      </c>
      <c r="E15" s="86">
        <f>D4</f>
        <v>12.2189</v>
      </c>
      <c r="F15" s="87">
        <f>(D15+E15)/2</f>
        <v>10.845407</v>
      </c>
      <c r="G15" s="87">
        <v>3</v>
      </c>
      <c r="H15" s="87">
        <f>G15/$G$16</f>
        <v>0.06</v>
      </c>
      <c r="I15" s="87">
        <f t="shared" si="1"/>
        <v>2.1842120782559503E-2</v>
      </c>
      <c r="J15" s="88">
        <f t="shared" si="7"/>
        <v>1</v>
      </c>
      <c r="L15" s="89">
        <f t="shared" si="4"/>
        <v>1.620541854679145</v>
      </c>
      <c r="M15" s="89">
        <f>(E15-$G$2)/$G$4</f>
        <v>2.5156318511235707</v>
      </c>
      <c r="N15" s="89">
        <f t="shared" si="5"/>
        <v>0.94744203449129505</v>
      </c>
      <c r="O15" s="89">
        <v>1</v>
      </c>
      <c r="P15" s="89">
        <f>O15-N15</f>
        <v>5.2557965508704951E-2</v>
      </c>
      <c r="Q15" s="90">
        <f>POWER(G15-$D$2*P15,2)/($D$2*P15)</f>
        <v>5.2688376379839287E-2</v>
      </c>
      <c r="R15" s="90"/>
      <c r="S15" s="36">
        <f t="shared" si="6"/>
        <v>2.6278982754352476</v>
      </c>
    </row>
    <row r="16" spans="1:19" x14ac:dyDescent="0.35">
      <c r="A16">
        <v>7.05016</v>
      </c>
      <c r="C16" s="91" t="s">
        <v>162</v>
      </c>
      <c r="D16" s="92"/>
      <c r="E16" s="93"/>
      <c r="F16" s="94"/>
      <c r="G16" s="94">
        <f>SUM(_xlfn.ANCHORARRAY(G11))</f>
        <v>50</v>
      </c>
      <c r="H16" s="94">
        <f>SUM(H11:H15)</f>
        <v>1</v>
      </c>
      <c r="I16" s="94"/>
      <c r="J16" s="95"/>
    </row>
    <row r="17" spans="1:18" x14ac:dyDescent="0.35">
      <c r="A17">
        <v>8.7911699999999993</v>
      </c>
      <c r="P17" s="96"/>
      <c r="Q17" s="97">
        <f>SUM(Q11:Q15)</f>
        <v>0.32199042842880793</v>
      </c>
      <c r="R17" s="97"/>
    </row>
    <row r="18" spans="1:18" x14ac:dyDescent="0.35">
      <c r="A18">
        <v>10.263999999999999</v>
      </c>
      <c r="P18" s="98"/>
      <c r="Q18" s="97"/>
      <c r="R18" s="97"/>
    </row>
    <row r="19" spans="1:18" x14ac:dyDescent="0.35">
      <c r="A19">
        <v>1.1330499999999999</v>
      </c>
      <c r="C19" s="99" t="s">
        <v>163</v>
      </c>
      <c r="D19" s="99"/>
      <c r="E19" s="99"/>
      <c r="P19" s="100"/>
      <c r="Q19" s="97"/>
      <c r="R19" s="97"/>
    </row>
    <row r="20" spans="1:18" x14ac:dyDescent="0.35">
      <c r="A20">
        <v>2.1659299999999999</v>
      </c>
      <c r="C20" s="99"/>
      <c r="D20" s="99"/>
      <c r="E20" s="99"/>
    </row>
    <row r="21" spans="1:18" x14ac:dyDescent="0.35">
      <c r="A21">
        <v>4.09626</v>
      </c>
      <c r="C21" s="99"/>
      <c r="D21" s="99"/>
      <c r="E21" s="99"/>
      <c r="P21" s="101" t="s">
        <v>164</v>
      </c>
      <c r="Q21" s="99" t="str">
        <f>IF(Q17&lt;$J$4, "да; гипотеза не противоречит опытным данным.", "нет, гипотеза противоречит опытным данным.")</f>
        <v>да; гипотеза не противоречит опытным данным.</v>
      </c>
      <c r="R21" s="99"/>
    </row>
    <row r="22" spans="1:18" ht="14.15" customHeight="1" x14ac:dyDescent="0.35">
      <c r="A22">
        <v>2.3341400000000001</v>
      </c>
      <c r="P22" s="102"/>
      <c r="Q22" s="99"/>
      <c r="R22" s="99"/>
    </row>
    <row r="23" spans="1:18" x14ac:dyDescent="0.35">
      <c r="A23">
        <v>9.4604800000000004</v>
      </c>
      <c r="P23" s="103"/>
      <c r="Q23" s="99"/>
      <c r="R23" s="99"/>
    </row>
    <row r="24" spans="1:18" x14ac:dyDescent="0.35">
      <c r="A24">
        <v>6.3081500000000004</v>
      </c>
    </row>
    <row r="25" spans="1:18" x14ac:dyDescent="0.35">
      <c r="A25">
        <v>4.0541200000000002</v>
      </c>
    </row>
    <row r="26" spans="1:18" x14ac:dyDescent="0.35">
      <c r="A26">
        <v>2.7465700000000002</v>
      </c>
    </row>
    <row r="27" spans="1:18" x14ac:dyDescent="0.35">
      <c r="A27">
        <v>2.3625500000000001</v>
      </c>
    </row>
    <row r="28" spans="1:18" x14ac:dyDescent="0.35">
      <c r="A28">
        <v>-1.51603</v>
      </c>
    </row>
    <row r="29" spans="1:18" x14ac:dyDescent="0.35">
      <c r="A29">
        <v>7.6174799999999996</v>
      </c>
    </row>
    <row r="30" spans="1:18" x14ac:dyDescent="0.35">
      <c r="A30">
        <v>0.29575800000000002</v>
      </c>
    </row>
    <row r="31" spans="1:18" x14ac:dyDescent="0.35">
      <c r="A31">
        <v>7.3238899999999996</v>
      </c>
    </row>
    <row r="32" spans="1:18" x14ac:dyDescent="0.35">
      <c r="A32">
        <v>2.8535900000000001</v>
      </c>
    </row>
    <row r="33" spans="1:1" x14ac:dyDescent="0.35">
      <c r="A33">
        <v>2.7207699999999999</v>
      </c>
    </row>
    <row r="34" spans="1:1" x14ac:dyDescent="0.35">
      <c r="A34">
        <v>6.1454000000000004</v>
      </c>
    </row>
    <row r="35" spans="1:1" x14ac:dyDescent="0.35">
      <c r="A35">
        <v>1.12967</v>
      </c>
    </row>
    <row r="36" spans="1:1" x14ac:dyDescent="0.35">
      <c r="A36">
        <v>0.73295500000000002</v>
      </c>
    </row>
    <row r="37" spans="1:1" x14ac:dyDescent="0.35">
      <c r="A37">
        <v>2.0230700000000001</v>
      </c>
    </row>
    <row r="38" spans="1:1" x14ac:dyDescent="0.35">
      <c r="A38">
        <v>4.7182700000000004</v>
      </c>
    </row>
    <row r="39" spans="1:1" x14ac:dyDescent="0.35">
      <c r="A39">
        <v>3.2783500000000001</v>
      </c>
    </row>
    <row r="40" spans="1:1" x14ac:dyDescent="0.35">
      <c r="A40">
        <v>7.3078500000000002</v>
      </c>
    </row>
    <row r="41" spans="1:1" x14ac:dyDescent="0.35">
      <c r="A41">
        <v>1.7641899999999999</v>
      </c>
    </row>
    <row r="42" spans="1:1" x14ac:dyDescent="0.35">
      <c r="A42">
        <v>4.7862799999999996</v>
      </c>
    </row>
    <row r="43" spans="1:1" x14ac:dyDescent="0.35">
      <c r="A43">
        <v>9.3262300000000007</v>
      </c>
    </row>
    <row r="44" spans="1:1" x14ac:dyDescent="0.35">
      <c r="A44">
        <v>2.7852100000000002</v>
      </c>
    </row>
    <row r="45" spans="1:1" x14ac:dyDescent="0.35">
      <c r="A45">
        <v>12.2189</v>
      </c>
    </row>
    <row r="46" spans="1:1" x14ac:dyDescent="0.35">
      <c r="A46">
        <v>2.7725499999999998</v>
      </c>
    </row>
    <row r="47" spans="1:1" x14ac:dyDescent="0.35">
      <c r="A47">
        <v>4.7862299999999998</v>
      </c>
    </row>
    <row r="48" spans="1:1" x14ac:dyDescent="0.35">
      <c r="A48">
        <v>5.0236499999999999</v>
      </c>
    </row>
    <row r="49" spans="1:1" x14ac:dyDescent="0.35">
      <c r="A49">
        <v>2.9275000000000002</v>
      </c>
    </row>
    <row r="50" spans="1:1" x14ac:dyDescent="0.35">
      <c r="A50">
        <v>6.2996100000000004</v>
      </c>
    </row>
    <row r="51" spans="1:1" x14ac:dyDescent="0.35">
      <c r="A51" s="36">
        <v>6.2996100000000004</v>
      </c>
    </row>
  </sheetData>
  <sortState xmlns:xlrd2="http://schemas.microsoft.com/office/spreadsheetml/2017/richdata2" ref="I14:I62">
    <sortCondition ref="I14"/>
  </sortState>
  <mergeCells count="22">
    <mergeCell ref="P21:P23"/>
    <mergeCell ref="Q21:R23"/>
    <mergeCell ref="Q13:R13"/>
    <mergeCell ref="Q14:R14"/>
    <mergeCell ref="Q15:R15"/>
    <mergeCell ref="P17:P19"/>
    <mergeCell ref="Q17:R19"/>
    <mergeCell ref="N9:O10"/>
    <mergeCell ref="P9:P10"/>
    <mergeCell ref="Q9:R10"/>
    <mergeCell ref="Q11:R11"/>
    <mergeCell ref="Q12:R12"/>
    <mergeCell ref="C9:C10"/>
    <mergeCell ref="D9:D10"/>
    <mergeCell ref="E9:E10"/>
    <mergeCell ref="F9:F10"/>
    <mergeCell ref="G9:G10"/>
    <mergeCell ref="H9:H10"/>
    <mergeCell ref="I9:I10"/>
    <mergeCell ref="J9:J10"/>
    <mergeCell ref="L9:M10"/>
    <mergeCell ref="C19:E2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6"/>
  <sheetViews>
    <sheetView zoomScale="75" zoomScaleNormal="100" workbookViewId="0">
      <selection activeCell="J4" sqref="J4"/>
    </sheetView>
  </sheetViews>
  <sheetFormatPr defaultRowHeight="14.5" x14ac:dyDescent="0.35"/>
  <cols>
    <col min="1" max="1" width="12.7265625" customWidth="1"/>
    <col min="3" max="3" width="8.7265625" customWidth="1"/>
    <col min="8" max="8" width="13.90625" customWidth="1"/>
    <col min="9" max="9" width="11" customWidth="1"/>
    <col min="13" max="13" width="14.6328125" customWidth="1"/>
  </cols>
  <sheetData>
    <row r="1" spans="1:14" x14ac:dyDescent="0.35">
      <c r="A1" t="s">
        <v>49</v>
      </c>
    </row>
    <row r="2" spans="1:14" x14ac:dyDescent="0.35">
      <c r="A2" t="s">
        <v>63</v>
      </c>
      <c r="H2" t="s">
        <v>40</v>
      </c>
    </row>
    <row r="3" spans="1:14" x14ac:dyDescent="0.35">
      <c r="D3" t="s">
        <v>36</v>
      </c>
      <c r="E3" t="s">
        <v>35</v>
      </c>
      <c r="F3" t="s">
        <v>37</v>
      </c>
      <c r="G3" t="s">
        <v>38</v>
      </c>
      <c r="H3" t="s">
        <v>39</v>
      </c>
      <c r="J3" t="s">
        <v>42</v>
      </c>
      <c r="K3" t="s">
        <v>41</v>
      </c>
      <c r="M3" t="s">
        <v>43</v>
      </c>
      <c r="N3">
        <v>0.1</v>
      </c>
    </row>
    <row r="4" spans="1:14" x14ac:dyDescent="0.35">
      <c r="A4" t="s">
        <v>30</v>
      </c>
      <c r="B4">
        <f>AVERAGE(D4:D53)</f>
        <v>4.4752872799999999</v>
      </c>
      <c r="D4">
        <v>-1.51603</v>
      </c>
      <c r="E4">
        <v>1</v>
      </c>
      <c r="F4">
        <f>(E4-1)/50</f>
        <v>0</v>
      </c>
      <c r="G4">
        <f>E4/50</f>
        <v>0.02</v>
      </c>
      <c r="H4">
        <f>_xlfn.NORM.DIST(D4,$B$4,$B$6,TRUE)</f>
        <v>2.5096042072974854E-2</v>
      </c>
      <c r="J4">
        <f>ABS(G4-H4)</f>
        <v>5.0960420729748539E-3</v>
      </c>
      <c r="K4">
        <f>ABS(H4-F4)</f>
        <v>2.5096042072974854E-2</v>
      </c>
      <c r="M4" t="s">
        <v>44</v>
      </c>
      <c r="N4">
        <f>1-N3</f>
        <v>0.9</v>
      </c>
    </row>
    <row r="5" spans="1:14" x14ac:dyDescent="0.35">
      <c r="A5" t="s">
        <v>31</v>
      </c>
      <c r="B5">
        <f>_xlfn.VAR.S(D4:D53)</f>
        <v>9.3599997986861254</v>
      </c>
      <c r="D5">
        <v>0.29131499999999999</v>
      </c>
      <c r="E5">
        <v>2</v>
      </c>
      <c r="F5">
        <f t="shared" ref="F5:F53" si="0">(E5-1)/50</f>
        <v>0.02</v>
      </c>
      <c r="G5">
        <f t="shared" ref="G5:G53" si="1">E5/50</f>
        <v>0.04</v>
      </c>
      <c r="H5">
        <f t="shared" ref="H5:H53" si="2">_xlfn.NORM.DIST(D5,$B$4,$B$6,TRUE)</f>
        <v>8.5722708355491034E-2</v>
      </c>
      <c r="J5">
        <f t="shared" ref="J5:J53" si="3">ABS(G5-H5)</f>
        <v>4.5722708355491033E-2</v>
      </c>
      <c r="K5">
        <f t="shared" ref="K5:K53" si="4">ABS(H5-F5)</f>
        <v>6.572270835549103E-2</v>
      </c>
      <c r="M5" t="s">
        <v>46</v>
      </c>
      <c r="N5">
        <v>1.22</v>
      </c>
    </row>
    <row r="6" spans="1:14" x14ac:dyDescent="0.35">
      <c r="A6" t="s">
        <v>32</v>
      </c>
      <c r="B6">
        <f>SQRT(B5)</f>
        <v>3.0594116752549216</v>
      </c>
      <c r="D6">
        <v>0.29575800000000002</v>
      </c>
      <c r="E6">
        <v>3</v>
      </c>
      <c r="F6">
        <f t="shared" si="0"/>
        <v>0.04</v>
      </c>
      <c r="G6">
        <f t="shared" si="1"/>
        <v>0.06</v>
      </c>
      <c r="H6">
        <f t="shared" si="2"/>
        <v>8.5950353324400833E-2</v>
      </c>
      <c r="J6">
        <f t="shared" si="3"/>
        <v>2.5950353324400835E-2</v>
      </c>
      <c r="K6">
        <f t="shared" si="4"/>
        <v>4.5950353324400832E-2</v>
      </c>
    </row>
    <row r="7" spans="1:14" x14ac:dyDescent="0.35">
      <c r="D7">
        <v>0.57628599999999996</v>
      </c>
      <c r="E7">
        <v>4</v>
      </c>
      <c r="F7">
        <f t="shared" si="0"/>
        <v>0.06</v>
      </c>
      <c r="G7">
        <f t="shared" si="1"/>
        <v>0.08</v>
      </c>
      <c r="H7">
        <f t="shared" si="2"/>
        <v>0.10125580744131638</v>
      </c>
      <c r="J7">
        <f t="shared" si="3"/>
        <v>2.1255807441316374E-2</v>
      </c>
      <c r="K7">
        <f t="shared" si="4"/>
        <v>4.1255807441316378E-2</v>
      </c>
      <c r="M7" t="s">
        <v>47</v>
      </c>
      <c r="N7">
        <f>MAX(J56:K56)</f>
        <v>0.13354012069519983</v>
      </c>
    </row>
    <row r="8" spans="1:14" x14ac:dyDescent="0.35">
      <c r="D8">
        <v>0.73295500000000002</v>
      </c>
      <c r="E8">
        <v>5</v>
      </c>
      <c r="F8">
        <f t="shared" si="0"/>
        <v>0.08</v>
      </c>
      <c r="G8">
        <f t="shared" si="1"/>
        <v>0.1</v>
      </c>
      <c r="H8">
        <f t="shared" si="2"/>
        <v>0.11062338510642773</v>
      </c>
      <c r="J8">
        <f t="shared" si="3"/>
        <v>1.0623385106427727E-2</v>
      </c>
      <c r="K8">
        <f t="shared" si="4"/>
        <v>3.0623385106427731E-2</v>
      </c>
    </row>
    <row r="9" spans="1:14" x14ac:dyDescent="0.35">
      <c r="D9">
        <v>1.12967</v>
      </c>
      <c r="E9">
        <v>6</v>
      </c>
      <c r="F9">
        <f t="shared" si="0"/>
        <v>0.1</v>
      </c>
      <c r="G9">
        <f t="shared" si="1"/>
        <v>0.12</v>
      </c>
      <c r="H9">
        <f t="shared" si="2"/>
        <v>0.13707636332167203</v>
      </c>
      <c r="J9">
        <f t="shared" si="3"/>
        <v>1.7076363321672033E-2</v>
      </c>
      <c r="K9">
        <f t="shared" si="4"/>
        <v>3.7076363321672023E-2</v>
      </c>
    </row>
    <row r="10" spans="1:14" x14ac:dyDescent="0.35">
      <c r="D10">
        <v>1.1330499999999999</v>
      </c>
      <c r="E10">
        <v>7</v>
      </c>
      <c r="F10">
        <f t="shared" si="0"/>
        <v>0.12</v>
      </c>
      <c r="G10">
        <f t="shared" si="1"/>
        <v>0.14000000000000001</v>
      </c>
      <c r="H10">
        <f t="shared" si="2"/>
        <v>0.13731889899093655</v>
      </c>
      <c r="J10">
        <f t="shared" si="3"/>
        <v>2.6811010090634635E-3</v>
      </c>
      <c r="K10">
        <f t="shared" si="4"/>
        <v>1.7318898990936554E-2</v>
      </c>
      <c r="M10">
        <f>SQRT(50)*N7</f>
        <v>0.94427124904045812</v>
      </c>
      <c r="N10">
        <v>1.22</v>
      </c>
    </row>
    <row r="11" spans="1:14" x14ac:dyDescent="0.35">
      <c r="D11">
        <v>1.13697</v>
      </c>
      <c r="E11">
        <v>8</v>
      </c>
      <c r="F11">
        <f t="shared" si="0"/>
        <v>0.14000000000000001</v>
      </c>
      <c r="G11">
        <f t="shared" si="1"/>
        <v>0.16</v>
      </c>
      <c r="H11">
        <f t="shared" si="2"/>
        <v>0.13760054979324807</v>
      </c>
      <c r="J11">
        <f t="shared" si="3"/>
        <v>2.2399450206751936E-2</v>
      </c>
      <c r="K11">
        <f t="shared" si="4"/>
        <v>2.3994502067519463E-3</v>
      </c>
      <c r="N11" s="10"/>
    </row>
    <row r="12" spans="1:14" x14ac:dyDescent="0.35">
      <c r="D12">
        <v>1.7641899999999999</v>
      </c>
      <c r="E12">
        <v>9</v>
      </c>
      <c r="F12">
        <f t="shared" si="0"/>
        <v>0.16</v>
      </c>
      <c r="G12">
        <f t="shared" si="1"/>
        <v>0.18</v>
      </c>
      <c r="H12">
        <f t="shared" si="2"/>
        <v>0.18776838448980629</v>
      </c>
      <c r="J12">
        <f t="shared" si="3"/>
        <v>7.7683844898062959E-3</v>
      </c>
      <c r="K12">
        <f t="shared" si="4"/>
        <v>2.7768384489806286E-2</v>
      </c>
    </row>
    <row r="13" spans="1:14" x14ac:dyDescent="0.35">
      <c r="D13">
        <v>2.0169899999999998</v>
      </c>
      <c r="E13">
        <v>10</v>
      </c>
      <c r="F13">
        <f t="shared" si="0"/>
        <v>0.18</v>
      </c>
      <c r="G13">
        <f t="shared" si="1"/>
        <v>0.2</v>
      </c>
      <c r="H13">
        <f t="shared" si="2"/>
        <v>0.21083723312588046</v>
      </c>
      <c r="J13">
        <f t="shared" si="3"/>
        <v>1.0837233125880447E-2</v>
      </c>
      <c r="K13">
        <f t="shared" si="4"/>
        <v>3.0837233125880464E-2</v>
      </c>
      <c r="M13" t="s">
        <v>48</v>
      </c>
    </row>
    <row r="14" spans="1:14" x14ac:dyDescent="0.35">
      <c r="D14">
        <v>2.0230700000000001</v>
      </c>
      <c r="E14">
        <v>11</v>
      </c>
      <c r="F14">
        <f t="shared" si="0"/>
        <v>0.2</v>
      </c>
      <c r="G14">
        <f t="shared" si="1"/>
        <v>0.22</v>
      </c>
      <c r="H14">
        <f t="shared" si="2"/>
        <v>0.21141177604047204</v>
      </c>
      <c r="J14">
        <f t="shared" si="3"/>
        <v>8.588223959527963E-3</v>
      </c>
      <c r="K14">
        <f t="shared" si="4"/>
        <v>1.1411776040472027E-2</v>
      </c>
    </row>
    <row r="15" spans="1:14" x14ac:dyDescent="0.35">
      <c r="D15">
        <v>2.1659299999999999</v>
      </c>
      <c r="E15">
        <v>12</v>
      </c>
      <c r="F15">
        <f t="shared" si="0"/>
        <v>0.22</v>
      </c>
      <c r="G15">
        <f t="shared" si="1"/>
        <v>0.24</v>
      </c>
      <c r="H15">
        <f t="shared" si="2"/>
        <v>0.22517338054268043</v>
      </c>
      <c r="J15">
        <f t="shared" si="3"/>
        <v>1.4826619457319556E-2</v>
      </c>
      <c r="K15">
        <f t="shared" si="4"/>
        <v>5.1733805426804336E-3</v>
      </c>
    </row>
    <row r="16" spans="1:14" x14ac:dyDescent="0.35">
      <c r="D16">
        <v>2.1817000000000002</v>
      </c>
      <c r="E16">
        <v>13</v>
      </c>
      <c r="F16">
        <f t="shared" si="0"/>
        <v>0.24</v>
      </c>
      <c r="G16">
        <f t="shared" si="1"/>
        <v>0.26</v>
      </c>
      <c r="H16">
        <f t="shared" si="2"/>
        <v>0.22672298604286401</v>
      </c>
      <c r="J16">
        <f t="shared" si="3"/>
        <v>3.3277013957136004E-2</v>
      </c>
      <c r="K16">
        <f t="shared" si="4"/>
        <v>1.3277013957135986E-2</v>
      </c>
    </row>
    <row r="17" spans="4:11" x14ac:dyDescent="0.35">
      <c r="D17">
        <v>2.3341400000000001</v>
      </c>
      <c r="E17">
        <v>14</v>
      </c>
      <c r="F17">
        <f t="shared" si="0"/>
        <v>0.26</v>
      </c>
      <c r="G17">
        <f t="shared" si="1"/>
        <v>0.28000000000000003</v>
      </c>
      <c r="H17">
        <f t="shared" si="2"/>
        <v>0.24200865349498857</v>
      </c>
      <c r="J17">
        <f t="shared" si="3"/>
        <v>3.7991346505011458E-2</v>
      </c>
      <c r="K17">
        <f t="shared" si="4"/>
        <v>1.7991346505011441E-2</v>
      </c>
    </row>
    <row r="18" spans="4:11" x14ac:dyDescent="0.35">
      <c r="D18">
        <v>2.3625500000000001</v>
      </c>
      <c r="E18">
        <v>15</v>
      </c>
      <c r="F18">
        <f t="shared" si="0"/>
        <v>0.28000000000000003</v>
      </c>
      <c r="G18">
        <f t="shared" si="1"/>
        <v>0.3</v>
      </c>
      <c r="H18">
        <f t="shared" si="2"/>
        <v>0.24491796868961446</v>
      </c>
      <c r="J18">
        <f t="shared" si="3"/>
        <v>5.5082031310385526E-2</v>
      </c>
      <c r="K18">
        <f t="shared" si="4"/>
        <v>3.5082031310385564E-2</v>
      </c>
    </row>
    <row r="19" spans="4:11" x14ac:dyDescent="0.35">
      <c r="D19">
        <v>2.7207699999999999</v>
      </c>
      <c r="E19">
        <v>16</v>
      </c>
      <c r="F19">
        <f t="shared" si="0"/>
        <v>0.3</v>
      </c>
      <c r="G19">
        <f t="shared" si="1"/>
        <v>0.32</v>
      </c>
      <c r="H19">
        <f t="shared" si="2"/>
        <v>0.2831592188690778</v>
      </c>
      <c r="J19">
        <f t="shared" si="3"/>
        <v>3.6840781130922207E-2</v>
      </c>
      <c r="K19">
        <f t="shared" si="4"/>
        <v>1.6840781130922189E-2</v>
      </c>
    </row>
    <row r="20" spans="4:11" x14ac:dyDescent="0.35">
      <c r="D20">
        <v>2.7465700000000002</v>
      </c>
      <c r="E20">
        <v>17</v>
      </c>
      <c r="F20">
        <f t="shared" si="0"/>
        <v>0.32</v>
      </c>
      <c r="G20">
        <f t="shared" si="1"/>
        <v>0.34</v>
      </c>
      <c r="H20">
        <f t="shared" si="2"/>
        <v>0.28602024332107945</v>
      </c>
      <c r="J20">
        <f t="shared" si="3"/>
        <v>5.3979756678920576E-2</v>
      </c>
      <c r="K20">
        <f t="shared" si="4"/>
        <v>3.3979756678920559E-2</v>
      </c>
    </row>
    <row r="21" spans="4:11" x14ac:dyDescent="0.35">
      <c r="D21">
        <v>2.7725499999999998</v>
      </c>
      <c r="E21">
        <v>18</v>
      </c>
      <c r="F21">
        <f t="shared" si="0"/>
        <v>0.34</v>
      </c>
      <c r="G21">
        <f t="shared" si="1"/>
        <v>0.36</v>
      </c>
      <c r="H21">
        <f t="shared" si="2"/>
        <v>0.28891503681118802</v>
      </c>
      <c r="J21">
        <f t="shared" si="3"/>
        <v>7.1084963188811967E-2</v>
      </c>
      <c r="K21">
        <f t="shared" si="4"/>
        <v>5.1084963188812005E-2</v>
      </c>
    </row>
    <row r="22" spans="4:11" x14ac:dyDescent="0.35">
      <c r="D22">
        <v>2.7852100000000002</v>
      </c>
      <c r="E22">
        <v>19</v>
      </c>
      <c r="F22">
        <f t="shared" si="0"/>
        <v>0.36</v>
      </c>
      <c r="G22">
        <f t="shared" si="1"/>
        <v>0.38</v>
      </c>
      <c r="H22">
        <f t="shared" si="2"/>
        <v>0.29033064215459536</v>
      </c>
      <c r="J22">
        <f t="shared" si="3"/>
        <v>8.966935784540464E-2</v>
      </c>
      <c r="K22">
        <f t="shared" si="4"/>
        <v>6.9669357845404623E-2</v>
      </c>
    </row>
    <row r="23" spans="4:11" x14ac:dyDescent="0.35">
      <c r="D23">
        <v>2.8486600000000002</v>
      </c>
      <c r="E23">
        <v>20</v>
      </c>
      <c r="F23">
        <f t="shared" si="0"/>
        <v>0.38</v>
      </c>
      <c r="G23">
        <f t="shared" si="1"/>
        <v>0.4</v>
      </c>
      <c r="H23">
        <f t="shared" si="2"/>
        <v>0.29747390456032408</v>
      </c>
      <c r="J23">
        <f t="shared" si="3"/>
        <v>0.10252609543967595</v>
      </c>
      <c r="K23">
        <f t="shared" si="4"/>
        <v>8.2526095439675928E-2</v>
      </c>
    </row>
    <row r="24" spans="4:11" x14ac:dyDescent="0.35">
      <c r="D24">
        <v>2.8535900000000001</v>
      </c>
      <c r="E24">
        <v>21</v>
      </c>
      <c r="F24">
        <f t="shared" si="0"/>
        <v>0.4</v>
      </c>
      <c r="G24">
        <f t="shared" si="1"/>
        <v>0.42</v>
      </c>
      <c r="H24">
        <f t="shared" si="2"/>
        <v>0.29803227320112224</v>
      </c>
      <c r="J24">
        <f t="shared" si="3"/>
        <v>0.12196772679887774</v>
      </c>
      <c r="K24">
        <f t="shared" si="4"/>
        <v>0.10196772679887778</v>
      </c>
    </row>
    <row r="25" spans="4:11" x14ac:dyDescent="0.35">
      <c r="D25">
        <v>2.9275000000000002</v>
      </c>
      <c r="E25">
        <v>22</v>
      </c>
      <c r="F25">
        <f t="shared" si="0"/>
        <v>0.42</v>
      </c>
      <c r="G25">
        <f t="shared" si="1"/>
        <v>0.44</v>
      </c>
      <c r="H25">
        <f t="shared" si="2"/>
        <v>0.30645987930480018</v>
      </c>
      <c r="J25">
        <f t="shared" si="3"/>
        <v>0.13354012069519983</v>
      </c>
      <c r="K25">
        <f t="shared" si="4"/>
        <v>0.11354012069519981</v>
      </c>
    </row>
    <row r="26" spans="4:11" x14ac:dyDescent="0.35">
      <c r="D26">
        <v>3.2783500000000001</v>
      </c>
      <c r="E26">
        <v>23</v>
      </c>
      <c r="F26">
        <f t="shared" si="0"/>
        <v>0.44</v>
      </c>
      <c r="G26">
        <f t="shared" si="1"/>
        <v>0.46</v>
      </c>
      <c r="H26">
        <f t="shared" si="2"/>
        <v>0.34781317666224132</v>
      </c>
      <c r="J26">
        <f t="shared" si="3"/>
        <v>0.1121868233377587</v>
      </c>
      <c r="K26">
        <f t="shared" si="4"/>
        <v>9.2186823337758683E-2</v>
      </c>
    </row>
    <row r="27" spans="4:11" x14ac:dyDescent="0.35">
      <c r="D27">
        <v>4.0541200000000002</v>
      </c>
      <c r="E27">
        <v>24</v>
      </c>
      <c r="F27">
        <f t="shared" si="0"/>
        <v>0.46</v>
      </c>
      <c r="G27">
        <f t="shared" si="1"/>
        <v>0.48</v>
      </c>
      <c r="H27">
        <f t="shared" si="2"/>
        <v>0.44525344712549525</v>
      </c>
      <c r="J27">
        <f t="shared" si="3"/>
        <v>3.4746552874504733E-2</v>
      </c>
      <c r="K27">
        <f t="shared" si="4"/>
        <v>1.474655287450477E-2</v>
      </c>
    </row>
    <row r="28" spans="4:11" x14ac:dyDescent="0.35">
      <c r="D28">
        <v>4.09626</v>
      </c>
      <c r="E28">
        <v>25</v>
      </c>
      <c r="F28">
        <f t="shared" si="0"/>
        <v>0.48</v>
      </c>
      <c r="G28">
        <f t="shared" si="1"/>
        <v>0.5</v>
      </c>
      <c r="H28">
        <f t="shared" si="2"/>
        <v>0.45070160367901069</v>
      </c>
      <c r="J28">
        <f t="shared" si="3"/>
        <v>4.9298396320989313E-2</v>
      </c>
      <c r="K28">
        <f t="shared" si="4"/>
        <v>2.9298396320989295E-2</v>
      </c>
    </row>
    <row r="29" spans="4:11" x14ac:dyDescent="0.35">
      <c r="D29">
        <v>4.67936</v>
      </c>
      <c r="E29">
        <v>26</v>
      </c>
      <c r="F29">
        <f t="shared" si="0"/>
        <v>0.5</v>
      </c>
      <c r="G29">
        <f t="shared" si="1"/>
        <v>0.52</v>
      </c>
      <c r="H29">
        <f t="shared" si="2"/>
        <v>0.52659102888891351</v>
      </c>
      <c r="J29">
        <f t="shared" si="3"/>
        <v>6.5910288889134971E-3</v>
      </c>
      <c r="K29">
        <f t="shared" si="4"/>
        <v>2.6591028888913515E-2</v>
      </c>
    </row>
    <row r="30" spans="4:11" x14ac:dyDescent="0.35">
      <c r="D30">
        <v>4.7182700000000004</v>
      </c>
      <c r="E30">
        <v>27</v>
      </c>
      <c r="F30">
        <f t="shared" si="0"/>
        <v>0.52</v>
      </c>
      <c r="G30">
        <f t="shared" si="1"/>
        <v>0.54</v>
      </c>
      <c r="H30">
        <f t="shared" si="2"/>
        <v>0.53165127117232835</v>
      </c>
      <c r="J30">
        <f t="shared" si="3"/>
        <v>8.3487288276716809E-3</v>
      </c>
      <c r="K30">
        <f t="shared" si="4"/>
        <v>1.1651271172328337E-2</v>
      </c>
    </row>
    <row r="31" spans="4:11" x14ac:dyDescent="0.35">
      <c r="D31">
        <v>4.7862299999999998</v>
      </c>
      <c r="E31">
        <v>28</v>
      </c>
      <c r="F31">
        <f t="shared" si="0"/>
        <v>0.54</v>
      </c>
      <c r="G31">
        <f t="shared" si="1"/>
        <v>0.56000000000000005</v>
      </c>
      <c r="H31">
        <f t="shared" si="2"/>
        <v>0.54047672537895375</v>
      </c>
      <c r="J31">
        <f t="shared" si="3"/>
        <v>1.9523274621046305E-2</v>
      </c>
      <c r="K31">
        <f t="shared" si="4"/>
        <v>4.7672537895371292E-4</v>
      </c>
    </row>
    <row r="32" spans="4:11" x14ac:dyDescent="0.35">
      <c r="D32">
        <v>4.7862799999999996</v>
      </c>
      <c r="E32">
        <v>29</v>
      </c>
      <c r="F32">
        <f t="shared" si="0"/>
        <v>0.56000000000000005</v>
      </c>
      <c r="G32">
        <f t="shared" si="1"/>
        <v>0.57999999999999996</v>
      </c>
      <c r="H32">
        <f t="shared" si="2"/>
        <v>0.54048321170444324</v>
      </c>
      <c r="J32">
        <f t="shared" si="3"/>
        <v>3.9516788295556715E-2</v>
      </c>
      <c r="K32">
        <f t="shared" si="4"/>
        <v>1.9516788295556808E-2</v>
      </c>
    </row>
    <row r="33" spans="4:11" x14ac:dyDescent="0.35">
      <c r="D33">
        <v>5.0236499999999999</v>
      </c>
      <c r="E33">
        <v>30</v>
      </c>
      <c r="F33">
        <f t="shared" si="0"/>
        <v>0.57999999999999996</v>
      </c>
      <c r="G33">
        <f t="shared" si="1"/>
        <v>0.6</v>
      </c>
      <c r="H33">
        <f t="shared" si="2"/>
        <v>0.57112457232995784</v>
      </c>
      <c r="J33">
        <f t="shared" si="3"/>
        <v>2.8875427670042142E-2</v>
      </c>
      <c r="K33">
        <f t="shared" si="4"/>
        <v>8.8754276700421242E-3</v>
      </c>
    </row>
    <row r="34" spans="4:11" x14ac:dyDescent="0.35">
      <c r="D34">
        <v>5.0792099999999998</v>
      </c>
      <c r="E34">
        <v>31</v>
      </c>
      <c r="F34">
        <f t="shared" si="0"/>
        <v>0.6</v>
      </c>
      <c r="G34">
        <f t="shared" si="1"/>
        <v>0.62</v>
      </c>
      <c r="H34">
        <f t="shared" si="2"/>
        <v>0.57824207727416299</v>
      </c>
      <c r="J34">
        <f t="shared" si="3"/>
        <v>4.1757922725837004E-2</v>
      </c>
      <c r="K34">
        <f t="shared" si="4"/>
        <v>2.1757922725836987E-2</v>
      </c>
    </row>
    <row r="35" spans="4:11" x14ac:dyDescent="0.35">
      <c r="D35">
        <v>5.1363300000000001</v>
      </c>
      <c r="E35">
        <v>32</v>
      </c>
      <c r="F35">
        <f t="shared" si="0"/>
        <v>0.62</v>
      </c>
      <c r="G35">
        <f t="shared" si="1"/>
        <v>0.64</v>
      </c>
      <c r="H35">
        <f t="shared" si="2"/>
        <v>0.58553285254909349</v>
      </c>
      <c r="J35">
        <f t="shared" si="3"/>
        <v>5.4467147450906528E-2</v>
      </c>
      <c r="K35">
        <f t="shared" si="4"/>
        <v>3.446714745090651E-2</v>
      </c>
    </row>
    <row r="36" spans="4:11" x14ac:dyDescent="0.35">
      <c r="D36">
        <v>5.1470700000000003</v>
      </c>
      <c r="E36">
        <v>33</v>
      </c>
      <c r="F36">
        <f t="shared" si="0"/>
        <v>0.64</v>
      </c>
      <c r="G36">
        <f t="shared" si="1"/>
        <v>0.66</v>
      </c>
      <c r="H36">
        <f t="shared" si="2"/>
        <v>0.58690049692363822</v>
      </c>
      <c r="J36">
        <f t="shared" si="3"/>
        <v>7.3099503076361816E-2</v>
      </c>
      <c r="K36">
        <f t="shared" si="4"/>
        <v>5.3099503076361798E-2</v>
      </c>
    </row>
    <row r="37" spans="4:11" x14ac:dyDescent="0.35">
      <c r="D37">
        <v>5.2546600000000003</v>
      </c>
      <c r="E37">
        <v>34</v>
      </c>
      <c r="F37">
        <f t="shared" si="0"/>
        <v>0.66</v>
      </c>
      <c r="G37">
        <f t="shared" si="1"/>
        <v>0.68</v>
      </c>
      <c r="H37">
        <f t="shared" si="2"/>
        <v>0.6005403363897569</v>
      </c>
      <c r="J37">
        <f t="shared" si="3"/>
        <v>7.9459663610243148E-2</v>
      </c>
      <c r="K37">
        <f t="shared" si="4"/>
        <v>5.945966361024313E-2</v>
      </c>
    </row>
    <row r="38" spans="4:11" x14ac:dyDescent="0.35">
      <c r="D38">
        <v>5.5770600000000004</v>
      </c>
      <c r="E38">
        <v>35</v>
      </c>
      <c r="F38">
        <f t="shared" si="0"/>
        <v>0.68</v>
      </c>
      <c r="G38">
        <f t="shared" si="1"/>
        <v>0.7</v>
      </c>
      <c r="H38">
        <f t="shared" si="2"/>
        <v>0.64062342646775428</v>
      </c>
      <c r="J38">
        <f t="shared" si="3"/>
        <v>5.937657353224568E-2</v>
      </c>
      <c r="K38">
        <f t="shared" si="4"/>
        <v>3.9376573532245773E-2</v>
      </c>
    </row>
    <row r="39" spans="4:11" x14ac:dyDescent="0.35">
      <c r="D39">
        <v>6.1454000000000004</v>
      </c>
      <c r="E39">
        <v>36</v>
      </c>
      <c r="F39">
        <f t="shared" si="0"/>
        <v>0.7</v>
      </c>
      <c r="G39">
        <f t="shared" si="1"/>
        <v>0.72</v>
      </c>
      <c r="H39">
        <f t="shared" si="2"/>
        <v>0.70743040112176292</v>
      </c>
      <c r="J39">
        <f t="shared" si="3"/>
        <v>1.2569598878237054E-2</v>
      </c>
      <c r="K39">
        <f t="shared" si="4"/>
        <v>7.430401121762964E-3</v>
      </c>
    </row>
    <row r="40" spans="4:11" x14ac:dyDescent="0.35">
      <c r="D40">
        <v>6.2996100000000004</v>
      </c>
      <c r="E40">
        <v>37</v>
      </c>
      <c r="F40">
        <f t="shared" si="0"/>
        <v>0.72</v>
      </c>
      <c r="G40">
        <f t="shared" si="1"/>
        <v>0.74</v>
      </c>
      <c r="H40">
        <f t="shared" si="2"/>
        <v>0.72451209740676337</v>
      </c>
      <c r="J40">
        <f t="shared" si="3"/>
        <v>1.5487902593236624E-2</v>
      </c>
      <c r="K40">
        <f t="shared" si="4"/>
        <v>4.5120974067633934E-3</v>
      </c>
    </row>
    <row r="41" spans="4:11" x14ac:dyDescent="0.35">
      <c r="D41">
        <v>6.3081500000000004</v>
      </c>
      <c r="E41">
        <v>38</v>
      </c>
      <c r="F41">
        <f t="shared" si="0"/>
        <v>0.74</v>
      </c>
      <c r="G41">
        <f t="shared" si="1"/>
        <v>0.76</v>
      </c>
      <c r="H41">
        <f t="shared" si="2"/>
        <v>0.72544354107250675</v>
      </c>
      <c r="J41">
        <f t="shared" si="3"/>
        <v>3.4556458927493261E-2</v>
      </c>
      <c r="K41">
        <f t="shared" si="4"/>
        <v>1.4556458927493243E-2</v>
      </c>
    </row>
    <row r="42" spans="4:11" x14ac:dyDescent="0.35">
      <c r="D42">
        <v>6.6862700000000004</v>
      </c>
      <c r="E42">
        <v>39</v>
      </c>
      <c r="F42">
        <f t="shared" si="0"/>
        <v>0.76</v>
      </c>
      <c r="G42">
        <f t="shared" si="1"/>
        <v>0.78</v>
      </c>
      <c r="H42">
        <f t="shared" si="2"/>
        <v>0.76506245922540028</v>
      </c>
      <c r="J42">
        <f t="shared" si="3"/>
        <v>1.4937540774599745E-2</v>
      </c>
      <c r="K42">
        <f t="shared" si="4"/>
        <v>5.0624592254002732E-3</v>
      </c>
    </row>
    <row r="43" spans="4:11" x14ac:dyDescent="0.35">
      <c r="D43">
        <v>7.05016</v>
      </c>
      <c r="E43">
        <v>40</v>
      </c>
      <c r="F43">
        <f t="shared" si="0"/>
        <v>0.78</v>
      </c>
      <c r="G43">
        <f t="shared" si="1"/>
        <v>0.8</v>
      </c>
      <c r="H43">
        <f t="shared" si="2"/>
        <v>0.80000063066302218</v>
      </c>
      <c r="J43">
        <f t="shared" si="3"/>
        <v>6.3066302213865555E-7</v>
      </c>
      <c r="K43">
        <f t="shared" si="4"/>
        <v>2.0000630663022156E-2</v>
      </c>
    </row>
    <row r="44" spans="4:11" x14ac:dyDescent="0.35">
      <c r="D44">
        <v>7.3078500000000002</v>
      </c>
      <c r="E44">
        <v>41</v>
      </c>
      <c r="F44">
        <f t="shared" si="0"/>
        <v>0.8</v>
      </c>
      <c r="G44">
        <f t="shared" si="1"/>
        <v>0.82</v>
      </c>
      <c r="H44">
        <f t="shared" si="2"/>
        <v>0.82273857605462886</v>
      </c>
      <c r="J44">
        <f t="shared" si="3"/>
        <v>2.7385760546289051E-3</v>
      </c>
      <c r="K44">
        <f t="shared" si="4"/>
        <v>2.2738576054628812E-2</v>
      </c>
    </row>
    <row r="45" spans="4:11" x14ac:dyDescent="0.35">
      <c r="D45">
        <v>7.3238899999999996</v>
      </c>
      <c r="E45">
        <v>42</v>
      </c>
      <c r="F45">
        <f t="shared" si="0"/>
        <v>0.82</v>
      </c>
      <c r="G45">
        <f t="shared" si="1"/>
        <v>0.84</v>
      </c>
      <c r="H45">
        <f t="shared" si="2"/>
        <v>0.82409777122800565</v>
      </c>
      <c r="J45">
        <f t="shared" si="3"/>
        <v>1.590222877199432E-2</v>
      </c>
      <c r="K45">
        <f t="shared" si="4"/>
        <v>4.0977712280056977E-3</v>
      </c>
    </row>
    <row r="46" spans="4:11" x14ac:dyDescent="0.35">
      <c r="D46">
        <v>7.6174799999999996</v>
      </c>
      <c r="E46">
        <v>43</v>
      </c>
      <c r="F46">
        <f t="shared" si="0"/>
        <v>0.84</v>
      </c>
      <c r="G46">
        <f t="shared" si="1"/>
        <v>0.86</v>
      </c>
      <c r="H46">
        <f t="shared" si="2"/>
        <v>0.84780338328476978</v>
      </c>
      <c r="J46">
        <f t="shared" si="3"/>
        <v>1.2196616715230202E-2</v>
      </c>
      <c r="K46">
        <f t="shared" si="4"/>
        <v>7.8033832847698159E-3</v>
      </c>
    </row>
    <row r="47" spans="4:11" x14ac:dyDescent="0.35">
      <c r="D47">
        <v>8.4246800000000004</v>
      </c>
      <c r="E47">
        <v>44</v>
      </c>
      <c r="F47">
        <f t="shared" si="0"/>
        <v>0.86</v>
      </c>
      <c r="G47">
        <f t="shared" si="1"/>
        <v>0.88</v>
      </c>
      <c r="H47">
        <f t="shared" si="2"/>
        <v>0.90163071961129571</v>
      </c>
      <c r="J47">
        <f t="shared" si="3"/>
        <v>2.1630719611295701E-2</v>
      </c>
      <c r="K47">
        <f t="shared" si="4"/>
        <v>4.1630719611295719E-2</v>
      </c>
    </row>
    <row r="48" spans="4:11" x14ac:dyDescent="0.35">
      <c r="D48">
        <v>8.7911699999999993</v>
      </c>
      <c r="E48">
        <v>45</v>
      </c>
      <c r="F48">
        <f t="shared" si="0"/>
        <v>0.88</v>
      </c>
      <c r="G48">
        <f t="shared" si="1"/>
        <v>0.9</v>
      </c>
      <c r="H48">
        <f t="shared" si="2"/>
        <v>0.92083204049718659</v>
      </c>
      <c r="J48">
        <f t="shared" si="3"/>
        <v>2.0832040497186566E-2</v>
      </c>
      <c r="K48">
        <f t="shared" si="4"/>
        <v>4.0832040497186584E-2</v>
      </c>
    </row>
    <row r="49" spans="4:11" x14ac:dyDescent="0.35">
      <c r="D49">
        <v>9.3262300000000007</v>
      </c>
      <c r="E49">
        <v>46</v>
      </c>
      <c r="F49">
        <f t="shared" si="0"/>
        <v>0.9</v>
      </c>
      <c r="G49">
        <f t="shared" si="1"/>
        <v>0.92</v>
      </c>
      <c r="H49">
        <f t="shared" si="2"/>
        <v>0.94358271999599308</v>
      </c>
      <c r="J49">
        <f t="shared" si="3"/>
        <v>2.358271999599304E-2</v>
      </c>
      <c r="K49">
        <f t="shared" si="4"/>
        <v>4.3582719995993058E-2</v>
      </c>
    </row>
    <row r="50" spans="4:11" x14ac:dyDescent="0.35">
      <c r="D50">
        <v>9.4604800000000004</v>
      </c>
      <c r="E50">
        <v>47</v>
      </c>
      <c r="F50">
        <f t="shared" si="0"/>
        <v>0.92</v>
      </c>
      <c r="G50">
        <f t="shared" si="1"/>
        <v>0.94</v>
      </c>
      <c r="H50">
        <f t="shared" si="2"/>
        <v>0.94839229237298761</v>
      </c>
      <c r="J50">
        <f t="shared" si="3"/>
        <v>8.3922923729876642E-3</v>
      </c>
      <c r="K50">
        <f t="shared" si="4"/>
        <v>2.8392292372987571E-2</v>
      </c>
    </row>
    <row r="51" spans="4:11" x14ac:dyDescent="0.35">
      <c r="D51">
        <v>10.263999999999999</v>
      </c>
      <c r="E51">
        <v>48</v>
      </c>
      <c r="F51">
        <f t="shared" si="0"/>
        <v>0.94</v>
      </c>
      <c r="G51">
        <f t="shared" si="1"/>
        <v>0.96</v>
      </c>
      <c r="H51">
        <f t="shared" si="2"/>
        <v>0.97076116842230775</v>
      </c>
      <c r="J51">
        <f t="shared" si="3"/>
        <v>1.0761168422307787E-2</v>
      </c>
      <c r="K51">
        <f t="shared" si="4"/>
        <v>3.0761168422307805E-2</v>
      </c>
    </row>
    <row r="52" spans="4:11" x14ac:dyDescent="0.35">
      <c r="D52">
        <v>10.639849999999999</v>
      </c>
      <c r="E52">
        <v>49</v>
      </c>
      <c r="F52">
        <f t="shared" si="0"/>
        <v>0.96</v>
      </c>
      <c r="G52">
        <f t="shared" si="1"/>
        <v>0.98</v>
      </c>
      <c r="H52">
        <f t="shared" si="2"/>
        <v>0.97804507581100886</v>
      </c>
      <c r="J52">
        <f t="shared" si="3"/>
        <v>1.9549241889911251E-3</v>
      </c>
      <c r="K52">
        <f t="shared" si="4"/>
        <v>1.8045075811008893E-2</v>
      </c>
    </row>
    <row r="53" spans="4:11" x14ac:dyDescent="0.35">
      <c r="D53">
        <v>12.2189</v>
      </c>
      <c r="E53">
        <v>50</v>
      </c>
      <c r="F53">
        <f t="shared" si="0"/>
        <v>0.98</v>
      </c>
      <c r="G53">
        <f t="shared" si="1"/>
        <v>1</v>
      </c>
      <c r="H53">
        <f t="shared" si="2"/>
        <v>0.99431438870332589</v>
      </c>
      <c r="J53">
        <f t="shared" si="3"/>
        <v>5.685611296674109E-3</v>
      </c>
      <c r="K53">
        <f t="shared" si="4"/>
        <v>1.4314388703325909E-2</v>
      </c>
    </row>
    <row r="56" spans="4:11" x14ac:dyDescent="0.35">
      <c r="I56" t="s">
        <v>45</v>
      </c>
      <c r="J56">
        <f>MAX(J4:J53)</f>
        <v>0.13354012069519983</v>
      </c>
      <c r="K56">
        <f>MAX(K4:K53)</f>
        <v>0.11354012069519981</v>
      </c>
    </row>
  </sheetData>
  <sortState xmlns:xlrd2="http://schemas.microsoft.com/office/spreadsheetml/2017/richdata2" ref="D2:D51">
    <sortCondition ref="D2"/>
  </sortState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56"/>
  <sheetViews>
    <sheetView zoomScale="70" zoomScaleNormal="70" workbookViewId="0">
      <selection activeCell="L11" sqref="L11"/>
    </sheetView>
  </sheetViews>
  <sheetFormatPr defaultRowHeight="14.5" x14ac:dyDescent="0.35"/>
  <cols>
    <col min="4" max="4" width="10" customWidth="1"/>
    <col min="8" max="8" width="9.81640625" customWidth="1"/>
    <col min="13" max="13" width="11.1796875" customWidth="1"/>
    <col min="14" max="14" width="12.453125" customWidth="1"/>
  </cols>
  <sheetData>
    <row r="1" spans="1:20" x14ac:dyDescent="0.35">
      <c r="A1" t="s">
        <v>50</v>
      </c>
    </row>
    <row r="2" spans="1:20" ht="15.5" x14ac:dyDescent="0.35">
      <c r="D2" t="s">
        <v>51</v>
      </c>
      <c r="E2" t="s">
        <v>34</v>
      </c>
      <c r="G2" s="12"/>
    </row>
    <row r="4" spans="1:20" x14ac:dyDescent="0.35">
      <c r="A4" t="s">
        <v>53</v>
      </c>
      <c r="H4" t="s">
        <v>52</v>
      </c>
      <c r="I4" t="s">
        <v>35</v>
      </c>
      <c r="J4" t="s">
        <v>38</v>
      </c>
      <c r="K4" t="s">
        <v>58</v>
      </c>
      <c r="L4" t="s">
        <v>55</v>
      </c>
      <c r="M4" t="s">
        <v>59</v>
      </c>
      <c r="N4" t="s">
        <v>60</v>
      </c>
      <c r="P4" t="s">
        <v>43</v>
      </c>
      <c r="Q4">
        <v>0.1</v>
      </c>
    </row>
    <row r="5" spans="1:20" x14ac:dyDescent="0.35">
      <c r="A5">
        <v>-1.51603</v>
      </c>
      <c r="H5">
        <v>1.0218100000000001</v>
      </c>
      <c r="I5">
        <v>1</v>
      </c>
      <c r="J5">
        <f>I5/$D$9</f>
        <v>0.02</v>
      </c>
      <c r="K5">
        <f>(I5-1)/$D$9</f>
        <v>0</v>
      </c>
      <c r="L5">
        <f>COUNTIF($A$5:$A$54,"&lt;"&amp;H5)/$D$9</f>
        <v>0.1</v>
      </c>
      <c r="M5">
        <f>ABS(J5-L5)</f>
        <v>0.08</v>
      </c>
      <c r="N5">
        <f>ABS(K5-L5)</f>
        <v>0.1</v>
      </c>
      <c r="P5" t="s">
        <v>56</v>
      </c>
      <c r="Q5">
        <v>1.22</v>
      </c>
    </row>
    <row r="6" spans="1:20" x14ac:dyDescent="0.35">
      <c r="A6">
        <v>0.29131499999999999</v>
      </c>
      <c r="H6">
        <v>1.18757</v>
      </c>
      <c r="I6">
        <v>2</v>
      </c>
      <c r="J6">
        <f t="shared" ref="J6:J54" si="0">I6/$D$9</f>
        <v>0.04</v>
      </c>
      <c r="K6">
        <f t="shared" ref="K6:K54" si="1">(I6-1)/$D$9</f>
        <v>0.02</v>
      </c>
      <c r="L6">
        <f>COUNTIF($A$5:$A$54,"&lt;"&amp;H6)/$D$9</f>
        <v>0.16</v>
      </c>
      <c r="M6">
        <f t="shared" ref="M6:M54" si="2">ABS(J6-L6)</f>
        <v>0.12</v>
      </c>
      <c r="N6">
        <f t="shared" ref="N6:N54" si="3">ABS(K6-L6)</f>
        <v>0.14000000000000001</v>
      </c>
      <c r="Q6">
        <f>MAX(M56:N56)</f>
        <v>0.58000000000000007</v>
      </c>
    </row>
    <row r="7" spans="1:20" x14ac:dyDescent="0.35">
      <c r="A7">
        <v>0.29575800000000002</v>
      </c>
      <c r="H7">
        <v>1.22424</v>
      </c>
      <c r="I7">
        <v>3</v>
      </c>
      <c r="J7">
        <f t="shared" si="0"/>
        <v>0.06</v>
      </c>
      <c r="K7">
        <f t="shared" si="1"/>
        <v>0.04</v>
      </c>
      <c r="L7">
        <f>COUNTIF($A$5:$A$54,"&lt;"&amp;H7)/$D$9</f>
        <v>0.16</v>
      </c>
      <c r="M7">
        <f t="shared" si="2"/>
        <v>0.1</v>
      </c>
      <c r="N7">
        <f t="shared" si="3"/>
        <v>0.12</v>
      </c>
    </row>
    <row r="8" spans="1:20" x14ac:dyDescent="0.35">
      <c r="A8">
        <v>0.57628599999999996</v>
      </c>
      <c r="H8">
        <v>1.23054</v>
      </c>
      <c r="I8">
        <v>4</v>
      </c>
      <c r="J8">
        <f t="shared" si="0"/>
        <v>0.08</v>
      </c>
      <c r="K8">
        <f t="shared" si="1"/>
        <v>0.06</v>
      </c>
      <c r="L8">
        <f t="shared" ref="L6:L54" si="4">COUNTIF($A$5:$A$54,"&lt;"&amp;H8)/$D$9</f>
        <v>0.16</v>
      </c>
      <c r="M8">
        <f t="shared" si="2"/>
        <v>0.08</v>
      </c>
      <c r="N8">
        <f t="shared" si="3"/>
        <v>0.1</v>
      </c>
      <c r="Q8">
        <f>SQRT(D9*D10/(D9+D10))</f>
        <v>5</v>
      </c>
    </row>
    <row r="9" spans="1:20" x14ac:dyDescent="0.35">
      <c r="A9">
        <v>0.73295500000000002</v>
      </c>
      <c r="C9" t="s">
        <v>54</v>
      </c>
      <c r="D9">
        <v>50</v>
      </c>
      <c r="H9">
        <v>1.2317800000000001</v>
      </c>
      <c r="I9">
        <v>5</v>
      </c>
      <c r="J9">
        <f t="shared" si="0"/>
        <v>0.1</v>
      </c>
      <c r="K9">
        <f t="shared" si="1"/>
        <v>0.08</v>
      </c>
      <c r="L9">
        <f t="shared" si="4"/>
        <v>0.16</v>
      </c>
      <c r="M9">
        <f t="shared" si="2"/>
        <v>0.06</v>
      </c>
      <c r="N9">
        <f t="shared" si="3"/>
        <v>0.08</v>
      </c>
    </row>
    <row r="10" spans="1:20" x14ac:dyDescent="0.35">
      <c r="A10">
        <v>1.12967</v>
      </c>
      <c r="C10" t="s">
        <v>57</v>
      </c>
      <c r="D10">
        <v>50</v>
      </c>
      <c r="H10">
        <v>1.2373099999999999</v>
      </c>
      <c r="I10">
        <v>6</v>
      </c>
      <c r="J10">
        <f t="shared" si="0"/>
        <v>0.12</v>
      </c>
      <c r="K10">
        <f t="shared" si="1"/>
        <v>0.1</v>
      </c>
      <c r="L10">
        <f t="shared" si="4"/>
        <v>0.16</v>
      </c>
      <c r="M10">
        <f t="shared" si="2"/>
        <v>4.0000000000000008E-2</v>
      </c>
      <c r="N10">
        <f t="shared" si="3"/>
        <v>0.06</v>
      </c>
    </row>
    <row r="11" spans="1:20" x14ac:dyDescent="0.35">
      <c r="A11">
        <v>1.1330499999999999</v>
      </c>
      <c r="H11">
        <v>1.2444299999999999</v>
      </c>
      <c r="I11">
        <v>7</v>
      </c>
      <c r="J11">
        <f t="shared" si="0"/>
        <v>0.14000000000000001</v>
      </c>
      <c r="K11">
        <f t="shared" si="1"/>
        <v>0.12</v>
      </c>
      <c r="L11">
        <f t="shared" si="4"/>
        <v>0.16</v>
      </c>
      <c r="M11">
        <f t="shared" si="2"/>
        <v>1.999999999999999E-2</v>
      </c>
      <c r="N11">
        <f t="shared" si="3"/>
        <v>4.0000000000000008E-2</v>
      </c>
      <c r="P11" t="s">
        <v>61</v>
      </c>
    </row>
    <row r="12" spans="1:20" x14ac:dyDescent="0.35">
      <c r="A12">
        <v>1.13697</v>
      </c>
      <c r="H12">
        <v>1.26769</v>
      </c>
      <c r="I12">
        <v>8</v>
      </c>
      <c r="J12">
        <f t="shared" si="0"/>
        <v>0.16</v>
      </c>
      <c r="K12">
        <f t="shared" si="1"/>
        <v>0.14000000000000001</v>
      </c>
      <c r="L12">
        <f t="shared" si="4"/>
        <v>0.16</v>
      </c>
      <c r="M12">
        <f t="shared" si="2"/>
        <v>0</v>
      </c>
      <c r="N12">
        <f t="shared" si="3"/>
        <v>1.999999999999999E-2</v>
      </c>
    </row>
    <row r="13" spans="1:20" x14ac:dyDescent="0.35">
      <c r="A13">
        <v>1.7641899999999999</v>
      </c>
      <c r="H13">
        <v>1.29125</v>
      </c>
      <c r="I13">
        <v>9</v>
      </c>
      <c r="J13">
        <f t="shared" si="0"/>
        <v>0.18</v>
      </c>
      <c r="K13">
        <f t="shared" si="1"/>
        <v>0.16</v>
      </c>
      <c r="L13">
        <f t="shared" si="4"/>
        <v>0.16</v>
      </c>
      <c r="M13">
        <f t="shared" si="2"/>
        <v>1.999999999999999E-2</v>
      </c>
      <c r="N13">
        <f t="shared" si="3"/>
        <v>0</v>
      </c>
      <c r="S13">
        <f>Q8*Q6</f>
        <v>2.9000000000000004</v>
      </c>
      <c r="T13">
        <f>Q5</f>
        <v>1.22</v>
      </c>
    </row>
    <row r="14" spans="1:20" x14ac:dyDescent="0.35">
      <c r="A14">
        <v>2.0169899999999998</v>
      </c>
      <c r="H14">
        <v>1.2929900000000001</v>
      </c>
      <c r="I14">
        <v>10</v>
      </c>
      <c r="J14">
        <f t="shared" si="0"/>
        <v>0.2</v>
      </c>
      <c r="K14">
        <f t="shared" si="1"/>
        <v>0.18</v>
      </c>
      <c r="L14">
        <f t="shared" si="4"/>
        <v>0.16</v>
      </c>
      <c r="M14">
        <f t="shared" si="2"/>
        <v>4.0000000000000008E-2</v>
      </c>
      <c r="N14">
        <f t="shared" si="3"/>
        <v>1.999999999999999E-2</v>
      </c>
    </row>
    <row r="15" spans="1:20" x14ac:dyDescent="0.35">
      <c r="A15">
        <v>2.0230700000000001</v>
      </c>
      <c r="H15">
        <v>1.3166599999999999</v>
      </c>
      <c r="I15">
        <v>11</v>
      </c>
      <c r="J15">
        <f t="shared" si="0"/>
        <v>0.22</v>
      </c>
      <c r="K15">
        <f t="shared" si="1"/>
        <v>0.2</v>
      </c>
      <c r="L15">
        <f t="shared" si="4"/>
        <v>0.16</v>
      </c>
      <c r="M15">
        <f t="shared" si="2"/>
        <v>0.06</v>
      </c>
      <c r="N15">
        <f t="shared" si="3"/>
        <v>4.0000000000000008E-2</v>
      </c>
      <c r="P15" t="str">
        <f>IF(Q8*Q6&lt;Q5,"Гипотеза не противоречит опытным данным","Гипотеза противоречит опытным данным")</f>
        <v>Гипотеза противоречит опытным данным</v>
      </c>
    </row>
    <row r="16" spans="1:20" x14ac:dyDescent="0.35">
      <c r="A16">
        <v>2.1659299999999999</v>
      </c>
      <c r="H16">
        <v>1.3441099999999999</v>
      </c>
      <c r="I16">
        <v>12</v>
      </c>
      <c r="J16">
        <f t="shared" si="0"/>
        <v>0.24</v>
      </c>
      <c r="K16">
        <f t="shared" si="1"/>
        <v>0.22</v>
      </c>
      <c r="L16">
        <f t="shared" si="4"/>
        <v>0.16</v>
      </c>
      <c r="M16">
        <f t="shared" si="2"/>
        <v>7.9999999999999988E-2</v>
      </c>
      <c r="N16">
        <f t="shared" si="3"/>
        <v>0.06</v>
      </c>
    </row>
    <row r="17" spans="1:14" x14ac:dyDescent="0.35">
      <c r="A17">
        <v>2.1817000000000002</v>
      </c>
      <c r="H17">
        <v>1.3559600000000001</v>
      </c>
      <c r="I17">
        <v>13</v>
      </c>
      <c r="J17">
        <f t="shared" si="0"/>
        <v>0.26</v>
      </c>
      <c r="K17">
        <f t="shared" si="1"/>
        <v>0.24</v>
      </c>
      <c r="L17">
        <f t="shared" si="4"/>
        <v>0.16</v>
      </c>
      <c r="M17">
        <f t="shared" si="2"/>
        <v>0.1</v>
      </c>
      <c r="N17">
        <f t="shared" si="3"/>
        <v>7.9999999999999988E-2</v>
      </c>
    </row>
    <row r="18" spans="1:14" x14ac:dyDescent="0.35">
      <c r="A18">
        <v>2.3341400000000001</v>
      </c>
      <c r="H18">
        <v>1.35772</v>
      </c>
      <c r="I18">
        <v>14</v>
      </c>
      <c r="J18">
        <f t="shared" si="0"/>
        <v>0.28000000000000003</v>
      </c>
      <c r="K18">
        <f t="shared" si="1"/>
        <v>0.26</v>
      </c>
      <c r="L18">
        <f t="shared" si="4"/>
        <v>0.16</v>
      </c>
      <c r="M18">
        <f t="shared" si="2"/>
        <v>0.12000000000000002</v>
      </c>
      <c r="N18">
        <f t="shared" si="3"/>
        <v>0.1</v>
      </c>
    </row>
    <row r="19" spans="1:14" x14ac:dyDescent="0.35">
      <c r="A19">
        <v>2.3625500000000001</v>
      </c>
      <c r="H19">
        <v>1.37456</v>
      </c>
      <c r="I19">
        <v>15</v>
      </c>
      <c r="J19">
        <f t="shared" si="0"/>
        <v>0.3</v>
      </c>
      <c r="K19">
        <f t="shared" si="1"/>
        <v>0.28000000000000003</v>
      </c>
      <c r="L19">
        <f t="shared" si="4"/>
        <v>0.16</v>
      </c>
      <c r="M19">
        <f t="shared" si="2"/>
        <v>0.13999999999999999</v>
      </c>
      <c r="N19">
        <f t="shared" si="3"/>
        <v>0.12000000000000002</v>
      </c>
    </row>
    <row r="20" spans="1:14" x14ac:dyDescent="0.35">
      <c r="A20">
        <v>2.7207699999999999</v>
      </c>
      <c r="H20">
        <v>1.4418800000000001</v>
      </c>
      <c r="I20">
        <v>16</v>
      </c>
      <c r="J20">
        <f t="shared" si="0"/>
        <v>0.32</v>
      </c>
      <c r="K20">
        <f t="shared" si="1"/>
        <v>0.3</v>
      </c>
      <c r="L20">
        <f t="shared" si="4"/>
        <v>0.16</v>
      </c>
      <c r="M20">
        <f t="shared" si="2"/>
        <v>0.16</v>
      </c>
      <c r="N20">
        <f t="shared" si="3"/>
        <v>0.13999999999999999</v>
      </c>
    </row>
    <row r="21" spans="1:14" x14ac:dyDescent="0.35">
      <c r="A21">
        <v>2.7465700000000002</v>
      </c>
      <c r="H21">
        <v>1.45451</v>
      </c>
      <c r="I21">
        <v>17</v>
      </c>
      <c r="J21">
        <f t="shared" si="0"/>
        <v>0.34</v>
      </c>
      <c r="K21">
        <f t="shared" si="1"/>
        <v>0.32</v>
      </c>
      <c r="L21">
        <f t="shared" si="4"/>
        <v>0.16</v>
      </c>
      <c r="M21">
        <f t="shared" si="2"/>
        <v>0.18000000000000002</v>
      </c>
      <c r="N21">
        <f t="shared" si="3"/>
        <v>0.16</v>
      </c>
    </row>
    <row r="22" spans="1:14" x14ac:dyDescent="0.35">
      <c r="A22">
        <v>2.7725499999999998</v>
      </c>
      <c r="H22">
        <v>1.5619799999999999</v>
      </c>
      <c r="I22">
        <v>18</v>
      </c>
      <c r="J22">
        <f t="shared" si="0"/>
        <v>0.36</v>
      </c>
      <c r="K22">
        <f t="shared" si="1"/>
        <v>0.34</v>
      </c>
      <c r="L22">
        <f t="shared" si="4"/>
        <v>0.16</v>
      </c>
      <c r="M22">
        <f t="shared" si="2"/>
        <v>0.19999999999999998</v>
      </c>
      <c r="N22">
        <f t="shared" si="3"/>
        <v>0.18000000000000002</v>
      </c>
    </row>
    <row r="23" spans="1:14" x14ac:dyDescent="0.35">
      <c r="A23">
        <v>2.7852100000000002</v>
      </c>
      <c r="H23">
        <v>1.62961</v>
      </c>
      <c r="I23">
        <v>19</v>
      </c>
      <c r="J23">
        <f t="shared" si="0"/>
        <v>0.38</v>
      </c>
      <c r="K23">
        <f t="shared" si="1"/>
        <v>0.36</v>
      </c>
      <c r="L23">
        <f>COUNTIF($A$5:$A$54,"&lt;"&amp;H23)/$D$9</f>
        <v>0.16</v>
      </c>
      <c r="M23">
        <f t="shared" si="2"/>
        <v>0.22</v>
      </c>
      <c r="N23">
        <f t="shared" si="3"/>
        <v>0.19999999999999998</v>
      </c>
    </row>
    <row r="24" spans="1:14" x14ac:dyDescent="0.35">
      <c r="A24">
        <v>2.8486600000000002</v>
      </c>
      <c r="H24">
        <v>1.7806299999999999</v>
      </c>
      <c r="I24">
        <v>20</v>
      </c>
      <c r="J24">
        <f t="shared" si="0"/>
        <v>0.4</v>
      </c>
      <c r="K24">
        <f t="shared" si="1"/>
        <v>0.38</v>
      </c>
      <c r="L24">
        <f t="shared" si="4"/>
        <v>0.18</v>
      </c>
      <c r="M24">
        <f t="shared" si="2"/>
        <v>0.22000000000000003</v>
      </c>
      <c r="N24">
        <f t="shared" si="3"/>
        <v>0.2</v>
      </c>
    </row>
    <row r="25" spans="1:14" x14ac:dyDescent="0.35">
      <c r="A25">
        <v>2.8535900000000001</v>
      </c>
      <c r="H25">
        <v>1.7948599999999999</v>
      </c>
      <c r="I25">
        <v>21</v>
      </c>
      <c r="J25">
        <f t="shared" si="0"/>
        <v>0.42</v>
      </c>
      <c r="K25">
        <f t="shared" si="1"/>
        <v>0.4</v>
      </c>
      <c r="L25">
        <f t="shared" si="4"/>
        <v>0.18</v>
      </c>
      <c r="M25">
        <f t="shared" si="2"/>
        <v>0.24</v>
      </c>
      <c r="N25">
        <f t="shared" si="3"/>
        <v>0.22000000000000003</v>
      </c>
    </row>
    <row r="26" spans="1:14" x14ac:dyDescent="0.35">
      <c r="A26">
        <v>2.9275000000000002</v>
      </c>
      <c r="H26">
        <v>1.82836</v>
      </c>
      <c r="I26">
        <v>22</v>
      </c>
      <c r="J26">
        <f t="shared" si="0"/>
        <v>0.44</v>
      </c>
      <c r="K26">
        <f t="shared" si="1"/>
        <v>0.42</v>
      </c>
      <c r="L26">
        <f t="shared" si="4"/>
        <v>0.18</v>
      </c>
      <c r="M26">
        <f t="shared" si="2"/>
        <v>0.26</v>
      </c>
      <c r="N26">
        <f t="shared" si="3"/>
        <v>0.24</v>
      </c>
    </row>
    <row r="27" spans="1:14" x14ac:dyDescent="0.35">
      <c r="A27">
        <v>3.2783500000000001</v>
      </c>
      <c r="H27">
        <v>1.8548500000000001</v>
      </c>
      <c r="I27">
        <v>23</v>
      </c>
      <c r="J27">
        <f t="shared" si="0"/>
        <v>0.46</v>
      </c>
      <c r="K27">
        <f t="shared" si="1"/>
        <v>0.44</v>
      </c>
      <c r="L27">
        <f t="shared" si="4"/>
        <v>0.18</v>
      </c>
      <c r="M27">
        <f t="shared" si="2"/>
        <v>0.28000000000000003</v>
      </c>
      <c r="N27">
        <f t="shared" si="3"/>
        <v>0.26</v>
      </c>
    </row>
    <row r="28" spans="1:14" x14ac:dyDescent="0.35">
      <c r="A28">
        <v>4.0541200000000002</v>
      </c>
      <c r="H28">
        <v>1.88008</v>
      </c>
      <c r="I28">
        <v>24</v>
      </c>
      <c r="J28">
        <f t="shared" si="0"/>
        <v>0.48</v>
      </c>
      <c r="K28">
        <f t="shared" si="1"/>
        <v>0.46</v>
      </c>
      <c r="L28">
        <f t="shared" si="4"/>
        <v>0.18</v>
      </c>
      <c r="M28">
        <f t="shared" si="2"/>
        <v>0.3</v>
      </c>
      <c r="N28">
        <f t="shared" si="3"/>
        <v>0.28000000000000003</v>
      </c>
    </row>
    <row r="29" spans="1:14" x14ac:dyDescent="0.35">
      <c r="A29">
        <v>4.09626</v>
      </c>
      <c r="H29">
        <v>1.9734700000000001</v>
      </c>
      <c r="I29">
        <v>25</v>
      </c>
      <c r="J29">
        <f t="shared" si="0"/>
        <v>0.5</v>
      </c>
      <c r="K29">
        <f t="shared" si="1"/>
        <v>0.48</v>
      </c>
      <c r="L29">
        <f t="shared" si="4"/>
        <v>0.18</v>
      </c>
      <c r="M29">
        <f t="shared" si="2"/>
        <v>0.32</v>
      </c>
      <c r="N29">
        <f t="shared" si="3"/>
        <v>0.3</v>
      </c>
    </row>
    <row r="30" spans="1:14" x14ac:dyDescent="0.35">
      <c r="A30">
        <v>4.67936</v>
      </c>
      <c r="H30">
        <v>2.0126400000000002</v>
      </c>
      <c r="I30">
        <v>26</v>
      </c>
      <c r="J30">
        <f t="shared" si="0"/>
        <v>0.52</v>
      </c>
      <c r="K30">
        <f t="shared" si="1"/>
        <v>0.5</v>
      </c>
      <c r="L30">
        <f t="shared" si="4"/>
        <v>0.18</v>
      </c>
      <c r="M30">
        <f t="shared" si="2"/>
        <v>0.34</v>
      </c>
      <c r="N30">
        <f t="shared" si="3"/>
        <v>0.32</v>
      </c>
    </row>
    <row r="31" spans="1:14" x14ac:dyDescent="0.35">
      <c r="A31">
        <v>4.7182700000000004</v>
      </c>
      <c r="H31">
        <v>2.0194589999999999</v>
      </c>
      <c r="I31">
        <v>27</v>
      </c>
      <c r="J31">
        <f t="shared" si="0"/>
        <v>0.54</v>
      </c>
      <c r="K31">
        <f t="shared" si="1"/>
        <v>0.52</v>
      </c>
      <c r="L31">
        <f t="shared" si="4"/>
        <v>0.2</v>
      </c>
      <c r="M31">
        <f t="shared" si="2"/>
        <v>0.34</v>
      </c>
      <c r="N31">
        <f t="shared" si="3"/>
        <v>0.32</v>
      </c>
    </row>
    <row r="32" spans="1:14" x14ac:dyDescent="0.35">
      <c r="A32">
        <v>4.7862299999999998</v>
      </c>
      <c r="H32">
        <v>2.03674</v>
      </c>
      <c r="I32">
        <v>28</v>
      </c>
      <c r="J32">
        <f t="shared" si="0"/>
        <v>0.56000000000000005</v>
      </c>
      <c r="K32">
        <f t="shared" si="1"/>
        <v>0.54</v>
      </c>
      <c r="L32">
        <f t="shared" si="4"/>
        <v>0.22</v>
      </c>
      <c r="M32">
        <f t="shared" si="2"/>
        <v>0.34000000000000008</v>
      </c>
      <c r="N32">
        <f t="shared" si="3"/>
        <v>0.32000000000000006</v>
      </c>
    </row>
    <row r="33" spans="1:14" x14ac:dyDescent="0.35">
      <c r="A33">
        <v>4.7862799999999996</v>
      </c>
      <c r="H33">
        <v>2.0678200000000002</v>
      </c>
      <c r="I33">
        <v>29</v>
      </c>
      <c r="J33">
        <f t="shared" si="0"/>
        <v>0.57999999999999996</v>
      </c>
      <c r="K33">
        <f t="shared" si="1"/>
        <v>0.56000000000000005</v>
      </c>
      <c r="L33">
        <f t="shared" si="4"/>
        <v>0.22</v>
      </c>
      <c r="M33">
        <f t="shared" si="2"/>
        <v>0.36</v>
      </c>
      <c r="N33">
        <f t="shared" si="3"/>
        <v>0.34000000000000008</v>
      </c>
    </row>
    <row r="34" spans="1:14" x14ac:dyDescent="0.35">
      <c r="A34">
        <v>5.0236499999999999</v>
      </c>
      <c r="H34">
        <v>2.0776699999999999</v>
      </c>
      <c r="I34">
        <v>30</v>
      </c>
      <c r="J34">
        <f t="shared" si="0"/>
        <v>0.6</v>
      </c>
      <c r="K34">
        <f t="shared" si="1"/>
        <v>0.57999999999999996</v>
      </c>
      <c r="L34">
        <f t="shared" si="4"/>
        <v>0.22</v>
      </c>
      <c r="M34">
        <f t="shared" si="2"/>
        <v>0.38</v>
      </c>
      <c r="N34">
        <f t="shared" si="3"/>
        <v>0.36</v>
      </c>
    </row>
    <row r="35" spans="1:14" x14ac:dyDescent="0.35">
      <c r="A35">
        <v>5.0792099999999998</v>
      </c>
      <c r="H35">
        <v>2.08955</v>
      </c>
      <c r="I35">
        <v>31</v>
      </c>
      <c r="J35">
        <f t="shared" si="0"/>
        <v>0.62</v>
      </c>
      <c r="K35">
        <f t="shared" si="1"/>
        <v>0.6</v>
      </c>
      <c r="L35">
        <f t="shared" si="4"/>
        <v>0.22</v>
      </c>
      <c r="M35">
        <f t="shared" si="2"/>
        <v>0.4</v>
      </c>
      <c r="N35">
        <f t="shared" si="3"/>
        <v>0.38</v>
      </c>
    </row>
    <row r="36" spans="1:14" x14ac:dyDescent="0.35">
      <c r="A36">
        <v>5.1363300000000001</v>
      </c>
      <c r="H36">
        <v>2.1318899999999998</v>
      </c>
      <c r="I36">
        <v>32</v>
      </c>
      <c r="J36">
        <f t="shared" si="0"/>
        <v>0.64</v>
      </c>
      <c r="K36">
        <f t="shared" si="1"/>
        <v>0.62</v>
      </c>
      <c r="L36">
        <f t="shared" si="4"/>
        <v>0.22</v>
      </c>
      <c r="M36">
        <f t="shared" si="2"/>
        <v>0.42000000000000004</v>
      </c>
      <c r="N36">
        <f t="shared" si="3"/>
        <v>0.4</v>
      </c>
    </row>
    <row r="37" spans="1:14" x14ac:dyDescent="0.35">
      <c r="A37">
        <v>5.1470700000000003</v>
      </c>
      <c r="H37">
        <v>2.24743</v>
      </c>
      <c r="I37">
        <v>33</v>
      </c>
      <c r="J37">
        <f t="shared" si="0"/>
        <v>0.66</v>
      </c>
      <c r="K37">
        <f t="shared" si="1"/>
        <v>0.64</v>
      </c>
      <c r="L37">
        <f t="shared" si="4"/>
        <v>0.26</v>
      </c>
      <c r="M37">
        <f t="shared" si="2"/>
        <v>0.4</v>
      </c>
      <c r="N37">
        <f t="shared" si="3"/>
        <v>0.38</v>
      </c>
    </row>
    <row r="38" spans="1:14" x14ac:dyDescent="0.35">
      <c r="A38">
        <v>5.2546600000000003</v>
      </c>
      <c r="H38">
        <v>2.2817099999999999</v>
      </c>
      <c r="I38">
        <v>34</v>
      </c>
      <c r="J38">
        <f t="shared" si="0"/>
        <v>0.68</v>
      </c>
      <c r="K38">
        <f t="shared" si="1"/>
        <v>0.66</v>
      </c>
      <c r="L38">
        <f t="shared" si="4"/>
        <v>0.26</v>
      </c>
      <c r="M38">
        <f t="shared" si="2"/>
        <v>0.42000000000000004</v>
      </c>
      <c r="N38">
        <f t="shared" si="3"/>
        <v>0.4</v>
      </c>
    </row>
    <row r="39" spans="1:14" x14ac:dyDescent="0.35">
      <c r="A39">
        <v>5.5770600000000004</v>
      </c>
      <c r="H39">
        <v>2.4147799999999999</v>
      </c>
      <c r="I39">
        <v>35</v>
      </c>
      <c r="J39">
        <f t="shared" si="0"/>
        <v>0.7</v>
      </c>
      <c r="K39">
        <f t="shared" si="1"/>
        <v>0.68</v>
      </c>
      <c r="L39">
        <f t="shared" si="4"/>
        <v>0.3</v>
      </c>
      <c r="M39">
        <f t="shared" si="2"/>
        <v>0.39999999999999997</v>
      </c>
      <c r="N39">
        <f t="shared" si="3"/>
        <v>0.38000000000000006</v>
      </c>
    </row>
    <row r="40" spans="1:14" x14ac:dyDescent="0.35">
      <c r="A40">
        <v>6.1454000000000004</v>
      </c>
      <c r="H40">
        <v>2.4552399999999999</v>
      </c>
      <c r="I40">
        <v>36</v>
      </c>
      <c r="J40">
        <f t="shared" si="0"/>
        <v>0.72</v>
      </c>
      <c r="K40">
        <f t="shared" si="1"/>
        <v>0.7</v>
      </c>
      <c r="L40">
        <f t="shared" si="4"/>
        <v>0.3</v>
      </c>
      <c r="M40">
        <f t="shared" si="2"/>
        <v>0.42</v>
      </c>
      <c r="N40">
        <f t="shared" si="3"/>
        <v>0.39999999999999997</v>
      </c>
    </row>
    <row r="41" spans="1:14" x14ac:dyDescent="0.35">
      <c r="A41">
        <v>6.2996100000000004</v>
      </c>
      <c r="H41">
        <v>2.4561500000000001</v>
      </c>
      <c r="I41">
        <v>37</v>
      </c>
      <c r="J41">
        <f t="shared" si="0"/>
        <v>0.74</v>
      </c>
      <c r="K41">
        <f t="shared" si="1"/>
        <v>0.72</v>
      </c>
      <c r="L41">
        <f t="shared" si="4"/>
        <v>0.3</v>
      </c>
      <c r="M41">
        <f t="shared" si="2"/>
        <v>0.44</v>
      </c>
      <c r="N41">
        <f t="shared" si="3"/>
        <v>0.42</v>
      </c>
    </row>
    <row r="42" spans="1:14" x14ac:dyDescent="0.35">
      <c r="A42">
        <v>6.3081500000000004</v>
      </c>
      <c r="H42">
        <v>2.46258</v>
      </c>
      <c r="I42">
        <v>38</v>
      </c>
      <c r="J42">
        <f t="shared" si="0"/>
        <v>0.76</v>
      </c>
      <c r="K42">
        <f t="shared" si="1"/>
        <v>0.74</v>
      </c>
      <c r="L42">
        <f t="shared" si="4"/>
        <v>0.3</v>
      </c>
      <c r="M42">
        <f t="shared" si="2"/>
        <v>0.46</v>
      </c>
      <c r="N42">
        <f t="shared" si="3"/>
        <v>0.44</v>
      </c>
    </row>
    <row r="43" spans="1:14" x14ac:dyDescent="0.35">
      <c r="A43">
        <v>6.6862700000000004</v>
      </c>
      <c r="H43">
        <v>2.5245600000000001</v>
      </c>
      <c r="I43">
        <v>39</v>
      </c>
      <c r="J43">
        <f t="shared" si="0"/>
        <v>0.78</v>
      </c>
      <c r="K43">
        <f t="shared" si="1"/>
        <v>0.76</v>
      </c>
      <c r="L43">
        <f t="shared" si="4"/>
        <v>0.3</v>
      </c>
      <c r="M43">
        <f t="shared" si="2"/>
        <v>0.48000000000000004</v>
      </c>
      <c r="N43">
        <f t="shared" si="3"/>
        <v>0.46</v>
      </c>
    </row>
    <row r="44" spans="1:14" x14ac:dyDescent="0.35">
      <c r="A44">
        <v>7.05016</v>
      </c>
      <c r="H44">
        <v>2.65469</v>
      </c>
      <c r="I44">
        <v>40</v>
      </c>
      <c r="J44">
        <f t="shared" si="0"/>
        <v>0.8</v>
      </c>
      <c r="K44">
        <f t="shared" si="1"/>
        <v>0.78</v>
      </c>
      <c r="L44">
        <f t="shared" si="4"/>
        <v>0.3</v>
      </c>
      <c r="M44">
        <f t="shared" si="2"/>
        <v>0.5</v>
      </c>
      <c r="N44">
        <f t="shared" si="3"/>
        <v>0.48000000000000004</v>
      </c>
    </row>
    <row r="45" spans="1:14" x14ac:dyDescent="0.35">
      <c r="A45">
        <v>7.3078500000000002</v>
      </c>
      <c r="H45">
        <v>2.6832699999999998</v>
      </c>
      <c r="I45">
        <v>41</v>
      </c>
      <c r="J45">
        <f t="shared" si="0"/>
        <v>0.82</v>
      </c>
      <c r="K45">
        <f t="shared" si="1"/>
        <v>0.8</v>
      </c>
      <c r="L45">
        <f t="shared" si="4"/>
        <v>0.3</v>
      </c>
      <c r="M45">
        <f t="shared" si="2"/>
        <v>0.52</v>
      </c>
      <c r="N45">
        <f t="shared" si="3"/>
        <v>0.5</v>
      </c>
    </row>
    <row r="46" spans="1:14" x14ac:dyDescent="0.35">
      <c r="A46">
        <v>7.3238899999999996</v>
      </c>
      <c r="H46">
        <v>2.69475</v>
      </c>
      <c r="I46">
        <v>42</v>
      </c>
      <c r="J46">
        <f t="shared" si="0"/>
        <v>0.84</v>
      </c>
      <c r="K46">
        <f t="shared" si="1"/>
        <v>0.82</v>
      </c>
      <c r="L46">
        <f t="shared" si="4"/>
        <v>0.3</v>
      </c>
      <c r="M46">
        <f t="shared" si="2"/>
        <v>0.54</v>
      </c>
      <c r="N46">
        <f t="shared" si="3"/>
        <v>0.52</v>
      </c>
    </row>
    <row r="47" spans="1:14" x14ac:dyDescent="0.35">
      <c r="A47">
        <v>7.6174799999999996</v>
      </c>
      <c r="H47">
        <v>2.72661</v>
      </c>
      <c r="I47">
        <v>43</v>
      </c>
      <c r="J47">
        <f t="shared" si="0"/>
        <v>0.86</v>
      </c>
      <c r="K47">
        <f t="shared" si="1"/>
        <v>0.84</v>
      </c>
      <c r="L47">
        <f t="shared" si="4"/>
        <v>0.32</v>
      </c>
      <c r="M47">
        <f t="shared" si="2"/>
        <v>0.54</v>
      </c>
      <c r="N47">
        <f t="shared" si="3"/>
        <v>0.52</v>
      </c>
    </row>
    <row r="48" spans="1:14" x14ac:dyDescent="0.35">
      <c r="A48">
        <v>8.4246800000000004</v>
      </c>
      <c r="H48">
        <v>2.7359800000000001</v>
      </c>
      <c r="I48">
        <v>44</v>
      </c>
      <c r="J48">
        <f t="shared" si="0"/>
        <v>0.88</v>
      </c>
      <c r="K48">
        <f t="shared" si="1"/>
        <v>0.86</v>
      </c>
      <c r="L48">
        <f t="shared" si="4"/>
        <v>0.32</v>
      </c>
      <c r="M48">
        <f t="shared" si="2"/>
        <v>0.56000000000000005</v>
      </c>
      <c r="N48">
        <f t="shared" si="3"/>
        <v>0.54</v>
      </c>
    </row>
    <row r="49" spans="1:14" x14ac:dyDescent="0.35">
      <c r="A49">
        <v>8.7911699999999993</v>
      </c>
      <c r="H49">
        <v>2.7911600000000001</v>
      </c>
      <c r="I49">
        <v>45</v>
      </c>
      <c r="J49">
        <f t="shared" si="0"/>
        <v>0.9</v>
      </c>
      <c r="K49">
        <f t="shared" si="1"/>
        <v>0.88</v>
      </c>
      <c r="L49">
        <f t="shared" si="4"/>
        <v>0.38</v>
      </c>
      <c r="M49">
        <f t="shared" si="2"/>
        <v>0.52</v>
      </c>
      <c r="N49">
        <f t="shared" si="3"/>
        <v>0.5</v>
      </c>
    </row>
    <row r="50" spans="1:14" x14ac:dyDescent="0.35">
      <c r="A50">
        <v>9.3262300000000007</v>
      </c>
      <c r="H50">
        <v>2.80681</v>
      </c>
      <c r="I50">
        <v>46</v>
      </c>
      <c r="J50">
        <f t="shared" si="0"/>
        <v>0.92</v>
      </c>
      <c r="K50">
        <f t="shared" si="1"/>
        <v>0.9</v>
      </c>
      <c r="L50">
        <f t="shared" si="4"/>
        <v>0.38</v>
      </c>
      <c r="M50">
        <f t="shared" si="2"/>
        <v>0.54</v>
      </c>
      <c r="N50">
        <f t="shared" si="3"/>
        <v>0.52</v>
      </c>
    </row>
    <row r="51" spans="1:14" x14ac:dyDescent="0.35">
      <c r="A51">
        <v>9.4604800000000004</v>
      </c>
      <c r="H51">
        <v>2.8380100000000001</v>
      </c>
      <c r="I51">
        <v>47</v>
      </c>
      <c r="J51">
        <f t="shared" si="0"/>
        <v>0.94</v>
      </c>
      <c r="K51">
        <f t="shared" si="1"/>
        <v>0.92</v>
      </c>
      <c r="L51">
        <f t="shared" si="4"/>
        <v>0.38</v>
      </c>
      <c r="M51">
        <f t="shared" si="2"/>
        <v>0.55999999999999994</v>
      </c>
      <c r="N51">
        <f t="shared" si="3"/>
        <v>0.54</v>
      </c>
    </row>
    <row r="52" spans="1:14" x14ac:dyDescent="0.35">
      <c r="A52">
        <v>10.263999999999999</v>
      </c>
      <c r="H52">
        <v>2.8650799999999998</v>
      </c>
      <c r="I52">
        <v>48</v>
      </c>
      <c r="J52">
        <f t="shared" si="0"/>
        <v>0.96</v>
      </c>
      <c r="K52">
        <f t="shared" si="1"/>
        <v>0.94</v>
      </c>
      <c r="L52">
        <f t="shared" si="4"/>
        <v>0.42</v>
      </c>
      <c r="M52">
        <f t="shared" si="2"/>
        <v>0.54</v>
      </c>
      <c r="N52">
        <f t="shared" si="3"/>
        <v>0.52</v>
      </c>
    </row>
    <row r="53" spans="1:14" x14ac:dyDescent="0.35">
      <c r="A53">
        <v>10.639849999999999</v>
      </c>
      <c r="H53">
        <v>2.9084699999999999</v>
      </c>
      <c r="I53">
        <v>49</v>
      </c>
      <c r="J53">
        <f t="shared" si="0"/>
        <v>0.98</v>
      </c>
      <c r="K53">
        <f t="shared" si="1"/>
        <v>0.96</v>
      </c>
      <c r="L53">
        <f t="shared" si="4"/>
        <v>0.42</v>
      </c>
      <c r="M53">
        <f t="shared" si="2"/>
        <v>0.56000000000000005</v>
      </c>
      <c r="N53">
        <f t="shared" si="3"/>
        <v>0.54</v>
      </c>
    </row>
    <row r="54" spans="1:14" x14ac:dyDescent="0.35">
      <c r="A54">
        <v>12.2189</v>
      </c>
      <c r="H54">
        <v>2.9272100000000001</v>
      </c>
      <c r="I54">
        <v>50</v>
      </c>
      <c r="J54">
        <f t="shared" si="0"/>
        <v>1</v>
      </c>
      <c r="K54">
        <f t="shared" si="1"/>
        <v>0.98</v>
      </c>
      <c r="L54">
        <f t="shared" si="4"/>
        <v>0.42</v>
      </c>
      <c r="M54">
        <f t="shared" si="2"/>
        <v>0.58000000000000007</v>
      </c>
      <c r="N54">
        <f t="shared" si="3"/>
        <v>0.56000000000000005</v>
      </c>
    </row>
    <row r="56" spans="1:14" x14ac:dyDescent="0.35">
      <c r="M56">
        <f>MAX(M5:M54)</f>
        <v>0.58000000000000007</v>
      </c>
      <c r="N56">
        <f>MAX(N5:N54)</f>
        <v>0.56000000000000005</v>
      </c>
    </row>
  </sheetData>
  <sortState xmlns:xlrd2="http://schemas.microsoft.com/office/spreadsheetml/2017/richdata2" ref="H5:H54">
    <sortCondition ref="H2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4"/>
  <sheetViews>
    <sheetView zoomScale="67" workbookViewId="0">
      <selection activeCell="N9" sqref="N9"/>
    </sheetView>
  </sheetViews>
  <sheetFormatPr defaultRowHeight="14.5" x14ac:dyDescent="0.35"/>
  <cols>
    <col min="1" max="1" width="15" customWidth="1"/>
    <col min="13" max="13" width="12.26953125" customWidth="1"/>
  </cols>
  <sheetData>
    <row r="1" spans="1:19" x14ac:dyDescent="0.35">
      <c r="A1" s="11" t="s">
        <v>62</v>
      </c>
      <c r="E1" t="s">
        <v>95</v>
      </c>
    </row>
    <row r="2" spans="1:19" ht="52.5" customHeight="1" x14ac:dyDescent="0.35">
      <c r="M2" s="9" t="s">
        <v>71</v>
      </c>
    </row>
    <row r="3" spans="1:19" ht="36.5" customHeight="1" x14ac:dyDescent="0.35">
      <c r="A3" s="9" t="s">
        <v>64</v>
      </c>
      <c r="B3" s="9" t="s">
        <v>65</v>
      </c>
      <c r="C3" t="s">
        <v>35</v>
      </c>
      <c r="E3" t="s">
        <v>66</v>
      </c>
      <c r="F3">
        <f>SUMIF(B4:B103,1,C4:C103)</f>
        <v>1850</v>
      </c>
      <c r="I3" t="s">
        <v>68</v>
      </c>
      <c r="J3" t="s">
        <v>69</v>
      </c>
      <c r="M3" t="s">
        <v>72</v>
      </c>
      <c r="N3" t="s">
        <v>88</v>
      </c>
      <c r="O3" t="s">
        <v>90</v>
      </c>
      <c r="P3" t="s">
        <v>91</v>
      </c>
      <c r="Q3" t="s">
        <v>92</v>
      </c>
      <c r="R3" t="s">
        <v>89</v>
      </c>
      <c r="S3" t="s">
        <v>93</v>
      </c>
    </row>
    <row r="4" spans="1:19" x14ac:dyDescent="0.35">
      <c r="A4">
        <v>-1.51603</v>
      </c>
      <c r="B4">
        <v>2</v>
      </c>
      <c r="C4">
        <v>1</v>
      </c>
      <c r="E4" t="s">
        <v>67</v>
      </c>
      <c r="F4">
        <f>SUMIF(B4:B103,2,C4:C103)</f>
        <v>3200</v>
      </c>
      <c r="I4">
        <f>F6*F7+F6*(F6+1)/2-F3</f>
        <v>1925</v>
      </c>
      <c r="J4">
        <f>F6*F7+F7*(F7+1)/2-F4</f>
        <v>575</v>
      </c>
      <c r="M4">
        <f>MIN(I4:J4)</f>
        <v>575</v>
      </c>
      <c r="N4">
        <f>_xlfn.NORM.S.INV(1-F9/2)</f>
        <v>1.6448536269514715</v>
      </c>
      <c r="O4">
        <f>0.5*F6*F7</f>
        <v>1250</v>
      </c>
      <c r="P4">
        <f>(F6*F7/12)*(F6+F7-1)</f>
        <v>20625</v>
      </c>
      <c r="Q4">
        <f>(M4-O4)/SQRT(P4)</f>
        <v>-4.7000967108038409</v>
      </c>
      <c r="R4">
        <f>ABS(Q4)</f>
        <v>4.7000967108038409</v>
      </c>
      <c r="S4" t="b">
        <f>IF(R4&lt;N4,TRUE,FALSE)</f>
        <v>0</v>
      </c>
    </row>
    <row r="5" spans="1:19" x14ac:dyDescent="0.35">
      <c r="A5">
        <v>0.29131499999999999</v>
      </c>
      <c r="B5">
        <v>2</v>
      </c>
      <c r="C5">
        <v>2</v>
      </c>
      <c r="F5">
        <f>SUM(F3:F4)</f>
        <v>5050</v>
      </c>
    </row>
    <row r="6" spans="1:19" x14ac:dyDescent="0.35">
      <c r="A6">
        <v>0.29575800000000002</v>
      </c>
      <c r="B6">
        <v>2</v>
      </c>
      <c r="C6">
        <v>3</v>
      </c>
      <c r="E6" t="s">
        <v>54</v>
      </c>
      <c r="F6">
        <v>50</v>
      </c>
      <c r="I6" t="s">
        <v>70</v>
      </c>
    </row>
    <row r="7" spans="1:19" x14ac:dyDescent="0.35">
      <c r="A7">
        <v>0.57628599999999996</v>
      </c>
      <c r="B7">
        <v>2</v>
      </c>
      <c r="C7">
        <v>4</v>
      </c>
      <c r="E7" t="s">
        <v>57</v>
      </c>
      <c r="F7">
        <v>50</v>
      </c>
      <c r="N7" t="s">
        <v>33</v>
      </c>
    </row>
    <row r="8" spans="1:19" x14ac:dyDescent="0.35">
      <c r="A8">
        <v>0.73295500000000002</v>
      </c>
      <c r="B8">
        <v>2</v>
      </c>
      <c r="C8">
        <v>5</v>
      </c>
      <c r="N8" t="s">
        <v>94</v>
      </c>
    </row>
    <row r="9" spans="1:19" x14ac:dyDescent="0.35">
      <c r="A9">
        <v>1.0218100000000001</v>
      </c>
      <c r="B9">
        <v>1</v>
      </c>
      <c r="C9">
        <v>6</v>
      </c>
      <c r="E9" t="s">
        <v>43</v>
      </c>
      <c r="F9">
        <v>0.1</v>
      </c>
      <c r="I9">
        <f>I4+J4</f>
        <v>2500</v>
      </c>
      <c r="J9">
        <f>F6*F7</f>
        <v>2500</v>
      </c>
    </row>
    <row r="10" spans="1:19" x14ac:dyDescent="0.35">
      <c r="A10">
        <v>1.12967</v>
      </c>
      <c r="B10">
        <v>2</v>
      </c>
      <c r="C10">
        <v>7</v>
      </c>
    </row>
    <row r="11" spans="1:19" x14ac:dyDescent="0.35">
      <c r="A11">
        <v>1.1330499999999999</v>
      </c>
      <c r="B11">
        <v>2</v>
      </c>
      <c r="C11">
        <v>8</v>
      </c>
    </row>
    <row r="12" spans="1:19" x14ac:dyDescent="0.35">
      <c r="A12">
        <v>1.13697</v>
      </c>
      <c r="B12">
        <v>2</v>
      </c>
      <c r="C12">
        <v>9</v>
      </c>
    </row>
    <row r="13" spans="1:19" x14ac:dyDescent="0.35">
      <c r="A13">
        <v>1.18757</v>
      </c>
      <c r="B13">
        <v>1</v>
      </c>
      <c r="C13">
        <v>10</v>
      </c>
    </row>
    <row r="14" spans="1:19" x14ac:dyDescent="0.35">
      <c r="A14">
        <v>1.22424</v>
      </c>
      <c r="B14">
        <v>1</v>
      </c>
      <c r="C14">
        <v>11</v>
      </c>
    </row>
    <row r="15" spans="1:19" x14ac:dyDescent="0.35">
      <c r="A15">
        <v>1.23054</v>
      </c>
      <c r="B15">
        <v>1</v>
      </c>
      <c r="C15">
        <v>12</v>
      </c>
    </row>
    <row r="16" spans="1:19" x14ac:dyDescent="0.35">
      <c r="A16">
        <v>1.2317800000000001</v>
      </c>
      <c r="B16">
        <v>1</v>
      </c>
      <c r="C16">
        <v>13</v>
      </c>
    </row>
    <row r="17" spans="1:3" x14ac:dyDescent="0.35">
      <c r="A17">
        <v>1.2373099999999999</v>
      </c>
      <c r="B17">
        <v>1</v>
      </c>
      <c r="C17">
        <v>14</v>
      </c>
    </row>
    <row r="18" spans="1:3" x14ac:dyDescent="0.35">
      <c r="A18">
        <v>1.2444299999999999</v>
      </c>
      <c r="B18">
        <v>1</v>
      </c>
      <c r="C18">
        <v>15</v>
      </c>
    </row>
    <row r="19" spans="1:3" x14ac:dyDescent="0.35">
      <c r="A19">
        <v>1.26769</v>
      </c>
      <c r="B19">
        <v>1</v>
      </c>
      <c r="C19">
        <v>16</v>
      </c>
    </row>
    <row r="20" spans="1:3" x14ac:dyDescent="0.35">
      <c r="A20">
        <v>1.29125</v>
      </c>
      <c r="B20">
        <v>1</v>
      </c>
      <c r="C20">
        <v>17</v>
      </c>
    </row>
    <row r="21" spans="1:3" x14ac:dyDescent="0.35">
      <c r="A21">
        <v>1.2929900000000001</v>
      </c>
      <c r="B21">
        <v>1</v>
      </c>
      <c r="C21">
        <v>18</v>
      </c>
    </row>
    <row r="22" spans="1:3" x14ac:dyDescent="0.35">
      <c r="A22">
        <v>1.3166599999999999</v>
      </c>
      <c r="B22">
        <v>1</v>
      </c>
      <c r="C22">
        <v>19</v>
      </c>
    </row>
    <row r="23" spans="1:3" x14ac:dyDescent="0.35">
      <c r="A23">
        <v>1.3441099999999999</v>
      </c>
      <c r="B23">
        <v>1</v>
      </c>
      <c r="C23">
        <v>20</v>
      </c>
    </row>
    <row r="24" spans="1:3" x14ac:dyDescent="0.35">
      <c r="A24">
        <v>1.3559600000000001</v>
      </c>
      <c r="B24">
        <v>1</v>
      </c>
      <c r="C24">
        <v>21</v>
      </c>
    </row>
    <row r="25" spans="1:3" x14ac:dyDescent="0.35">
      <c r="A25">
        <v>1.35772</v>
      </c>
      <c r="B25">
        <v>1</v>
      </c>
      <c r="C25">
        <v>22</v>
      </c>
    </row>
    <row r="26" spans="1:3" x14ac:dyDescent="0.35">
      <c r="A26">
        <v>1.37456</v>
      </c>
      <c r="B26">
        <v>1</v>
      </c>
      <c r="C26">
        <v>23</v>
      </c>
    </row>
    <row r="27" spans="1:3" x14ac:dyDescent="0.35">
      <c r="A27">
        <v>1.4418800000000001</v>
      </c>
      <c r="B27">
        <v>1</v>
      </c>
      <c r="C27">
        <v>24</v>
      </c>
    </row>
    <row r="28" spans="1:3" x14ac:dyDescent="0.35">
      <c r="A28">
        <v>1.45451</v>
      </c>
      <c r="B28">
        <v>1</v>
      </c>
      <c r="C28">
        <v>25</v>
      </c>
    </row>
    <row r="29" spans="1:3" x14ac:dyDescent="0.35">
      <c r="A29">
        <v>1.5619799999999999</v>
      </c>
      <c r="B29">
        <v>1</v>
      </c>
      <c r="C29">
        <v>26</v>
      </c>
    </row>
    <row r="30" spans="1:3" x14ac:dyDescent="0.35">
      <c r="A30">
        <v>1.62961</v>
      </c>
      <c r="B30">
        <v>1</v>
      </c>
      <c r="C30">
        <v>27</v>
      </c>
    </row>
    <row r="31" spans="1:3" x14ac:dyDescent="0.35">
      <c r="A31">
        <v>1.7641899999999999</v>
      </c>
      <c r="B31">
        <v>2</v>
      </c>
      <c r="C31">
        <v>28</v>
      </c>
    </row>
    <row r="32" spans="1:3" x14ac:dyDescent="0.35">
      <c r="A32">
        <v>1.7806299999999999</v>
      </c>
      <c r="B32">
        <v>1</v>
      </c>
      <c r="C32">
        <v>29</v>
      </c>
    </row>
    <row r="33" spans="1:3" x14ac:dyDescent="0.35">
      <c r="A33">
        <v>1.7948599999999999</v>
      </c>
      <c r="B33">
        <v>1</v>
      </c>
      <c r="C33">
        <v>30</v>
      </c>
    </row>
    <row r="34" spans="1:3" x14ac:dyDescent="0.35">
      <c r="A34">
        <v>1.82836</v>
      </c>
      <c r="B34">
        <v>1</v>
      </c>
      <c r="C34">
        <v>31</v>
      </c>
    </row>
    <row r="35" spans="1:3" x14ac:dyDescent="0.35">
      <c r="A35">
        <v>1.8548500000000001</v>
      </c>
      <c r="B35">
        <v>1</v>
      </c>
      <c r="C35">
        <v>32</v>
      </c>
    </row>
    <row r="36" spans="1:3" x14ac:dyDescent="0.35">
      <c r="A36">
        <v>1.88008</v>
      </c>
      <c r="B36">
        <v>1</v>
      </c>
      <c r="C36">
        <v>33</v>
      </c>
    </row>
    <row r="37" spans="1:3" x14ac:dyDescent="0.35">
      <c r="A37">
        <v>1.9734700000000001</v>
      </c>
      <c r="B37">
        <v>1</v>
      </c>
      <c r="C37">
        <v>34</v>
      </c>
    </row>
    <row r="38" spans="1:3" x14ac:dyDescent="0.35">
      <c r="A38">
        <v>2.0126400000000002</v>
      </c>
      <c r="B38">
        <v>1</v>
      </c>
      <c r="C38">
        <v>35</v>
      </c>
    </row>
    <row r="39" spans="1:3" x14ac:dyDescent="0.35">
      <c r="A39">
        <v>2.0169899999999998</v>
      </c>
      <c r="B39">
        <v>2</v>
      </c>
      <c r="C39">
        <v>36</v>
      </c>
    </row>
    <row r="40" spans="1:3" x14ac:dyDescent="0.35">
      <c r="A40">
        <v>2.0194589999999999</v>
      </c>
      <c r="B40">
        <v>1</v>
      </c>
      <c r="C40">
        <v>37</v>
      </c>
    </row>
    <row r="41" spans="1:3" x14ac:dyDescent="0.35">
      <c r="A41">
        <v>2.0230700000000001</v>
      </c>
      <c r="B41">
        <v>2</v>
      </c>
      <c r="C41">
        <v>38</v>
      </c>
    </row>
    <row r="42" spans="1:3" x14ac:dyDescent="0.35">
      <c r="A42">
        <v>2.03674</v>
      </c>
      <c r="B42">
        <v>1</v>
      </c>
      <c r="C42">
        <v>39</v>
      </c>
    </row>
    <row r="43" spans="1:3" x14ac:dyDescent="0.35">
      <c r="A43">
        <v>2.0678200000000002</v>
      </c>
      <c r="B43">
        <v>1</v>
      </c>
      <c r="C43">
        <v>40</v>
      </c>
    </row>
    <row r="44" spans="1:3" x14ac:dyDescent="0.35">
      <c r="A44">
        <v>2.0776699999999999</v>
      </c>
      <c r="B44">
        <v>1</v>
      </c>
      <c r="C44">
        <v>41</v>
      </c>
    </row>
    <row r="45" spans="1:3" x14ac:dyDescent="0.35">
      <c r="A45">
        <v>2.08955</v>
      </c>
      <c r="B45">
        <v>1</v>
      </c>
      <c r="C45">
        <v>42</v>
      </c>
    </row>
    <row r="46" spans="1:3" x14ac:dyDescent="0.35">
      <c r="A46">
        <v>2.1318899999999998</v>
      </c>
      <c r="B46">
        <v>1</v>
      </c>
      <c r="C46">
        <v>43</v>
      </c>
    </row>
    <row r="47" spans="1:3" x14ac:dyDescent="0.35">
      <c r="A47">
        <v>2.1659299999999999</v>
      </c>
      <c r="B47">
        <v>2</v>
      </c>
      <c r="C47">
        <v>44</v>
      </c>
    </row>
    <row r="48" spans="1:3" x14ac:dyDescent="0.35">
      <c r="A48">
        <v>2.1817000000000002</v>
      </c>
      <c r="B48">
        <v>2</v>
      </c>
      <c r="C48">
        <v>45</v>
      </c>
    </row>
    <row r="49" spans="1:3" x14ac:dyDescent="0.35">
      <c r="A49">
        <v>2.24743</v>
      </c>
      <c r="B49">
        <v>1</v>
      </c>
      <c r="C49">
        <v>46</v>
      </c>
    </row>
    <row r="50" spans="1:3" x14ac:dyDescent="0.35">
      <c r="A50">
        <v>2.2817099999999999</v>
      </c>
      <c r="B50">
        <v>1</v>
      </c>
      <c r="C50">
        <v>47</v>
      </c>
    </row>
    <row r="51" spans="1:3" x14ac:dyDescent="0.35">
      <c r="A51">
        <v>2.3341400000000001</v>
      </c>
      <c r="B51">
        <v>2</v>
      </c>
      <c r="C51">
        <v>48</v>
      </c>
    </row>
    <row r="52" spans="1:3" x14ac:dyDescent="0.35">
      <c r="A52">
        <v>2.3625500000000001</v>
      </c>
      <c r="B52">
        <v>2</v>
      </c>
      <c r="C52">
        <v>49</v>
      </c>
    </row>
    <row r="53" spans="1:3" x14ac:dyDescent="0.35">
      <c r="A53">
        <v>2.4147799999999999</v>
      </c>
      <c r="B53">
        <v>1</v>
      </c>
      <c r="C53">
        <v>50</v>
      </c>
    </row>
    <row r="54" spans="1:3" x14ac:dyDescent="0.35">
      <c r="A54">
        <v>2.4552399999999999</v>
      </c>
      <c r="B54">
        <v>1</v>
      </c>
      <c r="C54">
        <v>51</v>
      </c>
    </row>
    <row r="55" spans="1:3" x14ac:dyDescent="0.35">
      <c r="A55">
        <v>2.4561500000000001</v>
      </c>
      <c r="B55">
        <v>1</v>
      </c>
      <c r="C55">
        <v>52</v>
      </c>
    </row>
    <row r="56" spans="1:3" x14ac:dyDescent="0.35">
      <c r="A56">
        <v>2.46258</v>
      </c>
      <c r="B56">
        <v>1</v>
      </c>
      <c r="C56">
        <v>53</v>
      </c>
    </row>
    <row r="57" spans="1:3" x14ac:dyDescent="0.35">
      <c r="A57">
        <v>2.5245600000000001</v>
      </c>
      <c r="B57">
        <v>1</v>
      </c>
      <c r="C57">
        <v>54</v>
      </c>
    </row>
    <row r="58" spans="1:3" x14ac:dyDescent="0.35">
      <c r="A58">
        <v>2.65469</v>
      </c>
      <c r="B58">
        <v>1</v>
      </c>
      <c r="C58">
        <v>55</v>
      </c>
    </row>
    <row r="59" spans="1:3" x14ac:dyDescent="0.35">
      <c r="A59">
        <v>2.6832699999999998</v>
      </c>
      <c r="B59">
        <v>1</v>
      </c>
      <c r="C59">
        <v>56</v>
      </c>
    </row>
    <row r="60" spans="1:3" x14ac:dyDescent="0.35">
      <c r="A60">
        <v>2.69475</v>
      </c>
      <c r="B60">
        <v>1</v>
      </c>
      <c r="C60">
        <v>57</v>
      </c>
    </row>
    <row r="61" spans="1:3" x14ac:dyDescent="0.35">
      <c r="A61">
        <v>2.7207699999999999</v>
      </c>
      <c r="B61">
        <v>2</v>
      </c>
      <c r="C61">
        <v>58</v>
      </c>
    </row>
    <row r="62" spans="1:3" x14ac:dyDescent="0.35">
      <c r="A62">
        <v>2.72661</v>
      </c>
      <c r="B62">
        <v>1</v>
      </c>
      <c r="C62">
        <v>59</v>
      </c>
    </row>
    <row r="63" spans="1:3" x14ac:dyDescent="0.35">
      <c r="A63">
        <v>2.7359800000000001</v>
      </c>
      <c r="B63">
        <v>1</v>
      </c>
      <c r="C63">
        <v>60</v>
      </c>
    </row>
    <row r="64" spans="1:3" x14ac:dyDescent="0.35">
      <c r="A64">
        <v>2.7465700000000002</v>
      </c>
      <c r="B64">
        <v>2</v>
      </c>
      <c r="C64">
        <v>61</v>
      </c>
    </row>
    <row r="65" spans="1:3" x14ac:dyDescent="0.35">
      <c r="A65">
        <v>2.7725499999999998</v>
      </c>
      <c r="B65">
        <v>2</v>
      </c>
      <c r="C65">
        <v>62</v>
      </c>
    </row>
    <row r="66" spans="1:3" x14ac:dyDescent="0.35">
      <c r="A66">
        <v>2.7852100000000002</v>
      </c>
      <c r="B66">
        <v>2</v>
      </c>
      <c r="C66">
        <v>63</v>
      </c>
    </row>
    <row r="67" spans="1:3" x14ac:dyDescent="0.35">
      <c r="A67">
        <v>2.7911600000000001</v>
      </c>
      <c r="B67">
        <v>1</v>
      </c>
      <c r="C67">
        <v>64</v>
      </c>
    </row>
    <row r="68" spans="1:3" x14ac:dyDescent="0.35">
      <c r="A68">
        <v>2.80681</v>
      </c>
      <c r="B68">
        <v>1</v>
      </c>
      <c r="C68">
        <v>65</v>
      </c>
    </row>
    <row r="69" spans="1:3" x14ac:dyDescent="0.35">
      <c r="A69">
        <v>2.8380100000000001</v>
      </c>
      <c r="B69">
        <v>1</v>
      </c>
      <c r="C69">
        <v>66</v>
      </c>
    </row>
    <row r="70" spans="1:3" x14ac:dyDescent="0.35">
      <c r="A70">
        <v>2.8486600000000002</v>
      </c>
      <c r="B70">
        <v>2</v>
      </c>
      <c r="C70">
        <v>67</v>
      </c>
    </row>
    <row r="71" spans="1:3" x14ac:dyDescent="0.35">
      <c r="A71">
        <v>2.8535900000000001</v>
      </c>
      <c r="B71">
        <v>2</v>
      </c>
      <c r="C71">
        <v>68</v>
      </c>
    </row>
    <row r="72" spans="1:3" x14ac:dyDescent="0.35">
      <c r="A72">
        <v>2.8650799999999998</v>
      </c>
      <c r="B72">
        <v>1</v>
      </c>
      <c r="C72">
        <v>69</v>
      </c>
    </row>
    <row r="73" spans="1:3" x14ac:dyDescent="0.35">
      <c r="A73">
        <v>2.9084699999999999</v>
      </c>
      <c r="B73">
        <v>1</v>
      </c>
      <c r="C73">
        <v>70</v>
      </c>
    </row>
    <row r="74" spans="1:3" x14ac:dyDescent="0.35">
      <c r="A74">
        <v>2.9272100000000001</v>
      </c>
      <c r="B74">
        <v>1</v>
      </c>
      <c r="C74">
        <v>71</v>
      </c>
    </row>
    <row r="75" spans="1:3" x14ac:dyDescent="0.35">
      <c r="A75">
        <v>2.9275000000000002</v>
      </c>
      <c r="B75">
        <v>2</v>
      </c>
      <c r="C75">
        <v>72</v>
      </c>
    </row>
    <row r="76" spans="1:3" x14ac:dyDescent="0.35">
      <c r="A76">
        <v>3.2783500000000001</v>
      </c>
      <c r="B76">
        <v>2</v>
      </c>
      <c r="C76">
        <v>73</v>
      </c>
    </row>
    <row r="77" spans="1:3" x14ac:dyDescent="0.35">
      <c r="A77">
        <v>4.0541200000000002</v>
      </c>
      <c r="B77">
        <v>2</v>
      </c>
      <c r="C77">
        <v>74</v>
      </c>
    </row>
    <row r="78" spans="1:3" x14ac:dyDescent="0.35">
      <c r="A78">
        <v>4.09626</v>
      </c>
      <c r="B78">
        <v>2</v>
      </c>
      <c r="C78">
        <v>75</v>
      </c>
    </row>
    <row r="79" spans="1:3" x14ac:dyDescent="0.35">
      <c r="A79">
        <v>4.67936</v>
      </c>
      <c r="B79">
        <v>2</v>
      </c>
      <c r="C79">
        <v>76</v>
      </c>
    </row>
    <row r="80" spans="1:3" x14ac:dyDescent="0.35">
      <c r="A80">
        <v>4.7182700000000004</v>
      </c>
      <c r="B80">
        <v>2</v>
      </c>
      <c r="C80">
        <v>77</v>
      </c>
    </row>
    <row r="81" spans="1:3" x14ac:dyDescent="0.35">
      <c r="A81">
        <v>4.7862299999999998</v>
      </c>
      <c r="B81">
        <v>2</v>
      </c>
      <c r="C81">
        <v>78</v>
      </c>
    </row>
    <row r="82" spans="1:3" x14ac:dyDescent="0.35">
      <c r="A82">
        <v>4.7862799999999996</v>
      </c>
      <c r="B82">
        <v>2</v>
      </c>
      <c r="C82">
        <v>79</v>
      </c>
    </row>
    <row r="83" spans="1:3" x14ac:dyDescent="0.35">
      <c r="A83">
        <v>5.0236499999999999</v>
      </c>
      <c r="B83">
        <v>2</v>
      </c>
      <c r="C83">
        <v>80</v>
      </c>
    </row>
    <row r="84" spans="1:3" x14ac:dyDescent="0.35">
      <c r="A84">
        <v>5.0792099999999998</v>
      </c>
      <c r="B84">
        <v>2</v>
      </c>
      <c r="C84">
        <v>81</v>
      </c>
    </row>
    <row r="85" spans="1:3" x14ac:dyDescent="0.35">
      <c r="A85">
        <v>5.1363300000000001</v>
      </c>
      <c r="B85">
        <v>2</v>
      </c>
      <c r="C85">
        <v>82</v>
      </c>
    </row>
    <row r="86" spans="1:3" x14ac:dyDescent="0.35">
      <c r="A86">
        <v>5.1470700000000003</v>
      </c>
      <c r="B86">
        <v>2</v>
      </c>
      <c r="C86">
        <v>83</v>
      </c>
    </row>
    <row r="87" spans="1:3" x14ac:dyDescent="0.35">
      <c r="A87">
        <v>5.2546600000000003</v>
      </c>
      <c r="B87">
        <v>2</v>
      </c>
      <c r="C87">
        <v>84</v>
      </c>
    </row>
    <row r="88" spans="1:3" x14ac:dyDescent="0.35">
      <c r="A88">
        <v>5.5770600000000004</v>
      </c>
      <c r="B88">
        <v>2</v>
      </c>
      <c r="C88">
        <v>85</v>
      </c>
    </row>
    <row r="89" spans="1:3" x14ac:dyDescent="0.35">
      <c r="A89">
        <v>6.1454000000000004</v>
      </c>
      <c r="B89">
        <v>2</v>
      </c>
      <c r="C89">
        <v>86</v>
      </c>
    </row>
    <row r="90" spans="1:3" x14ac:dyDescent="0.35">
      <c r="A90">
        <v>6.2996100000000004</v>
      </c>
      <c r="B90">
        <v>2</v>
      </c>
      <c r="C90">
        <v>87</v>
      </c>
    </row>
    <row r="91" spans="1:3" x14ac:dyDescent="0.35">
      <c r="A91">
        <v>6.3081500000000004</v>
      </c>
      <c r="B91">
        <v>2</v>
      </c>
      <c r="C91">
        <v>88</v>
      </c>
    </row>
    <row r="92" spans="1:3" x14ac:dyDescent="0.35">
      <c r="A92">
        <v>6.6862700000000004</v>
      </c>
      <c r="B92">
        <v>2</v>
      </c>
      <c r="C92">
        <v>89</v>
      </c>
    </row>
    <row r="93" spans="1:3" x14ac:dyDescent="0.35">
      <c r="A93">
        <v>7.05016</v>
      </c>
      <c r="B93">
        <v>2</v>
      </c>
      <c r="C93">
        <v>90</v>
      </c>
    </row>
    <row r="94" spans="1:3" x14ac:dyDescent="0.35">
      <c r="A94">
        <v>7.3078500000000002</v>
      </c>
      <c r="B94">
        <v>2</v>
      </c>
      <c r="C94">
        <v>91</v>
      </c>
    </row>
    <row r="95" spans="1:3" x14ac:dyDescent="0.35">
      <c r="A95">
        <v>7.3238899999999996</v>
      </c>
      <c r="B95">
        <v>2</v>
      </c>
      <c r="C95">
        <v>92</v>
      </c>
    </row>
    <row r="96" spans="1:3" x14ac:dyDescent="0.35">
      <c r="A96">
        <v>7.6174799999999996</v>
      </c>
      <c r="B96">
        <v>2</v>
      </c>
      <c r="C96">
        <v>93</v>
      </c>
    </row>
    <row r="97" spans="1:3" x14ac:dyDescent="0.35">
      <c r="A97">
        <v>8.4246800000000004</v>
      </c>
      <c r="B97">
        <v>2</v>
      </c>
      <c r="C97">
        <v>94</v>
      </c>
    </row>
    <row r="98" spans="1:3" x14ac:dyDescent="0.35">
      <c r="A98">
        <v>8.7911699999999993</v>
      </c>
      <c r="B98">
        <v>2</v>
      </c>
      <c r="C98">
        <v>95</v>
      </c>
    </row>
    <row r="99" spans="1:3" x14ac:dyDescent="0.35">
      <c r="A99">
        <v>9.3262300000000007</v>
      </c>
      <c r="B99">
        <v>2</v>
      </c>
      <c r="C99">
        <v>96</v>
      </c>
    </row>
    <row r="100" spans="1:3" x14ac:dyDescent="0.35">
      <c r="A100">
        <v>9.4604800000000004</v>
      </c>
      <c r="B100">
        <v>2</v>
      </c>
      <c r="C100">
        <v>97</v>
      </c>
    </row>
    <row r="101" spans="1:3" x14ac:dyDescent="0.35">
      <c r="A101">
        <v>10.263999999999999</v>
      </c>
      <c r="B101">
        <v>2</v>
      </c>
      <c r="C101">
        <v>98</v>
      </c>
    </row>
    <row r="102" spans="1:3" x14ac:dyDescent="0.35">
      <c r="A102">
        <v>10.639849999999999</v>
      </c>
      <c r="B102">
        <v>2</v>
      </c>
      <c r="C102">
        <v>99</v>
      </c>
    </row>
    <row r="103" spans="1:3" x14ac:dyDescent="0.35">
      <c r="A103">
        <v>12.2189</v>
      </c>
      <c r="B103">
        <v>2</v>
      </c>
      <c r="C103">
        <v>100</v>
      </c>
    </row>
    <row r="104" spans="1:3" x14ac:dyDescent="0.35">
      <c r="C104">
        <f>SUM(C4:C103)</f>
        <v>5050</v>
      </c>
    </row>
  </sheetData>
  <sortState xmlns:xlrd2="http://schemas.microsoft.com/office/spreadsheetml/2017/richdata2" ref="A4:B103">
    <sortCondition ref="A4:A103"/>
  </sortState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1"/>
  <sheetViews>
    <sheetView zoomScale="66" zoomScaleNormal="100" workbookViewId="0">
      <selection activeCell="P12" sqref="P12"/>
    </sheetView>
  </sheetViews>
  <sheetFormatPr defaultRowHeight="14.5" x14ac:dyDescent="0.35"/>
  <cols>
    <col min="9" max="9" width="20" customWidth="1"/>
    <col min="21" max="21" width="11.54296875" customWidth="1"/>
    <col min="22" max="22" width="11" customWidth="1"/>
    <col min="23" max="23" width="10.7265625" customWidth="1"/>
    <col min="26" max="26" width="10.7265625" customWidth="1"/>
    <col min="27" max="27" width="11.36328125" customWidth="1"/>
  </cols>
  <sheetData>
    <row r="1" spans="1:28" x14ac:dyDescent="0.35">
      <c r="A1" t="s">
        <v>79</v>
      </c>
      <c r="D1" t="s">
        <v>76</v>
      </c>
      <c r="E1" t="s">
        <v>77</v>
      </c>
      <c r="S1" t="s">
        <v>76</v>
      </c>
      <c r="T1" t="s">
        <v>77</v>
      </c>
      <c r="U1" t="s">
        <v>83</v>
      </c>
      <c r="V1" t="s">
        <v>84</v>
      </c>
      <c r="W1" t="s">
        <v>87</v>
      </c>
    </row>
    <row r="2" spans="1:28" x14ac:dyDescent="0.35">
      <c r="A2">
        <v>1.8548500000000001</v>
      </c>
      <c r="B2">
        <v>5.1363300000000001</v>
      </c>
      <c r="D2">
        <f>_xlfn.RANK.AVG(A2,$A$2:$A$51,1)</f>
        <v>23</v>
      </c>
      <c r="E2">
        <f>_xlfn.RANK.AVG(B2,$B$2:$B$51,1)</f>
        <v>32</v>
      </c>
      <c r="F2">
        <f>D2-E2</f>
        <v>-9</v>
      </c>
      <c r="G2">
        <f>F2^2</f>
        <v>81</v>
      </c>
      <c r="I2" t="s">
        <v>73</v>
      </c>
      <c r="J2">
        <f>CORREL(A2:A51,B2:B51)</f>
        <v>-0.17413566941976999</v>
      </c>
      <c r="S2">
        <v>1</v>
      </c>
      <c r="T2">
        <v>50</v>
      </c>
      <c r="U2">
        <f>COUNTIF(T2:$T$51,"&gt;"&amp;T2)</f>
        <v>0</v>
      </c>
      <c r="V2">
        <f>COUNTIF(T2:$T$51,"&lt;"&amp;T2)</f>
        <v>49</v>
      </c>
      <c r="W2">
        <f>U2-V2</f>
        <v>-49</v>
      </c>
      <c r="X2" t="s">
        <v>85</v>
      </c>
      <c r="Y2" t="s">
        <v>86</v>
      </c>
    </row>
    <row r="3" spans="1:28" ht="15.5" x14ac:dyDescent="0.35">
      <c r="A3">
        <v>2.0194589999999999</v>
      </c>
      <c r="B3">
        <v>6.6862700000000004</v>
      </c>
      <c r="D3">
        <f t="shared" ref="D3:D51" si="0">_xlfn.RANK.AVG(A3,$A$2:$A$51,1)</f>
        <v>27</v>
      </c>
      <c r="E3">
        <f t="shared" ref="E3:E51" si="1">_xlfn.RANK.AVG(B3,$B$2:$B$51,1)</f>
        <v>39</v>
      </c>
      <c r="F3">
        <f t="shared" ref="F3:F51" si="2">D3-E3</f>
        <v>-12</v>
      </c>
      <c r="G3">
        <f t="shared" ref="G3:G51" si="3">F3^2</f>
        <v>144</v>
      </c>
      <c r="S3">
        <v>2</v>
      </c>
      <c r="T3">
        <v>19</v>
      </c>
      <c r="U3">
        <f>COUNTIF(T3:$T$51,"&gt;"&amp;T3)</f>
        <v>30</v>
      </c>
      <c r="V3">
        <f>COUNTIF(T3:$T$51,"&lt;"&amp;T3)</f>
        <v>18</v>
      </c>
      <c r="W3">
        <f t="shared" ref="W3:W51" si="4">U3-V3</f>
        <v>12</v>
      </c>
      <c r="X3">
        <f>SUM(U2:U51)</f>
        <v>571</v>
      </c>
      <c r="Y3">
        <f>SUM(V2:V51)</f>
        <v>654</v>
      </c>
      <c r="AA3" s="12" t="s">
        <v>82</v>
      </c>
    </row>
    <row r="4" spans="1:28" x14ac:dyDescent="0.35">
      <c r="A4">
        <v>2.0776699999999999</v>
      </c>
      <c r="B4">
        <v>0.29131499999999999</v>
      </c>
      <c r="D4">
        <f t="shared" si="0"/>
        <v>30</v>
      </c>
      <c r="E4">
        <f t="shared" si="1"/>
        <v>2</v>
      </c>
      <c r="F4">
        <f t="shared" si="2"/>
        <v>28</v>
      </c>
      <c r="G4">
        <f t="shared" si="3"/>
        <v>784</v>
      </c>
      <c r="I4" t="s">
        <v>74</v>
      </c>
      <c r="M4" t="s">
        <v>75</v>
      </c>
      <c r="S4">
        <v>3</v>
      </c>
      <c r="T4">
        <v>22</v>
      </c>
      <c r="U4">
        <f>COUNTIF(T4:$T$51,"&gt;"&amp;T4)</f>
        <v>27</v>
      </c>
      <c r="V4">
        <f>COUNTIF(T4:$T$51,"&lt;"&amp;T4)</f>
        <v>20</v>
      </c>
      <c r="W4">
        <f t="shared" si="4"/>
        <v>7</v>
      </c>
    </row>
    <row r="5" spans="1:28" x14ac:dyDescent="0.35">
      <c r="A5">
        <v>1.3166599999999999</v>
      </c>
      <c r="B5">
        <v>5.1470700000000003</v>
      </c>
      <c r="D5">
        <f t="shared" si="0"/>
        <v>11</v>
      </c>
      <c r="E5">
        <f t="shared" si="1"/>
        <v>33</v>
      </c>
      <c r="F5">
        <f t="shared" si="2"/>
        <v>-22</v>
      </c>
      <c r="G5">
        <f t="shared" si="3"/>
        <v>484</v>
      </c>
      <c r="S5">
        <v>4</v>
      </c>
      <c r="T5">
        <v>14</v>
      </c>
      <c r="U5">
        <f>COUNTIF(T5:$T$51,"&gt;"&amp;T5)</f>
        <v>33</v>
      </c>
      <c r="V5">
        <f>COUNTIF(T5:$T$51,"&lt;"&amp;T5)</f>
        <v>13</v>
      </c>
      <c r="W5">
        <f t="shared" si="4"/>
        <v>20</v>
      </c>
    </row>
    <row r="6" spans="1:28" x14ac:dyDescent="0.35">
      <c r="A6">
        <v>2.4552399999999999</v>
      </c>
      <c r="B6">
        <v>5.0792099999999998</v>
      </c>
      <c r="D6">
        <f t="shared" si="0"/>
        <v>36</v>
      </c>
      <c r="E6">
        <f t="shared" si="1"/>
        <v>31</v>
      </c>
      <c r="F6">
        <f t="shared" si="2"/>
        <v>5</v>
      </c>
      <c r="G6">
        <f t="shared" si="3"/>
        <v>25</v>
      </c>
      <c r="S6">
        <v>5</v>
      </c>
      <c r="T6">
        <v>15</v>
      </c>
      <c r="U6">
        <f>COUNTIF(T6:$T$51,"&gt;"&amp;T6)</f>
        <v>32</v>
      </c>
      <c r="V6">
        <f>COUNTIF(T6:$T$51,"&lt;"&amp;T6)</f>
        <v>13</v>
      </c>
      <c r="W6">
        <f t="shared" si="4"/>
        <v>19</v>
      </c>
    </row>
    <row r="7" spans="1:28" x14ac:dyDescent="0.35">
      <c r="A7">
        <v>2.0126400000000002</v>
      </c>
      <c r="B7">
        <v>0.57628599999999996</v>
      </c>
      <c r="D7">
        <f t="shared" si="0"/>
        <v>26</v>
      </c>
      <c r="E7">
        <f t="shared" si="1"/>
        <v>4</v>
      </c>
      <c r="F7">
        <f t="shared" si="2"/>
        <v>22</v>
      </c>
      <c r="G7">
        <f t="shared" si="3"/>
        <v>484</v>
      </c>
      <c r="I7" s="13" t="s">
        <v>54</v>
      </c>
      <c r="J7">
        <v>50</v>
      </c>
      <c r="S7">
        <v>6</v>
      </c>
      <c r="T7">
        <v>27</v>
      </c>
      <c r="U7">
        <f>COUNTIF(T7:$T$51,"&gt;"&amp;T7)</f>
        <v>22</v>
      </c>
      <c r="V7">
        <f>COUNTIF(T7:$T$51,"&lt;"&amp;T7)</f>
        <v>22</v>
      </c>
      <c r="W7">
        <f t="shared" si="4"/>
        <v>0</v>
      </c>
    </row>
    <row r="8" spans="1:28" x14ac:dyDescent="0.35">
      <c r="A8">
        <v>2.08955</v>
      </c>
      <c r="B8">
        <v>10.639849999999999</v>
      </c>
      <c r="D8">
        <f t="shared" si="0"/>
        <v>31</v>
      </c>
      <c r="E8">
        <f t="shared" si="1"/>
        <v>49</v>
      </c>
      <c r="F8">
        <f t="shared" si="2"/>
        <v>-18</v>
      </c>
      <c r="G8">
        <f t="shared" si="3"/>
        <v>324</v>
      </c>
      <c r="I8" s="13"/>
      <c r="S8">
        <v>7</v>
      </c>
      <c r="T8">
        <v>47</v>
      </c>
      <c r="U8">
        <f>COUNTIF(T8:$T$51,"&gt;"&amp;T8)</f>
        <v>2</v>
      </c>
      <c r="V8">
        <f>COUNTIF(T8:$T$51,"&lt;"&amp;T8)</f>
        <v>41</v>
      </c>
      <c r="W8">
        <f t="shared" si="4"/>
        <v>-39</v>
      </c>
    </row>
    <row r="9" spans="1:28" x14ac:dyDescent="0.35">
      <c r="A9">
        <v>2.4561500000000001</v>
      </c>
      <c r="B9">
        <v>8.4246800000000004</v>
      </c>
      <c r="D9">
        <f t="shared" si="0"/>
        <v>37</v>
      </c>
      <c r="E9">
        <f t="shared" si="1"/>
        <v>44</v>
      </c>
      <c r="F9">
        <f t="shared" si="2"/>
        <v>-7</v>
      </c>
      <c r="G9">
        <f t="shared" si="3"/>
        <v>49</v>
      </c>
      <c r="S9">
        <v>8</v>
      </c>
      <c r="T9">
        <v>10</v>
      </c>
      <c r="U9">
        <f>COUNTIF(T9:$T$51,"&gt;"&amp;T9)</f>
        <v>33</v>
      </c>
      <c r="V9">
        <f>COUNTIF(T9:$T$51,"&lt;"&amp;T9)</f>
        <v>9</v>
      </c>
      <c r="W9">
        <f t="shared" si="4"/>
        <v>24</v>
      </c>
      <c r="AB9">
        <f>SUM(W2:W51)/(0.5*50*(50-1))</f>
        <v>-6.775510204081632E-2</v>
      </c>
    </row>
    <row r="10" spans="1:28" x14ac:dyDescent="0.35">
      <c r="A10">
        <v>2.72661</v>
      </c>
      <c r="B10">
        <v>2.1817000000000002</v>
      </c>
      <c r="D10">
        <f t="shared" si="0"/>
        <v>43</v>
      </c>
      <c r="E10">
        <f t="shared" si="1"/>
        <v>13</v>
      </c>
      <c r="F10">
        <f t="shared" si="2"/>
        <v>30</v>
      </c>
      <c r="G10">
        <f t="shared" si="3"/>
        <v>900</v>
      </c>
      <c r="J10">
        <f>SUM(G2:G51)</f>
        <v>22212</v>
      </c>
      <c r="S10">
        <v>9</v>
      </c>
      <c r="T10">
        <v>6</v>
      </c>
      <c r="U10">
        <f>COUNTIF(T10:$T$51,"&gt;"&amp;T10)</f>
        <v>36</v>
      </c>
      <c r="V10">
        <f>COUNTIF(T10:$T$51,"&lt;"&amp;T10)</f>
        <v>5</v>
      </c>
      <c r="W10">
        <f t="shared" si="4"/>
        <v>31</v>
      </c>
    </row>
    <row r="11" spans="1:28" x14ac:dyDescent="0.35">
      <c r="A11">
        <v>2.9084699999999999</v>
      </c>
      <c r="B11">
        <v>2.8486600000000002</v>
      </c>
      <c r="D11">
        <f t="shared" si="0"/>
        <v>49</v>
      </c>
      <c r="E11">
        <f t="shared" si="1"/>
        <v>20</v>
      </c>
      <c r="F11">
        <f t="shared" si="2"/>
        <v>29</v>
      </c>
      <c r="G11">
        <f t="shared" si="3"/>
        <v>841</v>
      </c>
      <c r="S11">
        <v>10</v>
      </c>
      <c r="T11">
        <v>9</v>
      </c>
      <c r="U11">
        <f>COUNTIF(T11:$T$51,"&gt;"&amp;T11)</f>
        <v>33</v>
      </c>
      <c r="V11">
        <f>COUNTIF(T11:$T$51,"&lt;"&amp;T11)</f>
        <v>7</v>
      </c>
      <c r="W11">
        <f t="shared" si="4"/>
        <v>26</v>
      </c>
      <c r="AA11" t="s">
        <v>96</v>
      </c>
    </row>
    <row r="12" spans="1:28" x14ac:dyDescent="0.35">
      <c r="A12">
        <v>1.26769</v>
      </c>
      <c r="B12">
        <v>2.0169899999999998</v>
      </c>
      <c r="D12">
        <f t="shared" si="0"/>
        <v>8</v>
      </c>
      <c r="E12">
        <f t="shared" si="1"/>
        <v>10</v>
      </c>
      <c r="F12">
        <f t="shared" si="2"/>
        <v>-2</v>
      </c>
      <c r="G12">
        <f t="shared" si="3"/>
        <v>4</v>
      </c>
      <c r="S12">
        <v>11</v>
      </c>
      <c r="T12">
        <v>33</v>
      </c>
      <c r="U12">
        <f>COUNTIF(T12:$T$51,"&gt;"&amp;T12)</f>
        <v>15</v>
      </c>
      <c r="V12">
        <f>COUNTIF(T12:$T$51,"&lt;"&amp;T12)</f>
        <v>24</v>
      </c>
      <c r="W12">
        <f t="shared" si="4"/>
        <v>-9</v>
      </c>
    </row>
    <row r="13" spans="1:28" x14ac:dyDescent="0.35">
      <c r="A13">
        <v>1.7948599999999999</v>
      </c>
      <c r="B13">
        <v>1.13697</v>
      </c>
      <c r="D13">
        <f t="shared" si="0"/>
        <v>21</v>
      </c>
      <c r="E13">
        <f t="shared" si="1"/>
        <v>8</v>
      </c>
      <c r="F13">
        <f t="shared" si="2"/>
        <v>13</v>
      </c>
      <c r="G13">
        <f t="shared" si="3"/>
        <v>169</v>
      </c>
      <c r="J13">
        <f>1-(6*J10)/(J7*(J7^2-1))</f>
        <v>-6.6602641056422662E-2</v>
      </c>
      <c r="S13">
        <v>12</v>
      </c>
      <c r="T13">
        <v>45</v>
      </c>
      <c r="U13">
        <f>COUNTIF(T13:$T$51,"&gt;"&amp;T13)</f>
        <v>3</v>
      </c>
      <c r="V13">
        <f>COUNTIF(T13:$T$51,"&lt;"&amp;T13)</f>
        <v>35</v>
      </c>
      <c r="W13">
        <f t="shared" si="4"/>
        <v>-32</v>
      </c>
    </row>
    <row r="14" spans="1:28" x14ac:dyDescent="0.35">
      <c r="A14">
        <v>2.46258</v>
      </c>
      <c r="B14">
        <v>5.2546600000000003</v>
      </c>
      <c r="D14">
        <f t="shared" si="0"/>
        <v>38</v>
      </c>
      <c r="E14">
        <f t="shared" si="1"/>
        <v>34</v>
      </c>
      <c r="F14">
        <f t="shared" si="2"/>
        <v>4</v>
      </c>
      <c r="G14">
        <f t="shared" si="3"/>
        <v>16</v>
      </c>
      <c r="J14">
        <f>ABS(J13)</f>
        <v>6.6602641056422662E-2</v>
      </c>
      <c r="S14">
        <v>13</v>
      </c>
      <c r="T14">
        <v>26</v>
      </c>
      <c r="U14">
        <f>COUNTIF(T14:$T$51,"&gt;"&amp;T14)</f>
        <v>19</v>
      </c>
      <c r="V14">
        <f>COUNTIF(T14:$T$51,"&lt;"&amp;T14)</f>
        <v>18</v>
      </c>
      <c r="W14">
        <f t="shared" si="4"/>
        <v>1</v>
      </c>
    </row>
    <row r="15" spans="1:28" x14ac:dyDescent="0.35">
      <c r="A15">
        <v>1.3559600000000001</v>
      </c>
      <c r="B15">
        <v>4.67936</v>
      </c>
      <c r="D15">
        <f t="shared" si="0"/>
        <v>13</v>
      </c>
      <c r="E15">
        <f t="shared" si="1"/>
        <v>26</v>
      </c>
      <c r="F15">
        <f t="shared" si="2"/>
        <v>-13</v>
      </c>
      <c r="G15">
        <f t="shared" si="3"/>
        <v>169</v>
      </c>
      <c r="I15" t="s">
        <v>78</v>
      </c>
      <c r="S15">
        <v>14</v>
      </c>
      <c r="T15">
        <v>16</v>
      </c>
      <c r="U15">
        <f>COUNTIF(T15:$T$51,"&gt;"&amp;T15)</f>
        <v>26</v>
      </c>
      <c r="V15">
        <f>COUNTIF(T15:$T$51,"&lt;"&amp;T15)</f>
        <v>10</v>
      </c>
      <c r="W15">
        <f t="shared" si="4"/>
        <v>16</v>
      </c>
    </row>
    <row r="16" spans="1:28" x14ac:dyDescent="0.35">
      <c r="A16">
        <v>1.9734700000000001</v>
      </c>
      <c r="B16">
        <v>5.5770600000000004</v>
      </c>
      <c r="D16">
        <f t="shared" si="0"/>
        <v>25</v>
      </c>
      <c r="E16">
        <f t="shared" si="1"/>
        <v>35</v>
      </c>
      <c r="F16">
        <f t="shared" si="2"/>
        <v>-10</v>
      </c>
      <c r="G16">
        <f t="shared" si="3"/>
        <v>100</v>
      </c>
      <c r="S16">
        <v>15</v>
      </c>
      <c r="T16">
        <v>46</v>
      </c>
      <c r="U16">
        <f>COUNTIF(T16:$T$51,"&gt;"&amp;T16)</f>
        <v>2</v>
      </c>
      <c r="V16">
        <f>COUNTIF(T16:$T$51,"&lt;"&amp;T16)</f>
        <v>33</v>
      </c>
      <c r="W16">
        <f t="shared" si="4"/>
        <v>-31</v>
      </c>
    </row>
    <row r="17" spans="1:28" x14ac:dyDescent="0.35">
      <c r="A17">
        <v>1.82836</v>
      </c>
      <c r="B17">
        <v>7.05016</v>
      </c>
      <c r="D17">
        <f t="shared" si="0"/>
        <v>22</v>
      </c>
      <c r="E17">
        <f t="shared" si="1"/>
        <v>40</v>
      </c>
      <c r="F17">
        <f t="shared" si="2"/>
        <v>-18</v>
      </c>
      <c r="G17">
        <f t="shared" si="3"/>
        <v>324</v>
      </c>
      <c r="S17">
        <v>16</v>
      </c>
      <c r="T17">
        <v>28</v>
      </c>
      <c r="U17">
        <f>COUNTIF(T17:$T$51,"&gt;"&amp;T17)</f>
        <v>17</v>
      </c>
      <c r="V17">
        <f>COUNTIF(T17:$T$51,"&lt;"&amp;T17)</f>
        <v>17</v>
      </c>
      <c r="W17">
        <f t="shared" si="4"/>
        <v>0</v>
      </c>
      <c r="Z17" t="s">
        <v>32</v>
      </c>
      <c r="AB17">
        <f>SQRT((2*(2*J7+5))/(9*J7*(J7-1)))</f>
        <v>9.7590007294853329E-2</v>
      </c>
    </row>
    <row r="18" spans="1:28" x14ac:dyDescent="0.35">
      <c r="A18">
        <v>1.3441099999999999</v>
      </c>
      <c r="B18">
        <v>8.7911699999999993</v>
      </c>
      <c r="D18">
        <f t="shared" si="0"/>
        <v>12</v>
      </c>
      <c r="E18">
        <f t="shared" si="1"/>
        <v>45</v>
      </c>
      <c r="F18">
        <f t="shared" si="2"/>
        <v>-33</v>
      </c>
      <c r="G18">
        <f t="shared" si="3"/>
        <v>1089</v>
      </c>
      <c r="S18">
        <v>17</v>
      </c>
      <c r="T18">
        <v>24</v>
      </c>
      <c r="U18">
        <f>COUNTIF(T18:$T$51,"&gt;"&amp;T18)</f>
        <v>18</v>
      </c>
      <c r="V18">
        <f>COUNTIF(T18:$T$51,"&lt;"&amp;T18)</f>
        <v>15</v>
      </c>
      <c r="W18">
        <f t="shared" si="4"/>
        <v>3</v>
      </c>
    </row>
    <row r="19" spans="1:28" x14ac:dyDescent="0.35">
      <c r="A19">
        <v>1.88008</v>
      </c>
      <c r="B19">
        <v>10.263999999999999</v>
      </c>
      <c r="D19">
        <f t="shared" si="0"/>
        <v>24</v>
      </c>
      <c r="E19">
        <f t="shared" si="1"/>
        <v>48</v>
      </c>
      <c r="F19">
        <f t="shared" si="2"/>
        <v>-24</v>
      </c>
      <c r="G19">
        <f t="shared" si="3"/>
        <v>576</v>
      </c>
      <c r="S19">
        <v>18</v>
      </c>
      <c r="T19">
        <v>41</v>
      </c>
      <c r="U19">
        <f>COUNTIF(T19:$T$51,"&gt;"&amp;T19)</f>
        <v>5</v>
      </c>
      <c r="V19">
        <f>COUNTIF(T19:$T$51,"&lt;"&amp;T19)</f>
        <v>27</v>
      </c>
      <c r="W19">
        <f t="shared" si="4"/>
        <v>-22</v>
      </c>
      <c r="AA19" t="s">
        <v>43</v>
      </c>
      <c r="AB19">
        <v>0.1</v>
      </c>
    </row>
    <row r="20" spans="1:28" x14ac:dyDescent="0.35">
      <c r="A20">
        <v>2.65469</v>
      </c>
      <c r="B20">
        <v>1.1330499999999999</v>
      </c>
      <c r="D20">
        <f t="shared" si="0"/>
        <v>40</v>
      </c>
      <c r="E20">
        <f t="shared" si="1"/>
        <v>7</v>
      </c>
      <c r="F20">
        <f t="shared" si="2"/>
        <v>33</v>
      </c>
      <c r="G20">
        <f t="shared" si="3"/>
        <v>1089</v>
      </c>
      <c r="S20">
        <v>19</v>
      </c>
      <c r="T20">
        <v>18</v>
      </c>
      <c r="U20">
        <f>COUNTIF(T20:$T$51,"&gt;"&amp;T20)</f>
        <v>20</v>
      </c>
      <c r="V20">
        <f>COUNTIF(T20:$T$51,"&lt;"&amp;T20)</f>
        <v>11</v>
      </c>
      <c r="W20">
        <f t="shared" si="4"/>
        <v>9</v>
      </c>
      <c r="AA20" t="s">
        <v>97</v>
      </c>
      <c r="AB20">
        <f>_xlfn.NORM.INV(0.9,0,AB17)</f>
        <v>0.12506662663022827</v>
      </c>
    </row>
    <row r="21" spans="1:28" x14ac:dyDescent="0.35">
      <c r="A21">
        <v>1.7806299999999999</v>
      </c>
      <c r="B21">
        <v>2.1659299999999999</v>
      </c>
      <c r="D21">
        <f t="shared" si="0"/>
        <v>20</v>
      </c>
      <c r="E21">
        <f t="shared" si="1"/>
        <v>12</v>
      </c>
      <c r="F21">
        <f t="shared" si="2"/>
        <v>8</v>
      </c>
      <c r="G21">
        <f t="shared" si="3"/>
        <v>64</v>
      </c>
      <c r="J21">
        <f>J14*SQRT((J7-2)/(1-J14^2))</f>
        <v>0.46246349658663066</v>
      </c>
      <c r="S21">
        <v>20</v>
      </c>
      <c r="T21">
        <v>12</v>
      </c>
      <c r="U21">
        <f>COUNTIF(T21:$T$51,"&gt;"&amp;T21)</f>
        <v>22</v>
      </c>
      <c r="V21">
        <f>COUNTIF(T21:$T$51,"&lt;"&amp;T21)</f>
        <v>8</v>
      </c>
      <c r="W21">
        <f t="shared" si="4"/>
        <v>14</v>
      </c>
    </row>
    <row r="22" spans="1:28" x14ac:dyDescent="0.35">
      <c r="A22">
        <v>2.5245600000000001</v>
      </c>
      <c r="B22">
        <v>4.09626</v>
      </c>
      <c r="D22">
        <f t="shared" si="0"/>
        <v>39</v>
      </c>
      <c r="E22">
        <f t="shared" si="1"/>
        <v>25</v>
      </c>
      <c r="F22">
        <f t="shared" si="2"/>
        <v>14</v>
      </c>
      <c r="G22">
        <f t="shared" si="3"/>
        <v>196</v>
      </c>
      <c r="S22">
        <v>21</v>
      </c>
      <c r="T22">
        <v>8</v>
      </c>
      <c r="U22">
        <f>COUNTIF(T22:$T$51,"&gt;"&amp;T22)</f>
        <v>23</v>
      </c>
      <c r="V22">
        <f>COUNTIF(T22:$T$51,"&lt;"&amp;T22)</f>
        <v>6</v>
      </c>
      <c r="W22">
        <f t="shared" si="4"/>
        <v>17</v>
      </c>
    </row>
    <row r="23" spans="1:28" x14ac:dyDescent="0.35">
      <c r="A23">
        <v>1.23054</v>
      </c>
      <c r="B23">
        <v>2.3341400000000001</v>
      </c>
      <c r="D23">
        <f t="shared" si="0"/>
        <v>4</v>
      </c>
      <c r="E23">
        <f t="shared" si="1"/>
        <v>14</v>
      </c>
      <c r="F23">
        <f t="shared" si="2"/>
        <v>-10</v>
      </c>
      <c r="G23">
        <f t="shared" si="3"/>
        <v>100</v>
      </c>
      <c r="S23">
        <v>22</v>
      </c>
      <c r="T23">
        <v>40</v>
      </c>
      <c r="U23">
        <f>COUNTIF(T23:$T$51,"&gt;"&amp;T23)</f>
        <v>5</v>
      </c>
      <c r="V23">
        <f>COUNTIF(T23:$T$51,"&lt;"&amp;T23)</f>
        <v>23</v>
      </c>
      <c r="W23">
        <f t="shared" si="4"/>
        <v>-18</v>
      </c>
      <c r="AA23" t="s">
        <v>98</v>
      </c>
    </row>
    <row r="24" spans="1:28" x14ac:dyDescent="0.35">
      <c r="A24">
        <v>1.2444299999999999</v>
      </c>
      <c r="B24">
        <v>9.4604800000000004</v>
      </c>
      <c r="D24">
        <f t="shared" si="0"/>
        <v>7</v>
      </c>
      <c r="E24">
        <f t="shared" si="1"/>
        <v>47</v>
      </c>
      <c r="F24">
        <f t="shared" si="2"/>
        <v>-40</v>
      </c>
      <c r="G24">
        <f t="shared" si="3"/>
        <v>1600</v>
      </c>
      <c r="J24">
        <f>_xlfn.T.INV(0.9,48)</f>
        <v>1.2994388786713924</v>
      </c>
      <c r="S24">
        <v>23</v>
      </c>
      <c r="T24">
        <v>32</v>
      </c>
      <c r="U24">
        <f>COUNTIF(T24:$T$51,"&gt;"&amp;T24)</f>
        <v>11</v>
      </c>
      <c r="V24">
        <f>COUNTIF(T24:$T$51,"&lt;"&amp;T24)</f>
        <v>16</v>
      </c>
      <c r="W24">
        <f t="shared" si="4"/>
        <v>-5</v>
      </c>
      <c r="AA24" t="s">
        <v>99</v>
      </c>
    </row>
    <row r="25" spans="1:28" x14ac:dyDescent="0.35">
      <c r="A25">
        <v>2.1318899999999998</v>
      </c>
      <c r="B25">
        <v>6.3081500000000004</v>
      </c>
      <c r="D25">
        <f t="shared" si="0"/>
        <v>32</v>
      </c>
      <c r="E25">
        <f t="shared" si="1"/>
        <v>38</v>
      </c>
      <c r="F25">
        <f t="shared" si="2"/>
        <v>-6</v>
      </c>
      <c r="G25">
        <f t="shared" si="3"/>
        <v>36</v>
      </c>
      <c r="S25">
        <v>24</v>
      </c>
      <c r="T25">
        <v>48</v>
      </c>
      <c r="U25">
        <f>COUNTIF(T25:$T$51,"&gt;"&amp;T25)</f>
        <v>1</v>
      </c>
      <c r="V25">
        <f>COUNTIF(T25:$T$51,"&lt;"&amp;T25)</f>
        <v>25</v>
      </c>
      <c r="W25">
        <f t="shared" si="4"/>
        <v>-24</v>
      </c>
    </row>
    <row r="26" spans="1:28" x14ac:dyDescent="0.35">
      <c r="A26">
        <v>1.45451</v>
      </c>
      <c r="B26">
        <v>4.0541200000000002</v>
      </c>
      <c r="D26">
        <f t="shared" si="0"/>
        <v>17</v>
      </c>
      <c r="E26">
        <f t="shared" si="1"/>
        <v>24</v>
      </c>
      <c r="F26">
        <f t="shared" si="2"/>
        <v>-7</v>
      </c>
      <c r="G26">
        <f t="shared" si="3"/>
        <v>49</v>
      </c>
      <c r="S26">
        <v>25</v>
      </c>
      <c r="T26">
        <v>35</v>
      </c>
      <c r="U26">
        <f>COUNTIF(T26:$T$51,"&gt;"&amp;T26)</f>
        <v>8</v>
      </c>
      <c r="V26">
        <f>COUNTIF(T26:$T$51,"&lt;"&amp;T26)</f>
        <v>17</v>
      </c>
      <c r="W26">
        <f t="shared" si="4"/>
        <v>-9</v>
      </c>
    </row>
    <row r="27" spans="1:28" x14ac:dyDescent="0.35">
      <c r="A27">
        <v>2.8380100000000001</v>
      </c>
      <c r="B27">
        <v>2.7465700000000002</v>
      </c>
      <c r="D27">
        <f t="shared" si="0"/>
        <v>47</v>
      </c>
      <c r="E27">
        <f t="shared" si="1"/>
        <v>17</v>
      </c>
      <c r="F27">
        <f t="shared" si="2"/>
        <v>30</v>
      </c>
      <c r="G27">
        <f t="shared" si="3"/>
        <v>900</v>
      </c>
      <c r="I27" t="s">
        <v>80</v>
      </c>
      <c r="S27">
        <v>26</v>
      </c>
      <c r="T27">
        <v>4</v>
      </c>
      <c r="U27">
        <f>COUNTIF(T27:$T$51,"&gt;"&amp;T27)</f>
        <v>21</v>
      </c>
      <c r="V27">
        <f>COUNTIF(T27:$T$51,"&lt;"&amp;T27)</f>
        <v>3</v>
      </c>
      <c r="W27">
        <f t="shared" si="4"/>
        <v>18</v>
      </c>
    </row>
    <row r="28" spans="1:28" x14ac:dyDescent="0.35">
      <c r="A28">
        <v>1.2317800000000001</v>
      </c>
      <c r="B28">
        <v>2.3625500000000001</v>
      </c>
      <c r="D28">
        <f t="shared" si="0"/>
        <v>5</v>
      </c>
      <c r="E28">
        <f t="shared" si="1"/>
        <v>15</v>
      </c>
      <c r="F28">
        <f t="shared" si="2"/>
        <v>-10</v>
      </c>
      <c r="G28">
        <f t="shared" si="3"/>
        <v>100</v>
      </c>
      <c r="I28" t="s">
        <v>81</v>
      </c>
      <c r="S28">
        <v>27</v>
      </c>
      <c r="T28">
        <v>39</v>
      </c>
      <c r="U28">
        <f>COUNTIF(T28:$T$51,"&gt;"&amp;T28)</f>
        <v>4</v>
      </c>
      <c r="V28">
        <f>COUNTIF(T28:$T$51,"&lt;"&amp;T28)</f>
        <v>19</v>
      </c>
      <c r="W28">
        <f t="shared" si="4"/>
        <v>-15</v>
      </c>
    </row>
    <row r="29" spans="1:28" x14ac:dyDescent="0.35">
      <c r="A29">
        <v>2.7359800000000001</v>
      </c>
      <c r="B29">
        <v>-1.51603</v>
      </c>
      <c r="D29">
        <f t="shared" si="0"/>
        <v>44</v>
      </c>
      <c r="E29">
        <f t="shared" si="1"/>
        <v>1</v>
      </c>
      <c r="F29">
        <f t="shared" si="2"/>
        <v>43</v>
      </c>
      <c r="G29">
        <f t="shared" si="3"/>
        <v>1849</v>
      </c>
      <c r="S29">
        <v>28</v>
      </c>
      <c r="T29">
        <v>3</v>
      </c>
      <c r="U29">
        <f>COUNTIF(T29:$T$51,"&gt;"&amp;T29)</f>
        <v>20</v>
      </c>
      <c r="V29">
        <f>COUNTIF(T29:$T$51,"&lt;"&amp;T29)</f>
        <v>2</v>
      </c>
      <c r="W29">
        <f t="shared" si="4"/>
        <v>18</v>
      </c>
    </row>
    <row r="30" spans="1:28" x14ac:dyDescent="0.35">
      <c r="A30">
        <v>2.0678200000000002</v>
      </c>
      <c r="B30">
        <v>7.6174799999999996</v>
      </c>
      <c r="D30">
        <f t="shared" si="0"/>
        <v>29</v>
      </c>
      <c r="E30">
        <f t="shared" si="1"/>
        <v>43</v>
      </c>
      <c r="F30">
        <f t="shared" si="2"/>
        <v>-14</v>
      </c>
      <c r="G30">
        <f t="shared" si="3"/>
        <v>196</v>
      </c>
      <c r="S30">
        <v>29</v>
      </c>
      <c r="T30">
        <v>43</v>
      </c>
      <c r="U30">
        <f>COUNTIF(T30:$T$51,"&gt;"&amp;T30)</f>
        <v>2</v>
      </c>
      <c r="V30">
        <f>COUNTIF(T30:$T$51,"&lt;"&amp;T30)</f>
        <v>19</v>
      </c>
      <c r="W30">
        <f t="shared" si="4"/>
        <v>-17</v>
      </c>
    </row>
    <row r="31" spans="1:28" x14ac:dyDescent="0.35">
      <c r="A31">
        <v>2.03674</v>
      </c>
      <c r="B31">
        <v>0.29575800000000002</v>
      </c>
      <c r="D31">
        <f t="shared" si="0"/>
        <v>28</v>
      </c>
      <c r="E31">
        <f t="shared" si="1"/>
        <v>3</v>
      </c>
      <c r="F31">
        <f t="shared" si="2"/>
        <v>25</v>
      </c>
      <c r="G31">
        <f t="shared" si="3"/>
        <v>625</v>
      </c>
      <c r="S31">
        <v>30</v>
      </c>
      <c r="T31">
        <v>2</v>
      </c>
      <c r="U31">
        <f>COUNTIF(T31:$T$51,"&gt;"&amp;T31)</f>
        <v>19</v>
      </c>
      <c r="V31">
        <f>COUNTIF(T31:$T$51,"&lt;"&amp;T31)</f>
        <v>1</v>
      </c>
      <c r="W31">
        <f t="shared" si="4"/>
        <v>18</v>
      </c>
    </row>
    <row r="32" spans="1:28" x14ac:dyDescent="0.35">
      <c r="A32">
        <v>2.80681</v>
      </c>
      <c r="B32">
        <v>7.3238899999999996</v>
      </c>
      <c r="D32">
        <f t="shared" si="0"/>
        <v>46</v>
      </c>
      <c r="E32">
        <f t="shared" si="1"/>
        <v>42</v>
      </c>
      <c r="F32">
        <f t="shared" si="2"/>
        <v>4</v>
      </c>
      <c r="G32">
        <f t="shared" si="3"/>
        <v>16</v>
      </c>
      <c r="S32">
        <v>31</v>
      </c>
      <c r="T32">
        <v>49</v>
      </c>
      <c r="U32">
        <f>COUNTIF(T32:$T$51,"&gt;"&amp;T32)</f>
        <v>0</v>
      </c>
      <c r="V32">
        <f>COUNTIF(T32:$T$51,"&lt;"&amp;T32)</f>
        <v>19</v>
      </c>
      <c r="W32">
        <f t="shared" si="4"/>
        <v>-19</v>
      </c>
    </row>
    <row r="33" spans="1:23" x14ac:dyDescent="0.35">
      <c r="A33">
        <v>2.7911600000000001</v>
      </c>
      <c r="B33">
        <v>2.8535900000000001</v>
      </c>
      <c r="D33">
        <f t="shared" si="0"/>
        <v>45</v>
      </c>
      <c r="E33">
        <f t="shared" si="1"/>
        <v>21</v>
      </c>
      <c r="F33">
        <f t="shared" si="2"/>
        <v>24</v>
      </c>
      <c r="G33">
        <f t="shared" si="3"/>
        <v>576</v>
      </c>
      <c r="S33">
        <v>32</v>
      </c>
      <c r="T33">
        <v>38</v>
      </c>
      <c r="U33">
        <f>COUNTIF(T33:$T$51,"&gt;"&amp;T33)</f>
        <v>2</v>
      </c>
      <c r="V33">
        <f>COUNTIF(T33:$T$51,"&lt;"&amp;T33)</f>
        <v>16</v>
      </c>
      <c r="W33">
        <f t="shared" si="4"/>
        <v>-14</v>
      </c>
    </row>
    <row r="34" spans="1:23" x14ac:dyDescent="0.35">
      <c r="A34">
        <v>1.35772</v>
      </c>
      <c r="B34">
        <v>2.7207699999999999</v>
      </c>
      <c r="D34">
        <f t="shared" si="0"/>
        <v>14</v>
      </c>
      <c r="E34">
        <f t="shared" si="1"/>
        <v>16</v>
      </c>
      <c r="F34">
        <f t="shared" si="2"/>
        <v>-2</v>
      </c>
      <c r="G34">
        <f t="shared" si="3"/>
        <v>4</v>
      </c>
      <c r="S34">
        <v>33</v>
      </c>
      <c r="T34">
        <v>37</v>
      </c>
      <c r="U34">
        <f>COUNTIF(T34:$T$51,"&gt;"&amp;T34)</f>
        <v>2</v>
      </c>
      <c r="V34">
        <f>COUNTIF(T34:$T$51,"&lt;"&amp;T34)</f>
        <v>15</v>
      </c>
      <c r="W34">
        <f t="shared" si="4"/>
        <v>-13</v>
      </c>
    </row>
    <row r="35" spans="1:23" x14ac:dyDescent="0.35">
      <c r="A35">
        <v>2.4147799999999999</v>
      </c>
      <c r="B35">
        <v>6.1454000000000004</v>
      </c>
      <c r="D35">
        <f t="shared" si="0"/>
        <v>35</v>
      </c>
      <c r="E35">
        <f t="shared" si="1"/>
        <v>36</v>
      </c>
      <c r="F35">
        <f t="shared" si="2"/>
        <v>-1</v>
      </c>
      <c r="G35">
        <f t="shared" si="3"/>
        <v>1</v>
      </c>
      <c r="S35">
        <v>34</v>
      </c>
      <c r="T35">
        <v>11</v>
      </c>
      <c r="U35">
        <f>COUNTIF(T35:$T$51,"&gt;"&amp;T35)</f>
        <v>13</v>
      </c>
      <c r="V35">
        <f>COUNTIF(T35:$T$51,"&lt;"&amp;T35)</f>
        <v>3</v>
      </c>
      <c r="W35">
        <f t="shared" si="4"/>
        <v>10</v>
      </c>
    </row>
    <row r="36" spans="1:23" x14ac:dyDescent="0.35">
      <c r="A36">
        <v>1.29125</v>
      </c>
      <c r="B36">
        <v>1.12967</v>
      </c>
      <c r="D36">
        <f t="shared" si="0"/>
        <v>9</v>
      </c>
      <c r="E36">
        <f t="shared" si="1"/>
        <v>6</v>
      </c>
      <c r="F36">
        <f t="shared" si="2"/>
        <v>3</v>
      </c>
      <c r="G36">
        <f t="shared" si="3"/>
        <v>9</v>
      </c>
      <c r="S36">
        <v>35</v>
      </c>
      <c r="T36">
        <v>36</v>
      </c>
      <c r="U36">
        <f>COUNTIF(T36:$T$51,"&gt;"&amp;T36)</f>
        <v>2</v>
      </c>
      <c r="V36">
        <f>COUNTIF(T36:$T$51,"&lt;"&amp;T36)</f>
        <v>13</v>
      </c>
      <c r="W36">
        <f t="shared" si="4"/>
        <v>-11</v>
      </c>
    </row>
    <row r="37" spans="1:23" x14ac:dyDescent="0.35">
      <c r="A37">
        <v>2.69475</v>
      </c>
      <c r="B37">
        <v>0.73295500000000002</v>
      </c>
      <c r="D37">
        <f t="shared" si="0"/>
        <v>42</v>
      </c>
      <c r="E37">
        <f t="shared" si="1"/>
        <v>5</v>
      </c>
      <c r="F37">
        <f t="shared" si="2"/>
        <v>37</v>
      </c>
      <c r="G37">
        <f t="shared" si="3"/>
        <v>1369</v>
      </c>
      <c r="S37">
        <v>36</v>
      </c>
      <c r="T37">
        <v>31</v>
      </c>
      <c r="U37">
        <f>COUNTIF(T37:$T$51,"&gt;"&amp;T37)</f>
        <v>3</v>
      </c>
      <c r="V37">
        <f>COUNTIF(T37:$T$51,"&lt;"&amp;T37)</f>
        <v>11</v>
      </c>
      <c r="W37">
        <f t="shared" si="4"/>
        <v>-8</v>
      </c>
    </row>
    <row r="38" spans="1:23" x14ac:dyDescent="0.35">
      <c r="A38">
        <v>2.2817099999999999</v>
      </c>
      <c r="B38">
        <v>2.0230700000000001</v>
      </c>
      <c r="D38">
        <f t="shared" si="0"/>
        <v>34</v>
      </c>
      <c r="E38">
        <f t="shared" si="1"/>
        <v>11</v>
      </c>
      <c r="F38">
        <f t="shared" si="2"/>
        <v>23</v>
      </c>
      <c r="G38">
        <f t="shared" si="3"/>
        <v>529</v>
      </c>
      <c r="S38">
        <v>37</v>
      </c>
      <c r="T38">
        <v>44</v>
      </c>
      <c r="U38">
        <f>COUNTIF(T38:$T$51,"&gt;"&amp;T38)</f>
        <v>0</v>
      </c>
      <c r="V38">
        <f>COUNTIF(T38:$T$51,"&lt;"&amp;T38)</f>
        <v>13</v>
      </c>
      <c r="W38">
        <f t="shared" si="4"/>
        <v>-13</v>
      </c>
    </row>
    <row r="39" spans="1:23" x14ac:dyDescent="0.35">
      <c r="A39">
        <v>1.2373099999999999</v>
      </c>
      <c r="B39">
        <v>4.7182700000000004</v>
      </c>
      <c r="D39">
        <f t="shared" si="0"/>
        <v>6</v>
      </c>
      <c r="E39">
        <f t="shared" si="1"/>
        <v>27</v>
      </c>
      <c r="F39">
        <f t="shared" si="2"/>
        <v>-21</v>
      </c>
      <c r="G39">
        <f t="shared" si="3"/>
        <v>441</v>
      </c>
      <c r="S39">
        <v>38</v>
      </c>
      <c r="T39">
        <v>34</v>
      </c>
      <c r="U39">
        <f>COUNTIF(T39:$T$51,"&gt;"&amp;T39)</f>
        <v>1</v>
      </c>
      <c r="V39">
        <f>COUNTIF(T39:$T$51,"&lt;"&amp;T39)</f>
        <v>11</v>
      </c>
      <c r="W39">
        <f t="shared" si="4"/>
        <v>-10</v>
      </c>
    </row>
    <row r="40" spans="1:23" x14ac:dyDescent="0.35">
      <c r="A40">
        <v>2.9272100000000001</v>
      </c>
      <c r="B40">
        <v>3.2783500000000001</v>
      </c>
      <c r="D40">
        <f t="shared" si="0"/>
        <v>50</v>
      </c>
      <c r="E40">
        <f t="shared" si="1"/>
        <v>23</v>
      </c>
      <c r="F40">
        <f t="shared" si="2"/>
        <v>27</v>
      </c>
      <c r="G40">
        <f t="shared" si="3"/>
        <v>729</v>
      </c>
      <c r="S40">
        <v>39</v>
      </c>
      <c r="T40">
        <v>25</v>
      </c>
      <c r="U40">
        <f>COUNTIF(T40:$T$51,"&gt;"&amp;T40)</f>
        <v>3</v>
      </c>
      <c r="V40">
        <f>COUNTIF(T40:$T$51,"&lt;"&amp;T40)</f>
        <v>8</v>
      </c>
      <c r="W40">
        <f t="shared" si="4"/>
        <v>-5</v>
      </c>
    </row>
    <row r="41" spans="1:23" x14ac:dyDescent="0.35">
      <c r="A41">
        <v>1.5619799999999999</v>
      </c>
      <c r="B41">
        <v>7.3078500000000002</v>
      </c>
      <c r="D41">
        <f t="shared" si="0"/>
        <v>18</v>
      </c>
      <c r="E41">
        <f t="shared" si="1"/>
        <v>41</v>
      </c>
      <c r="F41">
        <f t="shared" si="2"/>
        <v>-23</v>
      </c>
      <c r="G41">
        <f t="shared" si="3"/>
        <v>529</v>
      </c>
      <c r="S41">
        <v>40</v>
      </c>
      <c r="T41">
        <v>7</v>
      </c>
      <c r="U41">
        <f>COUNTIF(T41:$T$51,"&gt;"&amp;T41)</f>
        <v>8</v>
      </c>
      <c r="V41">
        <f>COUNTIF(T41:$T$51,"&lt;"&amp;T41)</f>
        <v>2</v>
      </c>
      <c r="W41">
        <f t="shared" si="4"/>
        <v>6</v>
      </c>
    </row>
    <row r="42" spans="1:23" x14ac:dyDescent="0.35">
      <c r="A42">
        <v>1.2929900000000001</v>
      </c>
      <c r="B42">
        <v>1.7641899999999999</v>
      </c>
      <c r="D42">
        <f t="shared" si="0"/>
        <v>10</v>
      </c>
      <c r="E42">
        <f t="shared" si="1"/>
        <v>9</v>
      </c>
      <c r="F42">
        <f t="shared" si="2"/>
        <v>1</v>
      </c>
      <c r="G42">
        <f t="shared" si="3"/>
        <v>1</v>
      </c>
      <c r="S42">
        <v>41</v>
      </c>
      <c r="T42">
        <v>29</v>
      </c>
      <c r="U42">
        <f>COUNTIF(T42:$T$51,"&gt;"&amp;T42)</f>
        <v>2</v>
      </c>
      <c r="V42">
        <f>COUNTIF(T42:$T$51,"&lt;"&amp;T42)</f>
        <v>7</v>
      </c>
      <c r="W42">
        <f t="shared" si="4"/>
        <v>-5</v>
      </c>
    </row>
    <row r="43" spans="1:23" x14ac:dyDescent="0.35">
      <c r="A43">
        <v>2.6832699999999998</v>
      </c>
      <c r="B43">
        <v>4.7862799999999996</v>
      </c>
      <c r="D43">
        <f t="shared" si="0"/>
        <v>41</v>
      </c>
      <c r="E43">
        <f t="shared" si="1"/>
        <v>29</v>
      </c>
      <c r="F43">
        <f t="shared" si="2"/>
        <v>12</v>
      </c>
      <c r="G43">
        <f t="shared" si="3"/>
        <v>144</v>
      </c>
      <c r="S43">
        <v>42</v>
      </c>
      <c r="T43">
        <v>5</v>
      </c>
      <c r="U43">
        <f>COUNTIF(T43:$T$51,"&gt;"&amp;T43)</f>
        <v>7</v>
      </c>
      <c r="V43">
        <f>COUNTIF(T43:$T$51,"&lt;"&amp;T43)</f>
        <v>1</v>
      </c>
      <c r="W43">
        <f t="shared" si="4"/>
        <v>6</v>
      </c>
    </row>
    <row r="44" spans="1:23" x14ac:dyDescent="0.35">
      <c r="A44">
        <v>1.37456</v>
      </c>
      <c r="B44">
        <v>9.3262300000000007</v>
      </c>
      <c r="D44">
        <f t="shared" si="0"/>
        <v>15</v>
      </c>
      <c r="E44">
        <f t="shared" si="1"/>
        <v>46</v>
      </c>
      <c r="F44">
        <f t="shared" si="2"/>
        <v>-31</v>
      </c>
      <c r="G44">
        <f t="shared" si="3"/>
        <v>961</v>
      </c>
      <c r="S44">
        <v>43</v>
      </c>
      <c r="T44">
        <v>13</v>
      </c>
      <c r="U44">
        <f>COUNTIF(T44:$T$51,"&gt;"&amp;T44)</f>
        <v>6</v>
      </c>
      <c r="V44">
        <f>COUNTIF(T44:$T$51,"&lt;"&amp;T44)</f>
        <v>1</v>
      </c>
      <c r="W44">
        <f t="shared" si="4"/>
        <v>5</v>
      </c>
    </row>
    <row r="45" spans="1:23" x14ac:dyDescent="0.35">
      <c r="A45">
        <v>1.18757</v>
      </c>
      <c r="B45">
        <v>2.7852100000000002</v>
      </c>
      <c r="D45">
        <f t="shared" si="0"/>
        <v>2</v>
      </c>
      <c r="E45">
        <f t="shared" si="1"/>
        <v>19</v>
      </c>
      <c r="F45">
        <f t="shared" si="2"/>
        <v>-17</v>
      </c>
      <c r="G45">
        <f t="shared" si="3"/>
        <v>289</v>
      </c>
      <c r="S45">
        <v>44</v>
      </c>
      <c r="T45">
        <v>1</v>
      </c>
      <c r="U45">
        <f>COUNTIF(T45:$T$51,"&gt;"&amp;T45)</f>
        <v>6</v>
      </c>
      <c r="V45">
        <f>COUNTIF(T45:$T$51,"&lt;"&amp;T45)</f>
        <v>0</v>
      </c>
      <c r="W45">
        <f t="shared" si="4"/>
        <v>6</v>
      </c>
    </row>
    <row r="46" spans="1:23" x14ac:dyDescent="0.35">
      <c r="A46">
        <v>1.0218100000000001</v>
      </c>
      <c r="B46">
        <v>12.2189</v>
      </c>
      <c r="D46">
        <f t="shared" si="0"/>
        <v>1</v>
      </c>
      <c r="E46">
        <f t="shared" si="1"/>
        <v>50</v>
      </c>
      <c r="F46">
        <f t="shared" si="2"/>
        <v>-49</v>
      </c>
      <c r="G46">
        <f t="shared" si="3"/>
        <v>2401</v>
      </c>
      <c r="S46">
        <v>45</v>
      </c>
      <c r="T46">
        <v>21</v>
      </c>
      <c r="U46">
        <f>COUNTIF(T46:$T$51,"&gt;"&amp;T46)</f>
        <v>3</v>
      </c>
      <c r="V46">
        <f>COUNTIF(T46:$T$51,"&lt;"&amp;T46)</f>
        <v>2</v>
      </c>
      <c r="W46">
        <f t="shared" si="4"/>
        <v>1</v>
      </c>
    </row>
    <row r="47" spans="1:23" x14ac:dyDescent="0.35">
      <c r="A47">
        <v>1.62961</v>
      </c>
      <c r="B47">
        <v>2.7725499999999998</v>
      </c>
      <c r="D47">
        <f t="shared" si="0"/>
        <v>19</v>
      </c>
      <c r="E47">
        <f t="shared" si="1"/>
        <v>18</v>
      </c>
      <c r="F47">
        <f t="shared" si="2"/>
        <v>1</v>
      </c>
      <c r="G47">
        <f t="shared" si="3"/>
        <v>1</v>
      </c>
      <c r="S47">
        <v>46</v>
      </c>
      <c r="T47">
        <v>42</v>
      </c>
      <c r="U47">
        <f>COUNTIF(T47:$T$51,"&gt;"&amp;T47)</f>
        <v>0</v>
      </c>
      <c r="V47">
        <f>COUNTIF(T47:$T$51,"&lt;"&amp;T47)</f>
        <v>4</v>
      </c>
      <c r="W47">
        <f t="shared" si="4"/>
        <v>-4</v>
      </c>
    </row>
    <row r="48" spans="1:23" x14ac:dyDescent="0.35">
      <c r="A48">
        <v>1.4418800000000001</v>
      </c>
      <c r="B48">
        <v>4.7862299999999998</v>
      </c>
      <c r="D48">
        <f t="shared" si="0"/>
        <v>16</v>
      </c>
      <c r="E48">
        <f t="shared" si="1"/>
        <v>28</v>
      </c>
      <c r="F48">
        <f t="shared" si="2"/>
        <v>-12</v>
      </c>
      <c r="G48">
        <f t="shared" si="3"/>
        <v>144</v>
      </c>
      <c r="S48">
        <v>47</v>
      </c>
      <c r="T48">
        <v>17</v>
      </c>
      <c r="U48">
        <f>COUNTIF(T48:$T$51,"&gt;"&amp;T48)</f>
        <v>3</v>
      </c>
      <c r="V48">
        <f>COUNTIF(T48:$T$51,"&lt;"&amp;T48)</f>
        <v>0</v>
      </c>
      <c r="W48">
        <f t="shared" si="4"/>
        <v>3</v>
      </c>
    </row>
    <row r="49" spans="1:23" x14ac:dyDescent="0.35">
      <c r="A49">
        <v>2.8650799999999998</v>
      </c>
      <c r="B49">
        <v>5.0236499999999999</v>
      </c>
      <c r="D49">
        <f t="shared" si="0"/>
        <v>48</v>
      </c>
      <c r="E49">
        <f t="shared" si="1"/>
        <v>30</v>
      </c>
      <c r="F49">
        <f t="shared" si="2"/>
        <v>18</v>
      </c>
      <c r="G49">
        <f t="shared" si="3"/>
        <v>324</v>
      </c>
      <c r="S49">
        <v>48</v>
      </c>
      <c r="T49">
        <v>30</v>
      </c>
      <c r="U49">
        <f>COUNTIF(T49:$T$51,"&gt;"&amp;T49)</f>
        <v>0</v>
      </c>
      <c r="V49">
        <f>COUNTIF(T49:$T$51,"&lt;"&amp;T49)</f>
        <v>2</v>
      </c>
      <c r="W49">
        <f t="shared" si="4"/>
        <v>-2</v>
      </c>
    </row>
    <row r="50" spans="1:23" x14ac:dyDescent="0.35">
      <c r="A50">
        <v>1.22424</v>
      </c>
      <c r="B50">
        <v>2.9275000000000002</v>
      </c>
      <c r="D50">
        <f t="shared" si="0"/>
        <v>3</v>
      </c>
      <c r="E50">
        <f t="shared" si="1"/>
        <v>22</v>
      </c>
      <c r="F50">
        <f t="shared" si="2"/>
        <v>-19</v>
      </c>
      <c r="G50">
        <f t="shared" si="3"/>
        <v>361</v>
      </c>
      <c r="S50">
        <v>49</v>
      </c>
      <c r="T50">
        <v>20</v>
      </c>
      <c r="U50">
        <f>COUNTIF(T50:$T$51,"&gt;"&amp;T50)</f>
        <v>1</v>
      </c>
      <c r="V50">
        <f>COUNTIF(T50:$T$51,"&lt;"&amp;T50)</f>
        <v>0</v>
      </c>
      <c r="W50">
        <f t="shared" si="4"/>
        <v>1</v>
      </c>
    </row>
    <row r="51" spans="1:23" x14ac:dyDescent="0.35">
      <c r="A51">
        <v>2.24743</v>
      </c>
      <c r="B51">
        <v>6.2996100000000004</v>
      </c>
      <c r="D51">
        <f t="shared" si="0"/>
        <v>33</v>
      </c>
      <c r="E51">
        <f t="shared" si="1"/>
        <v>37</v>
      </c>
      <c r="F51">
        <f t="shared" si="2"/>
        <v>-4</v>
      </c>
      <c r="G51">
        <f t="shared" si="3"/>
        <v>16</v>
      </c>
      <c r="S51">
        <v>50</v>
      </c>
      <c r="T51">
        <v>23</v>
      </c>
      <c r="U51">
        <f>COUNTIF(T51:$T$51,"&gt;"&amp;T51)</f>
        <v>0</v>
      </c>
      <c r="V51">
        <f>COUNTIF(T51:$T$51,"&lt;"&amp;T51)</f>
        <v>0</v>
      </c>
      <c r="W51">
        <f t="shared" si="4"/>
        <v>0</v>
      </c>
    </row>
  </sheetData>
  <sortState xmlns:xlrd2="http://schemas.microsoft.com/office/spreadsheetml/2017/richdata2" ref="S2:T51">
    <sortCondition ref="S2:S51"/>
  </sortState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F64A-1CFB-4A08-8F69-1A57BBE192E1}">
  <dimension ref="A1:W55"/>
  <sheetViews>
    <sheetView tabSelected="1" topLeftCell="A15" zoomScale="65" zoomScaleNormal="370" workbookViewId="0">
      <selection activeCell="S20" sqref="S20"/>
    </sheetView>
  </sheetViews>
  <sheetFormatPr defaultColWidth="9.1796875" defaultRowHeight="14.5" x14ac:dyDescent="0.35"/>
  <cols>
    <col min="1" max="1" width="9.08984375" style="19" customWidth="1"/>
    <col min="2" max="2" width="9" style="19" customWidth="1"/>
    <col min="3" max="3" width="14" style="19" customWidth="1"/>
    <col min="4" max="4" width="13.453125" style="19" bestFit="1" customWidth="1"/>
    <col min="5" max="5" width="15.6328125" style="19" customWidth="1"/>
    <col min="6" max="8" width="11.54296875" style="19" bestFit="1" customWidth="1"/>
    <col min="9" max="9" width="12.08984375" style="19" bestFit="1" customWidth="1"/>
    <col min="10" max="17" width="9.1796875" style="19"/>
    <col min="18" max="18" width="13.81640625" style="19" customWidth="1"/>
    <col min="19" max="16384" width="9.1796875" style="19"/>
  </cols>
  <sheetData>
    <row r="1" spans="1:23" ht="14" customHeight="1" x14ac:dyDescent="0.35">
      <c r="A1" s="15" t="s">
        <v>101</v>
      </c>
      <c r="B1" s="16"/>
      <c r="C1" s="16"/>
      <c r="D1" s="16"/>
      <c r="E1" s="17"/>
      <c r="F1" s="18"/>
    </row>
    <row r="2" spans="1:23" x14ac:dyDescent="0.35">
      <c r="A2" s="20"/>
      <c r="B2" s="21"/>
      <c r="C2" s="21"/>
      <c r="D2" s="21"/>
      <c r="E2" s="22"/>
      <c r="F2" s="18"/>
    </row>
    <row r="3" spans="1:23" x14ac:dyDescent="0.35">
      <c r="B3" s="23"/>
      <c r="C3" s="23"/>
      <c r="D3" s="23"/>
      <c r="E3" s="23"/>
      <c r="F3" s="23"/>
    </row>
    <row r="4" spans="1:23" ht="14.5" customHeight="1" x14ac:dyDescent="0.35">
      <c r="A4" s="24" t="s">
        <v>0</v>
      </c>
      <c r="B4" s="24" t="s">
        <v>1</v>
      </c>
      <c r="C4" s="25" t="s">
        <v>102</v>
      </c>
      <c r="D4" s="24" t="s">
        <v>103</v>
      </c>
      <c r="E4" s="24" t="s">
        <v>104</v>
      </c>
      <c r="F4" s="24" t="s">
        <v>105</v>
      </c>
      <c r="G4" s="24" t="s">
        <v>106</v>
      </c>
      <c r="H4" s="24" t="s">
        <v>107</v>
      </c>
      <c r="I4" s="24" t="s">
        <v>108</v>
      </c>
    </row>
    <row r="5" spans="1:23" x14ac:dyDescent="0.35">
      <c r="A5" s="24"/>
      <c r="B5" s="24"/>
      <c r="C5" s="25"/>
      <c r="D5" s="24"/>
      <c r="E5" s="24"/>
      <c r="F5" s="24"/>
      <c r="G5" s="24"/>
      <c r="H5" s="24"/>
      <c r="I5" s="24"/>
      <c r="O5" s="18"/>
      <c r="P5" s="18"/>
      <c r="Q5" s="18"/>
    </row>
    <row r="6" spans="1:23" x14ac:dyDescent="0.35">
      <c r="A6">
        <v>1.8548500000000001</v>
      </c>
      <c r="B6">
        <v>5.1363300000000001</v>
      </c>
      <c r="C6" s="26">
        <f>AVERAGE(A6:A55)</f>
        <v>1.9617821799999995</v>
      </c>
      <c r="D6" s="27">
        <f>AVERAGE(B6:B55)</f>
        <v>4.4752872799999999</v>
      </c>
      <c r="E6" s="27">
        <f>CORREL(A6:A55,B6:B55)</f>
        <v>-0.17413566941976999</v>
      </c>
      <c r="F6" s="27">
        <f>_xlfn.STDEV.S(A6:A55)</f>
        <v>0.59494210050485696</v>
      </c>
      <c r="G6" s="27">
        <f>_xlfn.STDEV.S(B6:B55)</f>
        <v>3.0594116752549221</v>
      </c>
      <c r="H6" s="28">
        <f>($E$6*($G$6/$F$6)*A6)+$D$6-($E$6*($G$6/$F$6)*$C$6)</f>
        <v>4.5710418207769292</v>
      </c>
      <c r="I6" s="28">
        <f>(1/($E$6)*($G$6/$F$6)*(A6-$C$6)+$D$6)</f>
        <v>7.6330820290699606</v>
      </c>
      <c r="O6" s="18"/>
      <c r="P6" s="18"/>
      <c r="Q6" s="18"/>
      <c r="S6" s="18"/>
      <c r="T6" s="18"/>
      <c r="W6" s="18"/>
    </row>
    <row r="7" spans="1:23" x14ac:dyDescent="0.35">
      <c r="A7">
        <v>2.0194589999999999</v>
      </c>
      <c r="B7">
        <v>6.6862700000000004</v>
      </c>
      <c r="H7" s="28">
        <f t="shared" ref="H7:H55" si="0">($E$6*($G$6/$F$6)*A7)+$D$6-($E$6*($G$6/$F$6)*$C$6)</f>
        <v>4.4236394279448588</v>
      </c>
      <c r="I7" s="28">
        <f t="shared" ref="I7:I55" si="1">(1/($E$6)*($G$6/$F$6)*(A7-$C$6)+$D$6)</f>
        <v>2.7720436040639473</v>
      </c>
      <c r="S7" s="18"/>
      <c r="T7" s="18"/>
      <c r="W7" s="18"/>
    </row>
    <row r="8" spans="1:23" x14ac:dyDescent="0.35">
      <c r="A8">
        <v>2.0776699999999999</v>
      </c>
      <c r="B8">
        <v>0.29131499999999999</v>
      </c>
      <c r="H8" s="28">
        <f t="shared" si="0"/>
        <v>4.3715132338172733</v>
      </c>
      <c r="I8" s="28">
        <f t="shared" si="1"/>
        <v>1.0530251557529464</v>
      </c>
      <c r="J8" s="18"/>
      <c r="S8" s="18"/>
      <c r="T8" s="29"/>
      <c r="W8" s="18"/>
    </row>
    <row r="9" spans="1:23" x14ac:dyDescent="0.35">
      <c r="A9">
        <v>1.3166599999999999</v>
      </c>
      <c r="B9">
        <v>5.1470700000000003</v>
      </c>
      <c r="D9" s="30" t="s">
        <v>109</v>
      </c>
      <c r="E9" s="31"/>
      <c r="H9" s="28">
        <f t="shared" si="0"/>
        <v>5.0529747272297501</v>
      </c>
      <c r="I9" s="28">
        <f t="shared" si="1"/>
        <v>23.526272984327516</v>
      </c>
      <c r="S9" s="18"/>
      <c r="T9" s="18"/>
      <c r="W9" s="18"/>
    </row>
    <row r="10" spans="1:23" x14ac:dyDescent="0.35">
      <c r="A10">
        <v>2.4552399999999999</v>
      </c>
      <c r="B10">
        <v>5.0792099999999998</v>
      </c>
      <c r="D10" s="32" t="s">
        <v>110</v>
      </c>
      <c r="E10" s="32"/>
      <c r="H10" s="28">
        <f t="shared" si="0"/>
        <v>4.0334106910546961</v>
      </c>
      <c r="I10" s="28">
        <f t="shared" si="1"/>
        <v>-10.096925807617968</v>
      </c>
      <c r="S10" s="18"/>
      <c r="T10" s="18"/>
      <c r="W10" s="18"/>
    </row>
    <row r="11" spans="1:23" x14ac:dyDescent="0.35">
      <c r="A11">
        <v>2.0126400000000002</v>
      </c>
      <c r="B11">
        <v>0.57628599999999996</v>
      </c>
      <c r="D11" s="33" t="s">
        <v>43</v>
      </c>
      <c r="E11" s="33">
        <f>E6*(G6/F6)</f>
        <v>-0.89546982748252579</v>
      </c>
      <c r="H11" s="28">
        <f t="shared" si="0"/>
        <v>4.4297456366984616</v>
      </c>
      <c r="I11" s="28">
        <f t="shared" si="1"/>
        <v>2.9734142522066036</v>
      </c>
      <c r="S11" s="18"/>
      <c r="T11" s="18"/>
      <c r="W11" s="18"/>
    </row>
    <row r="12" spans="1:23" x14ac:dyDescent="0.35">
      <c r="A12">
        <v>2.08955</v>
      </c>
      <c r="B12">
        <v>10.639849999999999</v>
      </c>
      <c r="D12" s="34"/>
      <c r="E12" s="35"/>
      <c r="H12" s="28">
        <f t="shared" si="0"/>
        <v>4.3608750522667812</v>
      </c>
      <c r="I12" s="28">
        <f t="shared" si="1"/>
        <v>0.70219903756334512</v>
      </c>
      <c r="S12" s="18"/>
      <c r="T12" s="18"/>
      <c r="W12" s="18"/>
    </row>
    <row r="13" spans="1:23" x14ac:dyDescent="0.35">
      <c r="A13">
        <v>2.4561500000000001</v>
      </c>
      <c r="B13">
        <v>8.4246800000000004</v>
      </c>
      <c r="D13" s="32" t="s">
        <v>111</v>
      </c>
      <c r="E13" s="32"/>
      <c r="H13" s="28">
        <f t="shared" si="0"/>
        <v>4.0325958135116871</v>
      </c>
      <c r="I13" s="28">
        <f t="shared" si="1"/>
        <v>-10.123798852024752</v>
      </c>
      <c r="S13" s="18"/>
      <c r="T13" s="18"/>
      <c r="W13" s="18"/>
    </row>
    <row r="14" spans="1:23" x14ac:dyDescent="0.35">
      <c r="A14">
        <v>2.72661</v>
      </c>
      <c r="B14">
        <v>2.1817000000000002</v>
      </c>
      <c r="D14" s="33" t="s">
        <v>100</v>
      </c>
      <c r="E14" s="33">
        <f>D6-(E11*C6)</f>
        <v>6.2320040302828925</v>
      </c>
      <c r="H14" s="28">
        <f t="shared" si="0"/>
        <v>3.7904070439707631</v>
      </c>
      <c r="I14" s="28">
        <f t="shared" si="1"/>
        <v>-18.110703896263693</v>
      </c>
      <c r="S14" s="18"/>
      <c r="T14" s="18"/>
      <c r="W14" s="18"/>
    </row>
    <row r="15" spans="1:23" x14ac:dyDescent="0.35">
      <c r="A15">
        <v>2.9084699999999999</v>
      </c>
      <c r="B15">
        <v>2.8486600000000002</v>
      </c>
      <c r="H15" s="28">
        <f t="shared" si="0"/>
        <v>3.627556901144791</v>
      </c>
      <c r="I15" s="28">
        <f t="shared" si="1"/>
        <v>-23.481178463095365</v>
      </c>
      <c r="S15" s="18"/>
      <c r="T15" s="29"/>
      <c r="W15" s="18"/>
    </row>
    <row r="16" spans="1:23" x14ac:dyDescent="0.35">
      <c r="A16">
        <v>1.26769</v>
      </c>
      <c r="B16">
        <v>2.0169899999999998</v>
      </c>
      <c r="H16" s="28">
        <f t="shared" si="0"/>
        <v>5.0968258846815697</v>
      </c>
      <c r="I16" s="28">
        <f t="shared" si="1"/>
        <v>24.972397143228577</v>
      </c>
      <c r="S16" s="18"/>
      <c r="T16" s="18"/>
      <c r="W16" s="18"/>
    </row>
    <row r="17" spans="1:23" x14ac:dyDescent="0.35">
      <c r="A17">
        <v>1.7948599999999999</v>
      </c>
      <c r="B17">
        <v>1.13697</v>
      </c>
      <c r="D17" s="30" t="s">
        <v>112</v>
      </c>
      <c r="E17" s="31"/>
      <c r="H17" s="28">
        <f t="shared" si="0"/>
        <v>4.6247610557276069</v>
      </c>
      <c r="I17" s="28">
        <f t="shared" si="1"/>
        <v>9.404635802655319</v>
      </c>
      <c r="S17" s="18"/>
      <c r="T17" s="18"/>
      <c r="W17" s="18"/>
    </row>
    <row r="18" spans="1:23" x14ac:dyDescent="0.35">
      <c r="A18">
        <v>2.46258</v>
      </c>
      <c r="B18">
        <v>5.2546600000000003</v>
      </c>
      <c r="D18" s="32" t="s">
        <v>113</v>
      </c>
      <c r="E18" s="32"/>
      <c r="H18" s="28">
        <f t="shared" si="0"/>
        <v>4.0268379425209746</v>
      </c>
      <c r="I18" s="28">
        <f t="shared" si="1"/>
        <v>-10.313682011953968</v>
      </c>
      <c r="S18" s="18"/>
      <c r="T18" s="18"/>
      <c r="W18" s="18"/>
    </row>
    <row r="19" spans="1:23" x14ac:dyDescent="0.35">
      <c r="A19">
        <v>1.3559600000000001</v>
      </c>
      <c r="B19">
        <v>4.67936</v>
      </c>
      <c r="D19" s="33" t="s">
        <v>43</v>
      </c>
      <c r="E19" s="33">
        <f>E6*(F6/G6)</f>
        <v>-3.3862929194968486E-2</v>
      </c>
      <c r="H19" s="28">
        <f t="shared" si="0"/>
        <v>5.017782763009687</v>
      </c>
      <c r="I19" s="28">
        <f t="shared" si="1"/>
        <v>22.365711835771016</v>
      </c>
      <c r="S19" s="18"/>
      <c r="T19" s="18"/>
      <c r="W19" s="18"/>
    </row>
    <row r="20" spans="1:23" x14ac:dyDescent="0.35">
      <c r="A20">
        <v>1.9734700000000001</v>
      </c>
      <c r="B20">
        <v>5.5770600000000004</v>
      </c>
      <c r="D20" s="34"/>
      <c r="E20" s="35"/>
      <c r="H20" s="28">
        <f t="shared" si="0"/>
        <v>4.4648211898409524</v>
      </c>
      <c r="I20" s="28">
        <f t="shared" si="1"/>
        <v>4.1301363944192806</v>
      </c>
      <c r="S20" s="18"/>
      <c r="T20" s="18"/>
      <c r="W20" s="18"/>
    </row>
    <row r="21" spans="1:23" x14ac:dyDescent="0.35">
      <c r="A21">
        <v>1.82836</v>
      </c>
      <c r="B21">
        <v>7.05016</v>
      </c>
      <c r="D21" s="32" t="s">
        <v>114</v>
      </c>
      <c r="E21" s="32"/>
      <c r="H21" s="28">
        <f t="shared" si="0"/>
        <v>4.5947628165069414</v>
      </c>
      <c r="I21" s="28">
        <f t="shared" si="1"/>
        <v>8.4153533986694971</v>
      </c>
      <c r="S21" s="18"/>
      <c r="T21" s="18"/>
      <c r="W21" s="18"/>
    </row>
    <row r="22" spans="1:23" x14ac:dyDescent="0.35">
      <c r="A22">
        <v>1.3441099999999999</v>
      </c>
      <c r="B22">
        <v>8.7911699999999993</v>
      </c>
      <c r="D22" s="33" t="s">
        <v>100</v>
      </c>
      <c r="E22" s="33">
        <f>C6-(E19*D6)</f>
        <v>2.1133285162897826</v>
      </c>
      <c r="H22" s="28">
        <f t="shared" si="0"/>
        <v>5.0283940804653549</v>
      </c>
      <c r="I22" s="28">
        <f t="shared" si="1"/>
        <v>22.715652029419733</v>
      </c>
      <c r="S22" s="18"/>
      <c r="T22" s="18"/>
      <c r="W22" s="18"/>
    </row>
    <row r="23" spans="1:23" x14ac:dyDescent="0.35">
      <c r="A23">
        <v>1.88008</v>
      </c>
      <c r="B23">
        <v>10.263999999999999</v>
      </c>
      <c r="H23" s="28">
        <f t="shared" si="0"/>
        <v>4.5484491170295458</v>
      </c>
      <c r="I23" s="28">
        <f t="shared" si="1"/>
        <v>6.8880194901875109</v>
      </c>
      <c r="S23" s="18"/>
      <c r="T23" s="18"/>
      <c r="W23" s="18"/>
    </row>
    <row r="24" spans="1:23" x14ac:dyDescent="0.35">
      <c r="A24">
        <v>2.65469</v>
      </c>
      <c r="B24">
        <v>1.1330499999999999</v>
      </c>
      <c r="H24" s="28">
        <f t="shared" si="0"/>
        <v>3.854809233963306</v>
      </c>
      <c r="I24" s="28">
        <f t="shared" si="1"/>
        <v>-15.986847463587274</v>
      </c>
      <c r="S24" s="18"/>
      <c r="T24" s="18"/>
      <c r="W24" s="18"/>
    </row>
    <row r="25" spans="1:23" x14ac:dyDescent="0.35">
      <c r="A25">
        <v>1.7806299999999999</v>
      </c>
      <c r="B25">
        <v>2.1659299999999999</v>
      </c>
      <c r="H25" s="28">
        <f t="shared" si="0"/>
        <v>4.637503591372683</v>
      </c>
      <c r="I25" s="28">
        <f t="shared" si="1"/>
        <v>9.8248593432140705</v>
      </c>
      <c r="S25" s="18"/>
      <c r="T25" s="18"/>
      <c r="W25" s="18"/>
    </row>
    <row r="26" spans="1:23" x14ac:dyDescent="0.35">
      <c r="A26">
        <v>2.5245600000000001</v>
      </c>
      <c r="B26">
        <v>4.09626</v>
      </c>
      <c r="H26" s="28">
        <f t="shared" si="0"/>
        <v>3.9713367226136072</v>
      </c>
      <c r="I26" s="28">
        <f t="shared" si="1"/>
        <v>-12.144002113417887</v>
      </c>
      <c r="S26" s="18"/>
      <c r="T26" s="18"/>
      <c r="W26" s="18"/>
    </row>
    <row r="27" spans="1:23" x14ac:dyDescent="0.35">
      <c r="A27">
        <v>1.23054</v>
      </c>
      <c r="B27">
        <v>2.3341400000000001</v>
      </c>
      <c r="H27" s="28">
        <f t="shared" si="0"/>
        <v>5.1300925887725457</v>
      </c>
      <c r="I27" s="28">
        <f t="shared" si="1"/>
        <v>26.069467033021805</v>
      </c>
      <c r="S27" s="18"/>
      <c r="T27" s="18"/>
      <c r="W27" s="18"/>
    </row>
    <row r="28" spans="1:23" x14ac:dyDescent="0.35">
      <c r="A28">
        <v>1.2444299999999999</v>
      </c>
      <c r="B28">
        <v>9.4604800000000004</v>
      </c>
      <c r="H28" s="28">
        <f t="shared" si="0"/>
        <v>5.1176545128688131</v>
      </c>
      <c r="I28" s="28">
        <f t="shared" si="1"/>
        <v>25.659283970593059</v>
      </c>
      <c r="S28" s="18"/>
      <c r="T28" s="29"/>
      <c r="W28" s="18"/>
    </row>
    <row r="29" spans="1:23" x14ac:dyDescent="0.35">
      <c r="A29">
        <v>2.1318899999999998</v>
      </c>
      <c r="B29">
        <v>6.3081500000000004</v>
      </c>
      <c r="H29" s="28">
        <f t="shared" si="0"/>
        <v>4.3229608597711708</v>
      </c>
      <c r="I29" s="28">
        <f t="shared" si="1"/>
        <v>-0.54813579780260735</v>
      </c>
      <c r="S29" s="18"/>
      <c r="T29" s="18"/>
      <c r="W29" s="18"/>
    </row>
    <row r="30" spans="1:23" x14ac:dyDescent="0.35">
      <c r="A30">
        <v>1.45451</v>
      </c>
      <c r="B30">
        <v>4.0541200000000002</v>
      </c>
      <c r="H30" s="28">
        <f t="shared" si="0"/>
        <v>4.9295342115112843</v>
      </c>
      <c r="I30" s="28">
        <f t="shared" si="1"/>
        <v>19.455449718970943</v>
      </c>
      <c r="S30" s="18"/>
      <c r="T30" s="18"/>
      <c r="W30" s="18"/>
    </row>
    <row r="31" spans="1:23" x14ac:dyDescent="0.35">
      <c r="A31">
        <v>2.8380100000000001</v>
      </c>
      <c r="B31">
        <v>2.7465700000000002</v>
      </c>
      <c r="H31" s="28">
        <f t="shared" si="0"/>
        <v>3.6906517051892092</v>
      </c>
      <c r="I31" s="28">
        <f t="shared" si="1"/>
        <v>-21.400437024741915</v>
      </c>
      <c r="S31" s="18"/>
      <c r="T31" s="18"/>
      <c r="W31" s="18"/>
    </row>
    <row r="32" spans="1:23" x14ac:dyDescent="0.35">
      <c r="A32">
        <v>1.2317800000000001</v>
      </c>
      <c r="B32">
        <v>2.3625500000000001</v>
      </c>
      <c r="H32" s="28">
        <f t="shared" si="0"/>
        <v>5.1289822061864667</v>
      </c>
      <c r="I32" s="28">
        <f t="shared" si="1"/>
        <v>26.032848818665311</v>
      </c>
      <c r="S32" s="18"/>
      <c r="T32" s="18"/>
      <c r="W32" s="18"/>
    </row>
    <row r="33" spans="1:23" x14ac:dyDescent="0.35">
      <c r="A33">
        <v>2.7359800000000001</v>
      </c>
      <c r="B33">
        <v>-1.51603</v>
      </c>
      <c r="H33" s="28">
        <f t="shared" si="0"/>
        <v>3.7820164916872514</v>
      </c>
      <c r="I33" s="28">
        <f t="shared" si="1"/>
        <v>-18.387407661199433</v>
      </c>
      <c r="S33" s="18"/>
      <c r="T33" s="18"/>
      <c r="W33" s="18"/>
    </row>
    <row r="34" spans="1:23" x14ac:dyDescent="0.35">
      <c r="A34">
        <v>2.0678200000000002</v>
      </c>
      <c r="B34">
        <v>7.6174799999999996</v>
      </c>
      <c r="H34" s="28">
        <f t="shared" si="0"/>
        <v>4.3803336116179761</v>
      </c>
      <c r="I34" s="28">
        <f t="shared" si="1"/>
        <v>1.3439037133427978</v>
      </c>
      <c r="S34" s="18"/>
      <c r="T34" s="18"/>
      <c r="W34" s="18"/>
    </row>
    <row r="35" spans="1:23" x14ac:dyDescent="0.35">
      <c r="A35">
        <v>2.03674</v>
      </c>
      <c r="B35">
        <v>0.29575800000000002</v>
      </c>
      <c r="H35" s="28">
        <f t="shared" si="0"/>
        <v>4.4081648138561329</v>
      </c>
      <c r="I35" s="28">
        <f t="shared" si="1"/>
        <v>2.2617215376974085</v>
      </c>
      <c r="S35" s="18"/>
      <c r="T35" s="18"/>
      <c r="W35" s="18"/>
    </row>
    <row r="36" spans="1:23" ht="14" customHeight="1" x14ac:dyDescent="0.35">
      <c r="A36">
        <v>2.80681</v>
      </c>
      <c r="B36">
        <v>7.3238899999999996</v>
      </c>
      <c r="H36" s="28">
        <f t="shared" si="0"/>
        <v>3.7185903638066646</v>
      </c>
      <c r="I36" s="28">
        <f t="shared" si="1"/>
        <v>-20.479075502223775</v>
      </c>
      <c r="S36" s="18"/>
      <c r="T36" s="18"/>
      <c r="W36" s="18"/>
    </row>
    <row r="37" spans="1:23" x14ac:dyDescent="0.35">
      <c r="A37">
        <v>2.7911600000000001</v>
      </c>
      <c r="B37">
        <v>2.8535900000000001</v>
      </c>
      <c r="H37" s="28">
        <f t="shared" si="0"/>
        <v>3.7326044666067659</v>
      </c>
      <c r="I37" s="28">
        <f t="shared" si="1"/>
        <v>-20.016918200063238</v>
      </c>
      <c r="S37" s="18"/>
      <c r="T37" s="18"/>
      <c r="W37" s="18"/>
    </row>
    <row r="38" spans="1:23" x14ac:dyDescent="0.35">
      <c r="A38">
        <v>1.35772</v>
      </c>
      <c r="B38">
        <v>2.7207699999999999</v>
      </c>
      <c r="H38" s="28">
        <f t="shared" si="0"/>
        <v>5.0162067361133174</v>
      </c>
      <c r="I38" s="28">
        <f t="shared" si="1"/>
        <v>22.313737596039221</v>
      </c>
      <c r="S38" s="18"/>
      <c r="T38" s="18"/>
      <c r="W38" s="18"/>
    </row>
    <row r="39" spans="1:23" x14ac:dyDescent="0.35">
      <c r="A39">
        <v>2.4147799999999999</v>
      </c>
      <c r="B39">
        <v>6.1454000000000004</v>
      </c>
      <c r="H39" s="28">
        <f t="shared" si="0"/>
        <v>4.0696414002746391</v>
      </c>
      <c r="I39" s="28">
        <f t="shared" si="1"/>
        <v>-8.9021089101473354</v>
      </c>
      <c r="S39" s="18"/>
      <c r="T39" s="18"/>
      <c r="W39" s="18"/>
    </row>
    <row r="40" spans="1:23" x14ac:dyDescent="0.35">
      <c r="A40">
        <v>1.29125</v>
      </c>
      <c r="B40">
        <v>1.12967</v>
      </c>
      <c r="H40" s="28">
        <f t="shared" si="0"/>
        <v>5.0757286155460815</v>
      </c>
      <c r="I40" s="28">
        <f t="shared" si="1"/>
        <v>24.276651070455266</v>
      </c>
      <c r="S40" s="18"/>
      <c r="T40" s="18"/>
      <c r="W40" s="18"/>
    </row>
    <row r="41" spans="1:23" x14ac:dyDescent="0.35">
      <c r="A41">
        <v>2.69475</v>
      </c>
      <c r="B41">
        <v>0.73295500000000002</v>
      </c>
      <c r="H41" s="28">
        <f t="shared" si="0"/>
        <v>3.8189367126743567</v>
      </c>
      <c r="I41" s="28">
        <f t="shared" si="1"/>
        <v>-17.169852033846137</v>
      </c>
      <c r="S41" s="18"/>
      <c r="T41" s="18"/>
      <c r="W41" s="18"/>
    </row>
    <row r="42" spans="1:23" x14ac:dyDescent="0.35">
      <c r="A42">
        <v>2.2817099999999999</v>
      </c>
      <c r="B42">
        <v>2.0230700000000001</v>
      </c>
      <c r="H42" s="28">
        <f t="shared" si="0"/>
        <v>4.1888015702177386</v>
      </c>
      <c r="I42" s="28">
        <f t="shared" si="1"/>
        <v>-4.9724429549714273</v>
      </c>
      <c r="S42" s="18"/>
      <c r="T42" s="18"/>
      <c r="W42" s="18"/>
    </row>
    <row r="43" spans="1:23" x14ac:dyDescent="0.35">
      <c r="A43">
        <v>1.2373099999999999</v>
      </c>
      <c r="B43">
        <v>4.7182700000000004</v>
      </c>
      <c r="H43" s="28">
        <f t="shared" si="0"/>
        <v>5.1240302580404888</v>
      </c>
      <c r="I43" s="28">
        <f t="shared" si="1"/>
        <v>25.869543394962584</v>
      </c>
      <c r="S43" s="18"/>
      <c r="T43" s="18"/>
      <c r="W43" s="18"/>
    </row>
    <row r="44" spans="1:23" x14ac:dyDescent="0.35">
      <c r="A44">
        <v>2.9272100000000001</v>
      </c>
      <c r="B44">
        <v>3.2783500000000001</v>
      </c>
      <c r="H44" s="28">
        <f t="shared" si="0"/>
        <v>3.6107757965777685</v>
      </c>
      <c r="I44" s="28">
        <f t="shared" si="1"/>
        <v>-24.034585992966839</v>
      </c>
      <c r="S44" s="18"/>
      <c r="T44" s="18"/>
      <c r="W44" s="18"/>
    </row>
    <row r="45" spans="1:23" x14ac:dyDescent="0.35">
      <c r="A45">
        <v>1.5619799999999999</v>
      </c>
      <c r="B45">
        <v>7.3078500000000002</v>
      </c>
      <c r="H45" s="28">
        <f t="shared" si="0"/>
        <v>4.8332980691517369</v>
      </c>
      <c r="I45" s="28">
        <f t="shared" si="1"/>
        <v>16.281772705348381</v>
      </c>
      <c r="S45" s="18"/>
      <c r="T45" s="18"/>
      <c r="W45" s="18"/>
    </row>
    <row r="46" spans="1:23" x14ac:dyDescent="0.35">
      <c r="A46">
        <v>1.2929900000000001</v>
      </c>
      <c r="B46">
        <v>1.7641899999999999</v>
      </c>
      <c r="H46" s="28">
        <f t="shared" si="0"/>
        <v>5.0741704980462616</v>
      </c>
      <c r="I46" s="28">
        <f t="shared" si="1"/>
        <v>24.225267447084061</v>
      </c>
      <c r="S46" s="18"/>
      <c r="T46" s="18"/>
      <c r="W46" s="18"/>
    </row>
    <row r="47" spans="1:23" x14ac:dyDescent="0.35">
      <c r="A47">
        <v>2.6832699999999998</v>
      </c>
      <c r="B47">
        <v>4.7862799999999996</v>
      </c>
      <c r="H47" s="28">
        <f t="shared" si="0"/>
        <v>3.829216706293856</v>
      </c>
      <c r="I47" s="28">
        <f t="shared" si="1"/>
        <v>-16.830838242868303</v>
      </c>
      <c r="S47" s="18"/>
      <c r="T47" s="18"/>
      <c r="W47" s="18"/>
    </row>
    <row r="48" spans="1:23" x14ac:dyDescent="0.35">
      <c r="A48">
        <v>1.37456</v>
      </c>
      <c r="B48">
        <v>9.3262300000000007</v>
      </c>
      <c r="H48" s="28">
        <f t="shared" si="0"/>
        <v>5.001127024218512</v>
      </c>
      <c r="I48" s="28">
        <f t="shared" si="1"/>
        <v>21.816438620423664</v>
      </c>
      <c r="S48" s="18"/>
      <c r="T48" s="18"/>
      <c r="W48" s="18"/>
    </row>
    <row r="49" spans="1:23" x14ac:dyDescent="0.35">
      <c r="A49">
        <v>1.18757</v>
      </c>
      <c r="B49">
        <v>2.7852100000000002</v>
      </c>
      <c r="H49" s="28">
        <f t="shared" si="0"/>
        <v>5.1685709272594691</v>
      </c>
      <c r="I49" s="28">
        <f t="shared" si="1"/>
        <v>27.338406283746302</v>
      </c>
      <c r="S49" s="18"/>
      <c r="T49" s="29"/>
      <c r="W49" s="18"/>
    </row>
    <row r="50" spans="1:23" x14ac:dyDescent="0.35">
      <c r="A50">
        <v>1.0218100000000001</v>
      </c>
      <c r="B50">
        <v>12.2189</v>
      </c>
      <c r="H50" s="28">
        <f t="shared" si="0"/>
        <v>5.3170040058629731</v>
      </c>
      <c r="I50" s="28">
        <f t="shared" si="1"/>
        <v>32.233434680304185</v>
      </c>
      <c r="S50" s="18"/>
      <c r="T50" s="18"/>
      <c r="W50" s="18"/>
    </row>
    <row r="51" spans="1:23" x14ac:dyDescent="0.35">
      <c r="A51">
        <v>1.62961</v>
      </c>
      <c r="B51">
        <v>2.7725499999999998</v>
      </c>
      <c r="H51" s="28">
        <f t="shared" si="0"/>
        <v>4.7727374447190938</v>
      </c>
      <c r="I51" s="28">
        <f t="shared" si="1"/>
        <v>14.284603482018198</v>
      </c>
      <c r="S51" s="18"/>
      <c r="T51" s="18"/>
      <c r="W51" s="18"/>
    </row>
    <row r="52" spans="1:23" x14ac:dyDescent="0.35">
      <c r="A52">
        <v>1.4418800000000001</v>
      </c>
      <c r="B52">
        <v>4.7862299999999998</v>
      </c>
      <c r="H52" s="28">
        <f t="shared" si="0"/>
        <v>4.9408439954323882</v>
      </c>
      <c r="I52" s="28">
        <f t="shared" si="1"/>
        <v>19.828423950682609</v>
      </c>
      <c r="S52" s="18"/>
      <c r="T52" s="18"/>
      <c r="W52" s="18"/>
    </row>
    <row r="53" spans="1:23" x14ac:dyDescent="0.35">
      <c r="A53">
        <v>2.8650799999999998</v>
      </c>
      <c r="B53">
        <v>5.0236499999999999</v>
      </c>
      <c r="H53" s="28">
        <f t="shared" si="0"/>
        <v>3.6664113369592579</v>
      </c>
      <c r="I53" s="28">
        <f t="shared" si="1"/>
        <v>-22.199836268798506</v>
      </c>
      <c r="S53" s="18"/>
      <c r="T53" s="18"/>
      <c r="W53" s="18"/>
    </row>
    <row r="54" spans="1:23" x14ac:dyDescent="0.35">
      <c r="A54">
        <v>1.22424</v>
      </c>
      <c r="B54">
        <v>2.9275000000000002</v>
      </c>
      <c r="H54" s="28">
        <f t="shared" si="0"/>
        <v>5.1357340486856851</v>
      </c>
      <c r="I54" s="28">
        <f t="shared" si="1"/>
        <v>26.255511186607198</v>
      </c>
      <c r="S54" s="18"/>
      <c r="T54" s="18"/>
      <c r="W54" s="18"/>
    </row>
    <row r="55" spans="1:23" x14ac:dyDescent="0.35">
      <c r="A55">
        <v>2.24743</v>
      </c>
      <c r="B55">
        <v>6.2996100000000004</v>
      </c>
      <c r="H55" s="28">
        <f t="shared" si="0"/>
        <v>4.21949827590384</v>
      </c>
      <c r="I55" s="28">
        <f t="shared" si="1"/>
        <v>-3.9601265129226579</v>
      </c>
      <c r="S55" s="18"/>
      <c r="T55" s="18"/>
      <c r="W55" s="18"/>
    </row>
  </sheetData>
  <mergeCells count="14">
    <mergeCell ref="D18:E18"/>
    <mergeCell ref="D21:E21"/>
    <mergeCell ref="F4:F5"/>
    <mergeCell ref="G4:G5"/>
    <mergeCell ref="H4:H5"/>
    <mergeCell ref="I4:I5"/>
    <mergeCell ref="D10:E10"/>
    <mergeCell ref="D13:E13"/>
    <mergeCell ref="A1:E2"/>
    <mergeCell ref="A4:A5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 1</vt:lpstr>
      <vt:lpstr>Задание 2</vt:lpstr>
      <vt:lpstr>Задание 3</vt:lpstr>
      <vt:lpstr>Задание 4.1</vt:lpstr>
      <vt:lpstr>Задание 4.2</vt:lpstr>
      <vt:lpstr>Задание 4.3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2023-12-27T11:50:12Z</dcterms:modified>
</cp:coreProperties>
</file>